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1_{83A9E4DD-B808-4C2C-A819-05F304F9C69B}" xr6:coauthVersionLast="47" xr6:coauthVersionMax="47" xr10:uidLastSave="{00000000-0000-0000-0000-000000000000}"/>
  <bookViews>
    <workbookView xWindow="-120" yWindow="-120" windowWidth="29040" windowHeight="15840" tabRatio="903" activeTab="1" xr2:uid="{0420F3B8-E53E-4560-BCF3-D6F9EFEB805A}"/>
  </bookViews>
  <sheets>
    <sheet name="Inputs" sheetId="73" r:id="rId1"/>
    <sheet name="Load Forecast Summary" sheetId="11" r:id="rId2"/>
    <sheet name="Power Purchased Model" sheetId="72" r:id="rId3"/>
    <sheet name="Power Purchased Model-WN" sheetId="77" r:id="rId4"/>
    <sheet name="Rate Class Energy Model" sheetId="9" r:id="rId5"/>
    <sheet name="Rate Class Customer Model" sheetId="17" r:id="rId6"/>
    <sheet name="Rate Class Load Model" sheetId="18" r:id="rId7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Summary'!$A$3:$N$48</definedName>
    <definedName name="_xlnm.Print_Area" localSheetId="2">'Power Purchased Model'!$A$1:$K$168</definedName>
    <definedName name="_xlnm.Print_Area" localSheetId="3">'Power Purchased Model-WN'!$A$1:$J$168</definedName>
    <definedName name="_xlnm.Print_Area" localSheetId="5">'Rate Class Customer Model'!$A$1:$L$42</definedName>
    <definedName name="_xlnm.Print_Area" localSheetId="6">'Rate Class Load Model'!$A$1:$I$29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0">Inputs!$A:$B,Inputs!$20:$22</definedName>
    <definedName name="_xlnm.Print_Titles" localSheetId="2">'Power Purchased Model'!$A:$K,'Power Purchased Model'!$1:$2</definedName>
    <definedName name="_xlnm.Print_Titles" localSheetId="3">'Power Purchased Model-WN'!$A:$J,'Power Purchased Model-WN'!$1:$2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7" l="1"/>
  <c r="E41" i="17"/>
  <c r="D41" i="17"/>
  <c r="D39" i="17" s="1"/>
  <c r="C41" i="17"/>
  <c r="B41" i="17"/>
  <c r="B39" i="17" s="1"/>
  <c r="K21" i="9" l="1"/>
  <c r="B16" i="18"/>
  <c r="D7" i="18"/>
  <c r="H6" i="73"/>
  <c r="B29" i="18" l="1"/>
  <c r="B27" i="18" s="1"/>
  <c r="M21" i="9"/>
  <c r="K23" i="9"/>
  <c r="G22" i="17"/>
  <c r="G21" i="17"/>
  <c r="D21" i="17"/>
  <c r="D22" i="17" s="1"/>
  <c r="G3" i="72" l="1"/>
  <c r="B5" i="73" l="1"/>
  <c r="G3" i="9"/>
  <c r="H12" i="9"/>
  <c r="C123" i="72"/>
  <c r="E15" i="11"/>
  <c r="B14" i="73" l="1"/>
  <c r="H34" i="9" l="1"/>
  <c r="I34" i="9" s="1"/>
  <c r="N41" i="11" l="1"/>
  <c r="M41" i="11"/>
  <c r="L41" i="11"/>
  <c r="K15" i="11" l="1"/>
  <c r="N22" i="17" l="1"/>
  <c r="N21" i="17"/>
  <c r="P11" i="17" s="1"/>
  <c r="G123" i="77" l="1"/>
  <c r="H123" i="77" s="1"/>
  <c r="G123" i="72"/>
  <c r="P12" i="17"/>
  <c r="P13" i="17" l="1"/>
  <c r="G124" i="77"/>
  <c r="H124" i="77" s="1"/>
  <c r="G124" i="72"/>
  <c r="P14" i="17" l="1"/>
  <c r="G125" i="77"/>
  <c r="H125" i="77" s="1"/>
  <c r="G125" i="72"/>
  <c r="P15" i="17" l="1"/>
  <c r="G126" i="77"/>
  <c r="H126" i="77" s="1"/>
  <c r="G126" i="72"/>
  <c r="P16" i="17" l="1"/>
  <c r="G127" i="77"/>
  <c r="H127" i="77" s="1"/>
  <c r="G127" i="72"/>
  <c r="P17" i="17" l="1"/>
  <c r="G128" i="77"/>
  <c r="H128" i="77" s="1"/>
  <c r="G128" i="72"/>
  <c r="P18" i="17" l="1"/>
  <c r="G129" i="77"/>
  <c r="H129" i="77" s="1"/>
  <c r="G129" i="72"/>
  <c r="D143" i="72"/>
  <c r="D123" i="72"/>
  <c r="D124" i="72"/>
  <c r="D136" i="72" s="1"/>
  <c r="D125" i="72"/>
  <c r="D137" i="72" s="1"/>
  <c r="D126" i="72"/>
  <c r="D138" i="72" s="1"/>
  <c r="D127" i="72"/>
  <c r="D139" i="72" s="1"/>
  <c r="D128" i="72"/>
  <c r="D140" i="72" s="1"/>
  <c r="D129" i="72"/>
  <c r="D141" i="72" s="1"/>
  <c r="D130" i="72"/>
  <c r="D142" i="72" s="1"/>
  <c r="D131" i="72"/>
  <c r="D132" i="72"/>
  <c r="D144" i="72" s="1"/>
  <c r="D133" i="72"/>
  <c r="D145" i="72" s="1"/>
  <c r="D134" i="72"/>
  <c r="D146" i="72" s="1"/>
  <c r="C134" i="72"/>
  <c r="C146" i="72" s="1"/>
  <c r="C126" i="72"/>
  <c r="C124" i="72"/>
  <c r="C125" i="72"/>
  <c r="C127" i="72"/>
  <c r="C128" i="72"/>
  <c r="C140" i="72" s="1"/>
  <c r="C129" i="72"/>
  <c r="C141" i="72" s="1"/>
  <c r="C130" i="72"/>
  <c r="C142" i="72" s="1"/>
  <c r="C131" i="72"/>
  <c r="C143" i="72" s="1"/>
  <c r="C132" i="72"/>
  <c r="C144" i="72" s="1"/>
  <c r="C133" i="72"/>
  <c r="C145" i="72" s="1"/>
  <c r="C135" i="72"/>
  <c r="C139" i="72" l="1"/>
  <c r="H127" i="72"/>
  <c r="C137" i="72"/>
  <c r="H125" i="72"/>
  <c r="C136" i="72"/>
  <c r="H124" i="72"/>
  <c r="C138" i="72"/>
  <c r="H126" i="72"/>
  <c r="D135" i="72"/>
  <c r="H123" i="72"/>
  <c r="H129" i="72"/>
  <c r="H128" i="72"/>
  <c r="P19" i="17"/>
  <c r="G130" i="77"/>
  <c r="H130" i="77" s="1"/>
  <c r="G130" i="72"/>
  <c r="H130" i="72" s="1"/>
  <c r="C20" i="17"/>
  <c r="G122" i="77"/>
  <c r="B122" i="77"/>
  <c r="G121" i="77"/>
  <c r="H121" i="77" s="1"/>
  <c r="I121" i="77" s="1"/>
  <c r="J121" i="77" s="1"/>
  <c r="K121" i="77" s="1"/>
  <c r="B121" i="77"/>
  <c r="G120" i="77"/>
  <c r="H120" i="77" s="1"/>
  <c r="B120" i="77"/>
  <c r="G119" i="77"/>
  <c r="H119" i="77" s="1"/>
  <c r="B119" i="77"/>
  <c r="G118" i="77"/>
  <c r="H118" i="77" s="1"/>
  <c r="B118" i="77"/>
  <c r="G117" i="77"/>
  <c r="H117" i="77" s="1"/>
  <c r="I117" i="77" s="1"/>
  <c r="J117" i="77" s="1"/>
  <c r="K117" i="77" s="1"/>
  <c r="B117" i="77"/>
  <c r="G116" i="77"/>
  <c r="H116" i="77" s="1"/>
  <c r="B116" i="77"/>
  <c r="G115" i="77"/>
  <c r="H115" i="77" s="1"/>
  <c r="I115" i="77" s="1"/>
  <c r="J115" i="77" s="1"/>
  <c r="K115" i="77" s="1"/>
  <c r="B115" i="77"/>
  <c r="G114" i="77"/>
  <c r="H114" i="77" s="1"/>
  <c r="I114" i="77" s="1"/>
  <c r="J114" i="77" s="1"/>
  <c r="K114" i="77" s="1"/>
  <c r="B114" i="77"/>
  <c r="G113" i="77"/>
  <c r="H113" i="77" s="1"/>
  <c r="B113" i="77"/>
  <c r="G112" i="77"/>
  <c r="H112" i="77" s="1"/>
  <c r="B112" i="77"/>
  <c r="G111" i="77"/>
  <c r="H111" i="77" s="1"/>
  <c r="B111" i="77"/>
  <c r="G110" i="77"/>
  <c r="H110" i="77" s="1"/>
  <c r="I110" i="77" s="1"/>
  <c r="J110" i="77" s="1"/>
  <c r="K110" i="77" s="1"/>
  <c r="B110" i="77"/>
  <c r="G109" i="77"/>
  <c r="H109" i="77" s="1"/>
  <c r="I109" i="77" s="1"/>
  <c r="J109" i="77" s="1"/>
  <c r="K109" i="77" s="1"/>
  <c r="B109" i="77"/>
  <c r="G108" i="77"/>
  <c r="H108" i="77" s="1"/>
  <c r="B108" i="77"/>
  <c r="G107" i="77"/>
  <c r="H107" i="77" s="1"/>
  <c r="B107" i="77"/>
  <c r="G106" i="77"/>
  <c r="H106" i="77" s="1"/>
  <c r="B106" i="77"/>
  <c r="G105" i="77"/>
  <c r="H105" i="77" s="1"/>
  <c r="B105" i="77"/>
  <c r="G104" i="77"/>
  <c r="H104" i="77" s="1"/>
  <c r="B104" i="77"/>
  <c r="G103" i="77"/>
  <c r="H103" i="77" s="1"/>
  <c r="I103" i="77" s="1"/>
  <c r="J103" i="77" s="1"/>
  <c r="K103" i="77" s="1"/>
  <c r="B103" i="77"/>
  <c r="G102" i="77"/>
  <c r="H102" i="77" s="1"/>
  <c r="I102" i="77" s="1"/>
  <c r="J102" i="77" s="1"/>
  <c r="K102" i="77" s="1"/>
  <c r="B102" i="77"/>
  <c r="G101" i="77"/>
  <c r="H101" i="77" s="1"/>
  <c r="B101" i="77"/>
  <c r="G100" i="77"/>
  <c r="H100" i="77" s="1"/>
  <c r="B100" i="77"/>
  <c r="G99" i="77"/>
  <c r="H99" i="77" s="1"/>
  <c r="B99" i="77"/>
  <c r="G98" i="77"/>
  <c r="H98" i="77" s="1"/>
  <c r="I98" i="77" s="1"/>
  <c r="J98" i="77" s="1"/>
  <c r="K98" i="77" s="1"/>
  <c r="B98" i="77"/>
  <c r="G97" i="77"/>
  <c r="H97" i="77" s="1"/>
  <c r="I97" i="77" s="1"/>
  <c r="J97" i="77" s="1"/>
  <c r="K97" i="77" s="1"/>
  <c r="B97" i="77"/>
  <c r="G96" i="77"/>
  <c r="H96" i="77" s="1"/>
  <c r="B96" i="77"/>
  <c r="G95" i="77"/>
  <c r="H95" i="77" s="1"/>
  <c r="B95" i="77"/>
  <c r="G94" i="77"/>
  <c r="H94" i="77" s="1"/>
  <c r="B94" i="77"/>
  <c r="G93" i="77"/>
  <c r="H93" i="77" s="1"/>
  <c r="B93" i="77"/>
  <c r="G92" i="77"/>
  <c r="H92" i="77" s="1"/>
  <c r="B92" i="77"/>
  <c r="G91" i="77"/>
  <c r="H91" i="77" s="1"/>
  <c r="I91" i="77" s="1"/>
  <c r="J91" i="77" s="1"/>
  <c r="K91" i="77" s="1"/>
  <c r="B91" i="77"/>
  <c r="G90" i="77"/>
  <c r="H90" i="77" s="1"/>
  <c r="I90" i="77" s="1"/>
  <c r="J90" i="77" s="1"/>
  <c r="K90" i="77" s="1"/>
  <c r="B90" i="77"/>
  <c r="G89" i="77"/>
  <c r="H89" i="77" s="1"/>
  <c r="B89" i="77"/>
  <c r="G88" i="77"/>
  <c r="H88" i="77" s="1"/>
  <c r="B88" i="77"/>
  <c r="G87" i="77"/>
  <c r="H87" i="77" s="1"/>
  <c r="B87" i="77"/>
  <c r="G86" i="77"/>
  <c r="H86" i="77" s="1"/>
  <c r="I86" i="77" s="1"/>
  <c r="J86" i="77" s="1"/>
  <c r="K86" i="77" s="1"/>
  <c r="B86" i="77"/>
  <c r="G85" i="77"/>
  <c r="H85" i="77" s="1"/>
  <c r="I85" i="77" s="1"/>
  <c r="J85" i="77" s="1"/>
  <c r="K85" i="77" s="1"/>
  <c r="B85" i="77"/>
  <c r="G84" i="77"/>
  <c r="H84" i="77" s="1"/>
  <c r="I84" i="77" s="1"/>
  <c r="J84" i="77" s="1"/>
  <c r="K84" i="77" s="1"/>
  <c r="B84" i="77"/>
  <c r="G83" i="77"/>
  <c r="H83" i="77" s="1"/>
  <c r="B83" i="77"/>
  <c r="G82" i="77"/>
  <c r="H82" i="77" s="1"/>
  <c r="B82" i="77"/>
  <c r="G81" i="77"/>
  <c r="H81" i="77" s="1"/>
  <c r="B81" i="77"/>
  <c r="G80" i="77"/>
  <c r="H80" i="77" s="1"/>
  <c r="I80" i="77" s="1"/>
  <c r="J80" i="77" s="1"/>
  <c r="K80" i="77" s="1"/>
  <c r="B80" i="77"/>
  <c r="G79" i="77"/>
  <c r="H79" i="77" s="1"/>
  <c r="I79" i="77" s="1"/>
  <c r="J79" i="77" s="1"/>
  <c r="K79" i="77" s="1"/>
  <c r="B79" i="77"/>
  <c r="G78" i="77"/>
  <c r="H78" i="77" s="1"/>
  <c r="I78" i="77" s="1"/>
  <c r="J78" i="77" s="1"/>
  <c r="K78" i="77" s="1"/>
  <c r="B78" i="77"/>
  <c r="G77" i="77"/>
  <c r="H77" i="77" s="1"/>
  <c r="I77" i="77" s="1"/>
  <c r="J77" i="77" s="1"/>
  <c r="K77" i="77" s="1"/>
  <c r="B77" i="77"/>
  <c r="G76" i="77"/>
  <c r="H76" i="77" s="1"/>
  <c r="B76" i="77"/>
  <c r="G75" i="77"/>
  <c r="H75" i="77" s="1"/>
  <c r="B75" i="77"/>
  <c r="G74" i="77"/>
  <c r="H74" i="77" s="1"/>
  <c r="B74" i="77"/>
  <c r="G73" i="77"/>
  <c r="H73" i="77" s="1"/>
  <c r="B73" i="77"/>
  <c r="G72" i="77"/>
  <c r="H72" i="77" s="1"/>
  <c r="B72" i="77"/>
  <c r="G71" i="77"/>
  <c r="H71" i="77" s="1"/>
  <c r="B71" i="77"/>
  <c r="G70" i="77"/>
  <c r="H70" i="77" s="1"/>
  <c r="B70" i="77"/>
  <c r="G69" i="77"/>
  <c r="H69" i="77" s="1"/>
  <c r="B69" i="77"/>
  <c r="G68" i="77"/>
  <c r="H68" i="77" s="1"/>
  <c r="B68" i="77"/>
  <c r="G67" i="77"/>
  <c r="H67" i="77" s="1"/>
  <c r="B67" i="77"/>
  <c r="G66" i="77"/>
  <c r="H66" i="77" s="1"/>
  <c r="B66" i="77"/>
  <c r="G65" i="77"/>
  <c r="H65" i="77" s="1"/>
  <c r="B65" i="77"/>
  <c r="G64" i="77"/>
  <c r="H64" i="77" s="1"/>
  <c r="B64" i="77"/>
  <c r="G63" i="77"/>
  <c r="H63" i="77" s="1"/>
  <c r="B63" i="77"/>
  <c r="G62" i="77"/>
  <c r="H62" i="77" s="1"/>
  <c r="B62" i="77"/>
  <c r="G61" i="77"/>
  <c r="H61" i="77" s="1"/>
  <c r="I61" i="77" s="1"/>
  <c r="J61" i="77" s="1"/>
  <c r="K61" i="77" s="1"/>
  <c r="B61" i="77"/>
  <c r="G60" i="77"/>
  <c r="H60" i="77" s="1"/>
  <c r="B60" i="77"/>
  <c r="G59" i="77"/>
  <c r="H59" i="77" s="1"/>
  <c r="B59" i="77"/>
  <c r="G58" i="77"/>
  <c r="H58" i="77" s="1"/>
  <c r="B58" i="77"/>
  <c r="G57" i="77"/>
  <c r="H57" i="77" s="1"/>
  <c r="I57" i="77" s="1"/>
  <c r="J57" i="77" s="1"/>
  <c r="K57" i="77" s="1"/>
  <c r="B57" i="77"/>
  <c r="G56" i="77"/>
  <c r="H56" i="77" s="1"/>
  <c r="I56" i="77" s="1"/>
  <c r="J56" i="77" s="1"/>
  <c r="K56" i="77" s="1"/>
  <c r="B56" i="77"/>
  <c r="G55" i="77"/>
  <c r="H55" i="77" s="1"/>
  <c r="I55" i="77" s="1"/>
  <c r="J55" i="77" s="1"/>
  <c r="K55" i="77" s="1"/>
  <c r="B55" i="77"/>
  <c r="G54" i="77"/>
  <c r="H54" i="77" s="1"/>
  <c r="B54" i="77"/>
  <c r="G53" i="77"/>
  <c r="H53" i="77" s="1"/>
  <c r="I53" i="77" s="1"/>
  <c r="J53" i="77" s="1"/>
  <c r="K53" i="77" s="1"/>
  <c r="B53" i="77"/>
  <c r="G52" i="77"/>
  <c r="H52" i="77" s="1"/>
  <c r="B52" i="77"/>
  <c r="G51" i="77"/>
  <c r="H51" i="77" s="1"/>
  <c r="B51" i="77"/>
  <c r="G50" i="77"/>
  <c r="H50" i="77" s="1"/>
  <c r="B50" i="77"/>
  <c r="G49" i="77"/>
  <c r="H49" i="77" s="1"/>
  <c r="B49" i="77"/>
  <c r="G48" i="77"/>
  <c r="H48" i="77" s="1"/>
  <c r="B48" i="77"/>
  <c r="G47" i="77"/>
  <c r="H47" i="77" s="1"/>
  <c r="I47" i="77" s="1"/>
  <c r="J47" i="77" s="1"/>
  <c r="K47" i="77" s="1"/>
  <c r="B47" i="77"/>
  <c r="G46" i="77"/>
  <c r="H46" i="77" s="1"/>
  <c r="I46" i="77" s="1"/>
  <c r="J46" i="77" s="1"/>
  <c r="K46" i="77" s="1"/>
  <c r="B46" i="77"/>
  <c r="G45" i="77"/>
  <c r="H45" i="77" s="1"/>
  <c r="I45" i="77" s="1"/>
  <c r="J45" i="77" s="1"/>
  <c r="K45" i="77" s="1"/>
  <c r="B45" i="77"/>
  <c r="G44" i="77"/>
  <c r="H44" i="77" s="1"/>
  <c r="I44" i="77" s="1"/>
  <c r="J44" i="77" s="1"/>
  <c r="K44" i="77" s="1"/>
  <c r="B44" i="77"/>
  <c r="G43" i="77"/>
  <c r="H43" i="77" s="1"/>
  <c r="B43" i="77"/>
  <c r="G42" i="77"/>
  <c r="H42" i="77" s="1"/>
  <c r="B42" i="77"/>
  <c r="G41" i="77"/>
  <c r="H41" i="77" s="1"/>
  <c r="I41" i="77" s="1"/>
  <c r="J41" i="77" s="1"/>
  <c r="K41" i="77" s="1"/>
  <c r="B41" i="77"/>
  <c r="G40" i="77"/>
  <c r="H40" i="77" s="1"/>
  <c r="I40" i="77" s="1"/>
  <c r="J40" i="77" s="1"/>
  <c r="K40" i="77" s="1"/>
  <c r="B40" i="77"/>
  <c r="H39" i="77"/>
  <c r="G39" i="77"/>
  <c r="B39" i="77"/>
  <c r="G38" i="77"/>
  <c r="H38" i="77" s="1"/>
  <c r="B38" i="77"/>
  <c r="G37" i="77"/>
  <c r="H37" i="77" s="1"/>
  <c r="B37" i="77"/>
  <c r="G36" i="77"/>
  <c r="H36" i="77" s="1"/>
  <c r="B36" i="77"/>
  <c r="G35" i="77"/>
  <c r="H35" i="77" s="1"/>
  <c r="B35" i="77"/>
  <c r="G34" i="77"/>
  <c r="H34" i="77" s="1"/>
  <c r="B34" i="77"/>
  <c r="G33" i="77"/>
  <c r="H33" i="77" s="1"/>
  <c r="B33" i="77"/>
  <c r="G32" i="77"/>
  <c r="H32" i="77" s="1"/>
  <c r="B32" i="77"/>
  <c r="G31" i="77"/>
  <c r="H31" i="77" s="1"/>
  <c r="B31" i="77"/>
  <c r="G30" i="77"/>
  <c r="H30" i="77" s="1"/>
  <c r="B30" i="77"/>
  <c r="G29" i="77"/>
  <c r="H29" i="77" s="1"/>
  <c r="B29" i="77"/>
  <c r="G28" i="77"/>
  <c r="H28" i="77" s="1"/>
  <c r="B28" i="77"/>
  <c r="G27" i="77"/>
  <c r="H27" i="77" s="1"/>
  <c r="B27" i="77"/>
  <c r="G26" i="77"/>
  <c r="H26" i="77" s="1"/>
  <c r="B26" i="77"/>
  <c r="G25" i="77"/>
  <c r="H25" i="77" s="1"/>
  <c r="B25" i="77"/>
  <c r="G24" i="77"/>
  <c r="H24" i="77" s="1"/>
  <c r="B24" i="77"/>
  <c r="G23" i="77"/>
  <c r="H23" i="77" s="1"/>
  <c r="B23" i="77"/>
  <c r="G22" i="77"/>
  <c r="H22" i="77" s="1"/>
  <c r="B22" i="77"/>
  <c r="G21" i="77"/>
  <c r="H21" i="77" s="1"/>
  <c r="B21" i="77"/>
  <c r="G20" i="77"/>
  <c r="H20" i="77" s="1"/>
  <c r="B20" i="77"/>
  <c r="G19" i="77"/>
  <c r="H19" i="77" s="1"/>
  <c r="B19" i="77"/>
  <c r="G18" i="77"/>
  <c r="H18" i="77" s="1"/>
  <c r="B18" i="77"/>
  <c r="G17" i="77"/>
  <c r="H17" i="77" s="1"/>
  <c r="B17" i="77"/>
  <c r="G16" i="77"/>
  <c r="H16" i="77" s="1"/>
  <c r="B16" i="77"/>
  <c r="G15" i="77"/>
  <c r="H15" i="77" s="1"/>
  <c r="B15" i="77"/>
  <c r="G14" i="77"/>
  <c r="H14" i="77" s="1"/>
  <c r="B14" i="77"/>
  <c r="G13" i="77"/>
  <c r="H13" i="77" s="1"/>
  <c r="B13" i="77"/>
  <c r="G12" i="77"/>
  <c r="H12" i="77" s="1"/>
  <c r="B12" i="77"/>
  <c r="G11" i="77"/>
  <c r="H11" i="77" s="1"/>
  <c r="I11" i="77" s="1"/>
  <c r="J11" i="77" s="1"/>
  <c r="K11" i="77" s="1"/>
  <c r="B11" i="77"/>
  <c r="G10" i="77"/>
  <c r="H10" i="77" s="1"/>
  <c r="B10" i="77"/>
  <c r="G9" i="77"/>
  <c r="H9" i="77" s="1"/>
  <c r="B9" i="77"/>
  <c r="G8" i="77"/>
  <c r="H8" i="77" s="1"/>
  <c r="B8" i="77"/>
  <c r="G7" i="77"/>
  <c r="H7" i="77" s="1"/>
  <c r="B7" i="77"/>
  <c r="G6" i="77"/>
  <c r="H6" i="77" s="1"/>
  <c r="B6" i="77"/>
  <c r="G5" i="77"/>
  <c r="H5" i="77" s="1"/>
  <c r="I5" i="77" s="1"/>
  <c r="J5" i="77" s="1"/>
  <c r="K5" i="77" s="1"/>
  <c r="B5" i="77"/>
  <c r="G4" i="77"/>
  <c r="H4" i="77" s="1"/>
  <c r="B4" i="77"/>
  <c r="G3" i="77"/>
  <c r="H3" i="77" s="1"/>
  <c r="B3" i="77"/>
  <c r="I83" i="77" l="1"/>
  <c r="J83" i="77" s="1"/>
  <c r="K83" i="77" s="1"/>
  <c r="I89" i="77"/>
  <c r="J89" i="77" s="1"/>
  <c r="K89" i="77" s="1"/>
  <c r="I95" i="77"/>
  <c r="J95" i="77" s="1"/>
  <c r="K95" i="77" s="1"/>
  <c r="I101" i="77"/>
  <c r="J101" i="77" s="1"/>
  <c r="K101" i="77" s="1"/>
  <c r="I107" i="77"/>
  <c r="J107" i="77" s="1"/>
  <c r="K107" i="77" s="1"/>
  <c r="I113" i="77"/>
  <c r="J113" i="77" s="1"/>
  <c r="K113" i="77" s="1"/>
  <c r="I119" i="77"/>
  <c r="J119" i="77" s="1"/>
  <c r="K119" i="77" s="1"/>
  <c r="I37" i="77"/>
  <c r="J37" i="77" s="1"/>
  <c r="K37" i="77" s="1"/>
  <c r="I67" i="77"/>
  <c r="J67" i="77" s="1"/>
  <c r="K67" i="77" s="1"/>
  <c r="I73" i="77"/>
  <c r="J73" i="77" s="1"/>
  <c r="K73" i="77" s="1"/>
  <c r="I9" i="77"/>
  <c r="J9" i="77" s="1"/>
  <c r="K9" i="77" s="1"/>
  <c r="I21" i="77"/>
  <c r="J21" i="77" s="1"/>
  <c r="K21" i="77" s="1"/>
  <c r="I33" i="77"/>
  <c r="J33" i="77" s="1"/>
  <c r="K33" i="77" s="1"/>
  <c r="I68" i="77"/>
  <c r="J68" i="77" s="1"/>
  <c r="K68" i="77" s="1"/>
  <c r="I39" i="77"/>
  <c r="J39" i="77" s="1"/>
  <c r="K39" i="77" s="1"/>
  <c r="I69" i="77"/>
  <c r="J69" i="77" s="1"/>
  <c r="K69" i="77" s="1"/>
  <c r="I75" i="77"/>
  <c r="J75" i="77" s="1"/>
  <c r="K75" i="77" s="1"/>
  <c r="I3" i="77"/>
  <c r="J3" i="77" s="1"/>
  <c r="K3" i="77" s="1"/>
  <c r="I17" i="77"/>
  <c r="J17" i="77" s="1"/>
  <c r="K17" i="77" s="1"/>
  <c r="I23" i="77"/>
  <c r="J23" i="77" s="1"/>
  <c r="K23" i="77" s="1"/>
  <c r="I29" i="77"/>
  <c r="J29" i="77" s="1"/>
  <c r="K29" i="77" s="1"/>
  <c r="I35" i="77"/>
  <c r="J35" i="77" s="1"/>
  <c r="K35" i="77" s="1"/>
  <c r="I7" i="77"/>
  <c r="J7" i="77" s="1"/>
  <c r="K7" i="77" s="1"/>
  <c r="I19" i="77"/>
  <c r="J19" i="77" s="1"/>
  <c r="K19" i="77" s="1"/>
  <c r="I31" i="77"/>
  <c r="J31" i="77" s="1"/>
  <c r="K31" i="77" s="1"/>
  <c r="I81" i="77"/>
  <c r="J81" i="77" s="1"/>
  <c r="K81" i="77" s="1"/>
  <c r="I93" i="77"/>
  <c r="J93" i="77" s="1"/>
  <c r="K93" i="77" s="1"/>
  <c r="I105" i="77"/>
  <c r="J105" i="77" s="1"/>
  <c r="K105" i="77" s="1"/>
  <c r="B153" i="77"/>
  <c r="B152" i="77"/>
  <c r="H122" i="77"/>
  <c r="H161" i="77" s="1"/>
  <c r="B159" i="77"/>
  <c r="B161" i="77"/>
  <c r="I70" i="77"/>
  <c r="J70" i="77" s="1"/>
  <c r="K70" i="77" s="1"/>
  <c r="I63" i="77"/>
  <c r="J63" i="77" s="1"/>
  <c r="K63" i="77" s="1"/>
  <c r="I13" i="77"/>
  <c r="J13" i="77" s="1"/>
  <c r="K13" i="77" s="1"/>
  <c r="I25" i="77"/>
  <c r="J25" i="77" s="1"/>
  <c r="K25" i="77" s="1"/>
  <c r="I59" i="77"/>
  <c r="J59" i="77" s="1"/>
  <c r="K59" i="77" s="1"/>
  <c r="B158" i="77"/>
  <c r="I43" i="77"/>
  <c r="J43" i="77" s="1"/>
  <c r="K43" i="77" s="1"/>
  <c r="I49" i="77"/>
  <c r="J49" i="77" s="1"/>
  <c r="K49" i="77" s="1"/>
  <c r="I54" i="77"/>
  <c r="J54" i="77" s="1"/>
  <c r="K54" i="77" s="1"/>
  <c r="I65" i="77"/>
  <c r="J65" i="77" s="1"/>
  <c r="K65" i="77" s="1"/>
  <c r="I71" i="77"/>
  <c r="J71" i="77" s="1"/>
  <c r="K71" i="77" s="1"/>
  <c r="I82" i="77"/>
  <c r="J82" i="77" s="1"/>
  <c r="K82" i="77" s="1"/>
  <c r="I94" i="77"/>
  <c r="J94" i="77" s="1"/>
  <c r="K94" i="77" s="1"/>
  <c r="I106" i="77"/>
  <c r="J106" i="77" s="1"/>
  <c r="K106" i="77" s="1"/>
  <c r="I118" i="77"/>
  <c r="J118" i="77" s="1"/>
  <c r="K118" i="77" s="1"/>
  <c r="K18" i="11"/>
  <c r="P20" i="17"/>
  <c r="G131" i="77"/>
  <c r="H131" i="77" s="1"/>
  <c r="G131" i="72"/>
  <c r="H131" i="72" s="1"/>
  <c r="H157" i="77"/>
  <c r="H153" i="77"/>
  <c r="I15" i="77"/>
  <c r="J15" i="77" s="1"/>
  <c r="K15" i="77" s="1"/>
  <c r="I99" i="77"/>
  <c r="J99" i="77" s="1"/>
  <c r="K99" i="77" s="1"/>
  <c r="H160" i="77"/>
  <c r="I27" i="77"/>
  <c r="J27" i="77" s="1"/>
  <c r="K27" i="77" s="1"/>
  <c r="H154" i="77"/>
  <c r="H152" i="77"/>
  <c r="H159" i="77"/>
  <c r="I87" i="77"/>
  <c r="J87" i="77" s="1"/>
  <c r="K87" i="77" s="1"/>
  <c r="I111" i="77"/>
  <c r="J111" i="77" s="1"/>
  <c r="K111" i="77" s="1"/>
  <c r="I10" i="77"/>
  <c r="J10" i="77" s="1"/>
  <c r="K10" i="77" s="1"/>
  <c r="I8" i="77"/>
  <c r="J8" i="77" s="1"/>
  <c r="K8" i="77" s="1"/>
  <c r="I14" i="77"/>
  <c r="J14" i="77" s="1"/>
  <c r="K14" i="77" s="1"/>
  <c r="I20" i="77"/>
  <c r="J20" i="77" s="1"/>
  <c r="K20" i="77" s="1"/>
  <c r="I26" i="77"/>
  <c r="J26" i="77" s="1"/>
  <c r="K26" i="77" s="1"/>
  <c r="I32" i="77"/>
  <c r="J32" i="77" s="1"/>
  <c r="K32" i="77" s="1"/>
  <c r="I42" i="77"/>
  <c r="J42" i="77" s="1"/>
  <c r="K42" i="77" s="1"/>
  <c r="I66" i="77"/>
  <c r="J66" i="77" s="1"/>
  <c r="K66" i="77" s="1"/>
  <c r="I28" i="77"/>
  <c r="J28" i="77" s="1"/>
  <c r="K28" i="77" s="1"/>
  <c r="I38" i="77"/>
  <c r="J38" i="77" s="1"/>
  <c r="K38" i="77" s="1"/>
  <c r="I62" i="77"/>
  <c r="J62" i="77" s="1"/>
  <c r="K62" i="77" s="1"/>
  <c r="H155" i="77"/>
  <c r="I88" i="77"/>
  <c r="J88" i="77" s="1"/>
  <c r="K88" i="77" s="1"/>
  <c r="I92" i="77"/>
  <c r="J92" i="77" s="1"/>
  <c r="K92" i="77" s="1"/>
  <c r="I96" i="77"/>
  <c r="J96" i="77" s="1"/>
  <c r="K96" i="77" s="1"/>
  <c r="I100" i="77"/>
  <c r="J100" i="77" s="1"/>
  <c r="K100" i="77" s="1"/>
  <c r="I104" i="77"/>
  <c r="J104" i="77" s="1"/>
  <c r="K104" i="77" s="1"/>
  <c r="I108" i="77"/>
  <c r="J108" i="77" s="1"/>
  <c r="K108" i="77" s="1"/>
  <c r="I112" i="77"/>
  <c r="J112" i="77" s="1"/>
  <c r="K112" i="77" s="1"/>
  <c r="I116" i="77"/>
  <c r="J116" i="77" s="1"/>
  <c r="K116" i="77" s="1"/>
  <c r="I120" i="77"/>
  <c r="J120" i="77" s="1"/>
  <c r="K120" i="77" s="1"/>
  <c r="I4" i="77"/>
  <c r="J4" i="77" s="1"/>
  <c r="K4" i="77" s="1"/>
  <c r="I34" i="77"/>
  <c r="J34" i="77" s="1"/>
  <c r="K34" i="77" s="1"/>
  <c r="I72" i="77"/>
  <c r="J72" i="77" s="1"/>
  <c r="K72" i="77" s="1"/>
  <c r="I36" i="77"/>
  <c r="J36" i="77" s="1"/>
  <c r="K36" i="77" s="1"/>
  <c r="H158" i="77"/>
  <c r="I6" i="77"/>
  <c r="J6" i="77" s="1"/>
  <c r="K6" i="77" s="1"/>
  <c r="I12" i="77"/>
  <c r="J12" i="77" s="1"/>
  <c r="K12" i="77" s="1"/>
  <c r="I18" i="77"/>
  <c r="J18" i="77" s="1"/>
  <c r="K18" i="77" s="1"/>
  <c r="I24" i="77"/>
  <c r="J24" i="77" s="1"/>
  <c r="K24" i="77" s="1"/>
  <c r="I30" i="77"/>
  <c r="J30" i="77" s="1"/>
  <c r="K30" i="77" s="1"/>
  <c r="I50" i="77"/>
  <c r="J50" i="77" s="1"/>
  <c r="K50" i="77" s="1"/>
  <c r="I74" i="77"/>
  <c r="J74" i="77" s="1"/>
  <c r="K74" i="77" s="1"/>
  <c r="H156" i="77"/>
  <c r="I22" i="77"/>
  <c r="J22" i="77" s="1"/>
  <c r="K22" i="77" s="1"/>
  <c r="I58" i="77"/>
  <c r="J58" i="77" s="1"/>
  <c r="K58" i="77" s="1"/>
  <c r="I48" i="77"/>
  <c r="J48" i="77" s="1"/>
  <c r="K48" i="77" s="1"/>
  <c r="B154" i="77"/>
  <c r="I60" i="77"/>
  <c r="J60" i="77" s="1"/>
  <c r="K60" i="77" s="1"/>
  <c r="B156" i="77"/>
  <c r="I64" i="77"/>
  <c r="J64" i="77" s="1"/>
  <c r="K64" i="77" s="1"/>
  <c r="I16" i="77"/>
  <c r="J16" i="77" s="1"/>
  <c r="K16" i="77" s="1"/>
  <c r="B160" i="77"/>
  <c r="I51" i="77"/>
  <c r="J51" i="77" s="1"/>
  <c r="K51" i="77" s="1"/>
  <c r="B155" i="77"/>
  <c r="I52" i="77"/>
  <c r="J52" i="77" s="1"/>
  <c r="K52" i="77" s="1"/>
  <c r="B157" i="77"/>
  <c r="I76" i="77"/>
  <c r="J76" i="77" s="1"/>
  <c r="K76" i="77" s="1"/>
  <c r="I122" i="77" l="1"/>
  <c r="J122" i="77" s="1"/>
  <c r="K122" i="77" s="1"/>
  <c r="B165" i="77"/>
  <c r="P21" i="17"/>
  <c r="G132" i="77"/>
  <c r="H132" i="77" s="1"/>
  <c r="G132" i="72"/>
  <c r="H132" i="72" s="1"/>
  <c r="K123" i="77"/>
  <c r="H165" i="77"/>
  <c r="I165" i="77" s="1"/>
  <c r="P22" i="17" l="1"/>
  <c r="P23" i="17" s="1"/>
  <c r="G133" i="77"/>
  <c r="H133" i="77" s="1"/>
  <c r="G133" i="72"/>
  <c r="H133" i="72" s="1"/>
  <c r="G4" i="72"/>
  <c r="H4" i="72" s="1"/>
  <c r="G5" i="72"/>
  <c r="H5" i="72" s="1"/>
  <c r="G6" i="72"/>
  <c r="H6" i="72" s="1"/>
  <c r="G7" i="72"/>
  <c r="H7" i="72" s="1"/>
  <c r="G8" i="72"/>
  <c r="H8" i="72" s="1"/>
  <c r="G9" i="72"/>
  <c r="H9" i="72" s="1"/>
  <c r="G10" i="72"/>
  <c r="H10" i="72" s="1"/>
  <c r="G11" i="72"/>
  <c r="H11" i="72" s="1"/>
  <c r="G12" i="72"/>
  <c r="H12" i="72" s="1"/>
  <c r="G13" i="72"/>
  <c r="H13" i="72" s="1"/>
  <c r="G14" i="72"/>
  <c r="H14" i="72" s="1"/>
  <c r="G15" i="72"/>
  <c r="H15" i="72" s="1"/>
  <c r="G16" i="72"/>
  <c r="H16" i="72" s="1"/>
  <c r="G17" i="72"/>
  <c r="H17" i="72" s="1"/>
  <c r="G18" i="72"/>
  <c r="H18" i="72" s="1"/>
  <c r="G19" i="72"/>
  <c r="H19" i="72" s="1"/>
  <c r="G20" i="72"/>
  <c r="H20" i="72" s="1"/>
  <c r="G21" i="72"/>
  <c r="H21" i="72" s="1"/>
  <c r="G22" i="72"/>
  <c r="H22" i="72" s="1"/>
  <c r="G23" i="72"/>
  <c r="H23" i="72" s="1"/>
  <c r="G24" i="72"/>
  <c r="H24" i="72" s="1"/>
  <c r="G25" i="72"/>
  <c r="H25" i="72" s="1"/>
  <c r="G26" i="72"/>
  <c r="H26" i="72" s="1"/>
  <c r="G27" i="72"/>
  <c r="H27" i="72" s="1"/>
  <c r="G28" i="72"/>
  <c r="H28" i="72" s="1"/>
  <c r="G29" i="72"/>
  <c r="H29" i="72" s="1"/>
  <c r="G30" i="72"/>
  <c r="H30" i="72" s="1"/>
  <c r="G31" i="72"/>
  <c r="H31" i="72" s="1"/>
  <c r="G32" i="72"/>
  <c r="H32" i="72" s="1"/>
  <c r="G33" i="72"/>
  <c r="H33" i="72" s="1"/>
  <c r="G34" i="72"/>
  <c r="H34" i="72" s="1"/>
  <c r="G35" i="72"/>
  <c r="H35" i="72" s="1"/>
  <c r="G36" i="72"/>
  <c r="H36" i="72" s="1"/>
  <c r="G37" i="72"/>
  <c r="H37" i="72" s="1"/>
  <c r="G38" i="72"/>
  <c r="H38" i="72" s="1"/>
  <c r="G39" i="72"/>
  <c r="H39" i="72" s="1"/>
  <c r="G40" i="72"/>
  <c r="H40" i="72" s="1"/>
  <c r="G41" i="72"/>
  <c r="H41" i="72" s="1"/>
  <c r="G42" i="72"/>
  <c r="H42" i="72" s="1"/>
  <c r="G43" i="72"/>
  <c r="H43" i="72" s="1"/>
  <c r="G44" i="72"/>
  <c r="H44" i="72" s="1"/>
  <c r="G45" i="72"/>
  <c r="H45" i="72" s="1"/>
  <c r="G46" i="72"/>
  <c r="H46" i="72" s="1"/>
  <c r="G47" i="72"/>
  <c r="H47" i="72" s="1"/>
  <c r="G48" i="72"/>
  <c r="H48" i="72" s="1"/>
  <c r="G49" i="72"/>
  <c r="H49" i="72" s="1"/>
  <c r="G50" i="72"/>
  <c r="H50" i="72" s="1"/>
  <c r="G51" i="72"/>
  <c r="H51" i="72" s="1"/>
  <c r="G52" i="72"/>
  <c r="H52" i="72" s="1"/>
  <c r="G53" i="72"/>
  <c r="H53" i="72" s="1"/>
  <c r="G54" i="72"/>
  <c r="H54" i="72" s="1"/>
  <c r="G55" i="72"/>
  <c r="H55" i="72" s="1"/>
  <c r="G56" i="72"/>
  <c r="H56" i="72" s="1"/>
  <c r="G57" i="72"/>
  <c r="H57" i="72" s="1"/>
  <c r="G58" i="72"/>
  <c r="H58" i="72" s="1"/>
  <c r="G59" i="72"/>
  <c r="H59" i="72" s="1"/>
  <c r="G60" i="72"/>
  <c r="H60" i="72" s="1"/>
  <c r="G61" i="72"/>
  <c r="H61" i="72" s="1"/>
  <c r="G62" i="72"/>
  <c r="H62" i="72" s="1"/>
  <c r="G63" i="72"/>
  <c r="H63" i="72" s="1"/>
  <c r="G64" i="72"/>
  <c r="H64" i="72" s="1"/>
  <c r="G65" i="72"/>
  <c r="H65" i="72" s="1"/>
  <c r="G66" i="72"/>
  <c r="H66" i="72" s="1"/>
  <c r="G67" i="72"/>
  <c r="H67" i="72" s="1"/>
  <c r="G68" i="72"/>
  <c r="H68" i="72" s="1"/>
  <c r="G69" i="72"/>
  <c r="H69" i="72" s="1"/>
  <c r="G70" i="72"/>
  <c r="H70" i="72" s="1"/>
  <c r="G71" i="72"/>
  <c r="H71" i="72" s="1"/>
  <c r="G72" i="72"/>
  <c r="H72" i="72" s="1"/>
  <c r="G73" i="72"/>
  <c r="H73" i="72" s="1"/>
  <c r="G74" i="72"/>
  <c r="H74" i="72" s="1"/>
  <c r="G75" i="72"/>
  <c r="H75" i="72" s="1"/>
  <c r="G76" i="72"/>
  <c r="H76" i="72" s="1"/>
  <c r="G77" i="72"/>
  <c r="H77" i="72" s="1"/>
  <c r="G78" i="72"/>
  <c r="H78" i="72" s="1"/>
  <c r="G79" i="72"/>
  <c r="H79" i="72" s="1"/>
  <c r="G80" i="72"/>
  <c r="H80" i="72" s="1"/>
  <c r="G81" i="72"/>
  <c r="H81" i="72" s="1"/>
  <c r="G82" i="72"/>
  <c r="H82" i="72" s="1"/>
  <c r="G83" i="72"/>
  <c r="H83" i="72" s="1"/>
  <c r="G84" i="72"/>
  <c r="H84" i="72" s="1"/>
  <c r="G85" i="72"/>
  <c r="H85" i="72" s="1"/>
  <c r="G86" i="72"/>
  <c r="H86" i="72" s="1"/>
  <c r="G87" i="72"/>
  <c r="H87" i="72" s="1"/>
  <c r="G88" i="72"/>
  <c r="H88" i="72" s="1"/>
  <c r="G89" i="72"/>
  <c r="H89" i="72" s="1"/>
  <c r="G90" i="72"/>
  <c r="H90" i="72" s="1"/>
  <c r="G91" i="72"/>
  <c r="H91" i="72" s="1"/>
  <c r="G92" i="72"/>
  <c r="H92" i="72" s="1"/>
  <c r="G93" i="72"/>
  <c r="H93" i="72" s="1"/>
  <c r="G94" i="72"/>
  <c r="H94" i="72" s="1"/>
  <c r="G95" i="72"/>
  <c r="H95" i="72" s="1"/>
  <c r="G96" i="72"/>
  <c r="H96" i="72" s="1"/>
  <c r="G97" i="72"/>
  <c r="H97" i="72" s="1"/>
  <c r="G98" i="72"/>
  <c r="H98" i="72" s="1"/>
  <c r="G99" i="72"/>
  <c r="H99" i="72" s="1"/>
  <c r="G100" i="72"/>
  <c r="H100" i="72" s="1"/>
  <c r="G101" i="72"/>
  <c r="H101" i="72" s="1"/>
  <c r="G102" i="72"/>
  <c r="H102" i="72" s="1"/>
  <c r="G103" i="72"/>
  <c r="H103" i="72" s="1"/>
  <c r="G104" i="72"/>
  <c r="H104" i="72" s="1"/>
  <c r="G105" i="72"/>
  <c r="H105" i="72" s="1"/>
  <c r="G106" i="72"/>
  <c r="H106" i="72" s="1"/>
  <c r="G107" i="72"/>
  <c r="H107" i="72" s="1"/>
  <c r="G108" i="72"/>
  <c r="H108" i="72" s="1"/>
  <c r="G109" i="72"/>
  <c r="H109" i="72" s="1"/>
  <c r="G110" i="72"/>
  <c r="H110" i="72" s="1"/>
  <c r="G111" i="72"/>
  <c r="H111" i="72" s="1"/>
  <c r="G112" i="72"/>
  <c r="H112" i="72" s="1"/>
  <c r="G113" i="72"/>
  <c r="H113" i="72" s="1"/>
  <c r="G114" i="72"/>
  <c r="H114" i="72" s="1"/>
  <c r="G115" i="72"/>
  <c r="H115" i="72" s="1"/>
  <c r="G116" i="72"/>
  <c r="H116" i="72" s="1"/>
  <c r="G117" i="72"/>
  <c r="H117" i="72" s="1"/>
  <c r="G118" i="72"/>
  <c r="H118" i="72" s="1"/>
  <c r="G119" i="72"/>
  <c r="H119" i="72" s="1"/>
  <c r="G120" i="72"/>
  <c r="H120" i="72" s="1"/>
  <c r="G121" i="72"/>
  <c r="H121" i="72" s="1"/>
  <c r="G122" i="72"/>
  <c r="H122" i="72" s="1"/>
  <c r="H3" i="72"/>
  <c r="H158" i="72" l="1"/>
  <c r="G134" i="77"/>
  <c r="H134" i="77" s="1"/>
  <c r="B162" i="77" s="1"/>
  <c r="G134" i="72"/>
  <c r="H134" i="72" s="1"/>
  <c r="Q11" i="17"/>
  <c r="H162" i="77"/>
  <c r="D5" i="73"/>
  <c r="C5" i="73"/>
  <c r="Q12" i="17" l="1"/>
  <c r="G135" i="77"/>
  <c r="H135" i="77" s="1"/>
  <c r="G135" i="72"/>
  <c r="D145" i="73"/>
  <c r="H135" i="72" l="1"/>
  <c r="Q13" i="17"/>
  <c r="G136" i="77"/>
  <c r="H136" i="77" s="1"/>
  <c r="G136" i="72"/>
  <c r="L4" i="9"/>
  <c r="L5" i="9"/>
  <c r="L6" i="9"/>
  <c r="L7" i="9"/>
  <c r="L8" i="9"/>
  <c r="L9" i="9"/>
  <c r="L10" i="9"/>
  <c r="L11" i="9"/>
  <c r="L12" i="9"/>
  <c r="K33" i="11" s="1"/>
  <c r="L3" i="9"/>
  <c r="K4" i="9"/>
  <c r="K5" i="9"/>
  <c r="K6" i="9"/>
  <c r="K7" i="9"/>
  <c r="K8" i="9"/>
  <c r="K9" i="9"/>
  <c r="K10" i="9"/>
  <c r="K11" i="9"/>
  <c r="K12" i="9"/>
  <c r="K28" i="11" s="1"/>
  <c r="K3" i="9"/>
  <c r="H3" i="9"/>
  <c r="H11" i="9"/>
  <c r="I12" i="9"/>
  <c r="J12" i="9"/>
  <c r="K23" i="11" s="1"/>
  <c r="M12" i="9"/>
  <c r="K38" i="11" s="1"/>
  <c r="N12" i="9"/>
  <c r="K42" i="11" s="1"/>
  <c r="J4" i="9"/>
  <c r="J5" i="9"/>
  <c r="J6" i="9"/>
  <c r="J7" i="9"/>
  <c r="J8" i="9"/>
  <c r="J9" i="9"/>
  <c r="J10" i="9"/>
  <c r="J11" i="9"/>
  <c r="J3" i="9"/>
  <c r="H136" i="72" l="1"/>
  <c r="K19" i="11"/>
  <c r="I21" i="9"/>
  <c r="Q14" i="17"/>
  <c r="G137" i="77"/>
  <c r="H137" i="77" s="1"/>
  <c r="G137" i="72"/>
  <c r="G12" i="9"/>
  <c r="H137" i="72" l="1"/>
  <c r="K10" i="11"/>
  <c r="K51" i="11"/>
  <c r="Q15" i="17"/>
  <c r="G138" i="77"/>
  <c r="H138" i="77" s="1"/>
  <c r="G138" i="72"/>
  <c r="R145" i="73"/>
  <c r="S145" i="73"/>
  <c r="T145" i="73"/>
  <c r="U145" i="73"/>
  <c r="V145" i="73"/>
  <c r="W145" i="73"/>
  <c r="Q145" i="73"/>
  <c r="P145" i="73"/>
  <c r="N145" i="73"/>
  <c r="M145" i="73"/>
  <c r="K145" i="73"/>
  <c r="J145" i="73"/>
  <c r="H145" i="73"/>
  <c r="F145" i="73"/>
  <c r="L4" i="11"/>
  <c r="B111" i="72"/>
  <c r="B112" i="72"/>
  <c r="B113" i="72"/>
  <c r="B114" i="72"/>
  <c r="B115" i="72"/>
  <c r="B116" i="72"/>
  <c r="B117" i="72"/>
  <c r="B118" i="72"/>
  <c r="B119" i="72"/>
  <c r="B120" i="72"/>
  <c r="B121" i="72"/>
  <c r="B122" i="72"/>
  <c r="G8" i="73"/>
  <c r="D14" i="73"/>
  <c r="D20" i="17" s="1"/>
  <c r="D13" i="73"/>
  <c r="D12" i="73"/>
  <c r="D11" i="73"/>
  <c r="D10" i="73"/>
  <c r="D9" i="73"/>
  <c r="D8" i="73"/>
  <c r="D7" i="73"/>
  <c r="D6" i="73"/>
  <c r="C14" i="73"/>
  <c r="H14" i="73"/>
  <c r="H20" i="17" s="1"/>
  <c r="K41" i="11" s="1"/>
  <c r="H13" i="73"/>
  <c r="H12" i="73"/>
  <c r="H11" i="73"/>
  <c r="H10" i="73"/>
  <c r="H9" i="73"/>
  <c r="H8" i="73"/>
  <c r="H7" i="73"/>
  <c r="H5" i="73"/>
  <c r="G14" i="73"/>
  <c r="G20" i="17" s="1"/>
  <c r="K37" i="11" s="1"/>
  <c r="G13" i="73"/>
  <c r="G12" i="73"/>
  <c r="G11" i="73"/>
  <c r="G10" i="73"/>
  <c r="G9" i="73"/>
  <c r="G7" i="73"/>
  <c r="G6" i="73"/>
  <c r="G5" i="73"/>
  <c r="F14" i="73"/>
  <c r="F20" i="17" s="1"/>
  <c r="K32" i="11" s="1"/>
  <c r="F13" i="73"/>
  <c r="F12" i="73"/>
  <c r="F11" i="73"/>
  <c r="F10" i="73"/>
  <c r="F9" i="73"/>
  <c r="F8" i="73"/>
  <c r="F7" i="73"/>
  <c r="F6" i="73"/>
  <c r="F5" i="73"/>
  <c r="E14" i="73"/>
  <c r="E20" i="17" s="1"/>
  <c r="E13" i="73"/>
  <c r="E12" i="73"/>
  <c r="E11" i="73"/>
  <c r="E10" i="73"/>
  <c r="E9" i="73"/>
  <c r="E8" i="73"/>
  <c r="E7" i="73"/>
  <c r="E6" i="73"/>
  <c r="E5" i="73"/>
  <c r="C11" i="73"/>
  <c r="C13" i="73"/>
  <c r="C12" i="73"/>
  <c r="C10" i="73"/>
  <c r="C9" i="73"/>
  <c r="C8" i="73"/>
  <c r="C7" i="73"/>
  <c r="C6" i="73"/>
  <c r="B20" i="17"/>
  <c r="B13" i="73"/>
  <c r="B12" i="73"/>
  <c r="B11" i="73"/>
  <c r="B10" i="73"/>
  <c r="B9" i="73"/>
  <c r="B8" i="73"/>
  <c r="B7" i="73"/>
  <c r="B6" i="73"/>
  <c r="I120" i="72" l="1"/>
  <c r="I122" i="72"/>
  <c r="I119" i="72"/>
  <c r="I121" i="72"/>
  <c r="I118" i="72"/>
  <c r="I117" i="72"/>
  <c r="I116" i="72"/>
  <c r="I112" i="72"/>
  <c r="I115" i="72"/>
  <c r="I114" i="72"/>
  <c r="I113" i="72"/>
  <c r="I111" i="72"/>
  <c r="H21" i="9"/>
  <c r="H22" i="9" s="1"/>
  <c r="H138" i="72"/>
  <c r="K22" i="11"/>
  <c r="J21" i="9"/>
  <c r="Q16" i="17"/>
  <c r="G139" i="77"/>
  <c r="H139" i="77" s="1"/>
  <c r="G139" i="72"/>
  <c r="K14" i="11"/>
  <c r="K27" i="11"/>
  <c r="L21" i="9"/>
  <c r="B161" i="72"/>
  <c r="B12" i="9" s="1"/>
  <c r="F12" i="9" s="1"/>
  <c r="A27" i="9"/>
  <c r="A31" i="9" s="1"/>
  <c r="L111" i="72" l="1"/>
  <c r="J111" i="72"/>
  <c r="K111" i="72" s="1"/>
  <c r="J113" i="72"/>
  <c r="K113" i="72" s="1"/>
  <c r="M113" i="72"/>
  <c r="N113" i="72" s="1"/>
  <c r="L113" i="72"/>
  <c r="L119" i="72"/>
  <c r="M119" i="72"/>
  <c r="N119" i="72" s="1"/>
  <c r="J119" i="72"/>
  <c r="K119" i="72" s="1"/>
  <c r="J117" i="72"/>
  <c r="K117" i="72" s="1"/>
  <c r="M117" i="72"/>
  <c r="N117" i="72" s="1"/>
  <c r="L117" i="72"/>
  <c r="J118" i="72"/>
  <c r="K118" i="72" s="1"/>
  <c r="L118" i="72"/>
  <c r="M118" i="72"/>
  <c r="N118" i="72" s="1"/>
  <c r="J112" i="72"/>
  <c r="K112" i="72" s="1"/>
  <c r="L112" i="72"/>
  <c r="M112" i="72"/>
  <c r="N112" i="72" s="1"/>
  <c r="L121" i="72"/>
  <c r="M121" i="72"/>
  <c r="N121" i="72" s="1"/>
  <c r="J121" i="72"/>
  <c r="K121" i="72" s="1"/>
  <c r="M122" i="72"/>
  <c r="N122" i="72" s="1"/>
  <c r="J122" i="72"/>
  <c r="K122" i="72" s="1"/>
  <c r="L122" i="72"/>
  <c r="M114" i="72"/>
  <c r="N114" i="72" s="1"/>
  <c r="J114" i="72"/>
  <c r="K114" i="72" s="1"/>
  <c r="L114" i="72"/>
  <c r="J115" i="72"/>
  <c r="K115" i="72" s="1"/>
  <c r="L115" i="72"/>
  <c r="M115" i="72"/>
  <c r="N115" i="72" s="1"/>
  <c r="L116" i="72"/>
  <c r="M116" i="72"/>
  <c r="N116" i="72" s="1"/>
  <c r="J116" i="72"/>
  <c r="K116" i="72" s="1"/>
  <c r="L120" i="72"/>
  <c r="M120" i="72"/>
  <c r="N120" i="72" s="1"/>
  <c r="J120" i="72"/>
  <c r="K120" i="72" s="1"/>
  <c r="H139" i="72"/>
  <c r="Q17" i="17"/>
  <c r="G140" i="77"/>
  <c r="H140" i="77" s="1"/>
  <c r="G140" i="72"/>
  <c r="B12" i="17"/>
  <c r="I12" i="17" s="1"/>
  <c r="C12" i="17"/>
  <c r="D12" i="17"/>
  <c r="E12" i="17"/>
  <c r="F12" i="17"/>
  <c r="G12" i="17"/>
  <c r="H12" i="17"/>
  <c r="C41" i="11" s="1"/>
  <c r="B13" i="17"/>
  <c r="C13" i="17"/>
  <c r="D13" i="17"/>
  <c r="E13" i="17"/>
  <c r="F13" i="17"/>
  <c r="G13" i="17"/>
  <c r="H13" i="17"/>
  <c r="D41" i="11" s="1"/>
  <c r="B14" i="17"/>
  <c r="C14" i="17"/>
  <c r="D14" i="17"/>
  <c r="E14" i="17"/>
  <c r="F14" i="17"/>
  <c r="G14" i="17"/>
  <c r="H14" i="17"/>
  <c r="E41" i="11" s="1"/>
  <c r="B15" i="17"/>
  <c r="C15" i="17"/>
  <c r="D15" i="17"/>
  <c r="E15" i="17"/>
  <c r="F15" i="17"/>
  <c r="G15" i="17"/>
  <c r="H15" i="17"/>
  <c r="F41" i="11" s="1"/>
  <c r="B16" i="17"/>
  <c r="C16" i="17"/>
  <c r="D16" i="17"/>
  <c r="E16" i="17"/>
  <c r="F16" i="17"/>
  <c r="G16" i="17"/>
  <c r="H16" i="17"/>
  <c r="G41" i="11" s="1"/>
  <c r="B17" i="17"/>
  <c r="C17" i="17"/>
  <c r="D17" i="17"/>
  <c r="E17" i="17"/>
  <c r="F17" i="17"/>
  <c r="G17" i="17"/>
  <c r="H17" i="17"/>
  <c r="H41" i="11" s="1"/>
  <c r="B18" i="17"/>
  <c r="C18" i="17"/>
  <c r="D18" i="17"/>
  <c r="E18" i="17"/>
  <c r="F18" i="17"/>
  <c r="G18" i="17"/>
  <c r="H18" i="17"/>
  <c r="I41" i="11" s="1"/>
  <c r="B19" i="17"/>
  <c r="C19" i="17"/>
  <c r="D19" i="17"/>
  <c r="E19" i="17"/>
  <c r="F19" i="17"/>
  <c r="G19" i="17"/>
  <c r="H19" i="17"/>
  <c r="J41" i="11" s="1"/>
  <c r="C11" i="17"/>
  <c r="D11" i="17"/>
  <c r="E11" i="17"/>
  <c r="F11" i="17"/>
  <c r="G11" i="17"/>
  <c r="H11" i="17"/>
  <c r="B11" i="17"/>
  <c r="C2" i="17"/>
  <c r="D2" i="17"/>
  <c r="E2" i="17"/>
  <c r="F2" i="17"/>
  <c r="G2" i="17"/>
  <c r="H2" i="17"/>
  <c r="B2" i="17"/>
  <c r="I2" i="9"/>
  <c r="J2" i="9"/>
  <c r="K2" i="9"/>
  <c r="L2" i="9"/>
  <c r="M2" i="9"/>
  <c r="N2" i="9"/>
  <c r="H2" i="9"/>
  <c r="G26" i="17" l="1"/>
  <c r="H140" i="72"/>
  <c r="B31" i="17"/>
  <c r="E32" i="17"/>
  <c r="G30" i="17"/>
  <c r="B29" i="17"/>
  <c r="D27" i="17"/>
  <c r="G141" i="77"/>
  <c r="H141" i="77" s="1"/>
  <c r="G141" i="72"/>
  <c r="Q18" i="17"/>
  <c r="G32" i="17"/>
  <c r="F27" i="17"/>
  <c r="F32" i="17"/>
  <c r="C29" i="17"/>
  <c r="D32" i="17"/>
  <c r="C27" i="17"/>
  <c r="F30" i="17"/>
  <c r="C32" i="17"/>
  <c r="E30" i="17"/>
  <c r="G28" i="17"/>
  <c r="B27" i="17"/>
  <c r="D29" i="17"/>
  <c r="E27" i="17"/>
  <c r="B32" i="17"/>
  <c r="F28" i="17"/>
  <c r="F26" i="17"/>
  <c r="B30" i="17"/>
  <c r="D33" i="17"/>
  <c r="D34" i="17"/>
  <c r="C28" i="17"/>
  <c r="E26" i="17"/>
  <c r="E28" i="17"/>
  <c r="E33" i="17"/>
  <c r="E34" i="17"/>
  <c r="D28" i="17"/>
  <c r="F31" i="17"/>
  <c r="E31" i="17"/>
  <c r="G29" i="17"/>
  <c r="B28" i="17"/>
  <c r="D26" i="17"/>
  <c r="G33" i="17"/>
  <c r="G34" i="17"/>
  <c r="F33" i="17"/>
  <c r="F34" i="17"/>
  <c r="C30" i="17"/>
  <c r="G31" i="17"/>
  <c r="B33" i="17"/>
  <c r="B34" i="17"/>
  <c r="D31" i="17"/>
  <c r="F29" i="17"/>
  <c r="C26" i="17"/>
  <c r="D30" i="17"/>
  <c r="K11" i="17"/>
  <c r="C33" i="17"/>
  <c r="C34" i="17"/>
  <c r="C31" i="17"/>
  <c r="E29" i="17"/>
  <c r="G27" i="17"/>
  <c r="B26" i="17"/>
  <c r="E1" i="18"/>
  <c r="A40" i="11"/>
  <c r="G41" i="17" l="1"/>
  <c r="H141" i="72"/>
  <c r="B21" i="17"/>
  <c r="Q19" i="17"/>
  <c r="G142" i="77"/>
  <c r="H142" i="77" s="1"/>
  <c r="G142" i="72"/>
  <c r="H27" i="9" l="1"/>
  <c r="B22" i="17"/>
  <c r="H142" i="72"/>
  <c r="Q20" i="17"/>
  <c r="G143" i="77"/>
  <c r="H143" i="77" s="1"/>
  <c r="G143" i="72"/>
  <c r="H143" i="72" l="1"/>
  <c r="G144" i="77"/>
  <c r="H144" i="77" s="1"/>
  <c r="G144" i="72"/>
  <c r="Q21" i="17"/>
  <c r="H144" i="72" l="1"/>
  <c r="G145" i="77"/>
  <c r="H145" i="77" s="1"/>
  <c r="G145" i="72"/>
  <c r="Q22" i="17"/>
  <c r="H145" i="72" l="1"/>
  <c r="G146" i="77"/>
  <c r="H146" i="77" s="1"/>
  <c r="G146" i="72"/>
  <c r="Q23" i="17"/>
  <c r="H146" i="72" l="1"/>
  <c r="H150" i="72" s="1"/>
  <c r="H150" i="77"/>
  <c r="H163" i="77"/>
  <c r="B163" i="77"/>
  <c r="H167" i="77" l="1"/>
  <c r="I167" i="77" s="1"/>
  <c r="A13" i="18" l="1"/>
  <c r="A12" i="18"/>
  <c r="A11" i="18"/>
  <c r="A10" i="18"/>
  <c r="A9" i="18"/>
  <c r="A8" i="18"/>
  <c r="A7" i="18"/>
  <c r="A6" i="18"/>
  <c r="A5" i="18"/>
  <c r="A4" i="18"/>
  <c r="A3" i="18"/>
  <c r="A2" i="18"/>
  <c r="B2" i="18" s="1"/>
  <c r="A33" i="17"/>
  <c r="A32" i="17"/>
  <c r="A31" i="17"/>
  <c r="A30" i="17"/>
  <c r="A29" i="17"/>
  <c r="A28" i="17"/>
  <c r="A27" i="17"/>
  <c r="H26" i="17"/>
  <c r="A26" i="17"/>
  <c r="E27" i="11"/>
  <c r="D18" i="11"/>
  <c r="C14" i="11"/>
  <c r="B14" i="11"/>
  <c r="F10" i="17"/>
  <c r="D10" i="17"/>
  <c r="C10" i="17"/>
  <c r="B10" i="17"/>
  <c r="F9" i="17"/>
  <c r="E9" i="17"/>
  <c r="D9" i="17"/>
  <c r="C9" i="17"/>
  <c r="B9" i="17"/>
  <c r="F8" i="17"/>
  <c r="E8" i="17"/>
  <c r="D8" i="17"/>
  <c r="C8" i="17"/>
  <c r="B8" i="17"/>
  <c r="F7" i="17"/>
  <c r="E7" i="17"/>
  <c r="D7" i="17"/>
  <c r="C7" i="17"/>
  <c r="B7" i="17"/>
  <c r="E6" i="17"/>
  <c r="D6" i="17"/>
  <c r="C6" i="17"/>
  <c r="B6" i="17"/>
  <c r="F5" i="17"/>
  <c r="E5" i="17"/>
  <c r="D5" i="17"/>
  <c r="C5" i="17"/>
  <c r="B5" i="17"/>
  <c r="D1" i="18"/>
  <c r="C1" i="18"/>
  <c r="B1" i="18"/>
  <c r="N11" i="9"/>
  <c r="N21" i="9" s="1"/>
  <c r="M11" i="9"/>
  <c r="I11" i="9"/>
  <c r="N10" i="9"/>
  <c r="M10" i="9"/>
  <c r="I38" i="11" s="1"/>
  <c r="I33" i="11"/>
  <c r="I28" i="11"/>
  <c r="I10" i="9"/>
  <c r="I19" i="11" s="1"/>
  <c r="H10" i="9"/>
  <c r="I15" i="11" s="1"/>
  <c r="N9" i="9"/>
  <c r="H42" i="11" s="1"/>
  <c r="M9" i="9"/>
  <c r="H38" i="11" s="1"/>
  <c r="H33" i="11"/>
  <c r="H28" i="11"/>
  <c r="I9" i="9"/>
  <c r="H19" i="11" s="1"/>
  <c r="H9" i="9"/>
  <c r="H15" i="11" s="1"/>
  <c r="N8" i="9"/>
  <c r="G23" i="11" s="1"/>
  <c r="M8" i="9"/>
  <c r="G38" i="11" s="1"/>
  <c r="G33" i="11"/>
  <c r="G28" i="11"/>
  <c r="I8" i="9"/>
  <c r="G19" i="11" s="1"/>
  <c r="H8" i="9"/>
  <c r="G15" i="11" s="1"/>
  <c r="N7" i="9"/>
  <c r="F23" i="11" s="1"/>
  <c r="M7" i="9"/>
  <c r="F38" i="11" s="1"/>
  <c r="F33" i="11"/>
  <c r="F28" i="11"/>
  <c r="I7" i="9"/>
  <c r="F19" i="11" s="1"/>
  <c r="H7" i="9"/>
  <c r="F15" i="11" s="1"/>
  <c r="N6" i="9"/>
  <c r="M6" i="9"/>
  <c r="E38" i="11" s="1"/>
  <c r="E33" i="11"/>
  <c r="E28" i="11"/>
  <c r="I6" i="9"/>
  <c r="E19" i="11" s="1"/>
  <c r="H6" i="9"/>
  <c r="N5" i="9"/>
  <c r="D42" i="11" s="1"/>
  <c r="M5" i="9"/>
  <c r="D38" i="11" s="1"/>
  <c r="D33" i="11"/>
  <c r="D28" i="11"/>
  <c r="I5" i="9"/>
  <c r="D19" i="11" s="1"/>
  <c r="H5" i="9"/>
  <c r="D15" i="11" s="1"/>
  <c r="N4" i="9"/>
  <c r="C23" i="11" s="1"/>
  <c r="M4" i="9"/>
  <c r="C38" i="11" s="1"/>
  <c r="C33" i="11"/>
  <c r="C28" i="11"/>
  <c r="I4" i="9"/>
  <c r="C19" i="11" s="1"/>
  <c r="H4" i="9"/>
  <c r="N3" i="9"/>
  <c r="B23" i="11" s="1"/>
  <c r="M3" i="9"/>
  <c r="B38" i="11" s="1"/>
  <c r="B33" i="11"/>
  <c r="B28" i="11"/>
  <c r="I3" i="9"/>
  <c r="B110" i="72"/>
  <c r="B109" i="72"/>
  <c r="B108" i="72"/>
  <c r="B107" i="72"/>
  <c r="B106" i="72"/>
  <c r="B105" i="72"/>
  <c r="B104" i="72"/>
  <c r="B103" i="72"/>
  <c r="B102" i="72"/>
  <c r="B101" i="72"/>
  <c r="B100" i="72"/>
  <c r="B99" i="72"/>
  <c r="B98" i="72"/>
  <c r="B97" i="72"/>
  <c r="B96" i="72"/>
  <c r="B95" i="72"/>
  <c r="B94" i="72"/>
  <c r="B93" i="72"/>
  <c r="B92" i="72"/>
  <c r="B91" i="72"/>
  <c r="B90" i="72"/>
  <c r="B89" i="72"/>
  <c r="B88" i="72"/>
  <c r="B87" i="72"/>
  <c r="B86" i="72"/>
  <c r="B85" i="72"/>
  <c r="B84" i="72"/>
  <c r="B83" i="72"/>
  <c r="B82" i="72"/>
  <c r="B81" i="72"/>
  <c r="B80" i="72"/>
  <c r="B79" i="72"/>
  <c r="B78" i="72"/>
  <c r="B77" i="72"/>
  <c r="B76" i="72"/>
  <c r="B75" i="72"/>
  <c r="B74" i="72"/>
  <c r="B73" i="72"/>
  <c r="B72" i="72"/>
  <c r="B71" i="72"/>
  <c r="B70" i="72"/>
  <c r="B69" i="72"/>
  <c r="B68" i="72"/>
  <c r="B67" i="72"/>
  <c r="B66" i="72"/>
  <c r="B65" i="72"/>
  <c r="B64" i="72"/>
  <c r="B63" i="72"/>
  <c r="B62" i="72"/>
  <c r="B61" i="72"/>
  <c r="B60" i="72"/>
  <c r="B59" i="72"/>
  <c r="B58" i="72"/>
  <c r="B57" i="72"/>
  <c r="B56" i="72"/>
  <c r="B55" i="72"/>
  <c r="B54" i="72"/>
  <c r="B53" i="72"/>
  <c r="B52" i="72"/>
  <c r="B51" i="72"/>
  <c r="B50" i="72"/>
  <c r="B49" i="72"/>
  <c r="B48" i="72"/>
  <c r="B47" i="72"/>
  <c r="B46" i="72"/>
  <c r="B45" i="72"/>
  <c r="B44" i="72"/>
  <c r="B43" i="72"/>
  <c r="B42" i="72"/>
  <c r="B41" i="72"/>
  <c r="B40" i="72"/>
  <c r="B39" i="72"/>
  <c r="B38" i="72"/>
  <c r="B37" i="72"/>
  <c r="B36" i="72"/>
  <c r="B35" i="72"/>
  <c r="B34" i="72"/>
  <c r="B33" i="72"/>
  <c r="B32" i="72"/>
  <c r="B31" i="72"/>
  <c r="B30" i="72"/>
  <c r="B29" i="72"/>
  <c r="B28" i="72"/>
  <c r="B27" i="72"/>
  <c r="B26" i="72"/>
  <c r="B25" i="72"/>
  <c r="B24" i="72"/>
  <c r="B23" i="72"/>
  <c r="B22" i="72"/>
  <c r="B21" i="72"/>
  <c r="B20" i="72"/>
  <c r="B19" i="72"/>
  <c r="B18" i="72"/>
  <c r="B17" i="72"/>
  <c r="B16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H61" i="11"/>
  <c r="H60" i="11"/>
  <c r="H59" i="11"/>
  <c r="H58" i="11"/>
  <c r="H57" i="11"/>
  <c r="N56" i="11"/>
  <c r="N60" i="11" s="1"/>
  <c r="M56" i="11"/>
  <c r="M60" i="11" s="1"/>
  <c r="I56" i="11"/>
  <c r="I60" i="11" s="1"/>
  <c r="H56" i="11"/>
  <c r="N55" i="11"/>
  <c r="N59" i="11" s="1"/>
  <c r="M55" i="11"/>
  <c r="M59" i="11" s="1"/>
  <c r="I55" i="11"/>
  <c r="I59" i="11" s="1"/>
  <c r="N54" i="11"/>
  <c r="N58" i="11" s="1"/>
  <c r="M54" i="11"/>
  <c r="M58" i="11" s="1"/>
  <c r="I54" i="11"/>
  <c r="I58" i="11" s="1"/>
  <c r="H37" i="11"/>
  <c r="E37" i="11"/>
  <c r="D37" i="11"/>
  <c r="C37" i="11"/>
  <c r="A36" i="11"/>
  <c r="G32" i="11"/>
  <c r="C32" i="11"/>
  <c r="A31" i="11"/>
  <c r="H27" i="11"/>
  <c r="G27" i="11"/>
  <c r="D27" i="11"/>
  <c r="C27" i="11"/>
  <c r="A26" i="11"/>
  <c r="J22" i="11"/>
  <c r="A21" i="11"/>
  <c r="J18" i="11"/>
  <c r="F18" i="11"/>
  <c r="C18" i="11"/>
  <c r="B18" i="11"/>
  <c r="A17" i="11"/>
  <c r="I14" i="11"/>
  <c r="H14" i="11"/>
  <c r="G14" i="11"/>
  <c r="F14" i="11"/>
  <c r="E14" i="11"/>
  <c r="A13" i="11"/>
  <c r="J21" i="73"/>
  <c r="H21" i="73"/>
  <c r="F21" i="73"/>
  <c r="I8" i="72" l="1"/>
  <c r="I9" i="72"/>
  <c r="I21" i="72"/>
  <c r="I33" i="72"/>
  <c r="I45" i="72"/>
  <c r="I57" i="72"/>
  <c r="I69" i="72"/>
  <c r="I81" i="72"/>
  <c r="I93" i="72"/>
  <c r="I105" i="72"/>
  <c r="I20" i="72"/>
  <c r="I82" i="72"/>
  <c r="I60" i="72"/>
  <c r="I44" i="72"/>
  <c r="I58" i="72"/>
  <c r="I95" i="72"/>
  <c r="I109" i="72"/>
  <c r="I92" i="72"/>
  <c r="I46" i="72"/>
  <c r="I71" i="72"/>
  <c r="I12" i="72"/>
  <c r="I96" i="72"/>
  <c r="I26" i="72"/>
  <c r="I74" i="72"/>
  <c r="I86" i="72"/>
  <c r="I98" i="72"/>
  <c r="I110" i="72"/>
  <c r="I68" i="72"/>
  <c r="I94" i="72"/>
  <c r="I11" i="72"/>
  <c r="I107" i="72"/>
  <c r="I84" i="72"/>
  <c r="I25" i="72"/>
  <c r="I97" i="72"/>
  <c r="I3" i="72"/>
  <c r="L3" i="72" s="1"/>
  <c r="I51" i="72"/>
  <c r="I63" i="72"/>
  <c r="I75" i="72"/>
  <c r="I87" i="72"/>
  <c r="I99" i="72"/>
  <c r="I104" i="72"/>
  <c r="I22" i="72"/>
  <c r="I47" i="72"/>
  <c r="I48" i="72"/>
  <c r="I108" i="72"/>
  <c r="I85" i="72"/>
  <c r="I14" i="72"/>
  <c r="I40" i="72"/>
  <c r="I52" i="72"/>
  <c r="I64" i="72"/>
  <c r="I76" i="72"/>
  <c r="I88" i="72"/>
  <c r="I100" i="72"/>
  <c r="I56" i="72"/>
  <c r="I10" i="72"/>
  <c r="I106" i="72"/>
  <c r="I59" i="72"/>
  <c r="I36" i="72"/>
  <c r="I13" i="72"/>
  <c r="I61" i="72"/>
  <c r="I38" i="72"/>
  <c r="I27" i="72"/>
  <c r="I28" i="72"/>
  <c r="I5" i="72"/>
  <c r="I17" i="72"/>
  <c r="I29" i="72"/>
  <c r="I41" i="72"/>
  <c r="I53" i="72"/>
  <c r="I65" i="72"/>
  <c r="I77" i="72"/>
  <c r="I89" i="72"/>
  <c r="I101" i="72"/>
  <c r="I32" i="72"/>
  <c r="I34" i="72"/>
  <c r="I23" i="72"/>
  <c r="I83" i="72"/>
  <c r="I24" i="72"/>
  <c r="I37" i="72"/>
  <c r="I49" i="72"/>
  <c r="I62" i="72"/>
  <c r="I39" i="72"/>
  <c r="I16" i="72"/>
  <c r="I6" i="72"/>
  <c r="I18" i="72"/>
  <c r="I30" i="72"/>
  <c r="I42" i="72"/>
  <c r="I54" i="72"/>
  <c r="I66" i="72"/>
  <c r="I78" i="72"/>
  <c r="I90" i="72"/>
  <c r="I102" i="72"/>
  <c r="I80" i="72"/>
  <c r="I70" i="72"/>
  <c r="I35" i="72"/>
  <c r="I72" i="72"/>
  <c r="I73" i="72"/>
  <c r="I50" i="72"/>
  <c r="I15" i="72"/>
  <c r="I4" i="72"/>
  <c r="I7" i="72"/>
  <c r="I19" i="72"/>
  <c r="I31" i="72"/>
  <c r="I43" i="72"/>
  <c r="I55" i="72"/>
  <c r="I67" i="72"/>
  <c r="I79" i="72"/>
  <c r="I91" i="72"/>
  <c r="I103" i="72"/>
  <c r="H153" i="72"/>
  <c r="I153" i="77" s="1"/>
  <c r="J153" i="77" s="1"/>
  <c r="B159" i="72"/>
  <c r="I4" i="11" s="1"/>
  <c r="B160" i="72"/>
  <c r="B11" i="9" s="1"/>
  <c r="B154" i="72"/>
  <c r="B5" i="9" s="1"/>
  <c r="B158" i="72"/>
  <c r="B9" i="9" s="1"/>
  <c r="B152" i="72"/>
  <c r="B3" i="9" s="1"/>
  <c r="G6" i="9"/>
  <c r="G11" i="9"/>
  <c r="B19" i="11"/>
  <c r="B10" i="11"/>
  <c r="A20" i="18"/>
  <c r="E6" i="18"/>
  <c r="B6" i="18"/>
  <c r="C6" i="18"/>
  <c r="D6" i="18"/>
  <c r="B8" i="18"/>
  <c r="E8" i="18"/>
  <c r="C8" i="18"/>
  <c r="D8" i="18"/>
  <c r="C7" i="18"/>
  <c r="B7" i="18"/>
  <c r="E7" i="18"/>
  <c r="E10" i="18"/>
  <c r="B10" i="18"/>
  <c r="D10" i="18"/>
  <c r="C10" i="18"/>
  <c r="C11" i="18"/>
  <c r="D11" i="18"/>
  <c r="E11" i="18"/>
  <c r="B11" i="18"/>
  <c r="C2" i="18"/>
  <c r="E2" i="18"/>
  <c r="D2" i="18"/>
  <c r="A23" i="18"/>
  <c r="B9" i="18"/>
  <c r="C9" i="18"/>
  <c r="D9" i="18"/>
  <c r="E9" i="18"/>
  <c r="A17" i="18"/>
  <c r="C3" i="18"/>
  <c r="D3" i="18"/>
  <c r="E3" i="18"/>
  <c r="B3" i="18"/>
  <c r="A18" i="18"/>
  <c r="D4" i="18"/>
  <c r="E4" i="18"/>
  <c r="B4" i="18"/>
  <c r="C4" i="18"/>
  <c r="E5" i="18"/>
  <c r="B5" i="18"/>
  <c r="C5" i="18"/>
  <c r="D5" i="18"/>
  <c r="J15" i="11"/>
  <c r="B157" i="72"/>
  <c r="G4" i="11" s="1"/>
  <c r="B156" i="72"/>
  <c r="F4" i="11" s="1"/>
  <c r="B155" i="72"/>
  <c r="E4" i="11" s="1"/>
  <c r="B153" i="72"/>
  <c r="B4" i="9" s="1"/>
  <c r="J19" i="11"/>
  <c r="J28" i="11"/>
  <c r="J33" i="11"/>
  <c r="J42" i="11"/>
  <c r="J38" i="11"/>
  <c r="F42" i="11"/>
  <c r="I42" i="11"/>
  <c r="A28" i="9"/>
  <c r="G42" i="11"/>
  <c r="E42" i="11"/>
  <c r="B42" i="11"/>
  <c r="C42" i="11"/>
  <c r="G4" i="9"/>
  <c r="C51" i="11" s="1"/>
  <c r="B15" i="11"/>
  <c r="G7" i="9"/>
  <c r="F51" i="11" s="1"/>
  <c r="G8" i="9"/>
  <c r="I23" i="11"/>
  <c r="G10" i="9"/>
  <c r="E23" i="11"/>
  <c r="C15" i="11"/>
  <c r="D23" i="11"/>
  <c r="D47" i="11" s="1"/>
  <c r="H23" i="11"/>
  <c r="D32" i="11"/>
  <c r="J14" i="11"/>
  <c r="E32" i="11"/>
  <c r="A16" i="18"/>
  <c r="A24" i="18"/>
  <c r="H32" i="11"/>
  <c r="F37" i="11"/>
  <c r="B37" i="11"/>
  <c r="B27" i="11"/>
  <c r="E18" i="11"/>
  <c r="G37" i="11"/>
  <c r="G43" i="11"/>
  <c r="J27" i="11"/>
  <c r="I18" i="11"/>
  <c r="B32" i="11"/>
  <c r="D14" i="11"/>
  <c r="F32" i="11"/>
  <c r="J32" i="11"/>
  <c r="H43" i="11"/>
  <c r="I27" i="11"/>
  <c r="F27" i="11"/>
  <c r="H18" i="11"/>
  <c r="J37" i="11"/>
  <c r="A22" i="18"/>
  <c r="A19" i="18"/>
  <c r="G18" i="11"/>
  <c r="I32" i="11"/>
  <c r="A21" i="18"/>
  <c r="I37" i="11"/>
  <c r="H160" i="72"/>
  <c r="H156" i="72"/>
  <c r="H155" i="72"/>
  <c r="I13" i="17"/>
  <c r="D50" i="11" s="1"/>
  <c r="H154" i="72"/>
  <c r="D22" i="11"/>
  <c r="H157" i="72"/>
  <c r="H159" i="72"/>
  <c r="H161" i="72"/>
  <c r="K5" i="11" s="1"/>
  <c r="H22" i="11"/>
  <c r="H152" i="72"/>
  <c r="I17" i="17"/>
  <c r="H50" i="11" s="1"/>
  <c r="B22" i="11"/>
  <c r="I11" i="17"/>
  <c r="B50" i="11" s="1"/>
  <c r="F22" i="11"/>
  <c r="G22" i="11"/>
  <c r="I16" i="17"/>
  <c r="G50" i="11" s="1"/>
  <c r="I14" i="17"/>
  <c r="E50" i="11" s="1"/>
  <c r="I18" i="17"/>
  <c r="I22" i="11"/>
  <c r="K14" i="17"/>
  <c r="K18" i="17"/>
  <c r="I15" i="17"/>
  <c r="F50" i="11" s="1"/>
  <c r="I19" i="17"/>
  <c r="J50" i="11" s="1"/>
  <c r="C22" i="11"/>
  <c r="C46" i="11" s="1"/>
  <c r="K15" i="17"/>
  <c r="K19" i="17"/>
  <c r="K33" i="17" s="1"/>
  <c r="C50" i="11"/>
  <c r="E22" i="11"/>
  <c r="K12" i="17"/>
  <c r="K26" i="17" s="1"/>
  <c r="K16" i="17"/>
  <c r="K13" i="17"/>
  <c r="K17" i="17"/>
  <c r="M18" i="72" l="1"/>
  <c r="N18" i="72" s="1"/>
  <c r="J18" i="72"/>
  <c r="K18" i="72" s="1"/>
  <c r="L18" i="72"/>
  <c r="L57" i="72"/>
  <c r="M57" i="72"/>
  <c r="N57" i="72" s="1"/>
  <c r="J57" i="72"/>
  <c r="K57" i="72" s="1"/>
  <c r="M90" i="72"/>
  <c r="N90" i="72" s="1"/>
  <c r="J90" i="72"/>
  <c r="K90" i="72" s="1"/>
  <c r="L90" i="72"/>
  <c r="L82" i="72"/>
  <c r="M82" i="72"/>
  <c r="N82" i="72" s="1"/>
  <c r="J82" i="72"/>
  <c r="K82" i="72" s="1"/>
  <c r="L72" i="72"/>
  <c r="M72" i="72"/>
  <c r="N72" i="72" s="1"/>
  <c r="J72" i="72"/>
  <c r="K72" i="72" s="1"/>
  <c r="L24" i="72"/>
  <c r="M24" i="72"/>
  <c r="N24" i="72" s="1"/>
  <c r="J24" i="72"/>
  <c r="K24" i="72" s="1"/>
  <c r="L100" i="72"/>
  <c r="J100" i="72"/>
  <c r="K100" i="72" s="1"/>
  <c r="M100" i="72"/>
  <c r="N100" i="72" s="1"/>
  <c r="J3" i="72"/>
  <c r="K3" i="72" s="1"/>
  <c r="J79" i="72"/>
  <c r="K79" i="72" s="1"/>
  <c r="L79" i="72"/>
  <c r="M79" i="72"/>
  <c r="N79" i="72" s="1"/>
  <c r="J7" i="72"/>
  <c r="K7" i="72" s="1"/>
  <c r="M7" i="72"/>
  <c r="N7" i="72" s="1"/>
  <c r="L7" i="72"/>
  <c r="L35" i="72"/>
  <c r="J35" i="72"/>
  <c r="K35" i="72" s="1"/>
  <c r="M35" i="72"/>
  <c r="N35" i="72" s="1"/>
  <c r="M66" i="72"/>
  <c r="N66" i="72" s="1"/>
  <c r="J66" i="72"/>
  <c r="K66" i="72" s="1"/>
  <c r="L66" i="72"/>
  <c r="J16" i="72"/>
  <c r="K16" i="72" s="1"/>
  <c r="L16" i="72"/>
  <c r="M16" i="72"/>
  <c r="N16" i="72" s="1"/>
  <c r="L83" i="72"/>
  <c r="J83" i="72"/>
  <c r="K83" i="72" s="1"/>
  <c r="M83" i="72"/>
  <c r="N83" i="72" s="1"/>
  <c r="J77" i="72"/>
  <c r="K77" i="72" s="1"/>
  <c r="L77" i="72"/>
  <c r="M77" i="72"/>
  <c r="N77" i="72" s="1"/>
  <c r="J5" i="72"/>
  <c r="K5" i="72" s="1"/>
  <c r="L5" i="72"/>
  <c r="M5" i="72"/>
  <c r="N5" i="72" s="1"/>
  <c r="L36" i="72"/>
  <c r="J36" i="72"/>
  <c r="K36" i="72" s="1"/>
  <c r="M36" i="72"/>
  <c r="N36" i="72" s="1"/>
  <c r="J88" i="72"/>
  <c r="K88" i="72" s="1"/>
  <c r="L88" i="72"/>
  <c r="M88" i="72"/>
  <c r="N88" i="72" s="1"/>
  <c r="M85" i="72"/>
  <c r="N85" i="72" s="1"/>
  <c r="J85" i="72"/>
  <c r="K85" i="72" s="1"/>
  <c r="L85" i="72"/>
  <c r="L99" i="72"/>
  <c r="M99" i="72"/>
  <c r="N99" i="72" s="1"/>
  <c r="J99" i="72"/>
  <c r="K99" i="72" s="1"/>
  <c r="L97" i="72"/>
  <c r="M97" i="72"/>
  <c r="N97" i="72" s="1"/>
  <c r="J97" i="72"/>
  <c r="K97" i="72" s="1"/>
  <c r="L68" i="72"/>
  <c r="M68" i="72"/>
  <c r="N68" i="72" s="1"/>
  <c r="J68" i="72"/>
  <c r="K68" i="72" s="1"/>
  <c r="M96" i="72"/>
  <c r="N96" i="72" s="1"/>
  <c r="L96" i="72"/>
  <c r="J96" i="72"/>
  <c r="K96" i="72" s="1"/>
  <c r="L95" i="72"/>
  <c r="M95" i="72"/>
  <c r="N95" i="72" s="1"/>
  <c r="J95" i="72"/>
  <c r="K95" i="72" s="1"/>
  <c r="L105" i="72"/>
  <c r="M105" i="72"/>
  <c r="N105" i="72" s="1"/>
  <c r="J105" i="72"/>
  <c r="K105" i="72" s="1"/>
  <c r="L33" i="72"/>
  <c r="M33" i="72"/>
  <c r="N33" i="72" s="1"/>
  <c r="J33" i="72"/>
  <c r="K33" i="72" s="1"/>
  <c r="J31" i="72"/>
  <c r="K31" i="72" s="1"/>
  <c r="L31" i="72"/>
  <c r="M31" i="72"/>
  <c r="N31" i="72" s="1"/>
  <c r="L56" i="72"/>
  <c r="M56" i="72"/>
  <c r="N56" i="72" s="1"/>
  <c r="J56" i="72"/>
  <c r="K56" i="72" s="1"/>
  <c r="M74" i="72"/>
  <c r="N74" i="72" s="1"/>
  <c r="J74" i="72"/>
  <c r="K74" i="72" s="1"/>
  <c r="L74" i="72"/>
  <c r="L104" i="72"/>
  <c r="M104" i="72"/>
  <c r="N104" i="72" s="1"/>
  <c r="J104" i="72"/>
  <c r="K104" i="72" s="1"/>
  <c r="J29" i="72"/>
  <c r="K29" i="72" s="1"/>
  <c r="L29" i="72"/>
  <c r="M29" i="72"/>
  <c r="N29" i="72" s="1"/>
  <c r="L92" i="72"/>
  <c r="M92" i="72"/>
  <c r="N92" i="72" s="1"/>
  <c r="J92" i="72"/>
  <c r="K92" i="72" s="1"/>
  <c r="M13" i="72"/>
  <c r="N13" i="72" s="1"/>
  <c r="J13" i="72"/>
  <c r="K13" i="72" s="1"/>
  <c r="L13" i="72"/>
  <c r="J67" i="72"/>
  <c r="K67" i="72" s="1"/>
  <c r="L67" i="72"/>
  <c r="M67" i="72"/>
  <c r="N67" i="72" s="1"/>
  <c r="J4" i="72"/>
  <c r="K4" i="72" s="1"/>
  <c r="M4" i="72"/>
  <c r="N4" i="72" s="1"/>
  <c r="L4" i="72"/>
  <c r="J70" i="72"/>
  <c r="K70" i="72" s="1"/>
  <c r="M70" i="72"/>
  <c r="N70" i="72" s="1"/>
  <c r="L70" i="72"/>
  <c r="J54" i="72"/>
  <c r="K54" i="72" s="1"/>
  <c r="L54" i="72"/>
  <c r="M54" i="72"/>
  <c r="N54" i="72" s="1"/>
  <c r="L39" i="72"/>
  <c r="M39" i="72"/>
  <c r="N39" i="72" s="1"/>
  <c r="J39" i="72"/>
  <c r="K39" i="72" s="1"/>
  <c r="L23" i="72"/>
  <c r="M23" i="72"/>
  <c r="N23" i="72" s="1"/>
  <c r="J23" i="72"/>
  <c r="K23" i="72" s="1"/>
  <c r="J65" i="72"/>
  <c r="K65" i="72" s="1"/>
  <c r="L65" i="72"/>
  <c r="M65" i="72"/>
  <c r="N65" i="72" s="1"/>
  <c r="L28" i="72"/>
  <c r="J28" i="72"/>
  <c r="K28" i="72" s="1"/>
  <c r="M28" i="72"/>
  <c r="N28" i="72" s="1"/>
  <c r="L59" i="72"/>
  <c r="M59" i="72"/>
  <c r="N59" i="72" s="1"/>
  <c r="J59" i="72"/>
  <c r="K59" i="72" s="1"/>
  <c r="L76" i="72"/>
  <c r="J76" i="72"/>
  <c r="K76" i="72" s="1"/>
  <c r="M76" i="72"/>
  <c r="N76" i="72" s="1"/>
  <c r="L108" i="72"/>
  <c r="J108" i="72"/>
  <c r="K108" i="72" s="1"/>
  <c r="M108" i="72"/>
  <c r="N108" i="72" s="1"/>
  <c r="L87" i="72"/>
  <c r="M87" i="72"/>
  <c r="N87" i="72" s="1"/>
  <c r="J87" i="72"/>
  <c r="K87" i="72" s="1"/>
  <c r="L25" i="72"/>
  <c r="M25" i="72"/>
  <c r="N25" i="72" s="1"/>
  <c r="J25" i="72"/>
  <c r="K25" i="72" s="1"/>
  <c r="L110" i="72"/>
  <c r="M110" i="72"/>
  <c r="N110" i="72" s="1"/>
  <c r="J110" i="72"/>
  <c r="K110" i="72" s="1"/>
  <c r="M111" i="72"/>
  <c r="N111" i="72" s="1"/>
  <c r="L12" i="72"/>
  <c r="J12" i="72"/>
  <c r="K12" i="72" s="1"/>
  <c r="M12" i="72"/>
  <c r="N12" i="72" s="1"/>
  <c r="L58" i="72"/>
  <c r="M58" i="72"/>
  <c r="N58" i="72" s="1"/>
  <c r="J58" i="72"/>
  <c r="K58" i="72" s="1"/>
  <c r="J93" i="72"/>
  <c r="K93" i="72" s="1"/>
  <c r="M93" i="72"/>
  <c r="N93" i="72" s="1"/>
  <c r="L93" i="72"/>
  <c r="J21" i="72"/>
  <c r="K21" i="72" s="1"/>
  <c r="M21" i="72"/>
  <c r="N21" i="72" s="1"/>
  <c r="L21" i="72"/>
  <c r="J78" i="72"/>
  <c r="K78" i="72" s="1"/>
  <c r="L78" i="72"/>
  <c r="M78" i="72"/>
  <c r="N78" i="72" s="1"/>
  <c r="J17" i="72"/>
  <c r="K17" i="72" s="1"/>
  <c r="M17" i="72"/>
  <c r="N17" i="72" s="1"/>
  <c r="L17" i="72"/>
  <c r="L14" i="72"/>
  <c r="M14" i="72"/>
  <c r="N14" i="72" s="1"/>
  <c r="J14" i="72"/>
  <c r="K14" i="72" s="1"/>
  <c r="J94" i="72"/>
  <c r="K94" i="72" s="1"/>
  <c r="M94" i="72"/>
  <c r="N94" i="72" s="1"/>
  <c r="L94" i="72"/>
  <c r="J40" i="72"/>
  <c r="K40" i="72" s="1"/>
  <c r="L40" i="72"/>
  <c r="M40" i="72"/>
  <c r="N40" i="72" s="1"/>
  <c r="J89" i="72"/>
  <c r="K89" i="72" s="1"/>
  <c r="L89" i="72"/>
  <c r="M89" i="72"/>
  <c r="N89" i="72" s="1"/>
  <c r="M26" i="72"/>
  <c r="N26" i="72" s="1"/>
  <c r="J26" i="72"/>
  <c r="K26" i="72" s="1"/>
  <c r="L26" i="72"/>
  <c r="J55" i="72"/>
  <c r="K55" i="72" s="1"/>
  <c r="L55" i="72"/>
  <c r="M55" i="72"/>
  <c r="N55" i="72" s="1"/>
  <c r="L15" i="72"/>
  <c r="M15" i="72"/>
  <c r="N15" i="72" s="1"/>
  <c r="J15" i="72"/>
  <c r="K15" i="72" s="1"/>
  <c r="L80" i="72"/>
  <c r="J80" i="72"/>
  <c r="K80" i="72" s="1"/>
  <c r="M80" i="72"/>
  <c r="N80" i="72" s="1"/>
  <c r="M42" i="72"/>
  <c r="N42" i="72" s="1"/>
  <c r="J42" i="72"/>
  <c r="K42" i="72" s="1"/>
  <c r="L42" i="72"/>
  <c r="L62" i="72"/>
  <c r="M62" i="72"/>
  <c r="N62" i="72" s="1"/>
  <c r="J62" i="72"/>
  <c r="K62" i="72" s="1"/>
  <c r="L34" i="72"/>
  <c r="M34" i="72"/>
  <c r="N34" i="72" s="1"/>
  <c r="J34" i="72"/>
  <c r="K34" i="72" s="1"/>
  <c r="J53" i="72"/>
  <c r="K53" i="72" s="1"/>
  <c r="L53" i="72"/>
  <c r="M53" i="72"/>
  <c r="N53" i="72" s="1"/>
  <c r="L27" i="72"/>
  <c r="J27" i="72"/>
  <c r="K27" i="72" s="1"/>
  <c r="M27" i="72"/>
  <c r="N27" i="72" s="1"/>
  <c r="L106" i="72"/>
  <c r="M106" i="72"/>
  <c r="N106" i="72" s="1"/>
  <c r="J106" i="72"/>
  <c r="K106" i="72" s="1"/>
  <c r="J64" i="72"/>
  <c r="K64" i="72" s="1"/>
  <c r="L64" i="72"/>
  <c r="M64" i="72"/>
  <c r="N64" i="72" s="1"/>
  <c r="L48" i="72"/>
  <c r="M48" i="72"/>
  <c r="N48" i="72" s="1"/>
  <c r="J48" i="72"/>
  <c r="K48" i="72" s="1"/>
  <c r="L75" i="72"/>
  <c r="J75" i="72"/>
  <c r="K75" i="72" s="1"/>
  <c r="M75" i="72"/>
  <c r="N75" i="72" s="1"/>
  <c r="L84" i="72"/>
  <c r="J84" i="72"/>
  <c r="K84" i="72" s="1"/>
  <c r="M84" i="72"/>
  <c r="N84" i="72" s="1"/>
  <c r="M98" i="72"/>
  <c r="N98" i="72" s="1"/>
  <c r="J98" i="72"/>
  <c r="K98" i="72" s="1"/>
  <c r="L98" i="72"/>
  <c r="L71" i="72"/>
  <c r="M71" i="72"/>
  <c r="N71" i="72" s="1"/>
  <c r="J71" i="72"/>
  <c r="K71" i="72" s="1"/>
  <c r="L44" i="72"/>
  <c r="M44" i="72"/>
  <c r="N44" i="72" s="1"/>
  <c r="J44" i="72"/>
  <c r="K44" i="72" s="1"/>
  <c r="L81" i="72"/>
  <c r="M81" i="72"/>
  <c r="N81" i="72" s="1"/>
  <c r="J81" i="72"/>
  <c r="K81" i="72" s="1"/>
  <c r="L9" i="72"/>
  <c r="M9" i="72"/>
  <c r="N9" i="72" s="1"/>
  <c r="J9" i="72"/>
  <c r="K9" i="72" s="1"/>
  <c r="J103" i="72"/>
  <c r="K103" i="72" s="1"/>
  <c r="L103" i="72"/>
  <c r="M103" i="72"/>
  <c r="N103" i="72" s="1"/>
  <c r="J101" i="72"/>
  <c r="K101" i="72" s="1"/>
  <c r="L101" i="72"/>
  <c r="M101" i="72"/>
  <c r="N101" i="72" s="1"/>
  <c r="L11" i="72"/>
  <c r="M11" i="72"/>
  <c r="N11" i="72" s="1"/>
  <c r="J11" i="72"/>
  <c r="K11" i="72" s="1"/>
  <c r="M91" i="72"/>
  <c r="N91" i="72" s="1"/>
  <c r="L91" i="72"/>
  <c r="J91" i="72"/>
  <c r="K91" i="72" s="1"/>
  <c r="L20" i="72"/>
  <c r="J20" i="72"/>
  <c r="K20" i="72" s="1"/>
  <c r="M20" i="72"/>
  <c r="N20" i="72" s="1"/>
  <c r="M37" i="72"/>
  <c r="N37" i="72" s="1"/>
  <c r="J37" i="72"/>
  <c r="K37" i="72" s="1"/>
  <c r="L37" i="72"/>
  <c r="J22" i="72"/>
  <c r="K22" i="72" s="1"/>
  <c r="M22" i="72"/>
  <c r="N22" i="72" s="1"/>
  <c r="L22" i="72"/>
  <c r="M6" i="72"/>
  <c r="N6" i="72" s="1"/>
  <c r="J6" i="72"/>
  <c r="K6" i="72" s="1"/>
  <c r="L6" i="72"/>
  <c r="M109" i="72"/>
  <c r="N109" i="72" s="1"/>
  <c r="J109" i="72"/>
  <c r="K109" i="72" s="1"/>
  <c r="L109" i="72"/>
  <c r="L43" i="72"/>
  <c r="M43" i="72"/>
  <c r="N43" i="72" s="1"/>
  <c r="J43" i="72"/>
  <c r="K43" i="72" s="1"/>
  <c r="M50" i="72"/>
  <c r="N50" i="72" s="1"/>
  <c r="J50" i="72"/>
  <c r="K50" i="72" s="1"/>
  <c r="L50" i="72"/>
  <c r="J102" i="72"/>
  <c r="K102" i="72" s="1"/>
  <c r="L102" i="72"/>
  <c r="M102" i="72"/>
  <c r="N102" i="72" s="1"/>
  <c r="J30" i="72"/>
  <c r="K30" i="72" s="1"/>
  <c r="L30" i="72"/>
  <c r="M30" i="72"/>
  <c r="N30" i="72" s="1"/>
  <c r="L49" i="72"/>
  <c r="M49" i="72"/>
  <c r="N49" i="72" s="1"/>
  <c r="J49" i="72"/>
  <c r="K49" i="72" s="1"/>
  <c r="L32" i="72"/>
  <c r="J32" i="72"/>
  <c r="K32" i="72" s="1"/>
  <c r="M32" i="72"/>
  <c r="N32" i="72" s="1"/>
  <c r="J41" i="72"/>
  <c r="K41" i="72" s="1"/>
  <c r="M41" i="72"/>
  <c r="N41" i="72" s="1"/>
  <c r="L41" i="72"/>
  <c r="L38" i="72"/>
  <c r="M38" i="72"/>
  <c r="N38" i="72" s="1"/>
  <c r="J38" i="72"/>
  <c r="K38" i="72" s="1"/>
  <c r="L10" i="72"/>
  <c r="M10" i="72"/>
  <c r="N10" i="72" s="1"/>
  <c r="J10" i="72"/>
  <c r="K10" i="72" s="1"/>
  <c r="L52" i="72"/>
  <c r="J52" i="72"/>
  <c r="K52" i="72" s="1"/>
  <c r="M52" i="72"/>
  <c r="N52" i="72" s="1"/>
  <c r="L47" i="72"/>
  <c r="M47" i="72"/>
  <c r="N47" i="72" s="1"/>
  <c r="J47" i="72"/>
  <c r="K47" i="72" s="1"/>
  <c r="L63" i="72"/>
  <c r="M63" i="72"/>
  <c r="N63" i="72" s="1"/>
  <c r="J63" i="72"/>
  <c r="K63" i="72" s="1"/>
  <c r="L107" i="72"/>
  <c r="M107" i="72"/>
  <c r="N107" i="72" s="1"/>
  <c r="J107" i="72"/>
  <c r="K107" i="72" s="1"/>
  <c r="L86" i="72"/>
  <c r="M86" i="72"/>
  <c r="N86" i="72" s="1"/>
  <c r="J86" i="72"/>
  <c r="K86" i="72" s="1"/>
  <c r="J46" i="72"/>
  <c r="K46" i="72" s="1"/>
  <c r="L46" i="72"/>
  <c r="M46" i="72"/>
  <c r="N46" i="72" s="1"/>
  <c r="L60" i="72"/>
  <c r="J60" i="72"/>
  <c r="K60" i="72" s="1"/>
  <c r="M60" i="72"/>
  <c r="N60" i="72" s="1"/>
  <c r="J69" i="72"/>
  <c r="K69" i="72" s="1"/>
  <c r="M69" i="72"/>
  <c r="N69" i="72" s="1"/>
  <c r="L69" i="72"/>
  <c r="M8" i="72"/>
  <c r="N8" i="72" s="1"/>
  <c r="J8" i="72"/>
  <c r="K8" i="72" s="1"/>
  <c r="L8" i="72"/>
  <c r="L73" i="72"/>
  <c r="M73" i="72"/>
  <c r="N73" i="72" s="1"/>
  <c r="J73" i="72"/>
  <c r="K73" i="72" s="1"/>
  <c r="M61" i="72"/>
  <c r="N61" i="72" s="1"/>
  <c r="J61" i="72"/>
  <c r="K61" i="72" s="1"/>
  <c r="L61" i="72"/>
  <c r="L51" i="72"/>
  <c r="M51" i="72"/>
  <c r="N51" i="72" s="1"/>
  <c r="J51" i="72"/>
  <c r="K51" i="72" s="1"/>
  <c r="L19" i="72"/>
  <c r="J19" i="72"/>
  <c r="K19" i="72" s="1"/>
  <c r="M19" i="72"/>
  <c r="N19" i="72" s="1"/>
  <c r="J45" i="72"/>
  <c r="K45" i="72" s="1"/>
  <c r="M45" i="72"/>
  <c r="N45" i="72" s="1"/>
  <c r="L45" i="72"/>
  <c r="D4" i="11"/>
  <c r="J4" i="11"/>
  <c r="F3" i="9"/>
  <c r="B23" i="18"/>
  <c r="D16" i="18"/>
  <c r="E16" i="18"/>
  <c r="B21" i="18"/>
  <c r="F43" i="11"/>
  <c r="B17" i="18"/>
  <c r="C16" i="18"/>
  <c r="C34" i="11"/>
  <c r="K43" i="11"/>
  <c r="B22" i="18"/>
  <c r="I43" i="11"/>
  <c r="B18" i="18"/>
  <c r="E43" i="11"/>
  <c r="I34" i="11"/>
  <c r="F29" i="11"/>
  <c r="J43" i="11"/>
  <c r="I29" i="11"/>
  <c r="B24" i="18"/>
  <c r="I152" i="77"/>
  <c r="J152" i="77" s="1"/>
  <c r="D25" i="18"/>
  <c r="K34" i="11"/>
  <c r="C25" i="18"/>
  <c r="K29" i="11"/>
  <c r="B25" i="18"/>
  <c r="K24" i="11"/>
  <c r="I46" i="11"/>
  <c r="B46" i="11"/>
  <c r="J29" i="11"/>
  <c r="E24" i="11"/>
  <c r="B19" i="18"/>
  <c r="B20" i="18"/>
  <c r="C24" i="18"/>
  <c r="H5" i="11"/>
  <c r="I158" i="77"/>
  <c r="J158" i="77" s="1"/>
  <c r="I156" i="77"/>
  <c r="J156" i="77" s="1"/>
  <c r="C12" i="9"/>
  <c r="D12" i="9" s="1"/>
  <c r="E12" i="9" s="1"/>
  <c r="I161" i="77"/>
  <c r="J161" i="77" s="1"/>
  <c r="I157" i="77"/>
  <c r="J157" i="77" s="1"/>
  <c r="C11" i="9"/>
  <c r="D11" i="9" s="1"/>
  <c r="E11" i="9" s="1"/>
  <c r="I160" i="77"/>
  <c r="J160" i="77" s="1"/>
  <c r="D5" i="11"/>
  <c r="I154" i="77"/>
  <c r="J154" i="77" s="1"/>
  <c r="E5" i="11"/>
  <c r="I155" i="77"/>
  <c r="J155" i="77" s="1"/>
  <c r="I5" i="11"/>
  <c r="I159" i="77"/>
  <c r="J159" i="77" s="1"/>
  <c r="F11" i="9"/>
  <c r="B4" i="11"/>
  <c r="H165" i="72"/>
  <c r="J34" i="11"/>
  <c r="D24" i="18"/>
  <c r="B29" i="11"/>
  <c r="B51" i="11"/>
  <c r="H4" i="11"/>
  <c r="B10" i="9"/>
  <c r="I50" i="11"/>
  <c r="K46" i="11"/>
  <c r="K4" i="11"/>
  <c r="E39" i="17"/>
  <c r="E21" i="17" s="1"/>
  <c r="B8" i="9"/>
  <c r="C63" i="11"/>
  <c r="B6" i="9"/>
  <c r="C4" i="11"/>
  <c r="B43" i="11"/>
  <c r="F2" i="18"/>
  <c r="B52" i="11" s="1"/>
  <c r="B24" i="11"/>
  <c r="F47" i="11"/>
  <c r="F64" i="11" s="1"/>
  <c r="K47" i="11"/>
  <c r="K64" i="11" s="1"/>
  <c r="B7" i="9"/>
  <c r="B165" i="72"/>
  <c r="G39" i="17"/>
  <c r="F39" i="17"/>
  <c r="F21" i="17" s="1"/>
  <c r="C39" i="17"/>
  <c r="C21" i="17" s="1"/>
  <c r="C22" i="17" s="1"/>
  <c r="C47" i="11"/>
  <c r="C64" i="11" s="1"/>
  <c r="G47" i="11"/>
  <c r="A35" i="9"/>
  <c r="A39" i="9" s="1"/>
  <c r="A32" i="9"/>
  <c r="A36" i="9" s="1"/>
  <c r="A40" i="9" s="1"/>
  <c r="E46" i="11"/>
  <c r="J23" i="11"/>
  <c r="C23" i="18"/>
  <c r="C20" i="18"/>
  <c r="B34" i="11"/>
  <c r="E47" i="11"/>
  <c r="B47" i="11"/>
  <c r="I47" i="11"/>
  <c r="F10" i="11"/>
  <c r="F4" i="9"/>
  <c r="J10" i="11"/>
  <c r="J51" i="11"/>
  <c r="G10" i="11"/>
  <c r="C10" i="11"/>
  <c r="G51" i="11"/>
  <c r="I51" i="11"/>
  <c r="I10" i="11"/>
  <c r="D23" i="18"/>
  <c r="G9" i="9"/>
  <c r="D17" i="18"/>
  <c r="H47" i="11"/>
  <c r="G5" i="9"/>
  <c r="E51" i="11"/>
  <c r="E10" i="11"/>
  <c r="D46" i="11"/>
  <c r="F9" i="18"/>
  <c r="I52" i="11" s="1"/>
  <c r="J24" i="11"/>
  <c r="D21" i="18"/>
  <c r="G34" i="11"/>
  <c r="E17" i="18"/>
  <c r="C43" i="11"/>
  <c r="D20" i="18"/>
  <c r="F34" i="11"/>
  <c r="F24" i="11"/>
  <c r="F6" i="18"/>
  <c r="F52" i="11" s="1"/>
  <c r="F10" i="18"/>
  <c r="I24" i="11"/>
  <c r="F5" i="18"/>
  <c r="E52" i="11" s="1"/>
  <c r="D22" i="18"/>
  <c r="H34" i="11"/>
  <c r="C18" i="18"/>
  <c r="D29" i="11"/>
  <c r="C21" i="18"/>
  <c r="G29" i="11"/>
  <c r="C29" i="11"/>
  <c r="C17" i="18"/>
  <c r="F7" i="18"/>
  <c r="G52" i="11" s="1"/>
  <c r="G24" i="11"/>
  <c r="D43" i="11"/>
  <c r="C22" i="18"/>
  <c r="H29" i="11"/>
  <c r="F8" i="18"/>
  <c r="H52" i="11" s="1"/>
  <c r="H24" i="11"/>
  <c r="D18" i="18"/>
  <c r="D34" i="11"/>
  <c r="J46" i="11"/>
  <c r="D19" i="18"/>
  <c r="E34" i="11"/>
  <c r="C24" i="11"/>
  <c r="F3" i="18"/>
  <c r="C52" i="11" s="1"/>
  <c r="F4" i="18"/>
  <c r="D52" i="11" s="1"/>
  <c r="D24" i="11"/>
  <c r="E29" i="11"/>
  <c r="C19" i="18"/>
  <c r="F46" i="11"/>
  <c r="J5" i="11"/>
  <c r="C9" i="9"/>
  <c r="D9" i="9" s="1"/>
  <c r="E9" i="9" s="1"/>
  <c r="H46" i="11"/>
  <c r="H63" i="11" s="1"/>
  <c r="C10" i="9"/>
  <c r="G5" i="11"/>
  <c r="F5" i="11"/>
  <c r="C8" i="9"/>
  <c r="C7" i="9"/>
  <c r="C5" i="9"/>
  <c r="D5" i="9" s="1"/>
  <c r="E5" i="9" s="1"/>
  <c r="C6" i="9"/>
  <c r="K29" i="17"/>
  <c r="C3" i="9"/>
  <c r="D3" i="9" s="1"/>
  <c r="E3" i="9" s="1"/>
  <c r="B5" i="11"/>
  <c r="C4" i="9"/>
  <c r="D4" i="9" s="1"/>
  <c r="E4" i="9" s="1"/>
  <c r="C5" i="11"/>
  <c r="K30" i="17"/>
  <c r="K32" i="17"/>
  <c r="K28" i="17"/>
  <c r="G46" i="11"/>
  <c r="K31" i="17"/>
  <c r="K27" i="17"/>
  <c r="K48" i="11" l="1"/>
  <c r="F22" i="17"/>
  <c r="E22" i="17"/>
  <c r="D6" i="11"/>
  <c r="K123" i="72"/>
  <c r="Q25" i="72" s="1"/>
  <c r="L123" i="72"/>
  <c r="Q28" i="72" s="1"/>
  <c r="N123" i="72"/>
  <c r="Q27" i="72" s="1"/>
  <c r="Q30" i="72" s="1"/>
  <c r="K6" i="11"/>
  <c r="J6" i="11"/>
  <c r="E6" i="11"/>
  <c r="J47" i="11"/>
  <c r="J64" i="11" s="1"/>
  <c r="L32" i="11"/>
  <c r="L37" i="11"/>
  <c r="L27" i="11"/>
  <c r="L18" i="11"/>
  <c r="I6" i="11"/>
  <c r="B64" i="11"/>
  <c r="B6" i="11"/>
  <c r="F7" i="9"/>
  <c r="D7" i="9"/>
  <c r="E7" i="9" s="1"/>
  <c r="C6" i="11"/>
  <c r="F6" i="9"/>
  <c r="D6" i="9"/>
  <c r="E6" i="9" s="1"/>
  <c r="B48" i="11"/>
  <c r="B65" i="11" s="1"/>
  <c r="C29" i="18"/>
  <c r="D10" i="9"/>
  <c r="E10" i="9" s="1"/>
  <c r="F10" i="9"/>
  <c r="H6" i="11"/>
  <c r="D8" i="9"/>
  <c r="E8" i="9" s="1"/>
  <c r="D29" i="18"/>
  <c r="F8" i="9"/>
  <c r="E29" i="18"/>
  <c r="J52" i="11"/>
  <c r="G64" i="11"/>
  <c r="G6" i="11"/>
  <c r="E63" i="11"/>
  <c r="M37" i="11"/>
  <c r="E64" i="11"/>
  <c r="D63" i="11"/>
  <c r="F63" i="11"/>
  <c r="B63" i="11"/>
  <c r="I64" i="11"/>
  <c r="D48" i="11"/>
  <c r="D65" i="11" s="1"/>
  <c r="D51" i="11"/>
  <c r="D64" i="11" s="1"/>
  <c r="D10" i="11"/>
  <c r="F5" i="9"/>
  <c r="C48" i="11"/>
  <c r="C65" i="11" s="1"/>
  <c r="F9" i="9"/>
  <c r="H51" i="11"/>
  <c r="H64" i="11" s="1"/>
  <c r="H10" i="11"/>
  <c r="J63" i="11"/>
  <c r="I48" i="11"/>
  <c r="I65" i="11" s="1"/>
  <c r="J48" i="11"/>
  <c r="E48" i="11"/>
  <c r="E65" i="11" s="1"/>
  <c r="F48" i="11"/>
  <c r="F65" i="11" s="1"/>
  <c r="G48" i="11"/>
  <c r="G65" i="11" s="1"/>
  <c r="H48" i="11"/>
  <c r="H65" i="11" s="1"/>
  <c r="F6" i="11"/>
  <c r="G63" i="11"/>
  <c r="I63" i="11"/>
  <c r="F16" i="9" l="1"/>
  <c r="L22" i="11"/>
  <c r="M22" i="11"/>
  <c r="J65" i="11"/>
  <c r="N23" i="9"/>
  <c r="N22" i="9"/>
  <c r="N27" i="9" s="1"/>
  <c r="N35" i="9" s="1"/>
  <c r="K28" i="9"/>
  <c r="K22" i="9"/>
  <c r="L22" i="9"/>
  <c r="L23" i="9"/>
  <c r="L28" i="9" s="1"/>
  <c r="N18" i="11"/>
  <c r="M18" i="11"/>
  <c r="M27" i="11"/>
  <c r="C27" i="18"/>
  <c r="D27" i="18"/>
  <c r="E27" i="18"/>
  <c r="M32" i="11"/>
  <c r="K27" i="9" l="1"/>
  <c r="K35" i="9" s="1"/>
  <c r="L27" i="9"/>
  <c r="L35" i="9" s="1"/>
  <c r="L36" i="9"/>
  <c r="K36" i="9"/>
  <c r="I23" i="9"/>
  <c r="I28" i="9" s="1"/>
  <c r="I36" i="9" s="1"/>
  <c r="I22" i="9"/>
  <c r="I27" i="9" s="1"/>
  <c r="I35" i="9" s="1"/>
  <c r="M22" i="9"/>
  <c r="M23" i="9"/>
  <c r="M28" i="9" s="1"/>
  <c r="N28" i="9"/>
  <c r="N36" i="9" s="1"/>
  <c r="J22" i="9"/>
  <c r="J27" i="9" s="1"/>
  <c r="J35" i="9" s="1"/>
  <c r="J23" i="9"/>
  <c r="J28" i="9" s="1"/>
  <c r="J36" i="9" s="1"/>
  <c r="N37" i="11"/>
  <c r="N32" i="11"/>
  <c r="N27" i="11"/>
  <c r="M27" i="9" l="1"/>
  <c r="M35" i="9" s="1"/>
  <c r="M36" i="9"/>
  <c r="N22" i="11"/>
  <c r="H162" i="72" l="1"/>
  <c r="C13" i="9" s="1"/>
  <c r="G13" i="9" s="1"/>
  <c r="I162" i="77" l="1"/>
  <c r="J162" i="77" s="1"/>
  <c r="L5" i="11"/>
  <c r="M5" i="11"/>
  <c r="G31" i="9" l="1"/>
  <c r="L6" i="11"/>
  <c r="L10" i="11"/>
  <c r="M10" i="11" l="1"/>
  <c r="H163" i="72" l="1"/>
  <c r="I163" i="77" s="1"/>
  <c r="J163" i="77" s="1"/>
  <c r="H167" i="72" l="1"/>
  <c r="N5" i="11"/>
  <c r="C14" i="9"/>
  <c r="G14" i="9" l="1"/>
  <c r="G32" i="9" l="1"/>
  <c r="N10" i="11"/>
  <c r="K20" i="17" l="1"/>
  <c r="I20" i="17"/>
  <c r="K50" i="11" s="1"/>
  <c r="K63" i="11" s="1"/>
  <c r="H23" i="9"/>
  <c r="K34" i="17" l="1"/>
  <c r="K41" i="17"/>
  <c r="K39" i="17" s="1"/>
  <c r="F11" i="18" l="1"/>
  <c r="K52" i="11" s="1"/>
  <c r="K65" i="11" s="1"/>
  <c r="G27" i="9" l="1"/>
  <c r="G35" i="9" s="1"/>
  <c r="H35" i="9"/>
  <c r="L14" i="11"/>
  <c r="K21" i="17"/>
  <c r="P24" i="17" s="1"/>
  <c r="I21" i="17"/>
  <c r="M14" i="11"/>
  <c r="H28" i="9" l="1"/>
  <c r="G28" i="9" s="1"/>
  <c r="H36" i="9"/>
  <c r="O36" i="9" s="1"/>
  <c r="G36" i="9"/>
  <c r="O35" i="9"/>
  <c r="M50" i="11"/>
  <c r="L50" i="11"/>
  <c r="L46" i="11"/>
  <c r="K22" i="17"/>
  <c r="Q24" i="17" s="1"/>
  <c r="I22" i="17"/>
  <c r="N50" i="11" s="1"/>
  <c r="N14" i="11"/>
  <c r="M46" i="11"/>
  <c r="J40" i="9" l="1"/>
  <c r="J39" i="9"/>
  <c r="I39" i="9"/>
  <c r="N39" i="9"/>
  <c r="K39" i="9"/>
  <c r="L39" i="9"/>
  <c r="M39" i="9"/>
  <c r="H39" i="9"/>
  <c r="H40" i="9"/>
  <c r="I40" i="9"/>
  <c r="L63" i="11"/>
  <c r="M63" i="11"/>
  <c r="N46" i="11"/>
  <c r="H32" i="9" l="1"/>
  <c r="N15" i="11" s="1"/>
  <c r="M31" i="9"/>
  <c r="L31" i="9"/>
  <c r="G39" i="9"/>
  <c r="H31" i="9"/>
  <c r="K31" i="9"/>
  <c r="N31" i="9"/>
  <c r="I31" i="9"/>
  <c r="J31" i="9"/>
  <c r="B12" i="18" s="1"/>
  <c r="N63" i="11"/>
  <c r="I32" i="9"/>
  <c r="N19" i="11" s="1"/>
  <c r="J32" i="9"/>
  <c r="M40" i="9"/>
  <c r="L40" i="9"/>
  <c r="N40" i="9"/>
  <c r="N32" i="9" s="1"/>
  <c r="E13" i="18" s="1"/>
  <c r="K40" i="9"/>
  <c r="B13" i="18" l="1"/>
  <c r="L32" i="9"/>
  <c r="D13" i="18" s="1"/>
  <c r="M32" i="9"/>
  <c r="N38" i="11" s="1"/>
  <c r="K32" i="9"/>
  <c r="C13" i="18" s="1"/>
  <c r="M19" i="11"/>
  <c r="L19" i="11"/>
  <c r="E12" i="18"/>
  <c r="M43" i="11" s="1"/>
  <c r="L42" i="11"/>
  <c r="M42" i="11"/>
  <c r="C12" i="18"/>
  <c r="M28" i="11"/>
  <c r="L28" i="11"/>
  <c r="L15" i="11"/>
  <c r="M15" i="11"/>
  <c r="O31" i="9"/>
  <c r="D12" i="18"/>
  <c r="L33" i="11"/>
  <c r="M33" i="11"/>
  <c r="L23" i="11"/>
  <c r="M23" i="11"/>
  <c r="L24" i="11"/>
  <c r="L38" i="11"/>
  <c r="M38" i="11"/>
  <c r="N42" i="11"/>
  <c r="N23" i="11"/>
  <c r="N33" i="11"/>
  <c r="G40" i="9"/>
  <c r="O32" i="9" l="1"/>
  <c r="N51" i="11" s="1"/>
  <c r="N28" i="11"/>
  <c r="L34" i="11"/>
  <c r="M34" i="11"/>
  <c r="L29" i="11"/>
  <c r="M29" i="11"/>
  <c r="F12" i="18"/>
  <c r="L52" i="11" s="1"/>
  <c r="M24" i="11"/>
  <c r="L51" i="11"/>
  <c r="P31" i="9"/>
  <c r="M51" i="11"/>
  <c r="L43" i="11"/>
  <c r="M47" i="11"/>
  <c r="L47" i="11"/>
  <c r="M48" i="11" l="1"/>
  <c r="M52" i="11"/>
  <c r="H54" i="11"/>
  <c r="L64" i="11"/>
  <c r="M64" i="11"/>
  <c r="L48" i="11"/>
  <c r="L65" i="11" s="1"/>
  <c r="N47" i="11"/>
  <c r="M65" i="11" l="1"/>
  <c r="F13" i="18"/>
  <c r="N24" i="11"/>
  <c r="N64" i="11"/>
  <c r="N43" i="11"/>
  <c r="N34" i="11"/>
  <c r="N29" i="11"/>
  <c r="N48" i="11" l="1"/>
  <c r="H55" i="11"/>
  <c r="N52" i="11"/>
  <c r="N65" i="11" l="1"/>
</calcChain>
</file>

<file path=xl/sharedStrings.xml><?xml version="1.0" encoding="utf-8"?>
<sst xmlns="http://schemas.openxmlformats.org/spreadsheetml/2006/main" count="354" uniqueCount="142">
  <si>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</si>
  <si>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</si>
  <si>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</si>
  <si>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</si>
  <si>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</si>
  <si>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</si>
  <si>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</si>
  <si>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</si>
  <si>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</si>
  <si>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</si>
  <si>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</si>
  <si>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</si>
  <si>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</si>
  <si>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</si>
  <si>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</si>
  <si>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</si>
  <si>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</si>
  <si>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</si>
  <si>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</si>
  <si>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</si>
  <si>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</si>
  <si>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</si>
  <si>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</si>
  <si>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</si>
  <si>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</si>
  <si>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</si>
  <si>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</si>
  <si>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</si>
  <si>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</si>
  <si>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</si>
  <si>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</si>
  <si>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</si>
  <si>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</si>
  <si>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</si>
  <si>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</si>
  <si>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</si>
  <si>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</si>
  <si>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</si>
  <si>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</si>
  <si>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</si>
  <si>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</si>
  <si>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</si>
  <si>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</si>
  <si>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</si>
  <si>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</si>
  <si>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</si>
  <si>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</si>
  <si>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</si>
  <si>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</si>
  <si>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</si>
  <si>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</si>
  <si>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</si>
  <si>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</si>
  <si>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</si>
  <si>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</si>
  <si>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</si>
  <si>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</si>
  <si>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</si>
  <si>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</si>
  <si>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</si>
  <si>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</si>
  <si>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Year</t>
  </si>
  <si>
    <t>Check - must be zero</t>
  </si>
  <si>
    <t>Last 10 years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</si>
  <si>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</si>
  <si>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</si>
  <si>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</si>
  <si>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</si>
  <si>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</si>
  <si>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</si>
  <si>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 xml:space="preserve">Sentinel </t>
  </si>
  <si>
    <t xml:space="preserve">Street Lighting </t>
  </si>
  <si>
    <t>USL</t>
  </si>
  <si>
    <t>other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</si>
  <si>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</si>
  <si>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</si>
  <si>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</si>
  <si>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</si>
  <si>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</si>
  <si>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</si>
  <si>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</si>
  <si>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</si>
  <si>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</si>
  <si>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</si>
  <si>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</si>
  <si>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</si>
  <si>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</si>
  <si>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</si>
  <si>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</si>
  <si>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</si>
  <si>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</si>
  <si>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</si>
  <si>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Geomean Monthly Escalation</t>
  </si>
  <si>
    <t>Days in Month</t>
  </si>
  <si>
    <t>% Var</t>
  </si>
  <si>
    <t>% Var (Abs)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</si>
  <si>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</si>
  <si>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</si>
  <si>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</si>
  <si>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</si>
  <si>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</si>
  <si>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</si>
  <si>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</si>
  <si>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</si>
  <si>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</si>
  <si>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</si>
  <si>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</si>
  <si>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Average Customer / Connection Count</t>
  </si>
  <si>
    <t>Month</t>
  </si>
  <si>
    <t>Number of Customers</t>
  </si>
  <si>
    <t>Weather Normal</t>
  </si>
  <si>
    <t xml:space="preserve">2020 Actual </t>
  </si>
  <si>
    <t>Average Monthly Growth (%)</t>
  </si>
  <si>
    <t>Annual</t>
  </si>
  <si>
    <t>Monthly</t>
  </si>
  <si>
    <t>2015 Actual</t>
  </si>
  <si>
    <t>2024 Bridge</t>
  </si>
  <si>
    <t>2025 Test</t>
  </si>
  <si>
    <t>2014 Actual</t>
  </si>
  <si>
    <t>Large User</t>
  </si>
  <si>
    <t>Welland Hydro-Electric Weather Normal Load Forecast for 2025 Rate Application</t>
  </si>
  <si>
    <t>2023 Actual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</si>
  <si>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</si>
  <si>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</si>
  <si>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</si>
  <si>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</si>
  <si>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</si>
  <si>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</si>
  <si>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</si>
  <si>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Normalization Factor</t>
  </si>
  <si>
    <t>2024 Forecast (not used)</t>
  </si>
  <si>
    <t>Not WN</t>
  </si>
  <si>
    <t>Residual Squared</t>
  </si>
  <si>
    <t>Difference of Residuals</t>
  </si>
  <si>
    <t>Difference of Residuals Squared</t>
  </si>
  <si>
    <t>Residual (kWh)</t>
  </si>
  <si>
    <t xml:space="preserve">% Residual </t>
  </si>
  <si>
    <t>% Residual (Abs)</t>
  </si>
  <si>
    <t>Mean Absolute Percentage Error (MAPE)</t>
  </si>
  <si>
    <t>Sum of Squared Difference of Residuals</t>
  </si>
  <si>
    <t>Sum of Squared Residuals</t>
  </si>
  <si>
    <t>Durbin-Watson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</si>
</sst>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90" formatCode="_(* #,##0.000_);_(* \(#,##0.000\);_(* &quot;-&quot;??_);_(@_)"/>
    <numFmt numFmtId="191" formatCode="_-* #,##0.000_-;\-* #,##0.000_-;_-* &quot;-&quot;???_-;_-@_-"/>
    <numFmt numFmtId="192" formatCode="_-* #,##0.0000_-;\-* #,##0.0000_-;_-* &quot;-&quot;??_-;_-@_-"/>
    <numFmt numFmtId="193" formatCode="_(* #,##0.0000_);_(* \(#,##0.0000\);_(* &quot;-&quot;??_);_(@_)"/>
  </numFmts>
  <fonts count="8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b/>
      <u/>
      <sz val="1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655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5" borderId="1" applyNumberFormat="0" applyProtection="0">
      <alignment horizontal="left" vertical="center"/>
    </xf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1" fillId="0" borderId="0"/>
    <xf numFmtId="174" fontId="11" fillId="0" borderId="0"/>
    <xf numFmtId="173" fontId="11" fillId="0" borderId="0"/>
    <xf numFmtId="173" fontId="11" fillId="0" borderId="0"/>
    <xf numFmtId="173" fontId="11" fillId="0" borderId="0"/>
    <xf numFmtId="173" fontId="11" fillId="0" borderId="0"/>
    <xf numFmtId="175" fontId="11" fillId="0" borderId="0"/>
    <xf numFmtId="176" fontId="11" fillId="0" borderId="0"/>
    <xf numFmtId="175" fontId="11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6" fillId="7" borderId="0" applyNumberFormat="0" applyBorder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5" fillId="6" borderId="0" applyNumberFormat="0" applyBorder="0" applyAlignment="0" applyProtection="0"/>
    <xf numFmtId="38" fontId="17" fillId="37" borderId="0" applyNumberFormat="0" applyBorder="0" applyAlignment="0" applyProtection="0"/>
    <xf numFmtId="38" fontId="17" fillId="37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10" fontId="17" fillId="38" borderId="1" applyNumberFormat="0" applyBorder="0" applyAlignment="0" applyProtection="0"/>
    <xf numFmtId="10" fontId="17" fillId="38" borderId="1" applyNumberFormat="0" applyBorder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177" fontId="11" fillId="0" borderId="0"/>
    <xf numFmtId="172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0" fontId="27" fillId="8" borderId="0" applyNumberFormat="0" applyBorder="0" applyAlignment="0" applyProtection="0"/>
    <xf numFmtId="178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12" borderId="14" applyNumberFormat="0" applyFont="0" applyAlignment="0" applyProtection="0"/>
    <xf numFmtId="0" fontId="29" fillId="10" borderId="11" applyNumberFormat="0" applyAlignment="0" applyProtection="0"/>
    <xf numFmtId="10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39" fillId="0" borderId="16">
      <alignment horizontal="center" vertical="center"/>
    </xf>
    <xf numFmtId="0" fontId="21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166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" borderId="1" applyNumberFormat="0" applyProtection="0">
      <alignment horizontal="left" vertical="center"/>
    </xf>
    <xf numFmtId="0" fontId="11" fillId="5" borderId="1" applyNumberFormat="0" applyProtection="0">
      <alignment horizontal="left" vertical="center"/>
    </xf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4" borderId="0" applyNumberFormat="0" applyBorder="0" applyAlignment="0" applyProtection="0"/>
    <xf numFmtId="0" fontId="44" fillId="47" borderId="0" applyNumberFormat="0" applyBorder="0" applyAlignment="0" applyProtection="0"/>
    <xf numFmtId="0" fontId="44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61" fillId="56" borderId="0" applyNumberFormat="0" applyBorder="0" applyAlignment="0" applyProtection="0"/>
    <xf numFmtId="0" fontId="61" fillId="57" borderId="0" applyNumberFormat="0" applyBorder="0" applyAlignment="0" applyProtection="0"/>
    <xf numFmtId="0" fontId="63" fillId="59" borderId="17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2" fillId="61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11" fillId="0" borderId="0"/>
    <xf numFmtId="0" fontId="23" fillId="0" borderId="8" applyNumberFormat="0" applyFill="0" applyAlignment="0" applyProtection="0"/>
    <xf numFmtId="0" fontId="22" fillId="0" borderId="7" applyNumberFormat="0" applyFill="0" applyAlignment="0" applyProtection="0"/>
    <xf numFmtId="0" fontId="6" fillId="0" borderId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10" applyNumberFormat="0" applyAlignment="0" applyProtection="0"/>
    <xf numFmtId="0" fontId="29" fillId="10" borderId="11" applyNumberFormat="0" applyAlignment="0" applyProtection="0"/>
    <xf numFmtId="0" fontId="30" fillId="10" borderId="10" applyNumberFormat="0" applyAlignment="0" applyProtection="0"/>
    <xf numFmtId="0" fontId="31" fillId="0" borderId="12" applyNumberFormat="0" applyFill="0" applyAlignment="0" applyProtection="0"/>
    <xf numFmtId="0" fontId="32" fillId="11" borderId="13" applyNumberFormat="0" applyAlignment="0" applyProtection="0"/>
    <xf numFmtId="0" fontId="33" fillId="0" borderId="0" applyNumberFormat="0" applyFill="0" applyBorder="0" applyAlignment="0" applyProtection="0"/>
    <xf numFmtId="0" fontId="6" fillId="12" borderId="14" applyNumberFormat="0" applyFont="0" applyAlignment="0" applyProtection="0"/>
    <xf numFmtId="0" fontId="34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0" fontId="6" fillId="0" borderId="0"/>
    <xf numFmtId="0" fontId="73" fillId="59" borderId="24" applyNumberFormat="0" applyAlignment="0" applyProtection="0"/>
    <xf numFmtId="0" fontId="64" fillId="60" borderId="18" applyNumberFormat="0" applyAlignment="0" applyProtection="0"/>
    <xf numFmtId="0" fontId="70" fillId="46" borderId="17" applyNumberFormat="0" applyAlignment="0" applyProtection="0"/>
    <xf numFmtId="0" fontId="11" fillId="62" borderId="23" applyNumberFormat="0" applyFont="0" applyAlignment="0" applyProtection="0"/>
    <xf numFmtId="0" fontId="66" fillId="43" borderId="0" applyNumberFormat="0" applyBorder="0" applyAlignment="0" applyProtection="0"/>
    <xf numFmtId="0" fontId="62" fillId="42" borderId="0" applyNumberFormat="0" applyBorder="0" applyAlignment="0" applyProtection="0"/>
    <xf numFmtId="0" fontId="69" fillId="0" borderId="21" applyNumberFormat="0" applyFill="0" applyAlignment="0" applyProtection="0"/>
    <xf numFmtId="0" fontId="68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1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1" fillId="58" borderId="0" applyNumberFormat="0" applyBorder="0" applyAlignment="0" applyProtection="0"/>
    <xf numFmtId="0" fontId="61" fillId="52" borderId="0" applyNumberFormat="0" applyBorder="0" applyAlignment="0" applyProtection="0"/>
    <xf numFmtId="166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0" fontId="71" fillId="0" borderId="22" applyNumberFormat="0" applyFill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70" fillId="46" borderId="17" applyNumberFormat="0" applyAlignment="0" applyProtection="0"/>
    <xf numFmtId="0" fontId="70" fillId="46" borderId="17" applyNumberFormat="0" applyAlignment="0" applyProtection="0"/>
    <xf numFmtId="0" fontId="70" fillId="46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0" fillId="46" borderId="17" applyNumberFormat="0" applyAlignment="0" applyProtection="0"/>
    <xf numFmtId="0" fontId="11" fillId="0" borderId="0"/>
    <xf numFmtId="0" fontId="40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6" fillId="0" borderId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11" fillId="0" borderId="0" applyFont="0" applyFill="0" applyBorder="0" applyAlignment="0" applyProtection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/>
    <xf numFmtId="165" fontId="4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6" fillId="0" borderId="0"/>
    <xf numFmtId="0" fontId="59" fillId="0" borderId="0" applyNumberFormat="0" applyFill="0" applyBorder="0" applyAlignment="0" applyProtection="0"/>
    <xf numFmtId="0" fontId="77" fillId="0" borderId="0"/>
    <xf numFmtId="0" fontId="5" fillId="0" borderId="0"/>
    <xf numFmtId="0" fontId="79" fillId="0" borderId="0"/>
    <xf numFmtId="179" fontId="81" fillId="0" borderId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4" fillId="0" borderId="0"/>
    <xf numFmtId="0" fontId="11" fillId="0" borderId="0"/>
    <xf numFmtId="0" fontId="11" fillId="0" borderId="0"/>
    <xf numFmtId="0" fontId="75" fillId="0" borderId="55" applyNumberFormat="0" applyFill="0" applyAlignment="0" applyProtection="0"/>
    <xf numFmtId="0" fontId="63" fillId="59" borderId="47" applyNumberFormat="0" applyAlignment="0" applyProtection="0"/>
    <xf numFmtId="0" fontId="73" fillId="59" borderId="54" applyNumberFormat="0" applyAlignment="0" applyProtection="0"/>
    <xf numFmtId="0" fontId="70" fillId="46" borderId="52" applyNumberFormat="0" applyAlignment="0" applyProtection="0"/>
    <xf numFmtId="0" fontId="63" fillId="59" borderId="52" applyNumberFormat="0" applyAlignment="0" applyProtection="0"/>
    <xf numFmtId="0" fontId="70" fillId="46" borderId="47" applyNumberFormat="0" applyAlignment="0" applyProtection="0"/>
    <xf numFmtId="0" fontId="11" fillId="62" borderId="48" applyNumberFormat="0" applyFont="0" applyAlignment="0" applyProtection="0"/>
    <xf numFmtId="0" fontId="73" fillId="59" borderId="49" applyNumberFormat="0" applyAlignment="0" applyProtection="0"/>
    <xf numFmtId="0" fontId="75" fillId="0" borderId="50" applyNumberFormat="0" applyFill="0" applyAlignment="0" applyProtection="0"/>
    <xf numFmtId="0" fontId="11" fillId="0" borderId="0"/>
    <xf numFmtId="0" fontId="3" fillId="0" borderId="0"/>
    <xf numFmtId="0" fontId="70" fillId="46" borderId="52" applyNumberFormat="0" applyAlignment="0" applyProtection="0"/>
    <xf numFmtId="0" fontId="11" fillId="62" borderId="53" applyNumberFormat="0" applyFont="0" applyAlignment="0" applyProtection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0" fillId="46" borderId="52" applyNumberFormat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0" fontId="17" fillId="38" borderId="51" applyNumberFormat="0" applyBorder="0" applyAlignment="0" applyProtection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62" borderId="48" applyNumberFormat="0" applyFont="0" applyAlignment="0" applyProtection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0" fillId="46" borderId="52" applyNumberFormat="0" applyAlignment="0" applyProtection="0"/>
    <xf numFmtId="10" fontId="17" fillId="38" borderId="46" applyNumberFormat="0" applyBorder="0" applyAlignment="0" applyProtection="0"/>
    <xf numFmtId="0" fontId="11" fillId="0" borderId="0"/>
    <xf numFmtId="0" fontId="70" fillId="46" borderId="52" applyNumberFormat="0" applyAlignment="0" applyProtection="0"/>
    <xf numFmtId="0" fontId="11" fillId="62" borderId="53" applyNumberFormat="0" applyFont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08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37" fontId="12" fillId="0" borderId="0" xfId="0" applyNumberFormat="1" applyFont="1" applyAlignment="1">
      <alignment horizontal="center"/>
    </xf>
    <xf numFmtId="3" fontId="11" fillId="0" borderId="0" xfId="1" applyNumberFormat="1" applyAlignment="1">
      <alignment horizontal="center"/>
    </xf>
    <xf numFmtId="167" fontId="1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4" fillId="0" borderId="0" xfId="0" applyFont="1"/>
    <xf numFmtId="3" fontId="0" fillId="2" borderId="0" xfId="0" applyNumberFormat="1" applyFill="1" applyAlignment="1">
      <alignment horizontal="center"/>
    </xf>
    <xf numFmtId="17" fontId="14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4" fillId="0" borderId="0" xfId="0" applyNumberFormat="1" applyFont="1"/>
    <xf numFmtId="0" fontId="15" fillId="0" borderId="0" xfId="0" applyFont="1"/>
    <xf numFmtId="167" fontId="0" fillId="0" borderId="0" xfId="0" applyNumberFormat="1" applyAlignment="1">
      <alignment horizontal="center" wrapText="1"/>
    </xf>
    <xf numFmtId="0" fontId="1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17" fontId="0" fillId="0" borderId="1" xfId="0" applyNumberFormat="1" applyBorder="1" applyAlignment="1">
      <alignment horizontal="left"/>
    </xf>
    <xf numFmtId="37" fontId="1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37" fontId="12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12" fillId="0" borderId="0" xfId="0" applyNumberFormat="1" applyFont="1"/>
    <xf numFmtId="3" fontId="11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11" fillId="0" borderId="0" xfId="736" applyFont="1"/>
    <xf numFmtId="0" fontId="11" fillId="0" borderId="0" xfId="736" applyFont="1" applyAlignment="1">
      <alignment horizontal="center" vertical="center"/>
    </xf>
    <xf numFmtId="0" fontId="11" fillId="0" borderId="0" xfId="736" applyFont="1" applyAlignment="1">
      <alignment vertical="center"/>
    </xf>
    <xf numFmtId="0" fontId="11" fillId="0" borderId="0" xfId="736" applyFont="1" applyAlignment="1">
      <alignment horizontal="center"/>
    </xf>
    <xf numFmtId="0" fontId="11" fillId="0" borderId="0" xfId="1526" applyFont="1"/>
    <xf numFmtId="0" fontId="78" fillId="40" borderId="1" xfId="1524" applyFont="1" applyFill="1" applyBorder="1" applyAlignment="1">
      <alignment horizontal="center" vertical="center" wrapText="1"/>
    </xf>
    <xf numFmtId="0" fontId="80" fillId="0" borderId="0" xfId="1526" applyFont="1" applyAlignment="1">
      <alignment horizontal="left" vertical="center"/>
    </xf>
    <xf numFmtId="0" fontId="78" fillId="0" borderId="0" xfId="1524" applyFont="1" applyAlignment="1">
      <alignment horizontal="center" vertical="center" wrapText="1"/>
    </xf>
    <xf numFmtId="0" fontId="11" fillId="0" borderId="1" xfId="1526" applyFont="1" applyBorder="1" applyAlignment="1">
      <alignment horizontal="center"/>
    </xf>
    <xf numFmtId="0" fontId="11" fillId="0" borderId="33" xfId="1526" applyFont="1" applyBorder="1" applyAlignment="1">
      <alignment horizontal="center"/>
    </xf>
    <xf numFmtId="1" fontId="11" fillId="0" borderId="34" xfId="1526" applyNumberFormat="1" applyFont="1" applyBorder="1" applyAlignment="1">
      <alignment horizontal="center"/>
    </xf>
    <xf numFmtId="0" fontId="11" fillId="0" borderId="35" xfId="1526" applyFont="1" applyBorder="1" applyAlignment="1">
      <alignment horizontal="left"/>
    </xf>
    <xf numFmtId="2" fontId="18" fillId="0" borderId="34" xfId="1526" applyNumberFormat="1" applyFont="1" applyBorder="1" applyAlignment="1">
      <alignment horizontal="center"/>
    </xf>
    <xf numFmtId="0" fontId="11" fillId="0" borderId="33" xfId="1526" applyFont="1" applyBorder="1" applyAlignment="1">
      <alignment horizontal="left"/>
    </xf>
    <xf numFmtId="0" fontId="11" fillId="0" borderId="36" xfId="1526" applyFont="1" applyBorder="1" applyAlignment="1">
      <alignment horizontal="center"/>
    </xf>
    <xf numFmtId="2" fontId="18" fillId="0" borderId="37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center"/>
    </xf>
    <xf numFmtId="2" fontId="18" fillId="0" borderId="33" xfId="1526" applyNumberFormat="1" applyFont="1" applyBorder="1" applyAlignment="1">
      <alignment horizontal="center"/>
    </xf>
    <xf numFmtId="0" fontId="11" fillId="0" borderId="6" xfId="1526" applyFont="1" applyBorder="1" applyAlignment="1">
      <alignment horizontal="left"/>
    </xf>
    <xf numFmtId="2" fontId="18" fillId="0" borderId="38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left"/>
    </xf>
    <xf numFmtId="0" fontId="14" fillId="0" borderId="1" xfId="1526" applyFont="1" applyBorder="1" applyAlignment="1">
      <alignment horizontal="center"/>
    </xf>
    <xf numFmtId="17" fontId="11" fillId="0" borderId="1" xfId="1526" applyNumberFormat="1" applyFont="1" applyBorder="1" applyAlignment="1">
      <alignment horizontal="left"/>
    </xf>
    <xf numFmtId="0" fontId="11" fillId="0" borderId="0" xfId="1526" applyFont="1" applyAlignment="1">
      <alignment horizontal="center"/>
    </xf>
    <xf numFmtId="1" fontId="11" fillId="64" borderId="39" xfId="1527" applyNumberFormat="1" applyFont="1" applyFill="1" applyBorder="1" applyAlignment="1">
      <alignment horizontal="center"/>
    </xf>
    <xf numFmtId="1" fontId="11" fillId="64" borderId="5" xfId="1527" applyNumberFormat="1" applyFont="1" applyFill="1" applyBorder="1" applyAlignment="1">
      <alignment horizontal="center"/>
    </xf>
    <xf numFmtId="1" fontId="11" fillId="64" borderId="40" xfId="1526" applyNumberFormat="1" applyFont="1" applyFill="1" applyBorder="1" applyAlignment="1">
      <alignment horizontal="center"/>
    </xf>
    <xf numFmtId="1" fontId="11" fillId="64" borderId="39" xfId="1526" applyNumberFormat="1" applyFont="1" applyFill="1" applyBorder="1" applyAlignment="1">
      <alignment horizontal="center"/>
    </xf>
    <xf numFmtId="1" fontId="11" fillId="64" borderId="1" xfId="1526" applyNumberFormat="1" applyFont="1" applyFill="1" applyBorder="1" applyAlignment="1">
      <alignment horizontal="center"/>
    </xf>
    <xf numFmtId="1" fontId="11" fillId="64" borderId="1" xfId="1527" applyNumberFormat="1" applyFont="1" applyFill="1" applyBorder="1" applyAlignment="1">
      <alignment horizontal="center"/>
    </xf>
    <xf numFmtId="1" fontId="11" fillId="64" borderId="4" xfId="1526" applyNumberFormat="1" applyFont="1" applyFill="1" applyBorder="1" applyAlignment="1">
      <alignment horizontal="center"/>
    </xf>
    <xf numFmtId="17" fontId="11" fillId="0" borderId="0" xfId="1526" applyNumberFormat="1" applyFont="1" applyAlignment="1">
      <alignment horizontal="left"/>
    </xf>
    <xf numFmtId="1" fontId="11" fillId="65" borderId="39" xfId="1527" applyNumberFormat="1" applyFont="1" applyFill="1" applyBorder="1" applyAlignment="1">
      <alignment horizontal="center"/>
    </xf>
    <xf numFmtId="1" fontId="11" fillId="65" borderId="5" xfId="1527" applyNumberFormat="1" applyFont="1" applyFill="1" applyBorder="1" applyAlignment="1">
      <alignment horizontal="center"/>
    </xf>
    <xf numFmtId="1" fontId="11" fillId="65" borderId="40" xfId="1526" applyNumberFormat="1" applyFont="1" applyFill="1" applyBorder="1" applyAlignment="1">
      <alignment horizontal="center"/>
    </xf>
    <xf numFmtId="1" fontId="11" fillId="65" borderId="39" xfId="1526" applyNumberFormat="1" applyFont="1" applyFill="1" applyBorder="1" applyAlignment="1">
      <alignment horizontal="center"/>
    </xf>
    <xf numFmtId="1" fontId="11" fillId="65" borderId="1" xfId="1526" applyNumberFormat="1" applyFont="1" applyFill="1" applyBorder="1" applyAlignment="1">
      <alignment horizontal="center"/>
    </xf>
    <xf numFmtId="1" fontId="11" fillId="65" borderId="1" xfId="1527" applyNumberFormat="1" applyFont="1" applyFill="1" applyBorder="1" applyAlignment="1">
      <alignment horizontal="center"/>
    </xf>
    <xf numFmtId="1" fontId="11" fillId="65" borderId="4" xfId="1526" applyNumberFormat="1" applyFont="1" applyFill="1" applyBorder="1" applyAlignment="1">
      <alignment horizontal="center"/>
    </xf>
    <xf numFmtId="1" fontId="11" fillId="65" borderId="29" xfId="1527" applyNumberFormat="1" applyFont="1" applyFill="1" applyBorder="1" applyAlignment="1">
      <alignment horizontal="center"/>
    </xf>
    <xf numFmtId="1" fontId="11" fillId="65" borderId="31" xfId="1527" applyNumberFormat="1" applyFont="1" applyFill="1" applyBorder="1" applyAlignment="1">
      <alignment horizontal="center"/>
    </xf>
    <xf numFmtId="1" fontId="11" fillId="65" borderId="30" xfId="1526" applyNumberFormat="1" applyFont="1" applyFill="1" applyBorder="1" applyAlignment="1">
      <alignment horizontal="center"/>
    </xf>
    <xf numFmtId="1" fontId="11" fillId="65" borderId="29" xfId="1526" applyNumberFormat="1" applyFont="1" applyFill="1" applyBorder="1" applyAlignment="1">
      <alignment horizontal="center"/>
    </xf>
    <xf numFmtId="1" fontId="11" fillId="65" borderId="32" xfId="1526" applyNumberFormat="1" applyFont="1" applyFill="1" applyBorder="1" applyAlignment="1">
      <alignment horizontal="center"/>
    </xf>
    <xf numFmtId="1" fontId="11" fillId="65" borderId="32" xfId="1527" applyNumberFormat="1" applyFont="1" applyFill="1" applyBorder="1" applyAlignment="1">
      <alignment horizontal="center"/>
    </xf>
    <xf numFmtId="1" fontId="11" fillId="65" borderId="41" xfId="1526" applyNumberFormat="1" applyFont="1" applyFill="1" applyBorder="1" applyAlignment="1">
      <alignment horizontal="center"/>
    </xf>
    <xf numFmtId="1" fontId="11" fillId="0" borderId="0" xfId="1526" applyNumberFormat="1" applyFont="1" applyAlignment="1">
      <alignment horizontal="center"/>
    </xf>
    <xf numFmtId="1" fontId="11" fillId="0" borderId="0" xfId="1526" applyNumberFormat="1" applyFont="1"/>
    <xf numFmtId="0" fontId="77" fillId="0" borderId="0" xfId="1524"/>
    <xf numFmtId="0" fontId="13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wrapText="1"/>
    </xf>
    <xf numFmtId="0" fontId="11" fillId="4" borderId="0" xfId="0" applyFont="1" applyFill="1" applyAlignment="1">
      <alignment horizontal="center"/>
    </xf>
    <xf numFmtId="37" fontId="12" fillId="66" borderId="1" xfId="0" applyNumberFormat="1" applyFont="1" applyFill="1" applyBorder="1" applyAlignment="1">
      <alignment horizontal="center"/>
    </xf>
    <xf numFmtId="0" fontId="11" fillId="66" borderId="0" xfId="0" quotePrefix="1" applyFont="1" applyFill="1" applyAlignment="1">
      <alignment horizontal="center"/>
    </xf>
    <xf numFmtId="0" fontId="11" fillId="4" borderId="0" xfId="0" applyFont="1" applyFill="1" applyAlignment="1">
      <alignment horizontal="left"/>
    </xf>
    <xf numFmtId="0" fontId="11" fillId="66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0" fontId="11" fillId="0" borderId="38" xfId="0" applyFont="1" applyBorder="1" applyAlignment="1">
      <alignment horizontal="right"/>
    </xf>
    <xf numFmtId="3" fontId="0" fillId="0" borderId="38" xfId="0" applyNumberFormat="1" applyBorder="1" applyAlignment="1">
      <alignment horizontal="center" vertical="center"/>
    </xf>
    <xf numFmtId="0" fontId="78" fillId="68" borderId="6" xfId="1524" applyFont="1" applyFill="1" applyBorder="1" applyAlignment="1">
      <alignment horizontal="center" vertical="center" wrapText="1"/>
    </xf>
    <xf numFmtId="1" fontId="11" fillId="63" borderId="1" xfId="736" applyNumberFormat="1" applyFont="1" applyFill="1" applyBorder="1" applyAlignment="1">
      <alignment horizontal="center"/>
    </xf>
    <xf numFmtId="1" fontId="11" fillId="63" borderId="1" xfId="736" applyNumberFormat="1" applyFont="1" applyFill="1" applyBorder="1" applyAlignment="1">
      <alignment horizontal="center" wrapText="1"/>
    </xf>
    <xf numFmtId="0" fontId="14" fillId="69" borderId="1" xfId="736" applyFont="1" applyFill="1" applyBorder="1" applyAlignment="1">
      <alignment horizontal="center"/>
    </xf>
    <xf numFmtId="0" fontId="78" fillId="40" borderId="6" xfId="1524" applyFont="1" applyFill="1" applyBorder="1" applyAlignment="1">
      <alignment horizontal="center" vertical="center" wrapText="1"/>
    </xf>
    <xf numFmtId="0" fontId="78" fillId="68" borderId="33" xfId="1524" applyFont="1" applyFill="1" applyBorder="1" applyAlignment="1">
      <alignment horizontal="center" vertical="center" wrapText="1"/>
    </xf>
    <xf numFmtId="1" fontId="78" fillId="68" borderId="34" xfId="1524" applyNumberFormat="1" applyFont="1" applyFill="1" applyBorder="1" applyAlignment="1">
      <alignment horizontal="center" vertical="center" wrapText="1"/>
    </xf>
    <xf numFmtId="0" fontId="78" fillId="68" borderId="29" xfId="1524" applyFont="1" applyFill="1" applyBorder="1" applyAlignment="1">
      <alignment horizontal="center" vertical="center" wrapText="1"/>
    </xf>
    <xf numFmtId="1" fontId="78" fillId="68" borderId="30" xfId="1524" applyNumberFormat="1" applyFont="1" applyFill="1" applyBorder="1" applyAlignment="1">
      <alignment horizontal="center" vertical="center" wrapText="1"/>
    </xf>
    <xf numFmtId="0" fontId="78" fillId="68" borderId="31" xfId="1524" applyFont="1" applyFill="1" applyBorder="1" applyAlignment="1">
      <alignment horizontal="center" vertical="center" wrapText="1"/>
    </xf>
    <xf numFmtId="0" fontId="78" fillId="68" borderId="30" xfId="1524" applyFont="1" applyFill="1" applyBorder="1" applyAlignment="1">
      <alignment horizontal="center" vertical="center" wrapText="1"/>
    </xf>
    <xf numFmtId="0" fontId="78" fillId="68" borderId="32" xfId="1524" applyFont="1" applyFill="1" applyBorder="1" applyAlignment="1">
      <alignment horizontal="center" vertical="center" wrapText="1"/>
    </xf>
    <xf numFmtId="0" fontId="78" fillId="68" borderId="26" xfId="1524" applyFont="1" applyFill="1" applyBorder="1" applyAlignment="1">
      <alignment horizontal="center" vertical="center" wrapText="1"/>
    </xf>
    <xf numFmtId="0" fontId="78" fillId="68" borderId="28" xfId="1524" applyFont="1" applyFill="1" applyBorder="1" applyAlignment="1">
      <alignment horizontal="center" vertical="center" wrapText="1"/>
    </xf>
    <xf numFmtId="0" fontId="78" fillId="68" borderId="27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11" fillId="0" borderId="0" xfId="736" applyNumberFormat="1" applyFont="1"/>
    <xf numFmtId="172" fontId="0" fillId="0" borderId="0" xfId="1" applyNumberFormat="1" applyFont="1"/>
    <xf numFmtId="3" fontId="0" fillId="70" borderId="0" xfId="0" applyNumberFormat="1" applyFill="1" applyAlignment="1">
      <alignment horizontal="center"/>
    </xf>
    <xf numFmtId="3" fontId="12" fillId="70" borderId="1" xfId="0" applyNumberFormat="1" applyFont="1" applyFill="1" applyBorder="1" applyAlignment="1">
      <alignment horizontal="center"/>
    </xf>
    <xf numFmtId="0" fontId="84" fillId="67" borderId="1" xfId="1524" applyFont="1" applyFill="1" applyBorder="1" applyAlignment="1">
      <alignment vertical="center"/>
    </xf>
    <xf numFmtId="0" fontId="0" fillId="0" borderId="51" xfId="0" applyBorder="1"/>
    <xf numFmtId="172" fontId="11" fillId="0" borderId="0" xfId="1" applyNumberFormat="1" applyFont="1"/>
    <xf numFmtId="172" fontId="43" fillId="0" borderId="0" xfId="1" applyNumberFormat="1" applyFont="1" applyAlignment="1">
      <alignment horizontal="center"/>
    </xf>
    <xf numFmtId="172" fontId="11" fillId="0" borderId="0" xfId="1" applyNumberFormat="1" applyFont="1" applyAlignment="1">
      <alignment horizontal="center"/>
    </xf>
    <xf numFmtId="172" fontId="77" fillId="0" borderId="0" xfId="1" applyNumberFormat="1" applyFont="1"/>
    <xf numFmtId="171" fontId="11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38" fontId="1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3" fontId="13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/>
    </xf>
    <xf numFmtId="0" fontId="0" fillId="0" borderId="2" xfId="0" applyBorder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Continuous"/>
    </xf>
    <xf numFmtId="167" fontId="11" fillId="0" borderId="0" xfId="0" applyNumberFormat="1" applyFont="1" applyAlignment="1">
      <alignment horizontal="center"/>
    </xf>
    <xf numFmtId="0" fontId="83" fillId="0" borderId="0" xfId="0" applyFont="1" applyAlignment="1">
      <alignment horizontal="left"/>
    </xf>
    <xf numFmtId="190" fontId="0" fillId="0" borderId="0" xfId="1" applyNumberFormat="1" applyFont="1"/>
    <xf numFmtId="43" fontId="0" fillId="0" borderId="0" xfId="1" applyFont="1"/>
    <xf numFmtId="190" fontId="0" fillId="0" borderId="0" xfId="1" applyNumberFormat="1" applyFont="1" applyAlignment="1">
      <alignment horizontal="center"/>
    </xf>
    <xf numFmtId="19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2" xfId="0" applyNumberFormat="1" applyBorder="1"/>
    <xf numFmtId="0" fontId="0" fillId="0" borderId="56" xfId="0" applyBorder="1" applyAlignment="1">
      <alignment horizontal="center" vertical="center"/>
    </xf>
    <xf numFmtId="3" fontId="13" fillId="0" borderId="56" xfId="0" applyNumberFormat="1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7" fontId="0" fillId="0" borderId="56" xfId="0" applyNumberFormat="1" applyBorder="1" applyAlignment="1">
      <alignment horizontal="left"/>
    </xf>
    <xf numFmtId="37" fontId="12" fillId="0" borderId="56" xfId="0" applyNumberFormat="1" applyFont="1" applyBorder="1" applyAlignment="1">
      <alignment horizontal="center"/>
    </xf>
    <xf numFmtId="0" fontId="0" fillId="0" borderId="56" xfId="0" applyBorder="1"/>
    <xf numFmtId="37" fontId="12" fillId="63" borderId="56" xfId="0" applyNumberFormat="1" applyFont="1" applyFill="1" applyBorder="1" applyAlignment="1">
      <alignment horizontal="center"/>
    </xf>
    <xf numFmtId="37" fontId="12" fillId="4" borderId="56" xfId="0" applyNumberFormat="1" applyFont="1" applyFill="1" applyBorder="1" applyAlignment="1">
      <alignment horizontal="center"/>
    </xf>
    <xf numFmtId="37" fontId="12" fillId="66" borderId="56" xfId="0" applyNumberFormat="1" applyFont="1" applyFill="1" applyBorder="1" applyAlignment="1">
      <alignment horizontal="center"/>
    </xf>
    <xf numFmtId="173" fontId="0" fillId="0" borderId="0" xfId="1" applyNumberFormat="1" applyFont="1"/>
    <xf numFmtId="173" fontId="0" fillId="0" borderId="2" xfId="1" applyNumberFormat="1" applyFont="1" applyBorder="1"/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Alignment="1">
      <alignment horizontal="center" wrapText="1"/>
    </xf>
    <xf numFmtId="43" fontId="0" fillId="0" borderId="2" xfId="1" applyFont="1" applyBorder="1"/>
    <xf numFmtId="192" fontId="0" fillId="0" borderId="0" xfId="0" applyNumberFormat="1"/>
    <xf numFmtId="173" fontId="0" fillId="0" borderId="0" xfId="0" applyNumberFormat="1" applyAlignment="1">
      <alignment horizontal="center"/>
    </xf>
    <xf numFmtId="193" fontId="0" fillId="0" borderId="0" xfId="1" applyNumberFormat="1" applyFont="1" applyAlignment="1">
      <alignment horizontal="center"/>
    </xf>
    <xf numFmtId="167" fontId="12" fillId="0" borderId="0" xfId="2" applyNumberFormat="1" applyFont="1" applyBorder="1" applyAlignment="1">
      <alignment horizontal="center"/>
    </xf>
    <xf numFmtId="172" fontId="12" fillId="0" borderId="0" xfId="1" applyNumberFormat="1" applyFont="1" applyAlignment="1">
      <alignment horizontal="center"/>
    </xf>
    <xf numFmtId="167" fontId="0" fillId="0" borderId="0" xfId="0" applyNumberFormat="1"/>
    <xf numFmtId="169" fontId="0" fillId="0" borderId="0" xfId="0" applyNumberFormat="1"/>
    <xf numFmtId="0" fontId="84" fillId="67" borderId="1" xfId="1524" applyFont="1" applyFill="1" applyBorder="1" applyAlignment="1">
      <alignment horizontal="center" vertical="center" wrapText="1"/>
    </xf>
    <xf numFmtId="49" fontId="78" fillId="68" borderId="43" xfId="1524" applyNumberFormat="1" applyFont="1" applyFill="1" applyBorder="1" applyAlignment="1">
      <alignment horizontal="center" vertical="center" wrapText="1"/>
    </xf>
    <xf numFmtId="0" fontId="78" fillId="68" borderId="38" xfId="1524" applyFont="1" applyFill="1" applyBorder="1" applyAlignment="1">
      <alignment horizontal="center" vertical="center" wrapText="1"/>
    </xf>
    <xf numFmtId="0" fontId="78" fillId="68" borderId="42" xfId="1524" applyFont="1" applyFill="1" applyBorder="1" applyAlignment="1">
      <alignment horizontal="center" vertical="center" wrapText="1"/>
    </xf>
    <xf numFmtId="49" fontId="78" fillId="68" borderId="44" xfId="1524" applyNumberFormat="1" applyFont="1" applyFill="1" applyBorder="1" applyAlignment="1">
      <alignment horizontal="center" vertical="center" wrapText="1"/>
    </xf>
    <xf numFmtId="0" fontId="78" fillId="68" borderId="0" xfId="1524" applyFont="1" applyFill="1" applyAlignment="1">
      <alignment horizontal="center" vertical="center" wrapText="1"/>
    </xf>
    <xf numFmtId="0" fontId="78" fillId="68" borderId="45" xfId="1524" applyFont="1" applyFill="1" applyBorder="1" applyAlignment="1">
      <alignment horizontal="center" vertical="center" wrapText="1"/>
    </xf>
    <xf numFmtId="0" fontId="78" fillId="68" borderId="43" xfId="1524" applyFont="1" applyFill="1" applyBorder="1" applyAlignment="1">
      <alignment horizontal="center" vertical="center" wrapText="1"/>
    </xf>
    <xf numFmtId="0" fontId="0" fillId="39" borderId="0" xfId="0" applyFill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83" fillId="0" borderId="0" xfId="0" applyFont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1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655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3 5" xfId="1654" xr:uid="{8B67F920-0484-47E8-A26A-399AAB11E461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2" xr:uid="{2C9DE048-C87B-4D3B-9C09-3598383FF024}"/>
    <cellStyle name="Normal 57" xfId="1653" xr:uid="{39A08F8E-27C6-4195-A6BD-D8ADFCD3F772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FF99FF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  <pageSetUpPr fitToPage="1"/>
  </sheetPr>
  <dimension ref="A1:Z149"/>
  <sheetViews>
    <sheetView zoomScale="85" zoomScaleNormal="85" workbookViewId="0">
      <selection activeCell="J75" sqref="J75"/>
    </sheetView>
  </sheetViews>
  <sheetFormatPr defaultRowHeight="12.75" x14ac:dyDescent="0.2"/>
  <cols>
    <col min="1" max="3" width="14.5703125" style="58" customWidth="1"/>
    <col min="4" max="6" width="14.5703125" style="61" customWidth="1"/>
    <col min="7" max="8" width="14.5703125" style="58" customWidth="1"/>
    <col min="9" max="12" width="14" style="58" customWidth="1"/>
    <col min="13" max="13" width="14.5703125" style="59" bestFit="1" customWidth="1"/>
    <col min="14" max="14" width="12.140625" style="59" bestFit="1" customWidth="1"/>
    <col min="15" max="24" width="14" style="58" customWidth="1"/>
    <col min="25" max="26" width="13.28515625" style="58" customWidth="1"/>
    <col min="27" max="251" width="9.140625" style="58"/>
    <col min="252" max="252" width="31" style="58" customWidth="1"/>
    <col min="253" max="253" width="18.5703125" style="58" customWidth="1"/>
    <col min="254" max="254" width="3.85546875" style="58" customWidth="1"/>
    <col min="255" max="255" width="18.7109375" style="58" customWidth="1"/>
    <col min="256" max="264" width="14" style="58" customWidth="1"/>
    <col min="265" max="265" width="13" style="58" bestFit="1" customWidth="1"/>
    <col min="266" max="266" width="14.5703125" style="58" bestFit="1" customWidth="1"/>
    <col min="267" max="267" width="12.140625" style="58" bestFit="1" customWidth="1"/>
    <col min="268" max="278" width="14" style="58" customWidth="1"/>
    <col min="279" max="282" width="13.28515625" style="58" customWidth="1"/>
    <col min="283" max="507" width="9.140625" style="58"/>
    <col min="508" max="508" width="31" style="58" customWidth="1"/>
    <col min="509" max="509" width="18.5703125" style="58" customWidth="1"/>
    <col min="510" max="510" width="3.85546875" style="58" customWidth="1"/>
    <col min="511" max="511" width="18.7109375" style="58" customWidth="1"/>
    <col min="512" max="520" width="14" style="58" customWidth="1"/>
    <col min="521" max="521" width="13" style="58" bestFit="1" customWidth="1"/>
    <col min="522" max="522" width="14.5703125" style="58" bestFit="1" customWidth="1"/>
    <col min="523" max="523" width="12.140625" style="58" bestFit="1" customWidth="1"/>
    <col min="524" max="534" width="14" style="58" customWidth="1"/>
    <col min="535" max="538" width="13.28515625" style="58" customWidth="1"/>
    <col min="539" max="763" width="9.140625" style="58"/>
    <col min="764" max="764" width="31" style="58" customWidth="1"/>
    <col min="765" max="765" width="18.5703125" style="58" customWidth="1"/>
    <col min="766" max="766" width="3.85546875" style="58" customWidth="1"/>
    <col min="767" max="767" width="18.7109375" style="58" customWidth="1"/>
    <col min="768" max="776" width="14" style="58" customWidth="1"/>
    <col min="777" max="777" width="13" style="58" bestFit="1" customWidth="1"/>
    <col min="778" max="778" width="14.5703125" style="58" bestFit="1" customWidth="1"/>
    <col min="779" max="779" width="12.140625" style="58" bestFit="1" customWidth="1"/>
    <col min="780" max="790" width="14" style="58" customWidth="1"/>
    <col min="791" max="794" width="13.28515625" style="58" customWidth="1"/>
    <col min="795" max="1019" width="9.140625" style="58"/>
    <col min="1020" max="1020" width="31" style="58" customWidth="1"/>
    <col min="1021" max="1021" width="18.5703125" style="58" customWidth="1"/>
    <col min="1022" max="1022" width="3.85546875" style="58" customWidth="1"/>
    <col min="1023" max="1023" width="18.7109375" style="58" customWidth="1"/>
    <col min="1024" max="1032" width="14" style="58" customWidth="1"/>
    <col min="1033" max="1033" width="13" style="58" bestFit="1" customWidth="1"/>
    <col min="1034" max="1034" width="14.5703125" style="58" bestFit="1" customWidth="1"/>
    <col min="1035" max="1035" width="12.140625" style="58" bestFit="1" customWidth="1"/>
    <col min="1036" max="1046" width="14" style="58" customWidth="1"/>
    <col min="1047" max="1050" width="13.28515625" style="58" customWidth="1"/>
    <col min="1051" max="1275" width="9.140625" style="58"/>
    <col min="1276" max="1276" width="31" style="58" customWidth="1"/>
    <col min="1277" max="1277" width="18.5703125" style="58" customWidth="1"/>
    <col min="1278" max="1278" width="3.85546875" style="58" customWidth="1"/>
    <col min="1279" max="1279" width="18.7109375" style="58" customWidth="1"/>
    <col min="1280" max="1288" width="14" style="58" customWidth="1"/>
    <col min="1289" max="1289" width="13" style="58" bestFit="1" customWidth="1"/>
    <col min="1290" max="1290" width="14.5703125" style="58" bestFit="1" customWidth="1"/>
    <col min="1291" max="1291" width="12.140625" style="58" bestFit="1" customWidth="1"/>
    <col min="1292" max="1302" width="14" style="58" customWidth="1"/>
    <col min="1303" max="1306" width="13.28515625" style="58" customWidth="1"/>
    <col min="1307" max="1531" width="9.140625" style="58"/>
    <col min="1532" max="1532" width="31" style="58" customWidth="1"/>
    <col min="1533" max="1533" width="18.5703125" style="58" customWidth="1"/>
    <col min="1534" max="1534" width="3.85546875" style="58" customWidth="1"/>
    <col min="1535" max="1535" width="18.7109375" style="58" customWidth="1"/>
    <col min="1536" max="1544" width="14" style="58" customWidth="1"/>
    <col min="1545" max="1545" width="13" style="58" bestFit="1" customWidth="1"/>
    <col min="1546" max="1546" width="14.5703125" style="58" bestFit="1" customWidth="1"/>
    <col min="1547" max="1547" width="12.140625" style="58" bestFit="1" customWidth="1"/>
    <col min="1548" max="1558" width="14" style="58" customWidth="1"/>
    <col min="1559" max="1562" width="13.28515625" style="58" customWidth="1"/>
    <col min="1563" max="1787" width="9.140625" style="58"/>
    <col min="1788" max="1788" width="31" style="58" customWidth="1"/>
    <col min="1789" max="1789" width="18.5703125" style="58" customWidth="1"/>
    <col min="1790" max="1790" width="3.85546875" style="58" customWidth="1"/>
    <col min="1791" max="1791" width="18.7109375" style="58" customWidth="1"/>
    <col min="1792" max="1800" width="14" style="58" customWidth="1"/>
    <col min="1801" max="1801" width="13" style="58" bestFit="1" customWidth="1"/>
    <col min="1802" max="1802" width="14.5703125" style="58" bestFit="1" customWidth="1"/>
    <col min="1803" max="1803" width="12.140625" style="58" bestFit="1" customWidth="1"/>
    <col min="1804" max="1814" width="14" style="58" customWidth="1"/>
    <col min="1815" max="1818" width="13.28515625" style="58" customWidth="1"/>
    <col min="1819" max="2043" width="9.140625" style="58"/>
    <col min="2044" max="2044" width="31" style="58" customWidth="1"/>
    <col min="2045" max="2045" width="18.5703125" style="58" customWidth="1"/>
    <col min="2046" max="2046" width="3.85546875" style="58" customWidth="1"/>
    <col min="2047" max="2047" width="18.7109375" style="58" customWidth="1"/>
    <col min="2048" max="2056" width="14" style="58" customWidth="1"/>
    <col min="2057" max="2057" width="13" style="58" bestFit="1" customWidth="1"/>
    <col min="2058" max="2058" width="14.5703125" style="58" bestFit="1" customWidth="1"/>
    <col min="2059" max="2059" width="12.140625" style="58" bestFit="1" customWidth="1"/>
    <col min="2060" max="2070" width="14" style="58" customWidth="1"/>
    <col min="2071" max="2074" width="13.28515625" style="58" customWidth="1"/>
    <col min="2075" max="2299" width="9.140625" style="58"/>
    <col min="2300" max="2300" width="31" style="58" customWidth="1"/>
    <col min="2301" max="2301" width="18.5703125" style="58" customWidth="1"/>
    <col min="2302" max="2302" width="3.85546875" style="58" customWidth="1"/>
    <col min="2303" max="2303" width="18.7109375" style="58" customWidth="1"/>
    <col min="2304" max="2312" width="14" style="58" customWidth="1"/>
    <col min="2313" max="2313" width="13" style="58" bestFit="1" customWidth="1"/>
    <col min="2314" max="2314" width="14.5703125" style="58" bestFit="1" customWidth="1"/>
    <col min="2315" max="2315" width="12.140625" style="58" bestFit="1" customWidth="1"/>
    <col min="2316" max="2326" width="14" style="58" customWidth="1"/>
    <col min="2327" max="2330" width="13.28515625" style="58" customWidth="1"/>
    <col min="2331" max="2555" width="9.140625" style="58"/>
    <col min="2556" max="2556" width="31" style="58" customWidth="1"/>
    <col min="2557" max="2557" width="18.5703125" style="58" customWidth="1"/>
    <col min="2558" max="2558" width="3.85546875" style="58" customWidth="1"/>
    <col min="2559" max="2559" width="18.7109375" style="58" customWidth="1"/>
    <col min="2560" max="2568" width="14" style="58" customWidth="1"/>
    <col min="2569" max="2569" width="13" style="58" bestFit="1" customWidth="1"/>
    <col min="2570" max="2570" width="14.5703125" style="58" bestFit="1" customWidth="1"/>
    <col min="2571" max="2571" width="12.140625" style="58" bestFit="1" customWidth="1"/>
    <col min="2572" max="2582" width="14" style="58" customWidth="1"/>
    <col min="2583" max="2586" width="13.28515625" style="58" customWidth="1"/>
    <col min="2587" max="2811" width="9.140625" style="58"/>
    <col min="2812" max="2812" width="31" style="58" customWidth="1"/>
    <col min="2813" max="2813" width="18.5703125" style="58" customWidth="1"/>
    <col min="2814" max="2814" width="3.85546875" style="58" customWidth="1"/>
    <col min="2815" max="2815" width="18.7109375" style="58" customWidth="1"/>
    <col min="2816" max="2824" width="14" style="58" customWidth="1"/>
    <col min="2825" max="2825" width="13" style="58" bestFit="1" customWidth="1"/>
    <col min="2826" max="2826" width="14.5703125" style="58" bestFit="1" customWidth="1"/>
    <col min="2827" max="2827" width="12.140625" style="58" bestFit="1" customWidth="1"/>
    <col min="2828" max="2838" width="14" style="58" customWidth="1"/>
    <col min="2839" max="2842" width="13.28515625" style="58" customWidth="1"/>
    <col min="2843" max="3067" width="9.140625" style="58"/>
    <col min="3068" max="3068" width="31" style="58" customWidth="1"/>
    <col min="3069" max="3069" width="18.5703125" style="58" customWidth="1"/>
    <col min="3070" max="3070" width="3.85546875" style="58" customWidth="1"/>
    <col min="3071" max="3071" width="18.7109375" style="58" customWidth="1"/>
    <col min="3072" max="3080" width="14" style="58" customWidth="1"/>
    <col min="3081" max="3081" width="13" style="58" bestFit="1" customWidth="1"/>
    <col min="3082" max="3082" width="14.5703125" style="58" bestFit="1" customWidth="1"/>
    <col min="3083" max="3083" width="12.140625" style="58" bestFit="1" customWidth="1"/>
    <col min="3084" max="3094" width="14" style="58" customWidth="1"/>
    <col min="3095" max="3098" width="13.28515625" style="58" customWidth="1"/>
    <col min="3099" max="3323" width="9.140625" style="58"/>
    <col min="3324" max="3324" width="31" style="58" customWidth="1"/>
    <col min="3325" max="3325" width="18.5703125" style="58" customWidth="1"/>
    <col min="3326" max="3326" width="3.85546875" style="58" customWidth="1"/>
    <col min="3327" max="3327" width="18.7109375" style="58" customWidth="1"/>
    <col min="3328" max="3336" width="14" style="58" customWidth="1"/>
    <col min="3337" max="3337" width="13" style="58" bestFit="1" customWidth="1"/>
    <col min="3338" max="3338" width="14.5703125" style="58" bestFit="1" customWidth="1"/>
    <col min="3339" max="3339" width="12.140625" style="58" bestFit="1" customWidth="1"/>
    <col min="3340" max="3350" width="14" style="58" customWidth="1"/>
    <col min="3351" max="3354" width="13.28515625" style="58" customWidth="1"/>
    <col min="3355" max="3579" width="9.140625" style="58"/>
    <col min="3580" max="3580" width="31" style="58" customWidth="1"/>
    <col min="3581" max="3581" width="18.5703125" style="58" customWidth="1"/>
    <col min="3582" max="3582" width="3.85546875" style="58" customWidth="1"/>
    <col min="3583" max="3583" width="18.7109375" style="58" customWidth="1"/>
    <col min="3584" max="3592" width="14" style="58" customWidth="1"/>
    <col min="3593" max="3593" width="13" style="58" bestFit="1" customWidth="1"/>
    <col min="3594" max="3594" width="14.5703125" style="58" bestFit="1" customWidth="1"/>
    <col min="3595" max="3595" width="12.140625" style="58" bestFit="1" customWidth="1"/>
    <col min="3596" max="3606" width="14" style="58" customWidth="1"/>
    <col min="3607" max="3610" width="13.28515625" style="58" customWidth="1"/>
    <col min="3611" max="3835" width="9.140625" style="58"/>
    <col min="3836" max="3836" width="31" style="58" customWidth="1"/>
    <col min="3837" max="3837" width="18.5703125" style="58" customWidth="1"/>
    <col min="3838" max="3838" width="3.85546875" style="58" customWidth="1"/>
    <col min="3839" max="3839" width="18.7109375" style="58" customWidth="1"/>
    <col min="3840" max="3848" width="14" style="58" customWidth="1"/>
    <col min="3849" max="3849" width="13" style="58" bestFit="1" customWidth="1"/>
    <col min="3850" max="3850" width="14.5703125" style="58" bestFit="1" customWidth="1"/>
    <col min="3851" max="3851" width="12.140625" style="58" bestFit="1" customWidth="1"/>
    <col min="3852" max="3862" width="14" style="58" customWidth="1"/>
    <col min="3863" max="3866" width="13.28515625" style="58" customWidth="1"/>
    <col min="3867" max="4091" width="9.140625" style="58"/>
    <col min="4092" max="4092" width="31" style="58" customWidth="1"/>
    <col min="4093" max="4093" width="18.5703125" style="58" customWidth="1"/>
    <col min="4094" max="4094" width="3.85546875" style="58" customWidth="1"/>
    <col min="4095" max="4095" width="18.7109375" style="58" customWidth="1"/>
    <col min="4096" max="4104" width="14" style="58" customWidth="1"/>
    <col min="4105" max="4105" width="13" style="58" bestFit="1" customWidth="1"/>
    <col min="4106" max="4106" width="14.5703125" style="58" bestFit="1" customWidth="1"/>
    <col min="4107" max="4107" width="12.140625" style="58" bestFit="1" customWidth="1"/>
    <col min="4108" max="4118" width="14" style="58" customWidth="1"/>
    <col min="4119" max="4122" width="13.28515625" style="58" customWidth="1"/>
    <col min="4123" max="4347" width="9.140625" style="58"/>
    <col min="4348" max="4348" width="31" style="58" customWidth="1"/>
    <col min="4349" max="4349" width="18.5703125" style="58" customWidth="1"/>
    <col min="4350" max="4350" width="3.85546875" style="58" customWidth="1"/>
    <col min="4351" max="4351" width="18.7109375" style="58" customWidth="1"/>
    <col min="4352" max="4360" width="14" style="58" customWidth="1"/>
    <col min="4361" max="4361" width="13" style="58" bestFit="1" customWidth="1"/>
    <col min="4362" max="4362" width="14.5703125" style="58" bestFit="1" customWidth="1"/>
    <col min="4363" max="4363" width="12.140625" style="58" bestFit="1" customWidth="1"/>
    <col min="4364" max="4374" width="14" style="58" customWidth="1"/>
    <col min="4375" max="4378" width="13.28515625" style="58" customWidth="1"/>
    <col min="4379" max="4603" width="9.140625" style="58"/>
    <col min="4604" max="4604" width="31" style="58" customWidth="1"/>
    <col min="4605" max="4605" width="18.5703125" style="58" customWidth="1"/>
    <col min="4606" max="4606" width="3.85546875" style="58" customWidth="1"/>
    <col min="4607" max="4607" width="18.7109375" style="58" customWidth="1"/>
    <col min="4608" max="4616" width="14" style="58" customWidth="1"/>
    <col min="4617" max="4617" width="13" style="58" bestFit="1" customWidth="1"/>
    <col min="4618" max="4618" width="14.5703125" style="58" bestFit="1" customWidth="1"/>
    <col min="4619" max="4619" width="12.140625" style="58" bestFit="1" customWidth="1"/>
    <col min="4620" max="4630" width="14" style="58" customWidth="1"/>
    <col min="4631" max="4634" width="13.28515625" style="58" customWidth="1"/>
    <col min="4635" max="4859" width="9.140625" style="58"/>
    <col min="4860" max="4860" width="31" style="58" customWidth="1"/>
    <col min="4861" max="4861" width="18.5703125" style="58" customWidth="1"/>
    <col min="4862" max="4862" width="3.85546875" style="58" customWidth="1"/>
    <col min="4863" max="4863" width="18.7109375" style="58" customWidth="1"/>
    <col min="4864" max="4872" width="14" style="58" customWidth="1"/>
    <col min="4873" max="4873" width="13" style="58" bestFit="1" customWidth="1"/>
    <col min="4874" max="4874" width="14.5703125" style="58" bestFit="1" customWidth="1"/>
    <col min="4875" max="4875" width="12.140625" style="58" bestFit="1" customWidth="1"/>
    <col min="4876" max="4886" width="14" style="58" customWidth="1"/>
    <col min="4887" max="4890" width="13.28515625" style="58" customWidth="1"/>
    <col min="4891" max="5115" width="9.140625" style="58"/>
    <col min="5116" max="5116" width="31" style="58" customWidth="1"/>
    <col min="5117" max="5117" width="18.5703125" style="58" customWidth="1"/>
    <col min="5118" max="5118" width="3.85546875" style="58" customWidth="1"/>
    <col min="5119" max="5119" width="18.7109375" style="58" customWidth="1"/>
    <col min="5120" max="5128" width="14" style="58" customWidth="1"/>
    <col min="5129" max="5129" width="13" style="58" bestFit="1" customWidth="1"/>
    <col min="5130" max="5130" width="14.5703125" style="58" bestFit="1" customWidth="1"/>
    <col min="5131" max="5131" width="12.140625" style="58" bestFit="1" customWidth="1"/>
    <col min="5132" max="5142" width="14" style="58" customWidth="1"/>
    <col min="5143" max="5146" width="13.28515625" style="58" customWidth="1"/>
    <col min="5147" max="5371" width="9.140625" style="58"/>
    <col min="5372" max="5372" width="31" style="58" customWidth="1"/>
    <col min="5373" max="5373" width="18.5703125" style="58" customWidth="1"/>
    <col min="5374" max="5374" width="3.85546875" style="58" customWidth="1"/>
    <col min="5375" max="5375" width="18.7109375" style="58" customWidth="1"/>
    <col min="5376" max="5384" width="14" style="58" customWidth="1"/>
    <col min="5385" max="5385" width="13" style="58" bestFit="1" customWidth="1"/>
    <col min="5386" max="5386" width="14.5703125" style="58" bestFit="1" customWidth="1"/>
    <col min="5387" max="5387" width="12.140625" style="58" bestFit="1" customWidth="1"/>
    <col min="5388" max="5398" width="14" style="58" customWidth="1"/>
    <col min="5399" max="5402" width="13.28515625" style="58" customWidth="1"/>
    <col min="5403" max="5627" width="9.140625" style="58"/>
    <col min="5628" max="5628" width="31" style="58" customWidth="1"/>
    <col min="5629" max="5629" width="18.5703125" style="58" customWidth="1"/>
    <col min="5630" max="5630" width="3.85546875" style="58" customWidth="1"/>
    <col min="5631" max="5631" width="18.7109375" style="58" customWidth="1"/>
    <col min="5632" max="5640" width="14" style="58" customWidth="1"/>
    <col min="5641" max="5641" width="13" style="58" bestFit="1" customWidth="1"/>
    <col min="5642" max="5642" width="14.5703125" style="58" bestFit="1" customWidth="1"/>
    <col min="5643" max="5643" width="12.140625" style="58" bestFit="1" customWidth="1"/>
    <col min="5644" max="5654" width="14" style="58" customWidth="1"/>
    <col min="5655" max="5658" width="13.28515625" style="58" customWidth="1"/>
    <col min="5659" max="5883" width="9.140625" style="58"/>
    <col min="5884" max="5884" width="31" style="58" customWidth="1"/>
    <col min="5885" max="5885" width="18.5703125" style="58" customWidth="1"/>
    <col min="5886" max="5886" width="3.85546875" style="58" customWidth="1"/>
    <col min="5887" max="5887" width="18.7109375" style="58" customWidth="1"/>
    <col min="5888" max="5896" width="14" style="58" customWidth="1"/>
    <col min="5897" max="5897" width="13" style="58" bestFit="1" customWidth="1"/>
    <col min="5898" max="5898" width="14.5703125" style="58" bestFit="1" customWidth="1"/>
    <col min="5899" max="5899" width="12.140625" style="58" bestFit="1" customWidth="1"/>
    <col min="5900" max="5910" width="14" style="58" customWidth="1"/>
    <col min="5911" max="5914" width="13.28515625" style="58" customWidth="1"/>
    <col min="5915" max="6139" width="9.140625" style="58"/>
    <col min="6140" max="6140" width="31" style="58" customWidth="1"/>
    <col min="6141" max="6141" width="18.5703125" style="58" customWidth="1"/>
    <col min="6142" max="6142" width="3.85546875" style="58" customWidth="1"/>
    <col min="6143" max="6143" width="18.7109375" style="58" customWidth="1"/>
    <col min="6144" max="6152" width="14" style="58" customWidth="1"/>
    <col min="6153" max="6153" width="13" style="58" bestFit="1" customWidth="1"/>
    <col min="6154" max="6154" width="14.5703125" style="58" bestFit="1" customWidth="1"/>
    <col min="6155" max="6155" width="12.140625" style="58" bestFit="1" customWidth="1"/>
    <col min="6156" max="6166" width="14" style="58" customWidth="1"/>
    <col min="6167" max="6170" width="13.28515625" style="58" customWidth="1"/>
    <col min="6171" max="6395" width="9.140625" style="58"/>
    <col min="6396" max="6396" width="31" style="58" customWidth="1"/>
    <col min="6397" max="6397" width="18.5703125" style="58" customWidth="1"/>
    <col min="6398" max="6398" width="3.85546875" style="58" customWidth="1"/>
    <col min="6399" max="6399" width="18.7109375" style="58" customWidth="1"/>
    <col min="6400" max="6408" width="14" style="58" customWidth="1"/>
    <col min="6409" max="6409" width="13" style="58" bestFit="1" customWidth="1"/>
    <col min="6410" max="6410" width="14.5703125" style="58" bestFit="1" customWidth="1"/>
    <col min="6411" max="6411" width="12.140625" style="58" bestFit="1" customWidth="1"/>
    <col min="6412" max="6422" width="14" style="58" customWidth="1"/>
    <col min="6423" max="6426" width="13.28515625" style="58" customWidth="1"/>
    <col min="6427" max="6651" width="9.140625" style="58"/>
    <col min="6652" max="6652" width="31" style="58" customWidth="1"/>
    <col min="6653" max="6653" width="18.5703125" style="58" customWidth="1"/>
    <col min="6654" max="6654" width="3.85546875" style="58" customWidth="1"/>
    <col min="6655" max="6655" width="18.7109375" style="58" customWidth="1"/>
    <col min="6656" max="6664" width="14" style="58" customWidth="1"/>
    <col min="6665" max="6665" width="13" style="58" bestFit="1" customWidth="1"/>
    <col min="6666" max="6666" width="14.5703125" style="58" bestFit="1" customWidth="1"/>
    <col min="6667" max="6667" width="12.140625" style="58" bestFit="1" customWidth="1"/>
    <col min="6668" max="6678" width="14" style="58" customWidth="1"/>
    <col min="6679" max="6682" width="13.28515625" style="58" customWidth="1"/>
    <col min="6683" max="6907" width="9.140625" style="58"/>
    <col min="6908" max="6908" width="31" style="58" customWidth="1"/>
    <col min="6909" max="6909" width="18.5703125" style="58" customWidth="1"/>
    <col min="6910" max="6910" width="3.85546875" style="58" customWidth="1"/>
    <col min="6911" max="6911" width="18.7109375" style="58" customWidth="1"/>
    <col min="6912" max="6920" width="14" style="58" customWidth="1"/>
    <col min="6921" max="6921" width="13" style="58" bestFit="1" customWidth="1"/>
    <col min="6922" max="6922" width="14.5703125" style="58" bestFit="1" customWidth="1"/>
    <col min="6923" max="6923" width="12.140625" style="58" bestFit="1" customWidth="1"/>
    <col min="6924" max="6934" width="14" style="58" customWidth="1"/>
    <col min="6935" max="6938" width="13.28515625" style="58" customWidth="1"/>
    <col min="6939" max="7163" width="9.140625" style="58"/>
    <col min="7164" max="7164" width="31" style="58" customWidth="1"/>
    <col min="7165" max="7165" width="18.5703125" style="58" customWidth="1"/>
    <col min="7166" max="7166" width="3.85546875" style="58" customWidth="1"/>
    <col min="7167" max="7167" width="18.7109375" style="58" customWidth="1"/>
    <col min="7168" max="7176" width="14" style="58" customWidth="1"/>
    <col min="7177" max="7177" width="13" style="58" bestFit="1" customWidth="1"/>
    <col min="7178" max="7178" width="14.5703125" style="58" bestFit="1" customWidth="1"/>
    <col min="7179" max="7179" width="12.140625" style="58" bestFit="1" customWidth="1"/>
    <col min="7180" max="7190" width="14" style="58" customWidth="1"/>
    <col min="7191" max="7194" width="13.28515625" style="58" customWidth="1"/>
    <col min="7195" max="7419" width="9.140625" style="58"/>
    <col min="7420" max="7420" width="31" style="58" customWidth="1"/>
    <col min="7421" max="7421" width="18.5703125" style="58" customWidth="1"/>
    <col min="7422" max="7422" width="3.85546875" style="58" customWidth="1"/>
    <col min="7423" max="7423" width="18.7109375" style="58" customWidth="1"/>
    <col min="7424" max="7432" width="14" style="58" customWidth="1"/>
    <col min="7433" max="7433" width="13" style="58" bestFit="1" customWidth="1"/>
    <col min="7434" max="7434" width="14.5703125" style="58" bestFit="1" customWidth="1"/>
    <col min="7435" max="7435" width="12.140625" style="58" bestFit="1" customWidth="1"/>
    <col min="7436" max="7446" width="14" style="58" customWidth="1"/>
    <col min="7447" max="7450" width="13.28515625" style="58" customWidth="1"/>
    <col min="7451" max="7675" width="9.140625" style="58"/>
    <col min="7676" max="7676" width="31" style="58" customWidth="1"/>
    <col min="7677" max="7677" width="18.5703125" style="58" customWidth="1"/>
    <col min="7678" max="7678" width="3.85546875" style="58" customWidth="1"/>
    <col min="7679" max="7679" width="18.7109375" style="58" customWidth="1"/>
    <col min="7680" max="7688" width="14" style="58" customWidth="1"/>
    <col min="7689" max="7689" width="13" style="58" bestFit="1" customWidth="1"/>
    <col min="7690" max="7690" width="14.5703125" style="58" bestFit="1" customWidth="1"/>
    <col min="7691" max="7691" width="12.140625" style="58" bestFit="1" customWidth="1"/>
    <col min="7692" max="7702" width="14" style="58" customWidth="1"/>
    <col min="7703" max="7706" width="13.28515625" style="58" customWidth="1"/>
    <col min="7707" max="7931" width="9.140625" style="58"/>
    <col min="7932" max="7932" width="31" style="58" customWidth="1"/>
    <col min="7933" max="7933" width="18.5703125" style="58" customWidth="1"/>
    <col min="7934" max="7934" width="3.85546875" style="58" customWidth="1"/>
    <col min="7935" max="7935" width="18.7109375" style="58" customWidth="1"/>
    <col min="7936" max="7944" width="14" style="58" customWidth="1"/>
    <col min="7945" max="7945" width="13" style="58" bestFit="1" customWidth="1"/>
    <col min="7946" max="7946" width="14.5703125" style="58" bestFit="1" customWidth="1"/>
    <col min="7947" max="7947" width="12.140625" style="58" bestFit="1" customWidth="1"/>
    <col min="7948" max="7958" width="14" style="58" customWidth="1"/>
    <col min="7959" max="7962" width="13.28515625" style="58" customWidth="1"/>
    <col min="7963" max="8187" width="9.140625" style="58"/>
    <col min="8188" max="8188" width="31" style="58" customWidth="1"/>
    <col min="8189" max="8189" width="18.5703125" style="58" customWidth="1"/>
    <col min="8190" max="8190" width="3.85546875" style="58" customWidth="1"/>
    <col min="8191" max="8191" width="18.7109375" style="58" customWidth="1"/>
    <col min="8192" max="8200" width="14" style="58" customWidth="1"/>
    <col min="8201" max="8201" width="13" style="58" bestFit="1" customWidth="1"/>
    <col min="8202" max="8202" width="14.5703125" style="58" bestFit="1" customWidth="1"/>
    <col min="8203" max="8203" width="12.140625" style="58" bestFit="1" customWidth="1"/>
    <col min="8204" max="8214" width="14" style="58" customWidth="1"/>
    <col min="8215" max="8218" width="13.28515625" style="58" customWidth="1"/>
    <col min="8219" max="8443" width="9.140625" style="58"/>
    <col min="8444" max="8444" width="31" style="58" customWidth="1"/>
    <col min="8445" max="8445" width="18.5703125" style="58" customWidth="1"/>
    <col min="8446" max="8446" width="3.85546875" style="58" customWidth="1"/>
    <col min="8447" max="8447" width="18.7109375" style="58" customWidth="1"/>
    <col min="8448" max="8456" width="14" style="58" customWidth="1"/>
    <col min="8457" max="8457" width="13" style="58" bestFit="1" customWidth="1"/>
    <col min="8458" max="8458" width="14.5703125" style="58" bestFit="1" customWidth="1"/>
    <col min="8459" max="8459" width="12.140625" style="58" bestFit="1" customWidth="1"/>
    <col min="8460" max="8470" width="14" style="58" customWidth="1"/>
    <col min="8471" max="8474" width="13.28515625" style="58" customWidth="1"/>
    <col min="8475" max="8699" width="9.140625" style="58"/>
    <col min="8700" max="8700" width="31" style="58" customWidth="1"/>
    <col min="8701" max="8701" width="18.5703125" style="58" customWidth="1"/>
    <col min="8702" max="8702" width="3.85546875" style="58" customWidth="1"/>
    <col min="8703" max="8703" width="18.7109375" style="58" customWidth="1"/>
    <col min="8704" max="8712" width="14" style="58" customWidth="1"/>
    <col min="8713" max="8713" width="13" style="58" bestFit="1" customWidth="1"/>
    <col min="8714" max="8714" width="14.5703125" style="58" bestFit="1" customWidth="1"/>
    <col min="8715" max="8715" width="12.140625" style="58" bestFit="1" customWidth="1"/>
    <col min="8716" max="8726" width="14" style="58" customWidth="1"/>
    <col min="8727" max="8730" width="13.28515625" style="58" customWidth="1"/>
    <col min="8731" max="8955" width="9.140625" style="58"/>
    <col min="8956" max="8956" width="31" style="58" customWidth="1"/>
    <col min="8957" max="8957" width="18.5703125" style="58" customWidth="1"/>
    <col min="8958" max="8958" width="3.85546875" style="58" customWidth="1"/>
    <col min="8959" max="8959" width="18.7109375" style="58" customWidth="1"/>
    <col min="8960" max="8968" width="14" style="58" customWidth="1"/>
    <col min="8969" max="8969" width="13" style="58" bestFit="1" customWidth="1"/>
    <col min="8970" max="8970" width="14.5703125" style="58" bestFit="1" customWidth="1"/>
    <col min="8971" max="8971" width="12.140625" style="58" bestFit="1" customWidth="1"/>
    <col min="8972" max="8982" width="14" style="58" customWidth="1"/>
    <col min="8983" max="8986" width="13.28515625" style="58" customWidth="1"/>
    <col min="8987" max="9211" width="9.140625" style="58"/>
    <col min="9212" max="9212" width="31" style="58" customWidth="1"/>
    <col min="9213" max="9213" width="18.5703125" style="58" customWidth="1"/>
    <col min="9214" max="9214" width="3.85546875" style="58" customWidth="1"/>
    <col min="9215" max="9215" width="18.7109375" style="58" customWidth="1"/>
    <col min="9216" max="9224" width="14" style="58" customWidth="1"/>
    <col min="9225" max="9225" width="13" style="58" bestFit="1" customWidth="1"/>
    <col min="9226" max="9226" width="14.5703125" style="58" bestFit="1" customWidth="1"/>
    <col min="9227" max="9227" width="12.140625" style="58" bestFit="1" customWidth="1"/>
    <col min="9228" max="9238" width="14" style="58" customWidth="1"/>
    <col min="9239" max="9242" width="13.28515625" style="58" customWidth="1"/>
    <col min="9243" max="9467" width="9.140625" style="58"/>
    <col min="9468" max="9468" width="31" style="58" customWidth="1"/>
    <col min="9469" max="9469" width="18.5703125" style="58" customWidth="1"/>
    <col min="9470" max="9470" width="3.85546875" style="58" customWidth="1"/>
    <col min="9471" max="9471" width="18.7109375" style="58" customWidth="1"/>
    <col min="9472" max="9480" width="14" style="58" customWidth="1"/>
    <col min="9481" max="9481" width="13" style="58" bestFit="1" customWidth="1"/>
    <col min="9482" max="9482" width="14.5703125" style="58" bestFit="1" customWidth="1"/>
    <col min="9483" max="9483" width="12.140625" style="58" bestFit="1" customWidth="1"/>
    <col min="9484" max="9494" width="14" style="58" customWidth="1"/>
    <col min="9495" max="9498" width="13.28515625" style="58" customWidth="1"/>
    <col min="9499" max="9723" width="9.140625" style="58"/>
    <col min="9724" max="9724" width="31" style="58" customWidth="1"/>
    <col min="9725" max="9725" width="18.5703125" style="58" customWidth="1"/>
    <col min="9726" max="9726" width="3.85546875" style="58" customWidth="1"/>
    <col min="9727" max="9727" width="18.7109375" style="58" customWidth="1"/>
    <col min="9728" max="9736" width="14" style="58" customWidth="1"/>
    <col min="9737" max="9737" width="13" style="58" bestFit="1" customWidth="1"/>
    <col min="9738" max="9738" width="14.5703125" style="58" bestFit="1" customWidth="1"/>
    <col min="9739" max="9739" width="12.140625" style="58" bestFit="1" customWidth="1"/>
    <col min="9740" max="9750" width="14" style="58" customWidth="1"/>
    <col min="9751" max="9754" width="13.28515625" style="58" customWidth="1"/>
    <col min="9755" max="9979" width="9.140625" style="58"/>
    <col min="9980" max="9980" width="31" style="58" customWidth="1"/>
    <col min="9981" max="9981" width="18.5703125" style="58" customWidth="1"/>
    <col min="9982" max="9982" width="3.85546875" style="58" customWidth="1"/>
    <col min="9983" max="9983" width="18.7109375" style="58" customWidth="1"/>
    <col min="9984" max="9992" width="14" style="58" customWidth="1"/>
    <col min="9993" max="9993" width="13" style="58" bestFit="1" customWidth="1"/>
    <col min="9994" max="9994" width="14.5703125" style="58" bestFit="1" customWidth="1"/>
    <col min="9995" max="9995" width="12.140625" style="58" bestFit="1" customWidth="1"/>
    <col min="9996" max="10006" width="14" style="58" customWidth="1"/>
    <col min="10007" max="10010" width="13.28515625" style="58" customWidth="1"/>
    <col min="10011" max="10235" width="9.140625" style="58"/>
    <col min="10236" max="10236" width="31" style="58" customWidth="1"/>
    <col min="10237" max="10237" width="18.5703125" style="58" customWidth="1"/>
    <col min="10238" max="10238" width="3.85546875" style="58" customWidth="1"/>
    <col min="10239" max="10239" width="18.7109375" style="58" customWidth="1"/>
    <col min="10240" max="10248" width="14" style="58" customWidth="1"/>
    <col min="10249" max="10249" width="13" style="58" bestFit="1" customWidth="1"/>
    <col min="10250" max="10250" width="14.5703125" style="58" bestFit="1" customWidth="1"/>
    <col min="10251" max="10251" width="12.140625" style="58" bestFit="1" customWidth="1"/>
    <col min="10252" max="10262" width="14" style="58" customWidth="1"/>
    <col min="10263" max="10266" width="13.28515625" style="58" customWidth="1"/>
    <col min="10267" max="10491" width="9.140625" style="58"/>
    <col min="10492" max="10492" width="31" style="58" customWidth="1"/>
    <col min="10493" max="10493" width="18.5703125" style="58" customWidth="1"/>
    <col min="10494" max="10494" width="3.85546875" style="58" customWidth="1"/>
    <col min="10495" max="10495" width="18.7109375" style="58" customWidth="1"/>
    <col min="10496" max="10504" width="14" style="58" customWidth="1"/>
    <col min="10505" max="10505" width="13" style="58" bestFit="1" customWidth="1"/>
    <col min="10506" max="10506" width="14.5703125" style="58" bestFit="1" customWidth="1"/>
    <col min="10507" max="10507" width="12.140625" style="58" bestFit="1" customWidth="1"/>
    <col min="10508" max="10518" width="14" style="58" customWidth="1"/>
    <col min="10519" max="10522" width="13.28515625" style="58" customWidth="1"/>
    <col min="10523" max="10747" width="9.140625" style="58"/>
    <col min="10748" max="10748" width="31" style="58" customWidth="1"/>
    <col min="10749" max="10749" width="18.5703125" style="58" customWidth="1"/>
    <col min="10750" max="10750" width="3.85546875" style="58" customWidth="1"/>
    <col min="10751" max="10751" width="18.7109375" style="58" customWidth="1"/>
    <col min="10752" max="10760" width="14" style="58" customWidth="1"/>
    <col min="10761" max="10761" width="13" style="58" bestFit="1" customWidth="1"/>
    <col min="10762" max="10762" width="14.5703125" style="58" bestFit="1" customWidth="1"/>
    <col min="10763" max="10763" width="12.140625" style="58" bestFit="1" customWidth="1"/>
    <col min="10764" max="10774" width="14" style="58" customWidth="1"/>
    <col min="10775" max="10778" width="13.28515625" style="58" customWidth="1"/>
    <col min="10779" max="11003" width="9.140625" style="58"/>
    <col min="11004" max="11004" width="31" style="58" customWidth="1"/>
    <col min="11005" max="11005" width="18.5703125" style="58" customWidth="1"/>
    <col min="11006" max="11006" width="3.85546875" style="58" customWidth="1"/>
    <col min="11007" max="11007" width="18.7109375" style="58" customWidth="1"/>
    <col min="11008" max="11016" width="14" style="58" customWidth="1"/>
    <col min="11017" max="11017" width="13" style="58" bestFit="1" customWidth="1"/>
    <col min="11018" max="11018" width="14.5703125" style="58" bestFit="1" customWidth="1"/>
    <col min="11019" max="11019" width="12.140625" style="58" bestFit="1" customWidth="1"/>
    <col min="11020" max="11030" width="14" style="58" customWidth="1"/>
    <col min="11031" max="11034" width="13.28515625" style="58" customWidth="1"/>
    <col min="11035" max="11259" width="9.140625" style="58"/>
    <col min="11260" max="11260" width="31" style="58" customWidth="1"/>
    <col min="11261" max="11261" width="18.5703125" style="58" customWidth="1"/>
    <col min="11262" max="11262" width="3.85546875" style="58" customWidth="1"/>
    <col min="11263" max="11263" width="18.7109375" style="58" customWidth="1"/>
    <col min="11264" max="11272" width="14" style="58" customWidth="1"/>
    <col min="11273" max="11273" width="13" style="58" bestFit="1" customWidth="1"/>
    <col min="11274" max="11274" width="14.5703125" style="58" bestFit="1" customWidth="1"/>
    <col min="11275" max="11275" width="12.140625" style="58" bestFit="1" customWidth="1"/>
    <col min="11276" max="11286" width="14" style="58" customWidth="1"/>
    <col min="11287" max="11290" width="13.28515625" style="58" customWidth="1"/>
    <col min="11291" max="11515" width="9.140625" style="58"/>
    <col min="11516" max="11516" width="31" style="58" customWidth="1"/>
    <col min="11517" max="11517" width="18.5703125" style="58" customWidth="1"/>
    <col min="11518" max="11518" width="3.85546875" style="58" customWidth="1"/>
    <col min="11519" max="11519" width="18.7109375" style="58" customWidth="1"/>
    <col min="11520" max="11528" width="14" style="58" customWidth="1"/>
    <col min="11529" max="11529" width="13" style="58" bestFit="1" customWidth="1"/>
    <col min="11530" max="11530" width="14.5703125" style="58" bestFit="1" customWidth="1"/>
    <col min="11531" max="11531" width="12.140625" style="58" bestFit="1" customWidth="1"/>
    <col min="11532" max="11542" width="14" style="58" customWidth="1"/>
    <col min="11543" max="11546" width="13.28515625" style="58" customWidth="1"/>
    <col min="11547" max="11771" width="9.140625" style="58"/>
    <col min="11772" max="11772" width="31" style="58" customWidth="1"/>
    <col min="11773" max="11773" width="18.5703125" style="58" customWidth="1"/>
    <col min="11774" max="11774" width="3.85546875" style="58" customWidth="1"/>
    <col min="11775" max="11775" width="18.7109375" style="58" customWidth="1"/>
    <col min="11776" max="11784" width="14" style="58" customWidth="1"/>
    <col min="11785" max="11785" width="13" style="58" bestFit="1" customWidth="1"/>
    <col min="11786" max="11786" width="14.5703125" style="58" bestFit="1" customWidth="1"/>
    <col min="11787" max="11787" width="12.140625" style="58" bestFit="1" customWidth="1"/>
    <col min="11788" max="11798" width="14" style="58" customWidth="1"/>
    <col min="11799" max="11802" width="13.28515625" style="58" customWidth="1"/>
    <col min="11803" max="12027" width="9.140625" style="58"/>
    <col min="12028" max="12028" width="31" style="58" customWidth="1"/>
    <col min="12029" max="12029" width="18.5703125" style="58" customWidth="1"/>
    <col min="12030" max="12030" width="3.85546875" style="58" customWidth="1"/>
    <col min="12031" max="12031" width="18.7109375" style="58" customWidth="1"/>
    <col min="12032" max="12040" width="14" style="58" customWidth="1"/>
    <col min="12041" max="12041" width="13" style="58" bestFit="1" customWidth="1"/>
    <col min="12042" max="12042" width="14.5703125" style="58" bestFit="1" customWidth="1"/>
    <col min="12043" max="12043" width="12.140625" style="58" bestFit="1" customWidth="1"/>
    <col min="12044" max="12054" width="14" style="58" customWidth="1"/>
    <col min="12055" max="12058" width="13.28515625" style="58" customWidth="1"/>
    <col min="12059" max="12283" width="9.140625" style="58"/>
    <col min="12284" max="12284" width="31" style="58" customWidth="1"/>
    <col min="12285" max="12285" width="18.5703125" style="58" customWidth="1"/>
    <col min="12286" max="12286" width="3.85546875" style="58" customWidth="1"/>
    <col min="12287" max="12287" width="18.7109375" style="58" customWidth="1"/>
    <col min="12288" max="12296" width="14" style="58" customWidth="1"/>
    <col min="12297" max="12297" width="13" style="58" bestFit="1" customWidth="1"/>
    <col min="12298" max="12298" width="14.5703125" style="58" bestFit="1" customWidth="1"/>
    <col min="12299" max="12299" width="12.140625" style="58" bestFit="1" customWidth="1"/>
    <col min="12300" max="12310" width="14" style="58" customWidth="1"/>
    <col min="12311" max="12314" width="13.28515625" style="58" customWidth="1"/>
    <col min="12315" max="12539" width="9.140625" style="58"/>
    <col min="12540" max="12540" width="31" style="58" customWidth="1"/>
    <col min="12541" max="12541" width="18.5703125" style="58" customWidth="1"/>
    <col min="12542" max="12542" width="3.85546875" style="58" customWidth="1"/>
    <col min="12543" max="12543" width="18.7109375" style="58" customWidth="1"/>
    <col min="12544" max="12552" width="14" style="58" customWidth="1"/>
    <col min="12553" max="12553" width="13" style="58" bestFit="1" customWidth="1"/>
    <col min="12554" max="12554" width="14.5703125" style="58" bestFit="1" customWidth="1"/>
    <col min="12555" max="12555" width="12.140625" style="58" bestFit="1" customWidth="1"/>
    <col min="12556" max="12566" width="14" style="58" customWidth="1"/>
    <col min="12567" max="12570" width="13.28515625" style="58" customWidth="1"/>
    <col min="12571" max="12795" width="9.140625" style="58"/>
    <col min="12796" max="12796" width="31" style="58" customWidth="1"/>
    <col min="12797" max="12797" width="18.5703125" style="58" customWidth="1"/>
    <col min="12798" max="12798" width="3.85546875" style="58" customWidth="1"/>
    <col min="12799" max="12799" width="18.7109375" style="58" customWidth="1"/>
    <col min="12800" max="12808" width="14" style="58" customWidth="1"/>
    <col min="12809" max="12809" width="13" style="58" bestFit="1" customWidth="1"/>
    <col min="12810" max="12810" width="14.5703125" style="58" bestFit="1" customWidth="1"/>
    <col min="12811" max="12811" width="12.140625" style="58" bestFit="1" customWidth="1"/>
    <col min="12812" max="12822" width="14" style="58" customWidth="1"/>
    <col min="12823" max="12826" width="13.28515625" style="58" customWidth="1"/>
    <col min="12827" max="13051" width="9.140625" style="58"/>
    <col min="13052" max="13052" width="31" style="58" customWidth="1"/>
    <col min="13053" max="13053" width="18.5703125" style="58" customWidth="1"/>
    <col min="13054" max="13054" width="3.85546875" style="58" customWidth="1"/>
    <col min="13055" max="13055" width="18.7109375" style="58" customWidth="1"/>
    <col min="13056" max="13064" width="14" style="58" customWidth="1"/>
    <col min="13065" max="13065" width="13" style="58" bestFit="1" customWidth="1"/>
    <col min="13066" max="13066" width="14.5703125" style="58" bestFit="1" customWidth="1"/>
    <col min="13067" max="13067" width="12.140625" style="58" bestFit="1" customWidth="1"/>
    <col min="13068" max="13078" width="14" style="58" customWidth="1"/>
    <col min="13079" max="13082" width="13.28515625" style="58" customWidth="1"/>
    <col min="13083" max="13307" width="9.140625" style="58"/>
    <col min="13308" max="13308" width="31" style="58" customWidth="1"/>
    <col min="13309" max="13309" width="18.5703125" style="58" customWidth="1"/>
    <col min="13310" max="13310" width="3.85546875" style="58" customWidth="1"/>
    <col min="13311" max="13311" width="18.7109375" style="58" customWidth="1"/>
    <col min="13312" max="13320" width="14" style="58" customWidth="1"/>
    <col min="13321" max="13321" width="13" style="58" bestFit="1" customWidth="1"/>
    <col min="13322" max="13322" width="14.5703125" style="58" bestFit="1" customWidth="1"/>
    <col min="13323" max="13323" width="12.140625" style="58" bestFit="1" customWidth="1"/>
    <col min="13324" max="13334" width="14" style="58" customWidth="1"/>
    <col min="13335" max="13338" width="13.28515625" style="58" customWidth="1"/>
    <col min="13339" max="13563" width="9.140625" style="58"/>
    <col min="13564" max="13564" width="31" style="58" customWidth="1"/>
    <col min="13565" max="13565" width="18.5703125" style="58" customWidth="1"/>
    <col min="13566" max="13566" width="3.85546875" style="58" customWidth="1"/>
    <col min="13567" max="13567" width="18.7109375" style="58" customWidth="1"/>
    <col min="13568" max="13576" width="14" style="58" customWidth="1"/>
    <col min="13577" max="13577" width="13" style="58" bestFit="1" customWidth="1"/>
    <col min="13578" max="13578" width="14.5703125" style="58" bestFit="1" customWidth="1"/>
    <col min="13579" max="13579" width="12.140625" style="58" bestFit="1" customWidth="1"/>
    <col min="13580" max="13590" width="14" style="58" customWidth="1"/>
    <col min="13591" max="13594" width="13.28515625" style="58" customWidth="1"/>
    <col min="13595" max="13819" width="9.140625" style="58"/>
    <col min="13820" max="13820" width="31" style="58" customWidth="1"/>
    <col min="13821" max="13821" width="18.5703125" style="58" customWidth="1"/>
    <col min="13822" max="13822" width="3.85546875" style="58" customWidth="1"/>
    <col min="13823" max="13823" width="18.7109375" style="58" customWidth="1"/>
    <col min="13824" max="13832" width="14" style="58" customWidth="1"/>
    <col min="13833" max="13833" width="13" style="58" bestFit="1" customWidth="1"/>
    <col min="13834" max="13834" width="14.5703125" style="58" bestFit="1" customWidth="1"/>
    <col min="13835" max="13835" width="12.140625" style="58" bestFit="1" customWidth="1"/>
    <col min="13836" max="13846" width="14" style="58" customWidth="1"/>
    <col min="13847" max="13850" width="13.28515625" style="58" customWidth="1"/>
    <col min="13851" max="14075" width="9.140625" style="58"/>
    <col min="14076" max="14076" width="31" style="58" customWidth="1"/>
    <col min="14077" max="14077" width="18.5703125" style="58" customWidth="1"/>
    <col min="14078" max="14078" width="3.85546875" style="58" customWidth="1"/>
    <col min="14079" max="14079" width="18.7109375" style="58" customWidth="1"/>
    <col min="14080" max="14088" width="14" style="58" customWidth="1"/>
    <col min="14089" max="14089" width="13" style="58" bestFit="1" customWidth="1"/>
    <col min="14090" max="14090" width="14.5703125" style="58" bestFit="1" customWidth="1"/>
    <col min="14091" max="14091" width="12.140625" style="58" bestFit="1" customWidth="1"/>
    <col min="14092" max="14102" width="14" style="58" customWidth="1"/>
    <col min="14103" max="14106" width="13.28515625" style="58" customWidth="1"/>
    <col min="14107" max="14331" width="9.140625" style="58"/>
    <col min="14332" max="14332" width="31" style="58" customWidth="1"/>
    <col min="14333" max="14333" width="18.5703125" style="58" customWidth="1"/>
    <col min="14334" max="14334" width="3.85546875" style="58" customWidth="1"/>
    <col min="14335" max="14335" width="18.7109375" style="58" customWidth="1"/>
    <col min="14336" max="14344" width="14" style="58" customWidth="1"/>
    <col min="14345" max="14345" width="13" style="58" bestFit="1" customWidth="1"/>
    <col min="14346" max="14346" width="14.5703125" style="58" bestFit="1" customWidth="1"/>
    <col min="14347" max="14347" width="12.140625" style="58" bestFit="1" customWidth="1"/>
    <col min="14348" max="14358" width="14" style="58" customWidth="1"/>
    <col min="14359" max="14362" width="13.28515625" style="58" customWidth="1"/>
    <col min="14363" max="14587" width="9.140625" style="58"/>
    <col min="14588" max="14588" width="31" style="58" customWidth="1"/>
    <col min="14589" max="14589" width="18.5703125" style="58" customWidth="1"/>
    <col min="14590" max="14590" width="3.85546875" style="58" customWidth="1"/>
    <col min="14591" max="14591" width="18.7109375" style="58" customWidth="1"/>
    <col min="14592" max="14600" width="14" style="58" customWidth="1"/>
    <col min="14601" max="14601" width="13" style="58" bestFit="1" customWidth="1"/>
    <col min="14602" max="14602" width="14.5703125" style="58" bestFit="1" customWidth="1"/>
    <col min="14603" max="14603" width="12.140625" style="58" bestFit="1" customWidth="1"/>
    <col min="14604" max="14614" width="14" style="58" customWidth="1"/>
    <col min="14615" max="14618" width="13.28515625" style="58" customWidth="1"/>
    <col min="14619" max="14843" width="9.140625" style="58"/>
    <col min="14844" max="14844" width="31" style="58" customWidth="1"/>
    <col min="14845" max="14845" width="18.5703125" style="58" customWidth="1"/>
    <col min="14846" max="14846" width="3.85546875" style="58" customWidth="1"/>
    <col min="14847" max="14847" width="18.7109375" style="58" customWidth="1"/>
    <col min="14848" max="14856" width="14" style="58" customWidth="1"/>
    <col min="14857" max="14857" width="13" style="58" bestFit="1" customWidth="1"/>
    <col min="14858" max="14858" width="14.5703125" style="58" bestFit="1" customWidth="1"/>
    <col min="14859" max="14859" width="12.140625" style="58" bestFit="1" customWidth="1"/>
    <col min="14860" max="14870" width="14" style="58" customWidth="1"/>
    <col min="14871" max="14874" width="13.28515625" style="58" customWidth="1"/>
    <col min="14875" max="15099" width="9.140625" style="58"/>
    <col min="15100" max="15100" width="31" style="58" customWidth="1"/>
    <col min="15101" max="15101" width="18.5703125" style="58" customWidth="1"/>
    <col min="15102" max="15102" width="3.85546875" style="58" customWidth="1"/>
    <col min="15103" max="15103" width="18.7109375" style="58" customWidth="1"/>
    <col min="15104" max="15112" width="14" style="58" customWidth="1"/>
    <col min="15113" max="15113" width="13" style="58" bestFit="1" customWidth="1"/>
    <col min="15114" max="15114" width="14.5703125" style="58" bestFit="1" customWidth="1"/>
    <col min="15115" max="15115" width="12.140625" style="58" bestFit="1" customWidth="1"/>
    <col min="15116" max="15126" width="14" style="58" customWidth="1"/>
    <col min="15127" max="15130" width="13.28515625" style="58" customWidth="1"/>
    <col min="15131" max="15355" width="9.140625" style="58"/>
    <col min="15356" max="15356" width="31" style="58" customWidth="1"/>
    <col min="15357" max="15357" width="18.5703125" style="58" customWidth="1"/>
    <col min="15358" max="15358" width="3.85546875" style="58" customWidth="1"/>
    <col min="15359" max="15359" width="18.7109375" style="58" customWidth="1"/>
    <col min="15360" max="15368" width="14" style="58" customWidth="1"/>
    <col min="15369" max="15369" width="13" style="58" bestFit="1" customWidth="1"/>
    <col min="15370" max="15370" width="14.5703125" style="58" bestFit="1" customWidth="1"/>
    <col min="15371" max="15371" width="12.140625" style="58" bestFit="1" customWidth="1"/>
    <col min="15372" max="15382" width="14" style="58" customWidth="1"/>
    <col min="15383" max="15386" width="13.28515625" style="58" customWidth="1"/>
    <col min="15387" max="15611" width="9.140625" style="58"/>
    <col min="15612" max="15612" width="31" style="58" customWidth="1"/>
    <col min="15613" max="15613" width="18.5703125" style="58" customWidth="1"/>
    <col min="15614" max="15614" width="3.85546875" style="58" customWidth="1"/>
    <col min="15615" max="15615" width="18.7109375" style="58" customWidth="1"/>
    <col min="15616" max="15624" width="14" style="58" customWidth="1"/>
    <col min="15625" max="15625" width="13" style="58" bestFit="1" customWidth="1"/>
    <col min="15626" max="15626" width="14.5703125" style="58" bestFit="1" customWidth="1"/>
    <col min="15627" max="15627" width="12.140625" style="58" bestFit="1" customWidth="1"/>
    <col min="15628" max="15638" width="14" style="58" customWidth="1"/>
    <col min="15639" max="15642" width="13.28515625" style="58" customWidth="1"/>
    <col min="15643" max="15867" width="9.140625" style="58"/>
    <col min="15868" max="15868" width="31" style="58" customWidth="1"/>
    <col min="15869" max="15869" width="18.5703125" style="58" customWidth="1"/>
    <col min="15870" max="15870" width="3.85546875" style="58" customWidth="1"/>
    <col min="15871" max="15871" width="18.7109375" style="58" customWidth="1"/>
    <col min="15872" max="15880" width="14" style="58" customWidth="1"/>
    <col min="15881" max="15881" width="13" style="58" bestFit="1" customWidth="1"/>
    <col min="15882" max="15882" width="14.5703125" style="58" bestFit="1" customWidth="1"/>
    <col min="15883" max="15883" width="12.140625" style="58" bestFit="1" customWidth="1"/>
    <col min="15884" max="15894" width="14" style="58" customWidth="1"/>
    <col min="15895" max="15898" width="13.28515625" style="58" customWidth="1"/>
    <col min="15899" max="16123" width="9.140625" style="58"/>
    <col min="16124" max="16124" width="31" style="58" customWidth="1"/>
    <col min="16125" max="16125" width="18.5703125" style="58" customWidth="1"/>
    <col min="16126" max="16126" width="3.85546875" style="58" customWidth="1"/>
    <col min="16127" max="16127" width="18.7109375" style="58" customWidth="1"/>
    <col min="16128" max="16136" width="14" style="58" customWidth="1"/>
    <col min="16137" max="16137" width="13" style="58" bestFit="1" customWidth="1"/>
    <col min="16138" max="16138" width="14.5703125" style="58" bestFit="1" customWidth="1"/>
    <col min="16139" max="16139" width="12.140625" style="58" bestFit="1" customWidth="1"/>
    <col min="16140" max="16150" width="14" style="58" customWidth="1"/>
    <col min="16151" max="16154" width="13.28515625" style="58" customWidth="1"/>
    <col min="16155" max="16384" width="9.140625" style="58"/>
  </cols>
  <sheetData>
    <row r="1" spans="1:21" x14ac:dyDescent="0.2">
      <c r="D1" s="58"/>
      <c r="E1" s="58"/>
      <c r="F1" s="58"/>
    </row>
    <row r="2" spans="1:21" x14ac:dyDescent="0.2">
      <c r="D2" s="58"/>
      <c r="E2" s="58"/>
      <c r="F2" s="58"/>
      <c r="Q2"/>
      <c r="R2"/>
      <c r="S2"/>
      <c r="T2"/>
      <c r="U2"/>
    </row>
    <row r="3" spans="1:21" s="60" customFormat="1" ht="15.75" customHeight="1" x14ac:dyDescent="0.2">
      <c r="A3" s="144" t="s">
        <v>107</v>
      </c>
      <c r="B3" s="144"/>
      <c r="C3" s="144"/>
      <c r="D3" s="144"/>
      <c r="E3" s="144"/>
      <c r="F3" s="144"/>
      <c r="G3" s="144"/>
      <c r="H3" s="144"/>
      <c r="I3"/>
      <c r="J3"/>
      <c r="K3"/>
      <c r="L3"/>
    </row>
    <row r="4" spans="1:21" ht="44.25" customHeight="1" x14ac:dyDescent="0.2">
      <c r="A4" s="124" t="s">
        <v>67</v>
      </c>
      <c r="B4" s="124" t="s">
        <v>60</v>
      </c>
      <c r="C4" s="124" t="s">
        <v>68</v>
      </c>
      <c r="D4" s="124" t="s">
        <v>69</v>
      </c>
      <c r="E4" s="124" t="s">
        <v>70</v>
      </c>
      <c r="F4" s="124" t="s">
        <v>71</v>
      </c>
      <c r="G4" s="124" t="s">
        <v>72</v>
      </c>
      <c r="H4" s="124" t="s">
        <v>119</v>
      </c>
      <c r="I4"/>
      <c r="J4"/>
      <c r="K4"/>
      <c r="L4"/>
      <c r="M4" s="58"/>
      <c r="N4" s="58"/>
    </row>
    <row r="5" spans="1:21" x14ac:dyDescent="0.2">
      <c r="A5" s="127">
        <v>2014</v>
      </c>
      <c r="B5" s="125">
        <f>AVERAGE($G$24:$G$35)</f>
        <v>20472.166666666668</v>
      </c>
      <c r="C5" s="125">
        <f>AVERAGE($I$24:$I$35)</f>
        <v>1742.8333333333333</v>
      </c>
      <c r="D5" s="125">
        <f>AVERAGE($L$24:$L$35)</f>
        <v>165.33333333333334</v>
      </c>
      <c r="E5" s="126">
        <f>AVERAGE($O$24:$O$35)</f>
        <v>519.16666666666663</v>
      </c>
      <c r="F5" s="125">
        <f>AVERAGE($R$24:$R$35)</f>
        <v>6784.333333333333</v>
      </c>
      <c r="G5" s="125">
        <f>AVERAGE($U$24:$U$35)</f>
        <v>259.33333333333331</v>
      </c>
      <c r="H5" s="125">
        <f>AVERAGE($X$24:$X$35)</f>
        <v>1</v>
      </c>
      <c r="I5" s="43"/>
      <c r="J5"/>
      <c r="K5"/>
      <c r="L5"/>
      <c r="M5" s="58"/>
      <c r="N5" s="58"/>
    </row>
    <row r="6" spans="1:21" x14ac:dyDescent="0.2">
      <c r="A6" s="127">
        <v>2015</v>
      </c>
      <c r="B6" s="125">
        <f>AVERAGE($G$36:$G$47)</f>
        <v>20635.5</v>
      </c>
      <c r="C6" s="125">
        <f>AVERAGE($I$36:$I$47)</f>
        <v>1769.0833333333333</v>
      </c>
      <c r="D6" s="125">
        <f>AVERAGE($L$36:$L$47)</f>
        <v>158.83333333333334</v>
      </c>
      <c r="E6" s="125">
        <f>AVERAGE($O$36:$O$47)</f>
        <v>515.08333333333337</v>
      </c>
      <c r="F6" s="125">
        <f>AVERAGE($R$36:$R$47)</f>
        <v>6792.583333333333</v>
      </c>
      <c r="G6" s="125">
        <f>AVERAGE($U$36:$U$47)</f>
        <v>256.66666666666669</v>
      </c>
      <c r="H6" s="125">
        <f>AVERAGE($X$36:$X$47)</f>
        <v>0</v>
      </c>
      <c r="I6" s="43"/>
      <c r="J6"/>
      <c r="K6"/>
      <c r="L6"/>
      <c r="M6" s="58"/>
      <c r="N6" s="58"/>
    </row>
    <row r="7" spans="1:21" x14ac:dyDescent="0.2">
      <c r="A7" s="127">
        <v>2016</v>
      </c>
      <c r="B7" s="125">
        <f>AVERAGE($G$48:$G$59)</f>
        <v>20822.5</v>
      </c>
      <c r="C7" s="125">
        <f>AVERAGE($I$48:$I$59)</f>
        <v>1770.5833333333333</v>
      </c>
      <c r="D7" s="125">
        <f>AVERAGE($L$48:$L$59)</f>
        <v>159</v>
      </c>
      <c r="E7" s="125">
        <f>AVERAGE($O$48:$O$59)</f>
        <v>508.75</v>
      </c>
      <c r="F7" s="125">
        <f>AVERAGE($R$48:$R$59)</f>
        <v>6825</v>
      </c>
      <c r="G7" s="125">
        <f>AVERAGE($U$48:$U$59)</f>
        <v>261.33333333333331</v>
      </c>
      <c r="H7" s="125">
        <f>AVERAGE($X$48:$X$59)</f>
        <v>0</v>
      </c>
      <c r="I7" s="43"/>
      <c r="J7"/>
      <c r="K7"/>
      <c r="L7"/>
      <c r="M7" s="58"/>
      <c r="N7" s="58"/>
    </row>
    <row r="8" spans="1:21" x14ac:dyDescent="0.2">
      <c r="A8" s="127">
        <v>2017</v>
      </c>
      <c r="B8" s="125">
        <f>AVERAGE($G$60:$G$71)</f>
        <v>20986.583333333332</v>
      </c>
      <c r="C8" s="125">
        <f>AVERAGE($I$60:$I$71)</f>
        <v>1791.4166666666667</v>
      </c>
      <c r="D8" s="125">
        <f>AVERAGE($L$60:$L$71)</f>
        <v>159.16666666666666</v>
      </c>
      <c r="E8" s="125">
        <f>AVERAGE($O$60:$O$71)</f>
        <v>500.08333333333331</v>
      </c>
      <c r="F8" s="125">
        <f>AVERAGE($R$60:$R$71)</f>
        <v>6865.333333333333</v>
      </c>
      <c r="G8" s="125">
        <f>AVERAGE($U$60:$U$71)</f>
        <v>261.91666666666669</v>
      </c>
      <c r="H8" s="125">
        <f>AVERAGE($X$60:$X$71)</f>
        <v>0</v>
      </c>
      <c r="I8" s="43"/>
      <c r="J8"/>
      <c r="K8"/>
      <c r="L8"/>
      <c r="M8" s="58"/>
      <c r="N8" s="58"/>
    </row>
    <row r="9" spans="1:21" x14ac:dyDescent="0.2">
      <c r="A9" s="127">
        <v>2018</v>
      </c>
      <c r="B9" s="125">
        <f>AVERAGE($G$72:$G$83)</f>
        <v>21242.333333333332</v>
      </c>
      <c r="C9" s="125">
        <f>AVERAGE($I$72:$I$83)</f>
        <v>1798.25</v>
      </c>
      <c r="D9" s="125">
        <f>AVERAGE($L$72:$L$83)</f>
        <v>164</v>
      </c>
      <c r="E9" s="125">
        <f>AVERAGE($O$72:$O$83)</f>
        <v>486.5</v>
      </c>
      <c r="F9" s="125">
        <f>AVERAGE($R$72:$R$83)</f>
        <v>6956.25</v>
      </c>
      <c r="G9" s="125">
        <f>AVERAGE($U$72:$U$83)</f>
        <v>262.83333333333331</v>
      </c>
      <c r="H9" s="125">
        <f>AVERAGE($X$72:$X$83)</f>
        <v>0</v>
      </c>
      <c r="I9" s="43"/>
      <c r="J9"/>
      <c r="K9"/>
      <c r="L9"/>
      <c r="M9" s="58"/>
      <c r="N9" s="58"/>
    </row>
    <row r="10" spans="1:21" x14ac:dyDescent="0.2">
      <c r="A10" s="127">
        <v>2019</v>
      </c>
      <c r="B10" s="125">
        <f>AVERAGE($G$84:$G$95)</f>
        <v>21580</v>
      </c>
      <c r="C10" s="125">
        <f>AVERAGE($I$84:$I$95)</f>
        <v>1797.3333333333333</v>
      </c>
      <c r="D10" s="125">
        <f>AVERAGE($L$84:$L$95)</f>
        <v>166.16666666666666</v>
      </c>
      <c r="E10" s="125">
        <f>AVERAGE($O$84:$O$95)</f>
        <v>453.58333333333331</v>
      </c>
      <c r="F10" s="125">
        <f>AVERAGE($R$84:$R$95)</f>
        <v>7006.75</v>
      </c>
      <c r="G10" s="125">
        <f>AVERAGE($U$84:$U$95)</f>
        <v>261.83333333333331</v>
      </c>
      <c r="H10" s="125">
        <f>AVERAGE($X$84:$X$95)</f>
        <v>0</v>
      </c>
      <c r="I10" s="43"/>
      <c r="J10"/>
      <c r="K10"/>
      <c r="L10"/>
      <c r="M10" s="58"/>
      <c r="N10" s="58"/>
    </row>
    <row r="11" spans="1:21" x14ac:dyDescent="0.2">
      <c r="A11" s="127">
        <v>2020</v>
      </c>
      <c r="B11" s="125">
        <f>AVERAGE($G$96:$G$107)</f>
        <v>21926.833333333332</v>
      </c>
      <c r="C11" s="125">
        <f>AVERAGE($I$96:$I$107)</f>
        <v>1787.5</v>
      </c>
      <c r="D11" s="125">
        <f>AVERAGE($L$96:$L$107)</f>
        <v>161.08333333333334</v>
      </c>
      <c r="E11" s="125">
        <f>AVERAGE($O$96:$O$107)</f>
        <v>405.75</v>
      </c>
      <c r="F11" s="125">
        <f>AVERAGE($R$96:$R$107)</f>
        <v>7066.75</v>
      </c>
      <c r="G11" s="125">
        <f>AVERAGE($U$96:$U$107)</f>
        <v>258.25</v>
      </c>
      <c r="H11" s="125">
        <f>AVERAGE($X$96:$X$107)</f>
        <v>0</v>
      </c>
      <c r="I11" s="43"/>
      <c r="J11"/>
      <c r="K11"/>
      <c r="L11"/>
      <c r="M11" s="58"/>
      <c r="N11" s="58"/>
    </row>
    <row r="12" spans="1:21" x14ac:dyDescent="0.2">
      <c r="A12" s="127">
        <v>2021</v>
      </c>
      <c r="B12" s="125">
        <f>AVERAGE($G$108:$G$119)</f>
        <v>22395.666666666668</v>
      </c>
      <c r="C12" s="125">
        <f>AVERAGE($I$108:$I$119)</f>
        <v>1836.5</v>
      </c>
      <c r="D12" s="125">
        <f>AVERAGE($L$108:$L$119)</f>
        <v>139.75</v>
      </c>
      <c r="E12" s="125">
        <f>AVERAGE($O$108:$O$119)</f>
        <v>377.66666666666669</v>
      </c>
      <c r="F12" s="125">
        <f>AVERAGE($R$108:$R$119)</f>
        <v>7115.166666666667</v>
      </c>
      <c r="G12" s="125">
        <f>AVERAGE($U$108:$U$119)</f>
        <v>255.83333333333334</v>
      </c>
      <c r="H12" s="125">
        <f>AVERAGE($X$108:$X$119)</f>
        <v>0</v>
      </c>
      <c r="I12" s="43"/>
      <c r="J12"/>
      <c r="K12"/>
      <c r="L12"/>
      <c r="M12" s="58"/>
      <c r="N12" s="58"/>
    </row>
    <row r="13" spans="1:21" x14ac:dyDescent="0.2">
      <c r="A13" s="127">
        <v>2022</v>
      </c>
      <c r="B13" s="125">
        <f>AVERAGE($G$120:$G$131)</f>
        <v>22849</v>
      </c>
      <c r="C13" s="125">
        <f>AVERAGE($I$120:$I$131)</f>
        <v>1838.0833333333333</v>
      </c>
      <c r="D13" s="125">
        <f>AVERAGE($L$120:$L$131)</f>
        <v>138.75</v>
      </c>
      <c r="E13" s="125">
        <f>AVERAGE($O$120:$O$131)</f>
        <v>344.91666666666669</v>
      </c>
      <c r="F13" s="125">
        <f>AVERAGE($R$120:$R$131)</f>
        <v>7186.166666666667</v>
      </c>
      <c r="G13" s="125">
        <f>AVERAGE($U$120:$U$131)</f>
        <v>252.08333333333334</v>
      </c>
      <c r="H13" s="125">
        <f>AVERAGE($X$120:$X$131)</f>
        <v>0</v>
      </c>
      <c r="I13" s="43"/>
      <c r="J13"/>
      <c r="K13"/>
      <c r="L13"/>
      <c r="M13" s="58"/>
      <c r="N13" s="58"/>
    </row>
    <row r="14" spans="1:21" x14ac:dyDescent="0.2">
      <c r="A14" s="127">
        <v>2023</v>
      </c>
      <c r="B14" s="125">
        <f>AVERAGE($G$132:$G$143)</f>
        <v>23410.333333333332</v>
      </c>
      <c r="C14" s="125">
        <f>AVERAGE($I$132:$I$143)</f>
        <v>1845.3333333333333</v>
      </c>
      <c r="D14" s="125">
        <f>AVERAGE($L$132:$L$143)</f>
        <v>142</v>
      </c>
      <c r="E14" s="125">
        <f>AVERAGE($O$132:$O$143)</f>
        <v>341.75</v>
      </c>
      <c r="F14" s="125">
        <f>AVERAGE($R$132:$R$143)</f>
        <v>7335.916666666667</v>
      </c>
      <c r="G14" s="125">
        <f>AVERAGE($U$132:$U$143)</f>
        <v>200.16666666666666</v>
      </c>
      <c r="H14" s="125">
        <f>AVERAGE($X$132:$X$143)</f>
        <v>0</v>
      </c>
      <c r="I14" s="43"/>
      <c r="J14"/>
      <c r="K14"/>
      <c r="L14"/>
      <c r="M14" s="58"/>
      <c r="N14" s="58"/>
    </row>
    <row r="15" spans="1:21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1" x14ac:dyDescent="0.2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6" x14ac:dyDescent="0.2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6" x14ac:dyDescent="0.2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20" spans="1:26" ht="15.75" x14ac:dyDescent="0.2">
      <c r="A20" s="191" t="s">
        <v>74</v>
      </c>
      <c r="B20" s="191"/>
      <c r="C20" s="62"/>
      <c r="D20" s="191" t="s">
        <v>75</v>
      </c>
      <c r="E20" s="191"/>
      <c r="F20" s="191" t="s">
        <v>76</v>
      </c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</row>
    <row r="21" spans="1:26" ht="23.25" thickBot="1" x14ac:dyDescent="0.25">
      <c r="A21" s="128"/>
      <c r="B21" s="128"/>
      <c r="C21" s="64"/>
      <c r="D21" s="129" t="s">
        <v>77</v>
      </c>
      <c r="E21" s="130"/>
      <c r="F21" s="193" t="str">
        <f>B4</f>
        <v>Residential</v>
      </c>
      <c r="G21" s="194"/>
      <c r="H21" s="198" t="str">
        <f>C4</f>
        <v>General Service &lt; 50 kW</v>
      </c>
      <c r="I21" s="194"/>
      <c r="J21" s="198" t="str">
        <f>D4</f>
        <v>General Service &gt; 50 to 4999 kW</v>
      </c>
      <c r="K21" s="193"/>
      <c r="L21" s="194"/>
      <c r="M21" s="198" t="s">
        <v>70</v>
      </c>
      <c r="N21" s="193"/>
      <c r="O21" s="194"/>
      <c r="P21" s="198" t="s">
        <v>71</v>
      </c>
      <c r="Q21" s="193"/>
      <c r="R21" s="194"/>
      <c r="S21" s="192" t="s">
        <v>72</v>
      </c>
      <c r="T21" s="193"/>
      <c r="U21" s="194"/>
      <c r="V21" s="195" t="s">
        <v>119</v>
      </c>
      <c r="W21" s="196"/>
      <c r="X21" s="197" t="s">
        <v>73</v>
      </c>
    </row>
    <row r="22" spans="1:26" ht="34.5" thickBot="1" x14ac:dyDescent="0.25">
      <c r="A22" s="63"/>
      <c r="B22" s="63"/>
      <c r="C22" s="65"/>
      <c r="D22" s="131"/>
      <c r="E22" s="132"/>
      <c r="F22" s="133" t="s">
        <v>49</v>
      </c>
      <c r="G22" s="134" t="s">
        <v>78</v>
      </c>
      <c r="H22" s="131" t="s">
        <v>49</v>
      </c>
      <c r="I22" s="134" t="s">
        <v>78</v>
      </c>
      <c r="J22" s="131" t="s">
        <v>49</v>
      </c>
      <c r="K22" s="135" t="s">
        <v>50</v>
      </c>
      <c r="L22" s="134" t="s">
        <v>78</v>
      </c>
      <c r="M22" s="131" t="s">
        <v>49</v>
      </c>
      <c r="N22" s="135" t="s">
        <v>50</v>
      </c>
      <c r="O22" s="134" t="s">
        <v>79</v>
      </c>
      <c r="P22" s="131" t="s">
        <v>49</v>
      </c>
      <c r="Q22" s="135" t="s">
        <v>50</v>
      </c>
      <c r="R22" s="134" t="s">
        <v>78</v>
      </c>
      <c r="S22" s="131" t="s">
        <v>49</v>
      </c>
      <c r="T22" s="135" t="s">
        <v>50</v>
      </c>
      <c r="U22" s="134" t="s">
        <v>78</v>
      </c>
      <c r="V22" s="136" t="s">
        <v>49</v>
      </c>
      <c r="W22" s="137" t="s">
        <v>50</v>
      </c>
      <c r="X22" s="138" t="s">
        <v>78</v>
      </c>
    </row>
    <row r="23" spans="1:26" x14ac:dyDescent="0.2">
      <c r="A23" s="66" t="s">
        <v>61</v>
      </c>
      <c r="B23" s="66" t="s">
        <v>108</v>
      </c>
      <c r="C23" s="65"/>
      <c r="D23" s="67"/>
      <c r="E23" s="68"/>
      <c r="F23" s="69"/>
      <c r="G23" s="70"/>
      <c r="H23" s="71"/>
      <c r="I23" s="70"/>
      <c r="J23" s="71"/>
      <c r="K23" s="72"/>
      <c r="L23" s="73"/>
      <c r="M23" s="75"/>
      <c r="N23" s="76"/>
      <c r="O23" s="74"/>
      <c r="P23" s="75"/>
      <c r="Q23" s="77"/>
      <c r="R23" s="78"/>
      <c r="S23" s="75"/>
      <c r="T23" s="76"/>
      <c r="U23" s="70"/>
      <c r="V23" s="75"/>
      <c r="W23" s="76"/>
      <c r="X23" s="70"/>
    </row>
    <row r="24" spans="1:26" x14ac:dyDescent="0.2">
      <c r="A24" s="79">
        <v>2014</v>
      </c>
      <c r="B24" s="80" t="s">
        <v>80</v>
      </c>
      <c r="C24" s="81"/>
      <c r="D24" s="82">
        <v>40172298.198266663</v>
      </c>
      <c r="E24" s="82"/>
      <c r="F24" s="83"/>
      <c r="G24" s="84">
        <v>20441</v>
      </c>
      <c r="H24" s="82"/>
      <c r="I24" s="84">
        <v>1718</v>
      </c>
      <c r="J24" s="85"/>
      <c r="K24" s="86"/>
      <c r="L24" s="84">
        <v>169</v>
      </c>
      <c r="M24" s="82"/>
      <c r="N24" s="87"/>
      <c r="O24" s="84">
        <v>526</v>
      </c>
      <c r="P24" s="85"/>
      <c r="Q24" s="88"/>
      <c r="R24" s="84">
        <v>6776</v>
      </c>
      <c r="S24" s="85"/>
      <c r="T24" s="86"/>
      <c r="U24" s="84">
        <v>259</v>
      </c>
      <c r="V24" s="85"/>
      <c r="W24" s="86"/>
      <c r="X24" s="84">
        <v>1</v>
      </c>
      <c r="Z24" s="140"/>
    </row>
    <row r="25" spans="1:26" x14ac:dyDescent="0.2">
      <c r="A25" s="79">
        <v>2014</v>
      </c>
      <c r="B25" s="80" t="s">
        <v>81</v>
      </c>
      <c r="C25" s="89"/>
      <c r="D25" s="90">
        <v>35904108.981466666</v>
      </c>
      <c r="E25" s="90"/>
      <c r="F25" s="91"/>
      <c r="G25" s="92">
        <v>20438</v>
      </c>
      <c r="H25" s="90"/>
      <c r="I25" s="92">
        <v>1718</v>
      </c>
      <c r="J25" s="93"/>
      <c r="K25" s="94"/>
      <c r="L25" s="92">
        <v>169</v>
      </c>
      <c r="M25" s="90"/>
      <c r="N25" s="95"/>
      <c r="O25" s="92">
        <v>520</v>
      </c>
      <c r="P25" s="93"/>
      <c r="Q25" s="96"/>
      <c r="R25" s="92">
        <v>6772</v>
      </c>
      <c r="S25" s="93"/>
      <c r="T25" s="94"/>
      <c r="U25" s="92">
        <v>259</v>
      </c>
      <c r="V25" s="93"/>
      <c r="W25" s="94"/>
      <c r="X25" s="92">
        <v>1</v>
      </c>
      <c r="Z25" s="140"/>
    </row>
    <row r="26" spans="1:26" x14ac:dyDescent="0.2">
      <c r="A26" s="79">
        <v>2014</v>
      </c>
      <c r="B26" s="80" t="s">
        <v>82</v>
      </c>
      <c r="C26" s="89"/>
      <c r="D26" s="90">
        <v>37359874.474666663</v>
      </c>
      <c r="E26" s="90"/>
      <c r="F26" s="91"/>
      <c r="G26" s="92">
        <v>20443</v>
      </c>
      <c r="H26" s="90"/>
      <c r="I26" s="92">
        <v>1727</v>
      </c>
      <c r="J26" s="93"/>
      <c r="K26" s="94"/>
      <c r="L26" s="92">
        <v>169</v>
      </c>
      <c r="M26" s="90"/>
      <c r="N26" s="95"/>
      <c r="O26" s="92">
        <v>520</v>
      </c>
      <c r="P26" s="93"/>
      <c r="Q26" s="96"/>
      <c r="R26" s="92">
        <v>6772</v>
      </c>
      <c r="S26" s="93"/>
      <c r="T26" s="94"/>
      <c r="U26" s="92">
        <v>259</v>
      </c>
      <c r="V26" s="93"/>
      <c r="W26" s="94"/>
      <c r="X26" s="92">
        <v>1</v>
      </c>
      <c r="Z26" s="140"/>
    </row>
    <row r="27" spans="1:26" x14ac:dyDescent="0.2">
      <c r="A27" s="79">
        <v>2014</v>
      </c>
      <c r="B27" s="80" t="s">
        <v>83</v>
      </c>
      <c r="C27" s="89"/>
      <c r="D27" s="90">
        <v>29870903.297066666</v>
      </c>
      <c r="E27" s="90"/>
      <c r="F27" s="91"/>
      <c r="G27" s="92">
        <v>20434</v>
      </c>
      <c r="H27" s="90"/>
      <c r="I27" s="92">
        <v>1729</v>
      </c>
      <c r="J27" s="93"/>
      <c r="K27" s="94"/>
      <c r="L27" s="92">
        <v>170</v>
      </c>
      <c r="M27" s="90"/>
      <c r="N27" s="95"/>
      <c r="O27" s="92">
        <v>520</v>
      </c>
      <c r="P27" s="93"/>
      <c r="Q27" s="96"/>
      <c r="R27" s="92">
        <v>6775</v>
      </c>
      <c r="S27" s="93"/>
      <c r="T27" s="94"/>
      <c r="U27" s="92">
        <v>259</v>
      </c>
      <c r="V27" s="93"/>
      <c r="W27" s="94"/>
      <c r="X27" s="92">
        <v>1</v>
      </c>
      <c r="Z27" s="140"/>
    </row>
    <row r="28" spans="1:26" x14ac:dyDescent="0.2">
      <c r="A28" s="79">
        <v>2014</v>
      </c>
      <c r="B28" s="80" t="s">
        <v>48</v>
      </c>
      <c r="C28" s="89"/>
      <c r="D28" s="90">
        <v>27607357.325866669</v>
      </c>
      <c r="E28" s="90"/>
      <c r="F28" s="91"/>
      <c r="G28" s="92">
        <v>20431</v>
      </c>
      <c r="H28" s="90"/>
      <c r="I28" s="92">
        <v>1739</v>
      </c>
      <c r="J28" s="93"/>
      <c r="K28" s="94"/>
      <c r="L28" s="92">
        <v>165</v>
      </c>
      <c r="M28" s="90"/>
      <c r="N28" s="95"/>
      <c r="O28" s="92">
        <v>520</v>
      </c>
      <c r="P28" s="93"/>
      <c r="Q28" s="96"/>
      <c r="R28" s="92">
        <v>6784</v>
      </c>
      <c r="S28" s="93"/>
      <c r="T28" s="94"/>
      <c r="U28" s="92">
        <v>259</v>
      </c>
      <c r="V28" s="93"/>
      <c r="W28" s="94"/>
      <c r="X28" s="92">
        <v>1</v>
      </c>
      <c r="Z28" s="140"/>
    </row>
    <row r="29" spans="1:26" x14ac:dyDescent="0.2">
      <c r="A29" s="79">
        <v>2014</v>
      </c>
      <c r="B29" s="80" t="s">
        <v>84</v>
      </c>
      <c r="C29" s="89"/>
      <c r="D29" s="90">
        <v>32169591.381466668</v>
      </c>
      <c r="E29" s="90"/>
      <c r="F29" s="91"/>
      <c r="G29" s="92">
        <v>20440</v>
      </c>
      <c r="H29" s="90"/>
      <c r="I29" s="92">
        <v>1746</v>
      </c>
      <c r="J29" s="93"/>
      <c r="K29" s="94"/>
      <c r="L29" s="92">
        <v>164</v>
      </c>
      <c r="M29" s="90"/>
      <c r="N29" s="95"/>
      <c r="O29" s="92">
        <v>520</v>
      </c>
      <c r="P29" s="93"/>
      <c r="Q29" s="96"/>
      <c r="R29" s="92">
        <v>6786</v>
      </c>
      <c r="S29" s="93"/>
      <c r="T29" s="94"/>
      <c r="U29" s="92">
        <v>259</v>
      </c>
      <c r="V29" s="93"/>
      <c r="W29" s="94"/>
      <c r="X29" s="92">
        <v>1</v>
      </c>
      <c r="Z29" s="140"/>
    </row>
    <row r="30" spans="1:26" x14ac:dyDescent="0.2">
      <c r="A30" s="79">
        <v>2014</v>
      </c>
      <c r="B30" s="80" t="s">
        <v>85</v>
      </c>
      <c r="C30" s="89"/>
      <c r="D30" s="90">
        <v>33916845.750666663</v>
      </c>
      <c r="E30" s="90"/>
      <c r="F30" s="91"/>
      <c r="G30" s="92">
        <v>20457</v>
      </c>
      <c r="H30" s="90"/>
      <c r="I30" s="92">
        <v>1753</v>
      </c>
      <c r="J30" s="93"/>
      <c r="K30" s="94"/>
      <c r="L30" s="92">
        <v>164</v>
      </c>
      <c r="M30" s="90"/>
      <c r="N30" s="95"/>
      <c r="O30" s="92">
        <v>520</v>
      </c>
      <c r="P30" s="93"/>
      <c r="Q30" s="96"/>
      <c r="R30" s="92">
        <v>6786</v>
      </c>
      <c r="S30" s="93"/>
      <c r="T30" s="94"/>
      <c r="U30" s="92">
        <v>259</v>
      </c>
      <c r="V30" s="93"/>
      <c r="W30" s="94"/>
      <c r="X30" s="92">
        <v>1</v>
      </c>
      <c r="Z30" s="140"/>
    </row>
    <row r="31" spans="1:26" x14ac:dyDescent="0.2">
      <c r="A31" s="79">
        <v>2014</v>
      </c>
      <c r="B31" s="80" t="s">
        <v>86</v>
      </c>
      <c r="C31" s="89"/>
      <c r="D31" s="90">
        <v>33253613.143466666</v>
      </c>
      <c r="E31" s="90"/>
      <c r="F31" s="91"/>
      <c r="G31" s="92">
        <v>20468</v>
      </c>
      <c r="H31" s="90"/>
      <c r="I31" s="92">
        <v>1753</v>
      </c>
      <c r="J31" s="93"/>
      <c r="K31" s="94"/>
      <c r="L31" s="92">
        <v>164</v>
      </c>
      <c r="M31" s="90"/>
      <c r="N31" s="95"/>
      <c r="O31" s="92">
        <v>520</v>
      </c>
      <c r="P31" s="93"/>
      <c r="Q31" s="96"/>
      <c r="R31" s="92">
        <v>6787</v>
      </c>
      <c r="S31" s="93"/>
      <c r="T31" s="94"/>
      <c r="U31" s="92">
        <v>259</v>
      </c>
      <c r="V31" s="93"/>
      <c r="W31" s="94"/>
      <c r="X31" s="92">
        <v>1</v>
      </c>
      <c r="Z31" s="140"/>
    </row>
    <row r="32" spans="1:26" x14ac:dyDescent="0.2">
      <c r="A32" s="79">
        <v>2014</v>
      </c>
      <c r="B32" s="80" t="s">
        <v>87</v>
      </c>
      <c r="C32" s="89"/>
      <c r="D32" s="90">
        <v>28705908.135466669</v>
      </c>
      <c r="E32" s="90"/>
      <c r="F32" s="91"/>
      <c r="G32" s="92">
        <v>20496</v>
      </c>
      <c r="H32" s="90"/>
      <c r="I32" s="92">
        <v>1750</v>
      </c>
      <c r="J32" s="93"/>
      <c r="K32" s="94"/>
      <c r="L32" s="92">
        <v>164</v>
      </c>
      <c r="M32" s="90"/>
      <c r="N32" s="95"/>
      <c r="O32" s="92">
        <v>516</v>
      </c>
      <c r="P32" s="93"/>
      <c r="Q32" s="96"/>
      <c r="R32" s="92">
        <v>6794</v>
      </c>
      <c r="S32" s="93"/>
      <c r="T32" s="94"/>
      <c r="U32" s="92">
        <v>259</v>
      </c>
      <c r="V32" s="93"/>
      <c r="W32" s="94"/>
      <c r="X32" s="92">
        <v>1</v>
      </c>
      <c r="Z32" s="140"/>
    </row>
    <row r="33" spans="1:26" x14ac:dyDescent="0.2">
      <c r="A33" s="79">
        <v>2014</v>
      </c>
      <c r="B33" s="80" t="s">
        <v>88</v>
      </c>
      <c r="C33" s="89"/>
      <c r="D33" s="90">
        <v>29560489.815066669</v>
      </c>
      <c r="E33" s="90"/>
      <c r="F33" s="91"/>
      <c r="G33" s="92">
        <v>20532</v>
      </c>
      <c r="H33" s="90"/>
      <c r="I33" s="92">
        <v>1763</v>
      </c>
      <c r="J33" s="93"/>
      <c r="K33" s="94"/>
      <c r="L33" s="92">
        <v>164</v>
      </c>
      <c r="M33" s="90"/>
      <c r="N33" s="95"/>
      <c r="O33" s="92">
        <v>516</v>
      </c>
      <c r="P33" s="93"/>
      <c r="Q33" s="96"/>
      <c r="R33" s="92">
        <v>6797</v>
      </c>
      <c r="S33" s="93"/>
      <c r="T33" s="94"/>
      <c r="U33" s="92">
        <v>259</v>
      </c>
      <c r="V33" s="93"/>
      <c r="W33" s="94"/>
      <c r="X33" s="92">
        <v>1</v>
      </c>
      <c r="Z33" s="140"/>
    </row>
    <row r="34" spans="1:26" x14ac:dyDescent="0.2">
      <c r="A34" s="79">
        <v>2014</v>
      </c>
      <c r="B34" s="80" t="s">
        <v>89</v>
      </c>
      <c r="C34" s="89"/>
      <c r="D34" s="90">
        <v>30512368.479866669</v>
      </c>
      <c r="E34" s="90"/>
      <c r="F34" s="91"/>
      <c r="G34" s="92">
        <v>20537</v>
      </c>
      <c r="H34" s="90"/>
      <c r="I34" s="92">
        <v>1759</v>
      </c>
      <c r="J34" s="93"/>
      <c r="K34" s="94"/>
      <c r="L34" s="92">
        <v>161</v>
      </c>
      <c r="M34" s="90"/>
      <c r="N34" s="95"/>
      <c r="O34" s="92">
        <v>516</v>
      </c>
      <c r="P34" s="93"/>
      <c r="Q34" s="96"/>
      <c r="R34" s="92">
        <v>6790</v>
      </c>
      <c r="S34" s="93"/>
      <c r="T34" s="94"/>
      <c r="U34" s="92">
        <v>261</v>
      </c>
      <c r="V34" s="93"/>
      <c r="W34" s="94"/>
      <c r="X34" s="92">
        <v>1</v>
      </c>
      <c r="Z34" s="140"/>
    </row>
    <row r="35" spans="1:26" x14ac:dyDescent="0.2">
      <c r="A35" s="79">
        <v>2014</v>
      </c>
      <c r="B35" s="80" t="s">
        <v>90</v>
      </c>
      <c r="C35" s="89"/>
      <c r="D35" s="90">
        <v>32708611.119066667</v>
      </c>
      <c r="E35" s="90"/>
      <c r="F35" s="91">
        <v>158185053</v>
      </c>
      <c r="G35" s="92">
        <v>20549</v>
      </c>
      <c r="H35" s="90">
        <v>53903009</v>
      </c>
      <c r="I35" s="92">
        <v>1759</v>
      </c>
      <c r="J35" s="93">
        <v>144192534</v>
      </c>
      <c r="K35" s="94">
        <v>402375</v>
      </c>
      <c r="L35" s="92">
        <v>161</v>
      </c>
      <c r="M35" s="90">
        <v>767199</v>
      </c>
      <c r="N35" s="95">
        <v>2120</v>
      </c>
      <c r="O35" s="92">
        <v>516</v>
      </c>
      <c r="P35" s="93">
        <v>2503378</v>
      </c>
      <c r="Q35" s="96">
        <v>6992</v>
      </c>
      <c r="R35" s="92">
        <v>6793</v>
      </c>
      <c r="S35" s="93">
        <v>966945</v>
      </c>
      <c r="T35" s="94"/>
      <c r="U35" s="92">
        <v>261</v>
      </c>
      <c r="V35" s="93">
        <v>20367511</v>
      </c>
      <c r="W35" s="94">
        <v>59144</v>
      </c>
      <c r="X35" s="92">
        <v>1</v>
      </c>
      <c r="Z35" s="140"/>
    </row>
    <row r="36" spans="1:26" x14ac:dyDescent="0.2">
      <c r="A36" s="79">
        <v>2015</v>
      </c>
      <c r="B36" s="80" t="s">
        <v>80</v>
      </c>
      <c r="C36" s="89"/>
      <c r="D36" s="82">
        <v>35265002.026533335</v>
      </c>
      <c r="E36" s="82"/>
      <c r="F36" s="83"/>
      <c r="G36" s="84">
        <v>20560</v>
      </c>
      <c r="H36" s="82"/>
      <c r="I36" s="84">
        <v>1762</v>
      </c>
      <c r="J36" s="85"/>
      <c r="K36" s="86"/>
      <c r="L36" s="84">
        <v>162</v>
      </c>
      <c r="M36" s="82"/>
      <c r="N36" s="87"/>
      <c r="O36" s="84">
        <v>516</v>
      </c>
      <c r="P36" s="85"/>
      <c r="Q36" s="88"/>
      <c r="R36" s="84">
        <v>6793</v>
      </c>
      <c r="S36" s="85"/>
      <c r="T36" s="86"/>
      <c r="U36" s="84">
        <v>259</v>
      </c>
      <c r="V36" s="85"/>
      <c r="W36" s="86"/>
      <c r="X36" s="84">
        <v>0</v>
      </c>
      <c r="Z36" s="140"/>
    </row>
    <row r="37" spans="1:26" x14ac:dyDescent="0.2">
      <c r="A37" s="79">
        <v>2015</v>
      </c>
      <c r="B37" s="80" t="s">
        <v>81</v>
      </c>
      <c r="C37" s="89"/>
      <c r="D37" s="90">
        <v>32520528.185333334</v>
      </c>
      <c r="E37" s="90"/>
      <c r="F37" s="91"/>
      <c r="G37" s="92">
        <v>20563</v>
      </c>
      <c r="H37" s="90"/>
      <c r="I37" s="92">
        <v>1755</v>
      </c>
      <c r="J37" s="93"/>
      <c r="K37" s="94"/>
      <c r="L37" s="92">
        <v>162</v>
      </c>
      <c r="M37" s="90"/>
      <c r="N37" s="95"/>
      <c r="O37" s="92">
        <v>515</v>
      </c>
      <c r="P37" s="93"/>
      <c r="Q37" s="96"/>
      <c r="R37" s="92">
        <v>6793</v>
      </c>
      <c r="S37" s="93"/>
      <c r="T37" s="94"/>
      <c r="U37" s="92">
        <v>259</v>
      </c>
      <c r="V37" s="93"/>
      <c r="W37" s="94"/>
      <c r="X37" s="92">
        <v>0</v>
      </c>
      <c r="Z37" s="140"/>
    </row>
    <row r="38" spans="1:26" x14ac:dyDescent="0.2">
      <c r="A38" s="79">
        <v>2015</v>
      </c>
      <c r="B38" s="80" t="s">
        <v>82</v>
      </c>
      <c r="C38" s="89"/>
      <c r="D38" s="90">
        <v>32214658.640933331</v>
      </c>
      <c r="E38" s="90"/>
      <c r="F38" s="91"/>
      <c r="G38" s="92">
        <v>20583</v>
      </c>
      <c r="H38" s="90"/>
      <c r="I38" s="92">
        <v>1757</v>
      </c>
      <c r="J38" s="93"/>
      <c r="K38" s="94"/>
      <c r="L38" s="92">
        <v>162</v>
      </c>
      <c r="M38" s="90"/>
      <c r="N38" s="95"/>
      <c r="O38" s="92">
        <v>515</v>
      </c>
      <c r="P38" s="93"/>
      <c r="Q38" s="96"/>
      <c r="R38" s="92">
        <v>6787</v>
      </c>
      <c r="S38" s="93"/>
      <c r="T38" s="94"/>
      <c r="U38" s="92">
        <v>259</v>
      </c>
      <c r="V38" s="93"/>
      <c r="W38" s="94"/>
      <c r="X38" s="92">
        <v>0</v>
      </c>
      <c r="Z38" s="140"/>
    </row>
    <row r="39" spans="1:26" x14ac:dyDescent="0.2">
      <c r="A39" s="79">
        <v>2015</v>
      </c>
      <c r="B39" s="80" t="s">
        <v>83</v>
      </c>
      <c r="C39" s="89"/>
      <c r="D39" s="90">
        <v>27411226.508933332</v>
      </c>
      <c r="E39" s="90"/>
      <c r="F39" s="91"/>
      <c r="G39" s="92">
        <v>20608</v>
      </c>
      <c r="H39" s="90"/>
      <c r="I39" s="92">
        <v>1765</v>
      </c>
      <c r="J39" s="93"/>
      <c r="K39" s="94"/>
      <c r="L39" s="92">
        <v>164</v>
      </c>
      <c r="M39" s="90"/>
      <c r="N39" s="95"/>
      <c r="O39" s="92">
        <v>515</v>
      </c>
      <c r="P39" s="93"/>
      <c r="Q39" s="96"/>
      <c r="R39" s="92">
        <v>6789</v>
      </c>
      <c r="S39" s="93"/>
      <c r="T39" s="94"/>
      <c r="U39" s="92">
        <v>257</v>
      </c>
      <c r="V39" s="93"/>
      <c r="W39" s="94"/>
      <c r="X39" s="92">
        <v>0</v>
      </c>
      <c r="Z39" s="140"/>
    </row>
    <row r="40" spans="1:26" x14ac:dyDescent="0.2">
      <c r="A40" s="79">
        <v>2015</v>
      </c>
      <c r="B40" s="80" t="s">
        <v>48</v>
      </c>
      <c r="C40" s="89"/>
      <c r="D40" s="90">
        <v>28734001.131733332</v>
      </c>
      <c r="E40" s="90"/>
      <c r="F40" s="91"/>
      <c r="G40" s="92">
        <v>20599</v>
      </c>
      <c r="H40" s="90"/>
      <c r="I40" s="92">
        <v>1770</v>
      </c>
      <c r="J40" s="93"/>
      <c r="K40" s="94"/>
      <c r="L40" s="92">
        <v>157</v>
      </c>
      <c r="M40" s="90"/>
      <c r="N40" s="95"/>
      <c r="O40" s="92">
        <v>515</v>
      </c>
      <c r="P40" s="93"/>
      <c r="Q40" s="96"/>
      <c r="R40" s="92">
        <v>6790</v>
      </c>
      <c r="S40" s="93"/>
      <c r="T40" s="94"/>
      <c r="U40" s="92">
        <v>257</v>
      </c>
      <c r="V40" s="93"/>
      <c r="W40" s="94"/>
      <c r="X40" s="92">
        <v>0</v>
      </c>
      <c r="Z40" s="140"/>
    </row>
    <row r="41" spans="1:26" x14ac:dyDescent="0.2">
      <c r="A41" s="79">
        <v>2015</v>
      </c>
      <c r="B41" s="80" t="s">
        <v>84</v>
      </c>
      <c r="C41" s="89"/>
      <c r="D41" s="90">
        <v>29750992.611733332</v>
      </c>
      <c r="E41" s="90"/>
      <c r="F41" s="91"/>
      <c r="G41" s="92">
        <v>20605</v>
      </c>
      <c r="H41" s="90"/>
      <c r="I41" s="92">
        <v>1773</v>
      </c>
      <c r="J41" s="93"/>
      <c r="K41" s="94"/>
      <c r="L41" s="92">
        <v>157</v>
      </c>
      <c r="M41" s="90"/>
      <c r="N41" s="95"/>
      <c r="O41" s="92">
        <v>515</v>
      </c>
      <c r="P41" s="93"/>
      <c r="Q41" s="96"/>
      <c r="R41" s="92">
        <v>6793</v>
      </c>
      <c r="S41" s="93"/>
      <c r="T41" s="94"/>
      <c r="U41" s="92">
        <v>257</v>
      </c>
      <c r="V41" s="93"/>
      <c r="W41" s="94"/>
      <c r="X41" s="92">
        <v>0</v>
      </c>
      <c r="Z41" s="140"/>
    </row>
    <row r="42" spans="1:26" x14ac:dyDescent="0.2">
      <c r="A42" s="79">
        <v>2015</v>
      </c>
      <c r="B42" s="80" t="s">
        <v>85</v>
      </c>
      <c r="C42" s="89"/>
      <c r="D42" s="90">
        <v>35319999.557733327</v>
      </c>
      <c r="E42" s="90"/>
      <c r="F42" s="91"/>
      <c r="G42" s="92">
        <v>20630</v>
      </c>
      <c r="H42" s="90"/>
      <c r="I42" s="92">
        <v>1773</v>
      </c>
      <c r="J42" s="93"/>
      <c r="K42" s="94"/>
      <c r="L42" s="92">
        <v>157</v>
      </c>
      <c r="M42" s="90"/>
      <c r="N42" s="95"/>
      <c r="O42" s="92">
        <v>515</v>
      </c>
      <c r="P42" s="93"/>
      <c r="Q42" s="96"/>
      <c r="R42" s="92">
        <v>6793</v>
      </c>
      <c r="S42" s="93"/>
      <c r="T42" s="94"/>
      <c r="U42" s="92">
        <v>256</v>
      </c>
      <c r="V42" s="93"/>
      <c r="W42" s="94"/>
      <c r="X42" s="92">
        <v>0</v>
      </c>
      <c r="Z42" s="140"/>
    </row>
    <row r="43" spans="1:26" x14ac:dyDescent="0.2">
      <c r="A43" s="79">
        <v>2015</v>
      </c>
      <c r="B43" s="80" t="s">
        <v>86</v>
      </c>
      <c r="C43" s="89"/>
      <c r="D43" s="90">
        <v>33778593.432533331</v>
      </c>
      <c r="E43" s="90"/>
      <c r="F43" s="91"/>
      <c r="G43" s="92">
        <v>20656</v>
      </c>
      <c r="H43" s="90"/>
      <c r="I43" s="92">
        <v>1775</v>
      </c>
      <c r="J43" s="93"/>
      <c r="K43" s="94"/>
      <c r="L43" s="92">
        <v>157</v>
      </c>
      <c r="M43" s="90"/>
      <c r="N43" s="95"/>
      <c r="O43" s="92">
        <v>515</v>
      </c>
      <c r="P43" s="93"/>
      <c r="Q43" s="96"/>
      <c r="R43" s="92">
        <v>6793</v>
      </c>
      <c r="S43" s="93"/>
      <c r="T43" s="94"/>
      <c r="U43" s="92">
        <v>256</v>
      </c>
      <c r="V43" s="93"/>
      <c r="W43" s="94"/>
      <c r="X43" s="92">
        <v>0</v>
      </c>
      <c r="Z43" s="140"/>
    </row>
    <row r="44" spans="1:26" x14ac:dyDescent="0.2">
      <c r="A44" s="79">
        <v>2015</v>
      </c>
      <c r="B44" s="80" t="s">
        <v>87</v>
      </c>
      <c r="C44" s="89"/>
      <c r="D44" s="90">
        <v>32399240.260533333</v>
      </c>
      <c r="E44" s="90"/>
      <c r="F44" s="91"/>
      <c r="G44" s="92">
        <v>20669</v>
      </c>
      <c r="H44" s="90"/>
      <c r="I44" s="92">
        <v>1779</v>
      </c>
      <c r="J44" s="93"/>
      <c r="K44" s="94"/>
      <c r="L44" s="92">
        <v>158</v>
      </c>
      <c r="M44" s="90"/>
      <c r="N44" s="95"/>
      <c r="O44" s="92">
        <v>515</v>
      </c>
      <c r="P44" s="93"/>
      <c r="Q44" s="96"/>
      <c r="R44" s="92">
        <v>6794</v>
      </c>
      <c r="S44" s="93"/>
      <c r="T44" s="94"/>
      <c r="U44" s="92">
        <v>255</v>
      </c>
      <c r="V44" s="93"/>
      <c r="W44" s="94"/>
      <c r="X44" s="92">
        <v>0</v>
      </c>
      <c r="Z44" s="140"/>
    </row>
    <row r="45" spans="1:26" x14ac:dyDescent="0.2">
      <c r="A45" s="79">
        <v>2015</v>
      </c>
      <c r="B45" s="80" t="s">
        <v>88</v>
      </c>
      <c r="C45" s="89"/>
      <c r="D45" s="90">
        <v>27207724.193333331</v>
      </c>
      <c r="E45" s="90"/>
      <c r="F45" s="91"/>
      <c r="G45" s="92">
        <v>20698</v>
      </c>
      <c r="H45" s="90"/>
      <c r="I45" s="92">
        <v>1772</v>
      </c>
      <c r="J45" s="93"/>
      <c r="K45" s="94"/>
      <c r="L45" s="92">
        <v>156</v>
      </c>
      <c r="M45" s="90"/>
      <c r="N45" s="95"/>
      <c r="O45" s="92">
        <v>515</v>
      </c>
      <c r="P45" s="93"/>
      <c r="Q45" s="96"/>
      <c r="R45" s="92">
        <v>6794</v>
      </c>
      <c r="S45" s="93"/>
      <c r="T45" s="94"/>
      <c r="U45" s="92">
        <v>255</v>
      </c>
      <c r="V45" s="93"/>
      <c r="W45" s="94"/>
      <c r="X45" s="92">
        <v>0</v>
      </c>
      <c r="Z45" s="140"/>
    </row>
    <row r="46" spans="1:26" x14ac:dyDescent="0.2">
      <c r="A46" s="79">
        <v>2015</v>
      </c>
      <c r="B46" s="80" t="s">
        <v>89</v>
      </c>
      <c r="C46" s="89"/>
      <c r="D46" s="90">
        <v>27907416.640533332</v>
      </c>
      <c r="E46" s="90"/>
      <c r="F46" s="91"/>
      <c r="G46" s="92">
        <v>20720</v>
      </c>
      <c r="H46" s="90"/>
      <c r="I46" s="92">
        <v>1773</v>
      </c>
      <c r="J46" s="93"/>
      <c r="K46" s="94"/>
      <c r="L46" s="92">
        <v>157</v>
      </c>
      <c r="M46" s="90"/>
      <c r="N46" s="95"/>
      <c r="O46" s="92">
        <v>515</v>
      </c>
      <c r="P46" s="93"/>
      <c r="Q46" s="96"/>
      <c r="R46" s="92">
        <v>6796</v>
      </c>
      <c r="S46" s="93"/>
      <c r="T46" s="94"/>
      <c r="U46" s="92">
        <v>255</v>
      </c>
      <c r="V46" s="93"/>
      <c r="W46" s="94"/>
      <c r="X46" s="92">
        <v>0</v>
      </c>
      <c r="Z46" s="140"/>
    </row>
    <row r="47" spans="1:26" x14ac:dyDescent="0.2">
      <c r="A47" s="79">
        <v>2015</v>
      </c>
      <c r="B47" s="80" t="s">
        <v>90</v>
      </c>
      <c r="C47" s="89"/>
      <c r="D47" s="90">
        <v>30150193.52733333</v>
      </c>
      <c r="E47" s="90"/>
      <c r="F47" s="91">
        <v>157973719</v>
      </c>
      <c r="G47" s="92">
        <v>20735</v>
      </c>
      <c r="H47" s="90">
        <v>54312604</v>
      </c>
      <c r="I47" s="92">
        <v>1775</v>
      </c>
      <c r="J47" s="93">
        <v>139796962</v>
      </c>
      <c r="K47" s="94">
        <v>402768</v>
      </c>
      <c r="L47" s="92">
        <v>157</v>
      </c>
      <c r="M47" s="90">
        <v>753964</v>
      </c>
      <c r="N47" s="95">
        <v>2077</v>
      </c>
      <c r="O47" s="92">
        <v>515</v>
      </c>
      <c r="P47" s="93">
        <v>2284687</v>
      </c>
      <c r="Q47" s="96">
        <v>6476</v>
      </c>
      <c r="R47" s="92">
        <v>6796</v>
      </c>
      <c r="S47" s="93">
        <v>970041</v>
      </c>
      <c r="T47" s="94"/>
      <c r="U47" s="92">
        <v>255</v>
      </c>
      <c r="V47" s="93">
        <v>277079</v>
      </c>
      <c r="W47" s="94">
        <v>479</v>
      </c>
      <c r="X47" s="92">
        <v>0</v>
      </c>
      <c r="Z47" s="140"/>
    </row>
    <row r="48" spans="1:26" x14ac:dyDescent="0.2">
      <c r="A48" s="79">
        <v>2016</v>
      </c>
      <c r="B48" s="80" t="s">
        <v>80</v>
      </c>
      <c r="C48" s="89"/>
      <c r="D48" s="82">
        <v>33030100.046666667</v>
      </c>
      <c r="E48" s="82"/>
      <c r="F48" s="83"/>
      <c r="G48" s="84">
        <v>20753</v>
      </c>
      <c r="H48" s="82"/>
      <c r="I48" s="84">
        <v>1760</v>
      </c>
      <c r="J48" s="85"/>
      <c r="K48" s="86"/>
      <c r="L48" s="84">
        <v>157</v>
      </c>
      <c r="M48" s="82"/>
      <c r="N48" s="87"/>
      <c r="O48" s="84">
        <v>514</v>
      </c>
      <c r="P48" s="85"/>
      <c r="Q48" s="88"/>
      <c r="R48" s="84">
        <v>6821</v>
      </c>
      <c r="S48" s="85"/>
      <c r="T48" s="86"/>
      <c r="U48" s="84">
        <v>259</v>
      </c>
      <c r="V48" s="85"/>
      <c r="W48" s="86"/>
      <c r="X48" s="84">
        <v>0</v>
      </c>
      <c r="Z48" s="140"/>
    </row>
    <row r="49" spans="1:26" x14ac:dyDescent="0.2">
      <c r="A49" s="79">
        <v>2016</v>
      </c>
      <c r="B49" s="80" t="s">
        <v>81</v>
      </c>
      <c r="C49" s="89"/>
      <c r="D49" s="90">
        <v>30335368.476666667</v>
      </c>
      <c r="E49" s="90"/>
      <c r="F49" s="91"/>
      <c r="G49" s="92">
        <v>20779</v>
      </c>
      <c r="H49" s="90"/>
      <c r="I49" s="92">
        <v>1760</v>
      </c>
      <c r="J49" s="93"/>
      <c r="K49" s="94"/>
      <c r="L49" s="92">
        <v>156</v>
      </c>
      <c r="M49" s="90"/>
      <c r="N49" s="95"/>
      <c r="O49" s="92">
        <v>513</v>
      </c>
      <c r="P49" s="93"/>
      <c r="Q49" s="96"/>
      <c r="R49" s="92">
        <v>6825</v>
      </c>
      <c r="S49" s="93"/>
      <c r="T49" s="94"/>
      <c r="U49" s="92">
        <v>259</v>
      </c>
      <c r="V49" s="93"/>
      <c r="W49" s="94"/>
      <c r="X49" s="92">
        <v>0</v>
      </c>
      <c r="Z49" s="140"/>
    </row>
    <row r="50" spans="1:26" x14ac:dyDescent="0.2">
      <c r="A50" s="79">
        <v>2016</v>
      </c>
      <c r="B50" s="80" t="s">
        <v>82</v>
      </c>
      <c r="C50" s="89"/>
      <c r="D50" s="90">
        <v>29470505.726666667</v>
      </c>
      <c r="E50" s="90"/>
      <c r="F50" s="91"/>
      <c r="G50" s="92">
        <v>20778</v>
      </c>
      <c r="H50" s="90"/>
      <c r="I50" s="92">
        <v>1764</v>
      </c>
      <c r="J50" s="93"/>
      <c r="K50" s="94"/>
      <c r="L50" s="92">
        <v>157</v>
      </c>
      <c r="M50" s="90"/>
      <c r="N50" s="95"/>
      <c r="O50" s="92">
        <v>512</v>
      </c>
      <c r="P50" s="93"/>
      <c r="Q50" s="96"/>
      <c r="R50" s="92">
        <v>6825</v>
      </c>
      <c r="S50" s="93"/>
      <c r="T50" s="94"/>
      <c r="U50" s="92">
        <v>259</v>
      </c>
      <c r="V50" s="93"/>
      <c r="W50" s="94"/>
      <c r="X50" s="92">
        <v>0</v>
      </c>
      <c r="Z50" s="140"/>
    </row>
    <row r="51" spans="1:26" x14ac:dyDescent="0.2">
      <c r="A51" s="79">
        <v>2016</v>
      </c>
      <c r="B51" s="80" t="s">
        <v>83</v>
      </c>
      <c r="C51" s="89"/>
      <c r="D51" s="90">
        <v>27500006.806666669</v>
      </c>
      <c r="E51" s="90"/>
      <c r="F51" s="91"/>
      <c r="G51" s="92">
        <v>20791</v>
      </c>
      <c r="H51" s="90"/>
      <c r="I51" s="92">
        <v>1767</v>
      </c>
      <c r="J51" s="93"/>
      <c r="K51" s="94"/>
      <c r="L51" s="92">
        <v>159</v>
      </c>
      <c r="M51" s="90"/>
      <c r="N51" s="95"/>
      <c r="O51" s="92">
        <v>511</v>
      </c>
      <c r="P51" s="93"/>
      <c r="Q51" s="96"/>
      <c r="R51" s="92">
        <v>6825</v>
      </c>
      <c r="S51" s="93"/>
      <c r="T51" s="94"/>
      <c r="U51" s="92">
        <v>259</v>
      </c>
      <c r="V51" s="93"/>
      <c r="W51" s="94"/>
      <c r="X51" s="92">
        <v>0</v>
      </c>
      <c r="Z51" s="140"/>
    </row>
    <row r="52" spans="1:26" x14ac:dyDescent="0.2">
      <c r="A52" s="79">
        <v>2016</v>
      </c>
      <c r="B52" s="80" t="s">
        <v>48</v>
      </c>
      <c r="C52" s="89"/>
      <c r="D52" s="90">
        <v>28052824.666666668</v>
      </c>
      <c r="E52" s="90"/>
      <c r="F52" s="91"/>
      <c r="G52" s="92">
        <v>20791</v>
      </c>
      <c r="H52" s="90"/>
      <c r="I52" s="92">
        <v>1772</v>
      </c>
      <c r="J52" s="93"/>
      <c r="K52" s="94"/>
      <c r="L52" s="92">
        <v>159</v>
      </c>
      <c r="M52" s="90"/>
      <c r="N52" s="95"/>
      <c r="O52" s="92">
        <v>510</v>
      </c>
      <c r="P52" s="93"/>
      <c r="Q52" s="96"/>
      <c r="R52" s="92">
        <v>6825</v>
      </c>
      <c r="S52" s="93"/>
      <c r="T52" s="94"/>
      <c r="U52" s="92">
        <v>259</v>
      </c>
      <c r="V52" s="93"/>
      <c r="W52" s="94"/>
      <c r="X52" s="92">
        <v>0</v>
      </c>
      <c r="Z52" s="140"/>
    </row>
    <row r="53" spans="1:26" x14ac:dyDescent="0.2">
      <c r="A53" s="79">
        <v>2016</v>
      </c>
      <c r="B53" s="80" t="s">
        <v>84</v>
      </c>
      <c r="C53" s="89"/>
      <c r="D53" s="90">
        <v>31979033.996666666</v>
      </c>
      <c r="E53" s="90"/>
      <c r="F53" s="91"/>
      <c r="G53" s="92">
        <v>20805</v>
      </c>
      <c r="H53" s="90"/>
      <c r="I53" s="92">
        <v>1770</v>
      </c>
      <c r="J53" s="93"/>
      <c r="K53" s="94"/>
      <c r="L53" s="92">
        <v>158</v>
      </c>
      <c r="M53" s="90"/>
      <c r="N53" s="95"/>
      <c r="O53" s="92">
        <v>509</v>
      </c>
      <c r="P53" s="93"/>
      <c r="Q53" s="96"/>
      <c r="R53" s="92">
        <v>6825</v>
      </c>
      <c r="S53" s="93"/>
      <c r="T53" s="94"/>
      <c r="U53" s="92">
        <v>259</v>
      </c>
      <c r="V53" s="93"/>
      <c r="W53" s="94"/>
      <c r="X53" s="92">
        <v>0</v>
      </c>
      <c r="Z53" s="140"/>
    </row>
    <row r="54" spans="1:26" x14ac:dyDescent="0.2">
      <c r="A54" s="79">
        <v>2016</v>
      </c>
      <c r="B54" s="80" t="s">
        <v>85</v>
      </c>
      <c r="C54" s="89"/>
      <c r="D54" s="90">
        <v>38582728.506666668</v>
      </c>
      <c r="E54" s="90"/>
      <c r="F54" s="91"/>
      <c r="G54" s="92">
        <v>20835</v>
      </c>
      <c r="H54" s="90"/>
      <c r="I54" s="92">
        <v>1768</v>
      </c>
      <c r="J54" s="93"/>
      <c r="K54" s="94"/>
      <c r="L54" s="92">
        <v>158</v>
      </c>
      <c r="M54" s="90"/>
      <c r="N54" s="95"/>
      <c r="O54" s="92">
        <v>508</v>
      </c>
      <c r="P54" s="93"/>
      <c r="Q54" s="96"/>
      <c r="R54" s="92">
        <v>6825</v>
      </c>
      <c r="S54" s="93"/>
      <c r="T54" s="94"/>
      <c r="U54" s="92">
        <v>259</v>
      </c>
      <c r="V54" s="93"/>
      <c r="W54" s="94"/>
      <c r="X54" s="92">
        <v>0</v>
      </c>
      <c r="Z54" s="140"/>
    </row>
    <row r="55" spans="1:26" x14ac:dyDescent="0.2">
      <c r="A55" s="79">
        <v>2016</v>
      </c>
      <c r="B55" s="80" t="s">
        <v>86</v>
      </c>
      <c r="C55" s="89"/>
      <c r="D55" s="90">
        <v>41437079.986666664</v>
      </c>
      <c r="E55" s="90"/>
      <c r="F55" s="91"/>
      <c r="G55" s="92">
        <v>20842</v>
      </c>
      <c r="H55" s="90"/>
      <c r="I55" s="92">
        <v>1774</v>
      </c>
      <c r="J55" s="93"/>
      <c r="K55" s="94"/>
      <c r="L55" s="92">
        <v>159</v>
      </c>
      <c r="M55" s="90"/>
      <c r="N55" s="95"/>
      <c r="O55" s="92">
        <v>507</v>
      </c>
      <c r="P55" s="93"/>
      <c r="Q55" s="96"/>
      <c r="R55" s="92">
        <v>6825</v>
      </c>
      <c r="S55" s="93"/>
      <c r="T55" s="94"/>
      <c r="U55" s="92">
        <v>263</v>
      </c>
      <c r="V55" s="93"/>
      <c r="W55" s="94"/>
      <c r="X55" s="92">
        <v>0</v>
      </c>
      <c r="Z55" s="140"/>
    </row>
    <row r="56" spans="1:26" x14ac:dyDescent="0.2">
      <c r="A56" s="79">
        <v>2016</v>
      </c>
      <c r="B56" s="80" t="s">
        <v>87</v>
      </c>
      <c r="C56" s="89"/>
      <c r="D56" s="90">
        <v>31887811.926666666</v>
      </c>
      <c r="E56" s="90"/>
      <c r="F56" s="91"/>
      <c r="G56" s="92">
        <v>20849</v>
      </c>
      <c r="H56" s="90"/>
      <c r="I56" s="92">
        <v>1775</v>
      </c>
      <c r="J56" s="93"/>
      <c r="K56" s="94"/>
      <c r="L56" s="92">
        <v>160</v>
      </c>
      <c r="M56" s="90"/>
      <c r="N56" s="95"/>
      <c r="O56" s="92">
        <v>506</v>
      </c>
      <c r="P56" s="93"/>
      <c r="Q56" s="96"/>
      <c r="R56" s="92">
        <v>6825</v>
      </c>
      <c r="S56" s="93"/>
      <c r="T56" s="94"/>
      <c r="U56" s="92">
        <v>265</v>
      </c>
      <c r="V56" s="93"/>
      <c r="W56" s="94"/>
      <c r="X56" s="92">
        <v>0</v>
      </c>
      <c r="Z56" s="140"/>
    </row>
    <row r="57" spans="1:26" x14ac:dyDescent="0.2">
      <c r="A57" s="79">
        <v>2016</v>
      </c>
      <c r="B57" s="80" t="s">
        <v>88</v>
      </c>
      <c r="C57" s="89"/>
      <c r="D57" s="90">
        <v>27632019.866666667</v>
      </c>
      <c r="E57" s="90"/>
      <c r="F57" s="91"/>
      <c r="G57" s="92">
        <v>20857</v>
      </c>
      <c r="H57" s="90"/>
      <c r="I57" s="92">
        <v>1775</v>
      </c>
      <c r="J57" s="93"/>
      <c r="K57" s="94"/>
      <c r="L57" s="92">
        <v>161</v>
      </c>
      <c r="M57" s="90"/>
      <c r="N57" s="95"/>
      <c r="O57" s="92">
        <v>506</v>
      </c>
      <c r="P57" s="93"/>
      <c r="Q57" s="96"/>
      <c r="R57" s="92">
        <v>6825</v>
      </c>
      <c r="S57" s="93"/>
      <c r="T57" s="94"/>
      <c r="U57" s="92">
        <v>265</v>
      </c>
      <c r="V57" s="93"/>
      <c r="W57" s="94"/>
      <c r="X57" s="92">
        <v>0</v>
      </c>
      <c r="Z57" s="140"/>
    </row>
    <row r="58" spans="1:26" x14ac:dyDescent="0.2">
      <c r="A58" s="79">
        <v>2016</v>
      </c>
      <c r="B58" s="80" t="s">
        <v>89</v>
      </c>
      <c r="C58" s="89"/>
      <c r="D58" s="90">
        <v>28072689.79275357</v>
      </c>
      <c r="E58" s="90"/>
      <c r="F58" s="91"/>
      <c r="G58" s="92">
        <v>20883</v>
      </c>
      <c r="H58" s="90"/>
      <c r="I58" s="92">
        <v>1779</v>
      </c>
      <c r="J58" s="93"/>
      <c r="K58" s="94"/>
      <c r="L58" s="92">
        <v>162</v>
      </c>
      <c r="M58" s="90"/>
      <c r="N58" s="95"/>
      <c r="O58" s="92">
        <v>505</v>
      </c>
      <c r="P58" s="93"/>
      <c r="Q58" s="96"/>
      <c r="R58" s="92">
        <v>6825</v>
      </c>
      <c r="S58" s="93"/>
      <c r="T58" s="94"/>
      <c r="U58" s="92">
        <v>265</v>
      </c>
      <c r="V58" s="93"/>
      <c r="W58" s="94"/>
      <c r="X58" s="92">
        <v>0</v>
      </c>
      <c r="Z58" s="140"/>
    </row>
    <row r="59" spans="1:26" x14ac:dyDescent="0.2">
      <c r="A59" s="79">
        <v>2016</v>
      </c>
      <c r="B59" s="80" t="s">
        <v>90</v>
      </c>
      <c r="C59" s="89"/>
      <c r="D59" s="90">
        <v>32042035.384939767</v>
      </c>
      <c r="E59" s="90"/>
      <c r="F59" s="91">
        <v>163109690</v>
      </c>
      <c r="G59" s="92">
        <v>20907</v>
      </c>
      <c r="H59" s="90">
        <v>53545593</v>
      </c>
      <c r="I59" s="92">
        <v>1783</v>
      </c>
      <c r="J59" s="93">
        <v>143431671</v>
      </c>
      <c r="K59" s="94">
        <v>396528</v>
      </c>
      <c r="L59" s="92">
        <v>162</v>
      </c>
      <c r="M59" s="90">
        <v>749437</v>
      </c>
      <c r="N59" s="95">
        <v>2061</v>
      </c>
      <c r="O59" s="92">
        <v>504</v>
      </c>
      <c r="P59" s="93">
        <v>1575426</v>
      </c>
      <c r="Q59" s="96">
        <v>4561</v>
      </c>
      <c r="R59" s="92">
        <v>6829</v>
      </c>
      <c r="S59" s="93">
        <v>976708</v>
      </c>
      <c r="T59" s="94"/>
      <c r="U59" s="92">
        <v>265</v>
      </c>
      <c r="V59" s="93">
        <v>0</v>
      </c>
      <c r="W59" s="94">
        <v>0</v>
      </c>
      <c r="X59" s="92">
        <v>0</v>
      </c>
      <c r="Z59" s="140"/>
    </row>
    <row r="60" spans="1:26" x14ac:dyDescent="0.2">
      <c r="A60" s="79">
        <v>2017</v>
      </c>
      <c r="B60" s="80" t="s">
        <v>80</v>
      </c>
      <c r="C60" s="89"/>
      <c r="D60" s="82">
        <v>32603243.687800001</v>
      </c>
      <c r="E60" s="82"/>
      <c r="F60" s="83"/>
      <c r="G60" s="84">
        <v>20916</v>
      </c>
      <c r="H60" s="82"/>
      <c r="I60" s="84">
        <v>1786</v>
      </c>
      <c r="J60" s="85"/>
      <c r="K60" s="86"/>
      <c r="L60" s="84">
        <v>160</v>
      </c>
      <c r="M60" s="82"/>
      <c r="N60" s="87"/>
      <c r="O60" s="84">
        <v>506</v>
      </c>
      <c r="P60" s="85"/>
      <c r="Q60" s="88"/>
      <c r="R60" s="84">
        <v>6850</v>
      </c>
      <c r="S60" s="85"/>
      <c r="T60" s="86"/>
      <c r="U60" s="84">
        <v>262</v>
      </c>
      <c r="V60" s="85"/>
      <c r="W60" s="86"/>
      <c r="X60" s="84">
        <v>0</v>
      </c>
      <c r="Z60" s="140"/>
    </row>
    <row r="61" spans="1:26" x14ac:dyDescent="0.2">
      <c r="A61" s="79">
        <v>2017</v>
      </c>
      <c r="B61" s="80" t="s">
        <v>81</v>
      </c>
      <c r="C61" s="89"/>
      <c r="D61" s="90">
        <v>28442344.894508798</v>
      </c>
      <c r="E61" s="90"/>
      <c r="F61" s="91"/>
      <c r="G61" s="92">
        <v>20925</v>
      </c>
      <c r="H61" s="90"/>
      <c r="I61" s="92">
        <v>1785</v>
      </c>
      <c r="J61" s="93"/>
      <c r="K61" s="94"/>
      <c r="L61" s="92">
        <v>160</v>
      </c>
      <c r="M61" s="90"/>
      <c r="N61" s="95"/>
      <c r="O61" s="92">
        <v>504</v>
      </c>
      <c r="P61" s="93"/>
      <c r="Q61" s="96"/>
      <c r="R61" s="92">
        <v>6850</v>
      </c>
      <c r="S61" s="93"/>
      <c r="T61" s="94"/>
      <c r="U61" s="92">
        <v>261</v>
      </c>
      <c r="V61" s="93"/>
      <c r="W61" s="94"/>
      <c r="X61" s="92">
        <v>0</v>
      </c>
      <c r="Z61" s="140"/>
    </row>
    <row r="62" spans="1:26" x14ac:dyDescent="0.2">
      <c r="A62" s="79">
        <v>2017</v>
      </c>
      <c r="B62" s="80" t="s">
        <v>82</v>
      </c>
      <c r="C62" s="89"/>
      <c r="D62" s="90">
        <v>31091148.4114093</v>
      </c>
      <c r="E62" s="90"/>
      <c r="F62" s="91"/>
      <c r="G62" s="92">
        <v>20933</v>
      </c>
      <c r="H62" s="90"/>
      <c r="I62" s="92">
        <v>1789</v>
      </c>
      <c r="J62" s="93"/>
      <c r="K62" s="94"/>
      <c r="L62" s="92">
        <v>159</v>
      </c>
      <c r="M62" s="90"/>
      <c r="N62" s="95"/>
      <c r="O62" s="92">
        <v>503</v>
      </c>
      <c r="P62" s="93"/>
      <c r="Q62" s="96"/>
      <c r="R62" s="92">
        <v>6850</v>
      </c>
      <c r="S62" s="93"/>
      <c r="T62" s="94"/>
      <c r="U62" s="92">
        <v>262</v>
      </c>
      <c r="V62" s="93"/>
      <c r="W62" s="94"/>
      <c r="X62" s="92">
        <v>0</v>
      </c>
      <c r="Z62" s="140"/>
    </row>
    <row r="63" spans="1:26" x14ac:dyDescent="0.2">
      <c r="A63" s="79">
        <v>2017</v>
      </c>
      <c r="B63" s="80" t="s">
        <v>83</v>
      </c>
      <c r="C63" s="89"/>
      <c r="D63" s="90">
        <v>26726381.985407598</v>
      </c>
      <c r="E63" s="90"/>
      <c r="F63" s="91"/>
      <c r="G63" s="92">
        <v>20931</v>
      </c>
      <c r="H63" s="90"/>
      <c r="I63" s="92">
        <v>1793</v>
      </c>
      <c r="J63" s="93"/>
      <c r="K63" s="94"/>
      <c r="L63" s="92">
        <v>162</v>
      </c>
      <c r="M63" s="90"/>
      <c r="N63" s="95"/>
      <c r="O63" s="92">
        <v>503</v>
      </c>
      <c r="P63" s="93"/>
      <c r="Q63" s="96"/>
      <c r="R63" s="92">
        <v>6850</v>
      </c>
      <c r="S63" s="93"/>
      <c r="T63" s="94"/>
      <c r="U63" s="92">
        <v>262</v>
      </c>
      <c r="V63" s="93"/>
      <c r="W63" s="94"/>
      <c r="X63" s="92">
        <v>0</v>
      </c>
      <c r="Z63" s="140"/>
    </row>
    <row r="64" spans="1:26" x14ac:dyDescent="0.2">
      <c r="A64" s="79">
        <v>2017</v>
      </c>
      <c r="B64" s="80" t="s">
        <v>48</v>
      </c>
      <c r="C64" s="89"/>
      <c r="D64" s="90">
        <v>27100631.439999998</v>
      </c>
      <c r="E64" s="90"/>
      <c r="F64" s="91"/>
      <c r="G64" s="92">
        <v>20951</v>
      </c>
      <c r="H64" s="90"/>
      <c r="I64" s="92">
        <v>1797</v>
      </c>
      <c r="J64" s="93"/>
      <c r="K64" s="94"/>
      <c r="L64" s="92">
        <v>159</v>
      </c>
      <c r="M64" s="90"/>
      <c r="N64" s="95"/>
      <c r="O64" s="92">
        <v>501</v>
      </c>
      <c r="P64" s="93"/>
      <c r="Q64" s="96"/>
      <c r="R64" s="92">
        <v>6846</v>
      </c>
      <c r="S64" s="93"/>
      <c r="T64" s="94"/>
      <c r="U64" s="92">
        <v>262</v>
      </c>
      <c r="V64" s="93"/>
      <c r="W64" s="94"/>
      <c r="X64" s="92">
        <v>0</v>
      </c>
      <c r="Z64" s="140"/>
    </row>
    <row r="65" spans="1:26" x14ac:dyDescent="0.2">
      <c r="A65" s="79">
        <v>2017</v>
      </c>
      <c r="B65" s="80" t="s">
        <v>84</v>
      </c>
      <c r="C65" s="89"/>
      <c r="D65" s="90">
        <v>31069771.245993197</v>
      </c>
      <c r="E65" s="90"/>
      <c r="F65" s="91"/>
      <c r="G65" s="92">
        <v>20960</v>
      </c>
      <c r="H65" s="90"/>
      <c r="I65" s="92">
        <v>1792</v>
      </c>
      <c r="J65" s="93"/>
      <c r="K65" s="94"/>
      <c r="L65" s="92">
        <v>159</v>
      </c>
      <c r="M65" s="90"/>
      <c r="N65" s="95"/>
      <c r="O65" s="92">
        <v>499</v>
      </c>
      <c r="P65" s="93"/>
      <c r="Q65" s="96"/>
      <c r="R65" s="92">
        <v>6846</v>
      </c>
      <c r="S65" s="93"/>
      <c r="T65" s="94"/>
      <c r="U65" s="92">
        <v>262</v>
      </c>
      <c r="V65" s="93"/>
      <c r="W65" s="94"/>
      <c r="X65" s="92">
        <v>0</v>
      </c>
      <c r="Z65" s="140"/>
    </row>
    <row r="66" spans="1:26" x14ac:dyDescent="0.2">
      <c r="A66" s="79">
        <v>2017</v>
      </c>
      <c r="B66" s="80" t="s">
        <v>85</v>
      </c>
      <c r="C66" s="89"/>
      <c r="D66" s="90">
        <v>35551342.793448403</v>
      </c>
      <c r="E66" s="90"/>
      <c r="F66" s="91"/>
      <c r="G66" s="92">
        <v>20990</v>
      </c>
      <c r="H66" s="90"/>
      <c r="I66" s="92">
        <v>1789</v>
      </c>
      <c r="J66" s="93"/>
      <c r="K66" s="94"/>
      <c r="L66" s="92">
        <v>158</v>
      </c>
      <c r="M66" s="90"/>
      <c r="N66" s="95"/>
      <c r="O66" s="92">
        <v>501</v>
      </c>
      <c r="P66" s="93"/>
      <c r="Q66" s="96"/>
      <c r="R66" s="92">
        <v>6845</v>
      </c>
      <c r="S66" s="93"/>
      <c r="T66" s="94"/>
      <c r="U66" s="92">
        <v>262</v>
      </c>
      <c r="V66" s="93"/>
      <c r="W66" s="94"/>
      <c r="X66" s="92">
        <v>0</v>
      </c>
      <c r="Z66" s="140"/>
    </row>
    <row r="67" spans="1:26" x14ac:dyDescent="0.2">
      <c r="A67" s="79">
        <v>2017</v>
      </c>
      <c r="B67" s="80" t="s">
        <v>86</v>
      </c>
      <c r="C67" s="89"/>
      <c r="D67" s="90">
        <v>34125261.1615927</v>
      </c>
      <c r="E67" s="90"/>
      <c r="F67" s="91"/>
      <c r="G67" s="92">
        <v>21002</v>
      </c>
      <c r="H67" s="90"/>
      <c r="I67" s="92">
        <v>1791</v>
      </c>
      <c r="J67" s="93"/>
      <c r="K67" s="94"/>
      <c r="L67" s="92">
        <v>159</v>
      </c>
      <c r="M67" s="90"/>
      <c r="N67" s="95"/>
      <c r="O67" s="92">
        <v>501</v>
      </c>
      <c r="P67" s="93"/>
      <c r="Q67" s="96"/>
      <c r="R67" s="92">
        <v>6845</v>
      </c>
      <c r="S67" s="93"/>
      <c r="T67" s="94"/>
      <c r="U67" s="92">
        <v>262</v>
      </c>
      <c r="V67" s="93"/>
      <c r="W67" s="94"/>
      <c r="X67" s="92">
        <v>0</v>
      </c>
      <c r="Z67" s="140"/>
    </row>
    <row r="68" spans="1:26" x14ac:dyDescent="0.2">
      <c r="A68" s="79">
        <v>2017</v>
      </c>
      <c r="B68" s="80" t="s">
        <v>87</v>
      </c>
      <c r="C68" s="89"/>
      <c r="D68" s="90">
        <v>31037006.541170798</v>
      </c>
      <c r="E68" s="90"/>
      <c r="F68" s="91"/>
      <c r="G68" s="92">
        <v>21017</v>
      </c>
      <c r="H68" s="90"/>
      <c r="I68" s="92">
        <v>1792</v>
      </c>
      <c r="J68" s="93"/>
      <c r="K68" s="94"/>
      <c r="L68" s="92">
        <v>159</v>
      </c>
      <c r="M68" s="90"/>
      <c r="N68" s="95"/>
      <c r="O68" s="92">
        <v>501</v>
      </c>
      <c r="P68" s="93"/>
      <c r="Q68" s="96"/>
      <c r="R68" s="92">
        <v>6885</v>
      </c>
      <c r="S68" s="93"/>
      <c r="T68" s="94"/>
      <c r="U68" s="92">
        <v>262</v>
      </c>
      <c r="V68" s="93"/>
      <c r="W68" s="94"/>
      <c r="X68" s="92">
        <v>0</v>
      </c>
      <c r="Z68" s="140"/>
    </row>
    <row r="69" spans="1:26" x14ac:dyDescent="0.2">
      <c r="A69" s="79">
        <v>2017</v>
      </c>
      <c r="B69" s="80" t="s">
        <v>88</v>
      </c>
      <c r="C69" s="89"/>
      <c r="D69" s="90">
        <v>28262231.379913501</v>
      </c>
      <c r="E69" s="90"/>
      <c r="F69" s="91"/>
      <c r="G69" s="92">
        <v>21047</v>
      </c>
      <c r="H69" s="90"/>
      <c r="I69" s="92">
        <v>1791</v>
      </c>
      <c r="J69" s="93"/>
      <c r="K69" s="94"/>
      <c r="L69" s="92">
        <v>159</v>
      </c>
      <c r="M69" s="90"/>
      <c r="N69" s="95"/>
      <c r="O69" s="92">
        <v>494</v>
      </c>
      <c r="P69" s="93"/>
      <c r="Q69" s="96"/>
      <c r="R69" s="92">
        <v>6885</v>
      </c>
      <c r="S69" s="93"/>
      <c r="T69" s="94"/>
      <c r="U69" s="92">
        <v>262</v>
      </c>
      <c r="V69" s="93"/>
      <c r="W69" s="94"/>
      <c r="X69" s="92">
        <v>0</v>
      </c>
      <c r="Z69" s="140"/>
    </row>
    <row r="70" spans="1:26" x14ac:dyDescent="0.2">
      <c r="A70" s="79">
        <v>2017</v>
      </c>
      <c r="B70" s="80" t="s">
        <v>89</v>
      </c>
      <c r="C70" s="89"/>
      <c r="D70" s="90">
        <v>29451606.664241601</v>
      </c>
      <c r="E70" s="90"/>
      <c r="F70" s="91"/>
      <c r="G70" s="92">
        <v>21074</v>
      </c>
      <c r="H70" s="90"/>
      <c r="I70" s="92">
        <v>1795</v>
      </c>
      <c r="J70" s="93"/>
      <c r="K70" s="94"/>
      <c r="L70" s="92">
        <v>158</v>
      </c>
      <c r="M70" s="90"/>
      <c r="N70" s="95"/>
      <c r="O70" s="92">
        <v>494</v>
      </c>
      <c r="P70" s="93"/>
      <c r="Q70" s="96"/>
      <c r="R70" s="92">
        <v>6916</v>
      </c>
      <c r="S70" s="93"/>
      <c r="T70" s="94"/>
      <c r="U70" s="92">
        <v>262</v>
      </c>
      <c r="V70" s="93"/>
      <c r="W70" s="94"/>
      <c r="X70" s="92">
        <v>0</v>
      </c>
      <c r="Z70" s="140"/>
    </row>
    <row r="71" spans="1:26" x14ac:dyDescent="0.2">
      <c r="A71" s="79">
        <v>2017</v>
      </c>
      <c r="B71" s="80" t="s">
        <v>90</v>
      </c>
      <c r="C71" s="89"/>
      <c r="D71" s="90">
        <v>33135674.439350799</v>
      </c>
      <c r="E71" s="90"/>
      <c r="F71" s="91">
        <v>153825741</v>
      </c>
      <c r="G71" s="92">
        <v>21093</v>
      </c>
      <c r="H71" s="90">
        <v>52319962</v>
      </c>
      <c r="I71" s="92">
        <v>1797</v>
      </c>
      <c r="J71" s="93">
        <v>144490127</v>
      </c>
      <c r="K71" s="94">
        <v>397736</v>
      </c>
      <c r="L71" s="92">
        <v>158</v>
      </c>
      <c r="M71" s="90">
        <v>729133</v>
      </c>
      <c r="N71" s="95">
        <v>2012</v>
      </c>
      <c r="O71" s="92">
        <v>494</v>
      </c>
      <c r="P71" s="93">
        <v>1393112</v>
      </c>
      <c r="Q71" s="96">
        <v>3890</v>
      </c>
      <c r="R71" s="92">
        <v>6916</v>
      </c>
      <c r="S71" s="93">
        <v>958727</v>
      </c>
      <c r="T71" s="94"/>
      <c r="U71" s="92">
        <v>262</v>
      </c>
      <c r="V71" s="93"/>
      <c r="W71" s="94"/>
      <c r="X71" s="92">
        <v>0</v>
      </c>
      <c r="Z71" s="140"/>
    </row>
    <row r="72" spans="1:26" x14ac:dyDescent="0.2">
      <c r="A72" s="79">
        <v>2018</v>
      </c>
      <c r="B72" s="80" t="s">
        <v>80</v>
      </c>
      <c r="C72" s="89"/>
      <c r="D72" s="82">
        <v>34633272.560236096</v>
      </c>
      <c r="E72" s="82"/>
      <c r="F72" s="83">
        <v>14901343</v>
      </c>
      <c r="G72" s="84">
        <v>21130</v>
      </c>
      <c r="H72" s="82">
        <v>5230358</v>
      </c>
      <c r="I72" s="84">
        <v>1801</v>
      </c>
      <c r="J72" s="85">
        <v>12909177.35</v>
      </c>
      <c r="K72" s="86">
        <v>32596</v>
      </c>
      <c r="L72" s="84">
        <v>158</v>
      </c>
      <c r="M72" s="82">
        <v>60351</v>
      </c>
      <c r="N72" s="87">
        <v>162</v>
      </c>
      <c r="O72" s="84">
        <v>494</v>
      </c>
      <c r="P72" s="85">
        <v>147450</v>
      </c>
      <c r="Q72" s="88">
        <v>324</v>
      </c>
      <c r="R72" s="84">
        <v>6916</v>
      </c>
      <c r="S72" s="85">
        <v>81115</v>
      </c>
      <c r="T72" s="86"/>
      <c r="U72" s="84">
        <v>262</v>
      </c>
      <c r="V72" s="85"/>
      <c r="W72" s="86"/>
      <c r="X72" s="84">
        <v>0</v>
      </c>
      <c r="Z72" s="140"/>
    </row>
    <row r="73" spans="1:26" x14ac:dyDescent="0.2">
      <c r="A73" s="79">
        <v>2018</v>
      </c>
      <c r="B73" s="80" t="s">
        <v>81</v>
      </c>
      <c r="C73" s="89"/>
      <c r="D73" s="90">
        <v>29707123.119004901</v>
      </c>
      <c r="E73" s="90"/>
      <c r="F73" s="91">
        <v>12355576</v>
      </c>
      <c r="G73" s="92">
        <v>21124</v>
      </c>
      <c r="H73" s="90">
        <v>4428225</v>
      </c>
      <c r="I73" s="92">
        <v>1796</v>
      </c>
      <c r="J73" s="93">
        <v>11400123.99</v>
      </c>
      <c r="K73" s="94">
        <v>32498</v>
      </c>
      <c r="L73" s="92">
        <v>162</v>
      </c>
      <c r="M73" s="90">
        <v>54005</v>
      </c>
      <c r="N73" s="95">
        <v>160</v>
      </c>
      <c r="O73" s="92">
        <v>494</v>
      </c>
      <c r="P73" s="93">
        <v>122874</v>
      </c>
      <c r="Q73" s="96">
        <v>326</v>
      </c>
      <c r="R73" s="92">
        <v>6916</v>
      </c>
      <c r="S73" s="93">
        <v>73264</v>
      </c>
      <c r="T73" s="94"/>
      <c r="U73" s="92">
        <v>262</v>
      </c>
      <c r="V73" s="93"/>
      <c r="W73" s="94"/>
      <c r="X73" s="92">
        <v>0</v>
      </c>
      <c r="Z73" s="140"/>
    </row>
    <row r="74" spans="1:26" x14ac:dyDescent="0.2">
      <c r="A74" s="79">
        <v>2018</v>
      </c>
      <c r="B74" s="80" t="s">
        <v>82</v>
      </c>
      <c r="C74" s="89"/>
      <c r="D74" s="90">
        <v>31571358.704649799</v>
      </c>
      <c r="E74" s="90"/>
      <c r="F74" s="91">
        <v>12817780</v>
      </c>
      <c r="G74" s="92">
        <v>21147</v>
      </c>
      <c r="H74" s="90">
        <v>4562007</v>
      </c>
      <c r="I74" s="92">
        <v>1795</v>
      </c>
      <c r="J74" s="93">
        <v>12783690.890000001</v>
      </c>
      <c r="K74" s="94">
        <v>32274</v>
      </c>
      <c r="L74" s="92">
        <v>162</v>
      </c>
      <c r="M74" s="90">
        <v>59217</v>
      </c>
      <c r="N74" s="95">
        <v>163</v>
      </c>
      <c r="O74" s="92">
        <v>493</v>
      </c>
      <c r="P74" s="93">
        <v>121717</v>
      </c>
      <c r="Q74" s="96">
        <v>326</v>
      </c>
      <c r="R74" s="92">
        <v>6961</v>
      </c>
      <c r="S74" s="93">
        <v>81115</v>
      </c>
      <c r="T74" s="94"/>
      <c r="U74" s="92">
        <v>262</v>
      </c>
      <c r="V74" s="93"/>
      <c r="W74" s="94"/>
      <c r="X74" s="92">
        <v>0</v>
      </c>
      <c r="Z74" s="140"/>
    </row>
    <row r="75" spans="1:26" x14ac:dyDescent="0.2">
      <c r="A75" s="79">
        <v>2018</v>
      </c>
      <c r="B75" s="80" t="s">
        <v>83</v>
      </c>
      <c r="C75" s="89"/>
      <c r="D75" s="90">
        <v>29502213.161825802</v>
      </c>
      <c r="E75" s="90"/>
      <c r="F75" s="91">
        <v>11729652</v>
      </c>
      <c r="G75" s="92">
        <v>21175</v>
      </c>
      <c r="H75" s="90">
        <v>4198584</v>
      </c>
      <c r="I75" s="92">
        <v>1794</v>
      </c>
      <c r="J75" s="93">
        <v>12188110.15</v>
      </c>
      <c r="K75" s="94">
        <v>32118</v>
      </c>
      <c r="L75" s="92">
        <v>164</v>
      </c>
      <c r="M75" s="90">
        <v>57277</v>
      </c>
      <c r="N75" s="95">
        <v>160</v>
      </c>
      <c r="O75" s="92">
        <v>493</v>
      </c>
      <c r="P75" s="93">
        <v>103317</v>
      </c>
      <c r="Q75" s="96">
        <v>326</v>
      </c>
      <c r="R75" s="92">
        <v>6969</v>
      </c>
      <c r="S75" s="93">
        <v>78512</v>
      </c>
      <c r="T75" s="94"/>
      <c r="U75" s="92">
        <v>262</v>
      </c>
      <c r="V75" s="93"/>
      <c r="W75" s="94"/>
      <c r="X75" s="92">
        <v>0</v>
      </c>
      <c r="Z75" s="140"/>
    </row>
    <row r="76" spans="1:26" x14ac:dyDescent="0.2">
      <c r="A76" s="79">
        <v>2018</v>
      </c>
      <c r="B76" s="80" t="s">
        <v>48</v>
      </c>
      <c r="C76" s="89"/>
      <c r="D76" s="90">
        <v>29818036.360710699</v>
      </c>
      <c r="E76" s="90"/>
      <c r="F76" s="91">
        <v>11604831</v>
      </c>
      <c r="G76" s="92">
        <v>21206</v>
      </c>
      <c r="H76" s="90">
        <v>3938316</v>
      </c>
      <c r="I76" s="92">
        <v>1796</v>
      </c>
      <c r="J76" s="93">
        <v>12623857.939999999</v>
      </c>
      <c r="K76" s="94">
        <v>32987</v>
      </c>
      <c r="L76" s="92">
        <v>166</v>
      </c>
      <c r="M76" s="90">
        <v>59168</v>
      </c>
      <c r="N76" s="95">
        <v>159</v>
      </c>
      <c r="O76" s="92">
        <v>491</v>
      </c>
      <c r="P76" s="93">
        <v>94050</v>
      </c>
      <c r="Q76" s="96">
        <v>326</v>
      </c>
      <c r="R76" s="92">
        <v>6965</v>
      </c>
      <c r="S76" s="93">
        <v>81115</v>
      </c>
      <c r="T76" s="94"/>
      <c r="U76" s="92">
        <v>262</v>
      </c>
      <c r="V76" s="93"/>
      <c r="W76" s="94"/>
      <c r="X76" s="92">
        <v>0</v>
      </c>
      <c r="Z76" s="140"/>
    </row>
    <row r="77" spans="1:26" x14ac:dyDescent="0.2">
      <c r="A77" s="79">
        <v>2018</v>
      </c>
      <c r="B77" s="80" t="s">
        <v>84</v>
      </c>
      <c r="C77" s="89"/>
      <c r="D77" s="90">
        <v>32564167.646594502</v>
      </c>
      <c r="E77" s="90"/>
      <c r="F77" s="91">
        <v>15171804</v>
      </c>
      <c r="G77" s="92">
        <v>21221</v>
      </c>
      <c r="H77" s="90">
        <v>4258118</v>
      </c>
      <c r="I77" s="92">
        <v>1796</v>
      </c>
      <c r="J77" s="93">
        <v>12889521.039999999</v>
      </c>
      <c r="K77" s="94">
        <v>34956</v>
      </c>
      <c r="L77" s="92">
        <v>165</v>
      </c>
      <c r="M77" s="90">
        <v>57141</v>
      </c>
      <c r="N77" s="95">
        <v>160</v>
      </c>
      <c r="O77" s="92">
        <v>491</v>
      </c>
      <c r="P77" s="93">
        <v>84728</v>
      </c>
      <c r="Q77" s="96">
        <v>326</v>
      </c>
      <c r="R77" s="92">
        <v>6966</v>
      </c>
      <c r="S77" s="93">
        <v>78512</v>
      </c>
      <c r="T77" s="94"/>
      <c r="U77" s="92">
        <v>263</v>
      </c>
      <c r="V77" s="93"/>
      <c r="W77" s="94"/>
      <c r="X77" s="92">
        <v>0</v>
      </c>
      <c r="Z77" s="140"/>
    </row>
    <row r="78" spans="1:26" x14ac:dyDescent="0.2">
      <c r="A78" s="79">
        <v>2018</v>
      </c>
      <c r="B78" s="80" t="s">
        <v>85</v>
      </c>
      <c r="C78" s="89"/>
      <c r="D78" s="90">
        <v>41016276.892574996</v>
      </c>
      <c r="E78" s="90"/>
      <c r="F78" s="91">
        <v>19443094</v>
      </c>
      <c r="G78" s="92">
        <v>21234</v>
      </c>
      <c r="H78" s="90">
        <v>4745474.8699999992</v>
      </c>
      <c r="I78" s="92">
        <v>1795</v>
      </c>
      <c r="J78" s="93">
        <v>13817843.890000002</v>
      </c>
      <c r="K78" s="94">
        <v>35861</v>
      </c>
      <c r="L78" s="92">
        <v>165</v>
      </c>
      <c r="M78" s="90">
        <v>59045</v>
      </c>
      <c r="N78" s="95">
        <v>160</v>
      </c>
      <c r="O78" s="92">
        <v>491</v>
      </c>
      <c r="P78" s="93">
        <v>91086.34</v>
      </c>
      <c r="Q78" s="96">
        <v>326</v>
      </c>
      <c r="R78" s="92">
        <v>6963</v>
      </c>
      <c r="S78" s="93">
        <v>81282</v>
      </c>
      <c r="T78" s="94"/>
      <c r="U78" s="92">
        <v>263</v>
      </c>
      <c r="V78" s="93"/>
      <c r="W78" s="94"/>
      <c r="X78" s="92">
        <v>0</v>
      </c>
      <c r="Z78" s="140"/>
    </row>
    <row r="79" spans="1:26" x14ac:dyDescent="0.2">
      <c r="A79" s="79">
        <v>2018</v>
      </c>
      <c r="B79" s="80" t="s">
        <v>86</v>
      </c>
      <c r="C79" s="89"/>
      <c r="D79" s="90">
        <v>39071849.328965105</v>
      </c>
      <c r="E79" s="90"/>
      <c r="F79" s="91">
        <v>18669911</v>
      </c>
      <c r="G79" s="92">
        <v>21275</v>
      </c>
      <c r="H79" s="90">
        <v>4700329.49</v>
      </c>
      <c r="I79" s="92">
        <v>1798</v>
      </c>
      <c r="J79" s="93">
        <v>13480363.869999999</v>
      </c>
      <c r="K79" s="94">
        <v>37016</v>
      </c>
      <c r="L79" s="92">
        <v>166</v>
      </c>
      <c r="M79" s="90">
        <v>58891</v>
      </c>
      <c r="N79" s="95">
        <v>159</v>
      </c>
      <c r="O79" s="92">
        <v>490</v>
      </c>
      <c r="P79" s="93">
        <v>102354.1</v>
      </c>
      <c r="Q79" s="96">
        <v>327</v>
      </c>
      <c r="R79" s="92">
        <v>6958</v>
      </c>
      <c r="S79" s="93">
        <v>81282</v>
      </c>
      <c r="T79" s="94"/>
      <c r="U79" s="92">
        <v>264</v>
      </c>
      <c r="V79" s="93"/>
      <c r="W79" s="94"/>
      <c r="X79" s="92">
        <v>0</v>
      </c>
      <c r="Z79" s="140"/>
    </row>
    <row r="80" spans="1:26" x14ac:dyDescent="0.2">
      <c r="A80" s="79">
        <v>2018</v>
      </c>
      <c r="B80" s="80" t="s">
        <v>87</v>
      </c>
      <c r="C80" s="89"/>
      <c r="D80" s="90">
        <v>33330014.256383102</v>
      </c>
      <c r="E80" s="90"/>
      <c r="F80" s="91">
        <v>14900927</v>
      </c>
      <c r="G80" s="92">
        <v>21307</v>
      </c>
      <c r="H80" s="90">
        <v>4124982.3499999996</v>
      </c>
      <c r="I80" s="92">
        <v>1799</v>
      </c>
      <c r="J80" s="93">
        <v>12846725.720000001</v>
      </c>
      <c r="K80" s="94">
        <v>35759</v>
      </c>
      <c r="L80" s="92">
        <v>166</v>
      </c>
      <c r="M80" s="90">
        <v>56091</v>
      </c>
      <c r="N80" s="95">
        <v>159</v>
      </c>
      <c r="O80" s="92">
        <v>490</v>
      </c>
      <c r="P80" s="93">
        <v>112929.76</v>
      </c>
      <c r="Q80" s="96">
        <v>327</v>
      </c>
      <c r="R80" s="92">
        <v>6965</v>
      </c>
      <c r="S80" s="93">
        <v>78673</v>
      </c>
      <c r="T80" s="94"/>
      <c r="U80" s="92">
        <v>264</v>
      </c>
      <c r="V80" s="93"/>
      <c r="W80" s="94"/>
      <c r="X80" s="92">
        <v>0</v>
      </c>
      <c r="Z80" s="140"/>
    </row>
    <row r="81" spans="1:26" x14ac:dyDescent="0.2">
      <c r="A81" s="79">
        <v>2018</v>
      </c>
      <c r="B81" s="80" t="s">
        <v>88</v>
      </c>
      <c r="C81" s="89"/>
      <c r="D81" s="90">
        <v>29522757.314444497</v>
      </c>
      <c r="E81" s="90"/>
      <c r="F81" s="91">
        <v>12158367</v>
      </c>
      <c r="G81" s="92">
        <v>21336</v>
      </c>
      <c r="H81" s="90">
        <v>4020251.98</v>
      </c>
      <c r="I81" s="92">
        <v>1803</v>
      </c>
      <c r="J81" s="93">
        <v>12691050.619999999</v>
      </c>
      <c r="K81" s="94">
        <v>37047</v>
      </c>
      <c r="L81" s="92">
        <v>166</v>
      </c>
      <c r="M81" s="90">
        <v>52164</v>
      </c>
      <c r="N81" s="95">
        <v>176</v>
      </c>
      <c r="O81" s="92">
        <v>474</v>
      </c>
      <c r="P81" s="93">
        <v>131617.31</v>
      </c>
      <c r="Q81" s="96">
        <v>327</v>
      </c>
      <c r="R81" s="92">
        <v>6965</v>
      </c>
      <c r="S81" s="93">
        <v>81282</v>
      </c>
      <c r="T81" s="94"/>
      <c r="U81" s="92">
        <v>264</v>
      </c>
      <c r="V81" s="93"/>
      <c r="W81" s="94"/>
      <c r="X81" s="92">
        <v>0</v>
      </c>
      <c r="Z81" s="140"/>
    </row>
    <row r="82" spans="1:26" x14ac:dyDescent="0.2">
      <c r="A82" s="79">
        <v>2018</v>
      </c>
      <c r="B82" s="80" t="s">
        <v>89</v>
      </c>
      <c r="C82" s="89"/>
      <c r="D82" s="90">
        <v>30788860.462713901</v>
      </c>
      <c r="E82" s="90"/>
      <c r="F82" s="91">
        <v>12613269</v>
      </c>
      <c r="G82" s="92">
        <v>21354</v>
      </c>
      <c r="H82" s="90">
        <v>4244615</v>
      </c>
      <c r="I82" s="92">
        <v>1803</v>
      </c>
      <c r="J82" s="93">
        <v>12585634.629999999</v>
      </c>
      <c r="K82" s="94">
        <v>36218</v>
      </c>
      <c r="L82" s="92">
        <v>164</v>
      </c>
      <c r="M82" s="90">
        <v>50434</v>
      </c>
      <c r="N82" s="95">
        <v>140</v>
      </c>
      <c r="O82" s="92">
        <v>473</v>
      </c>
      <c r="P82" s="93">
        <v>140137.59</v>
      </c>
      <c r="Q82" s="96">
        <v>327</v>
      </c>
      <c r="R82" s="92">
        <v>6965</v>
      </c>
      <c r="S82" s="93">
        <v>78673</v>
      </c>
      <c r="T82" s="94"/>
      <c r="U82" s="92">
        <v>263</v>
      </c>
      <c r="V82" s="93"/>
      <c r="W82" s="94"/>
      <c r="X82" s="92">
        <v>0</v>
      </c>
      <c r="Z82" s="140"/>
    </row>
    <row r="83" spans="1:26" x14ac:dyDescent="0.2">
      <c r="A83" s="79">
        <v>2018</v>
      </c>
      <c r="B83" s="80" t="s">
        <v>90</v>
      </c>
      <c r="C83" s="89"/>
      <c r="D83" s="90">
        <v>32363996.620362099</v>
      </c>
      <c r="E83" s="90"/>
      <c r="F83" s="91">
        <v>14094885</v>
      </c>
      <c r="G83" s="92">
        <v>21399</v>
      </c>
      <c r="H83" s="90">
        <v>4532075.0999999996</v>
      </c>
      <c r="I83" s="92">
        <v>1803</v>
      </c>
      <c r="J83" s="93">
        <v>12394020.639999999</v>
      </c>
      <c r="K83" s="94">
        <v>34082</v>
      </c>
      <c r="L83" s="92">
        <v>164</v>
      </c>
      <c r="M83" s="90">
        <v>52090</v>
      </c>
      <c r="N83" s="95">
        <v>140</v>
      </c>
      <c r="O83" s="92">
        <v>464</v>
      </c>
      <c r="P83" s="93">
        <v>151694.71</v>
      </c>
      <c r="Q83" s="96">
        <v>327</v>
      </c>
      <c r="R83" s="92">
        <v>6966</v>
      </c>
      <c r="S83" s="93">
        <v>81282</v>
      </c>
      <c r="T83" s="94"/>
      <c r="U83" s="92">
        <v>263</v>
      </c>
      <c r="V83" s="93"/>
      <c r="W83" s="94"/>
      <c r="X83" s="92">
        <v>0</v>
      </c>
      <c r="Z83" s="140"/>
    </row>
    <row r="84" spans="1:26" x14ac:dyDescent="0.2">
      <c r="A84" s="79">
        <v>2019</v>
      </c>
      <c r="B84" s="80" t="s">
        <v>80</v>
      </c>
      <c r="C84" s="89"/>
      <c r="D84" s="82">
        <v>35287777.216221102</v>
      </c>
      <c r="E84" s="82"/>
      <c r="F84" s="83">
        <v>14874477.99</v>
      </c>
      <c r="G84" s="84">
        <v>21442</v>
      </c>
      <c r="H84" s="82">
        <v>4875949.74</v>
      </c>
      <c r="I84" s="84">
        <v>1808</v>
      </c>
      <c r="J84" s="85">
        <v>13791702.520000001</v>
      </c>
      <c r="K84" s="86">
        <v>33264.550000000003</v>
      </c>
      <c r="L84" s="84">
        <v>164</v>
      </c>
      <c r="M84" s="82">
        <v>51095.94</v>
      </c>
      <c r="N84" s="87">
        <v>140.4</v>
      </c>
      <c r="O84" s="84">
        <v>463</v>
      </c>
      <c r="P84" s="85">
        <v>147965.78</v>
      </c>
      <c r="Q84" s="88">
        <v>327.10000000000002</v>
      </c>
      <c r="R84" s="84">
        <v>6966</v>
      </c>
      <c r="S84" s="85">
        <v>81282</v>
      </c>
      <c r="T84" s="86"/>
      <c r="U84" s="84">
        <v>263</v>
      </c>
      <c r="V84" s="85"/>
      <c r="W84" s="86"/>
      <c r="X84" s="84">
        <v>0</v>
      </c>
      <c r="Z84" s="140"/>
    </row>
    <row r="85" spans="1:26" x14ac:dyDescent="0.2">
      <c r="A85" s="79">
        <v>2019</v>
      </c>
      <c r="B85" s="80" t="s">
        <v>81</v>
      </c>
      <c r="C85" s="89"/>
      <c r="D85" s="90">
        <v>31413450.428820997</v>
      </c>
      <c r="E85" s="90"/>
      <c r="F85" s="91">
        <v>13431708.34</v>
      </c>
      <c r="G85" s="92">
        <v>21445</v>
      </c>
      <c r="H85" s="90">
        <v>4491774.25</v>
      </c>
      <c r="I85" s="92">
        <v>1805</v>
      </c>
      <c r="J85" s="93">
        <v>12577188.540000001</v>
      </c>
      <c r="K85" s="94">
        <v>34490.920000000006</v>
      </c>
      <c r="L85" s="92">
        <v>164</v>
      </c>
      <c r="M85" s="90">
        <v>46059.93</v>
      </c>
      <c r="N85" s="95">
        <v>126</v>
      </c>
      <c r="O85" s="92">
        <v>462</v>
      </c>
      <c r="P85" s="93">
        <v>123303.58</v>
      </c>
      <c r="Q85" s="96">
        <v>327.10000000000002</v>
      </c>
      <c r="R85" s="92">
        <v>6966</v>
      </c>
      <c r="S85" s="93">
        <v>73414</v>
      </c>
      <c r="T85" s="94"/>
      <c r="U85" s="92">
        <v>263</v>
      </c>
      <c r="V85" s="93"/>
      <c r="W85" s="94"/>
      <c r="X85" s="92">
        <v>0</v>
      </c>
      <c r="Z85" s="140"/>
    </row>
    <row r="86" spans="1:26" x14ac:dyDescent="0.2">
      <c r="A86" s="79">
        <v>2019</v>
      </c>
      <c r="B86" s="80" t="s">
        <v>82</v>
      </c>
      <c r="C86" s="89"/>
      <c r="D86" s="90">
        <v>32753174.855792601</v>
      </c>
      <c r="E86" s="90"/>
      <c r="F86" s="91">
        <v>13333347.33</v>
      </c>
      <c r="G86" s="92">
        <v>21481</v>
      </c>
      <c r="H86" s="90">
        <v>4535805.8100000005</v>
      </c>
      <c r="I86" s="92">
        <v>1803</v>
      </c>
      <c r="J86" s="93">
        <v>13278879.979999999</v>
      </c>
      <c r="K86" s="94">
        <v>34393.79</v>
      </c>
      <c r="L86" s="92">
        <v>164</v>
      </c>
      <c r="M86" s="90">
        <v>50850.83</v>
      </c>
      <c r="N86" s="95">
        <v>137.6</v>
      </c>
      <c r="O86" s="92">
        <v>460</v>
      </c>
      <c r="P86" s="93">
        <v>122142.69</v>
      </c>
      <c r="Q86" s="96">
        <v>327</v>
      </c>
      <c r="R86" s="92">
        <v>6958</v>
      </c>
      <c r="S86" s="93">
        <v>81282</v>
      </c>
      <c r="T86" s="94"/>
      <c r="U86" s="92">
        <v>263</v>
      </c>
      <c r="V86" s="93"/>
      <c r="W86" s="94"/>
      <c r="X86" s="92">
        <v>0</v>
      </c>
      <c r="Z86" s="140"/>
    </row>
    <row r="87" spans="1:26" x14ac:dyDescent="0.2">
      <c r="A87" s="79">
        <v>2019</v>
      </c>
      <c r="B87" s="80" t="s">
        <v>83</v>
      </c>
      <c r="C87" s="89"/>
      <c r="D87" s="90">
        <v>28598242.1384985</v>
      </c>
      <c r="E87" s="90"/>
      <c r="F87" s="91">
        <v>11414109.529999999</v>
      </c>
      <c r="G87" s="92">
        <v>21510</v>
      </c>
      <c r="H87" s="90">
        <v>3956442.9499999997</v>
      </c>
      <c r="I87" s="92">
        <v>1798</v>
      </c>
      <c r="J87" s="93">
        <v>12269207.420000002</v>
      </c>
      <c r="K87" s="94">
        <v>33768.050000000003</v>
      </c>
      <c r="L87" s="92">
        <v>166</v>
      </c>
      <c r="M87" s="90">
        <v>48950.64</v>
      </c>
      <c r="N87" s="95">
        <v>137</v>
      </c>
      <c r="O87" s="92">
        <v>460</v>
      </c>
      <c r="P87" s="93">
        <v>103678.79</v>
      </c>
      <c r="Q87" s="96">
        <v>327</v>
      </c>
      <c r="R87" s="92">
        <v>6982</v>
      </c>
      <c r="S87" s="93">
        <v>78405</v>
      </c>
      <c r="T87" s="94"/>
      <c r="U87" s="92">
        <v>263</v>
      </c>
      <c r="V87" s="93"/>
      <c r="W87" s="94"/>
      <c r="X87" s="92">
        <v>0</v>
      </c>
      <c r="Z87" s="140"/>
    </row>
    <row r="88" spans="1:26" x14ac:dyDescent="0.2">
      <c r="A88" s="79">
        <v>2019</v>
      </c>
      <c r="B88" s="80" t="s">
        <v>48</v>
      </c>
      <c r="C88" s="89"/>
      <c r="D88" s="90">
        <v>27905719.018595401</v>
      </c>
      <c r="E88" s="90"/>
      <c r="F88" s="91">
        <v>10957340.539999999</v>
      </c>
      <c r="G88" s="92">
        <v>21532</v>
      </c>
      <c r="H88" s="90">
        <v>3718443.98</v>
      </c>
      <c r="I88" s="92">
        <v>1805</v>
      </c>
      <c r="J88" s="93">
        <v>12453135.58</v>
      </c>
      <c r="K88" s="94">
        <v>33287.800000000003</v>
      </c>
      <c r="L88" s="92">
        <v>167</v>
      </c>
      <c r="M88" s="90">
        <v>49563.06</v>
      </c>
      <c r="N88" s="95">
        <v>137</v>
      </c>
      <c r="O88" s="92">
        <v>455</v>
      </c>
      <c r="P88" s="93">
        <v>94379.11</v>
      </c>
      <c r="Q88" s="96">
        <v>327</v>
      </c>
      <c r="R88" s="92">
        <v>6988</v>
      </c>
      <c r="S88" s="93">
        <v>81006</v>
      </c>
      <c r="T88" s="94"/>
      <c r="U88" s="92">
        <v>262</v>
      </c>
      <c r="V88" s="93"/>
      <c r="W88" s="94"/>
      <c r="X88" s="92">
        <v>0</v>
      </c>
      <c r="Z88" s="140"/>
    </row>
    <row r="89" spans="1:26" x14ac:dyDescent="0.2">
      <c r="A89" s="79">
        <v>2019</v>
      </c>
      <c r="B89" s="80" t="s">
        <v>84</v>
      </c>
      <c r="C89" s="89"/>
      <c r="D89" s="90">
        <v>30246126.597568698</v>
      </c>
      <c r="E89" s="90"/>
      <c r="F89" s="91">
        <v>13546502.82</v>
      </c>
      <c r="G89" s="92">
        <v>21534</v>
      </c>
      <c r="H89" s="90">
        <v>3916810.87</v>
      </c>
      <c r="I89" s="92">
        <v>1803</v>
      </c>
      <c r="J89" s="93">
        <v>11941076.330000002</v>
      </c>
      <c r="K89" s="94">
        <v>34485.550000000003</v>
      </c>
      <c r="L89" s="92">
        <v>168</v>
      </c>
      <c r="M89" s="90">
        <v>47673.96</v>
      </c>
      <c r="N89" s="95">
        <v>134</v>
      </c>
      <c r="O89" s="92">
        <v>455</v>
      </c>
      <c r="P89" s="93">
        <v>85024.49</v>
      </c>
      <c r="Q89" s="96">
        <v>327</v>
      </c>
      <c r="R89" s="92">
        <v>6989</v>
      </c>
      <c r="S89" s="93">
        <v>78167</v>
      </c>
      <c r="T89" s="94"/>
      <c r="U89" s="92">
        <v>262</v>
      </c>
      <c r="V89" s="93"/>
      <c r="W89" s="94"/>
      <c r="X89" s="92">
        <v>0</v>
      </c>
      <c r="Z89" s="140"/>
    </row>
    <row r="90" spans="1:26" x14ac:dyDescent="0.2">
      <c r="A90" s="79">
        <v>2019</v>
      </c>
      <c r="B90" s="80" t="s">
        <v>85</v>
      </c>
      <c r="C90" s="89"/>
      <c r="D90" s="90">
        <v>40514961.932033904</v>
      </c>
      <c r="E90" s="90"/>
      <c r="F90" s="91">
        <v>19039077.73</v>
      </c>
      <c r="G90" s="92">
        <v>21576</v>
      </c>
      <c r="H90" s="90">
        <v>4531731.71</v>
      </c>
      <c r="I90" s="92">
        <v>1801</v>
      </c>
      <c r="J90" s="93">
        <v>13741928.619999999</v>
      </c>
      <c r="K90" s="94">
        <v>36881.550000000003</v>
      </c>
      <c r="L90" s="92">
        <v>168</v>
      </c>
      <c r="M90" s="90">
        <v>48891.29</v>
      </c>
      <c r="N90" s="95">
        <v>140</v>
      </c>
      <c r="O90" s="92">
        <v>450</v>
      </c>
      <c r="P90" s="93">
        <v>91086.34</v>
      </c>
      <c r="Q90" s="96">
        <v>327</v>
      </c>
      <c r="R90" s="92">
        <v>6989</v>
      </c>
      <c r="S90" s="93">
        <v>80760</v>
      </c>
      <c r="T90" s="94"/>
      <c r="U90" s="92">
        <v>261</v>
      </c>
      <c r="V90" s="93"/>
      <c r="W90" s="94"/>
      <c r="X90" s="92">
        <v>0</v>
      </c>
      <c r="Z90" s="140"/>
    </row>
    <row r="91" spans="1:26" x14ac:dyDescent="0.2">
      <c r="A91" s="79">
        <v>2019</v>
      </c>
      <c r="B91" s="80" t="s">
        <v>86</v>
      </c>
      <c r="C91" s="89"/>
      <c r="D91" s="90">
        <v>36599467.089364603</v>
      </c>
      <c r="E91" s="90"/>
      <c r="F91" s="91">
        <v>17276160.809999999</v>
      </c>
      <c r="G91" s="92">
        <v>21645</v>
      </c>
      <c r="H91" s="90">
        <v>4388810.58</v>
      </c>
      <c r="I91" s="92">
        <v>1797</v>
      </c>
      <c r="J91" s="93">
        <v>13086353.089999998</v>
      </c>
      <c r="K91" s="94">
        <v>36462.619999999995</v>
      </c>
      <c r="L91" s="92">
        <v>168</v>
      </c>
      <c r="M91" s="90">
        <v>48852.54</v>
      </c>
      <c r="N91" s="95">
        <v>125</v>
      </c>
      <c r="O91" s="92">
        <v>450</v>
      </c>
      <c r="P91" s="93">
        <v>102354.1</v>
      </c>
      <c r="Q91" s="96">
        <v>327</v>
      </c>
      <c r="R91" s="92">
        <v>7048</v>
      </c>
      <c r="S91" s="93">
        <v>80760</v>
      </c>
      <c r="T91" s="94"/>
      <c r="U91" s="92">
        <v>261</v>
      </c>
      <c r="V91" s="93"/>
      <c r="W91" s="94"/>
      <c r="X91" s="92">
        <v>0</v>
      </c>
      <c r="Z91" s="140"/>
    </row>
    <row r="92" spans="1:26" x14ac:dyDescent="0.2">
      <c r="A92" s="79">
        <v>2019</v>
      </c>
      <c r="B92" s="80" t="s">
        <v>87</v>
      </c>
      <c r="C92" s="89"/>
      <c r="D92" s="90">
        <v>30196024.2346556</v>
      </c>
      <c r="E92" s="90"/>
      <c r="F92" s="91">
        <v>12968842.1</v>
      </c>
      <c r="G92" s="92">
        <v>21664</v>
      </c>
      <c r="H92" s="90">
        <v>3794580.1399999997</v>
      </c>
      <c r="I92" s="92">
        <v>1793</v>
      </c>
      <c r="J92" s="93">
        <v>12274154.93</v>
      </c>
      <c r="K92" s="94">
        <v>35411.869999999995</v>
      </c>
      <c r="L92" s="92">
        <v>167</v>
      </c>
      <c r="M92" s="90">
        <v>47275.02</v>
      </c>
      <c r="N92" s="95">
        <v>133</v>
      </c>
      <c r="O92" s="92">
        <v>450</v>
      </c>
      <c r="P92" s="93">
        <v>112929.76</v>
      </c>
      <c r="Q92" s="96">
        <v>327</v>
      </c>
      <c r="R92" s="92">
        <v>7048</v>
      </c>
      <c r="S92" s="93">
        <v>78167</v>
      </c>
      <c r="T92" s="94"/>
      <c r="U92" s="92">
        <v>261</v>
      </c>
      <c r="V92" s="93"/>
      <c r="W92" s="94"/>
      <c r="X92" s="92">
        <v>0</v>
      </c>
      <c r="Z92" s="140"/>
    </row>
    <row r="93" spans="1:26" x14ac:dyDescent="0.2">
      <c r="A93" s="79">
        <v>2019</v>
      </c>
      <c r="B93" s="80" t="s">
        <v>88</v>
      </c>
      <c r="C93" s="89"/>
      <c r="D93" s="90">
        <v>27971860.355314802</v>
      </c>
      <c r="E93" s="90"/>
      <c r="F93" s="91">
        <v>11452779.060000001</v>
      </c>
      <c r="G93" s="92">
        <v>21699</v>
      </c>
      <c r="H93" s="90">
        <v>3732619.97</v>
      </c>
      <c r="I93" s="92">
        <v>1796</v>
      </c>
      <c r="J93" s="93">
        <v>11787119.860000001</v>
      </c>
      <c r="K93" s="94">
        <v>35611.5</v>
      </c>
      <c r="L93" s="92">
        <v>167</v>
      </c>
      <c r="M93" s="90">
        <v>48802.31</v>
      </c>
      <c r="N93" s="95">
        <v>132</v>
      </c>
      <c r="O93" s="92">
        <v>449</v>
      </c>
      <c r="P93" s="93">
        <v>131617.31</v>
      </c>
      <c r="Q93" s="96">
        <v>327</v>
      </c>
      <c r="R93" s="92">
        <v>7047</v>
      </c>
      <c r="S93" s="93">
        <v>80760</v>
      </c>
      <c r="T93" s="94"/>
      <c r="U93" s="92">
        <v>261</v>
      </c>
      <c r="V93" s="93"/>
      <c r="W93" s="94"/>
      <c r="X93" s="92">
        <v>0</v>
      </c>
      <c r="Z93" s="140"/>
    </row>
    <row r="94" spans="1:26" x14ac:dyDescent="0.2">
      <c r="A94" s="79">
        <v>2019</v>
      </c>
      <c r="B94" s="80" t="s">
        <v>89</v>
      </c>
      <c r="C94" s="89"/>
      <c r="D94" s="90">
        <v>30548760.205844</v>
      </c>
      <c r="E94" s="90"/>
      <c r="F94" s="91">
        <v>13109480.800000001</v>
      </c>
      <c r="G94" s="92">
        <v>21711</v>
      </c>
      <c r="H94" s="90">
        <v>4184336.71</v>
      </c>
      <c r="I94" s="92">
        <v>1782</v>
      </c>
      <c r="J94" s="93">
        <v>12056047.059999999</v>
      </c>
      <c r="K94" s="94">
        <v>35042.520000000004</v>
      </c>
      <c r="L94" s="92">
        <v>165</v>
      </c>
      <c r="M94" s="90">
        <v>47125.440000000002</v>
      </c>
      <c r="N94" s="95">
        <v>132</v>
      </c>
      <c r="O94" s="92">
        <v>449</v>
      </c>
      <c r="P94" s="93">
        <v>140137.59</v>
      </c>
      <c r="Q94" s="96">
        <v>327</v>
      </c>
      <c r="R94" s="92">
        <v>7050</v>
      </c>
      <c r="S94" s="93">
        <v>78167</v>
      </c>
      <c r="T94" s="94"/>
      <c r="U94" s="92">
        <v>261</v>
      </c>
      <c r="V94" s="93"/>
      <c r="W94" s="94"/>
      <c r="X94" s="92">
        <v>0</v>
      </c>
      <c r="Z94" s="140"/>
    </row>
    <row r="95" spans="1:26" x14ac:dyDescent="0.2">
      <c r="A95" s="79">
        <v>2019</v>
      </c>
      <c r="B95" s="80" t="s">
        <v>90</v>
      </c>
      <c r="C95" s="89"/>
      <c r="D95" s="90">
        <v>32756213.143715002</v>
      </c>
      <c r="E95" s="90"/>
      <c r="F95" s="91">
        <v>14402469.390000001</v>
      </c>
      <c r="G95" s="92">
        <v>21721</v>
      </c>
      <c r="H95" s="90">
        <v>4379127.82</v>
      </c>
      <c r="I95" s="92">
        <v>1777</v>
      </c>
      <c r="J95" s="93">
        <v>12095609.850000001</v>
      </c>
      <c r="K95" s="94">
        <v>32434.39</v>
      </c>
      <c r="L95" s="92">
        <v>166</v>
      </c>
      <c r="M95" s="90">
        <v>48696.29</v>
      </c>
      <c r="N95" s="95">
        <v>131</v>
      </c>
      <c r="O95" s="92">
        <v>440</v>
      </c>
      <c r="P95" s="93">
        <v>151694.71</v>
      </c>
      <c r="Q95" s="96">
        <v>327</v>
      </c>
      <c r="R95" s="92">
        <v>7050</v>
      </c>
      <c r="S95" s="93">
        <v>80760</v>
      </c>
      <c r="T95" s="94"/>
      <c r="U95" s="92">
        <v>261</v>
      </c>
      <c r="V95" s="93"/>
      <c r="W95" s="94"/>
      <c r="X95" s="92">
        <v>0</v>
      </c>
      <c r="Z95" s="140"/>
    </row>
    <row r="96" spans="1:26" x14ac:dyDescent="0.2">
      <c r="A96" s="79">
        <v>2020</v>
      </c>
      <c r="B96" s="80" t="s">
        <v>80</v>
      </c>
      <c r="C96" s="89"/>
      <c r="D96" s="82">
        <v>32984745.984053601</v>
      </c>
      <c r="E96" s="82"/>
      <c r="F96" s="83">
        <v>14357335.51</v>
      </c>
      <c r="G96" s="84">
        <v>21754</v>
      </c>
      <c r="H96" s="82">
        <v>4505399.3400000008</v>
      </c>
      <c r="I96" s="84">
        <v>1788</v>
      </c>
      <c r="J96" s="85">
        <v>12635834.73</v>
      </c>
      <c r="K96" s="86">
        <v>33039.89</v>
      </c>
      <c r="L96" s="84">
        <v>167</v>
      </c>
      <c r="M96" s="82">
        <v>48696.3</v>
      </c>
      <c r="N96" s="87">
        <v>131</v>
      </c>
      <c r="O96" s="84">
        <v>440</v>
      </c>
      <c r="P96" s="85">
        <v>149286.70000000001</v>
      </c>
      <c r="Q96" s="88">
        <v>330</v>
      </c>
      <c r="R96" s="84">
        <v>7050</v>
      </c>
      <c r="S96" s="85">
        <v>80760</v>
      </c>
      <c r="T96" s="86"/>
      <c r="U96" s="84">
        <v>261</v>
      </c>
      <c r="V96" s="85"/>
      <c r="W96" s="86"/>
      <c r="X96" s="84">
        <v>0</v>
      </c>
      <c r="Z96" s="140"/>
    </row>
    <row r="97" spans="1:26" x14ac:dyDescent="0.2">
      <c r="A97" s="79">
        <v>2020</v>
      </c>
      <c r="B97" s="80" t="s">
        <v>81</v>
      </c>
      <c r="C97" s="89"/>
      <c r="D97" s="90">
        <v>31066267.637283299</v>
      </c>
      <c r="E97" s="90"/>
      <c r="F97" s="91">
        <v>13257653</v>
      </c>
      <c r="G97" s="92">
        <v>21793</v>
      </c>
      <c r="H97" s="90">
        <v>4280495.82</v>
      </c>
      <c r="I97" s="92">
        <v>1778</v>
      </c>
      <c r="J97" s="93">
        <v>11833328.060000001</v>
      </c>
      <c r="K97" s="94">
        <v>32482</v>
      </c>
      <c r="L97" s="92">
        <v>167</v>
      </c>
      <c r="M97" s="90">
        <v>43943.05</v>
      </c>
      <c r="N97" s="95">
        <v>132</v>
      </c>
      <c r="O97" s="92">
        <v>406</v>
      </c>
      <c r="P97" s="93">
        <v>128628.34</v>
      </c>
      <c r="Q97" s="96">
        <v>330</v>
      </c>
      <c r="R97" s="92">
        <v>7052</v>
      </c>
      <c r="S97" s="93">
        <v>75228</v>
      </c>
      <c r="T97" s="94"/>
      <c r="U97" s="92">
        <v>260</v>
      </c>
      <c r="V97" s="93"/>
      <c r="W97" s="94"/>
      <c r="X97" s="92">
        <v>0</v>
      </c>
      <c r="Z97" s="140"/>
    </row>
    <row r="98" spans="1:26" x14ac:dyDescent="0.2">
      <c r="A98" s="79">
        <v>2020</v>
      </c>
      <c r="B98" s="80" t="s">
        <v>82</v>
      </c>
      <c r="C98" s="89"/>
      <c r="D98" s="90">
        <v>30079085.278391898</v>
      </c>
      <c r="E98" s="90"/>
      <c r="F98" s="91">
        <v>13373777.6</v>
      </c>
      <c r="G98" s="92">
        <v>21828</v>
      </c>
      <c r="H98" s="90">
        <v>4214474.96</v>
      </c>
      <c r="I98" s="92">
        <v>1788</v>
      </c>
      <c r="J98" s="93">
        <v>11287020.939999999</v>
      </c>
      <c r="K98" s="94">
        <v>31550</v>
      </c>
      <c r="L98" s="92">
        <v>158</v>
      </c>
      <c r="M98" s="90">
        <v>45273.89</v>
      </c>
      <c r="N98" s="95">
        <v>122</v>
      </c>
      <c r="O98" s="92">
        <v>406</v>
      </c>
      <c r="P98" s="93">
        <v>122721.58</v>
      </c>
      <c r="Q98" s="96">
        <v>330</v>
      </c>
      <c r="R98" s="92">
        <v>7052</v>
      </c>
      <c r="S98" s="93">
        <v>80422</v>
      </c>
      <c r="T98" s="94"/>
      <c r="U98" s="92">
        <v>260</v>
      </c>
      <c r="V98" s="93"/>
      <c r="W98" s="94"/>
      <c r="X98" s="92">
        <v>0</v>
      </c>
      <c r="Z98" s="140"/>
    </row>
    <row r="99" spans="1:26" x14ac:dyDescent="0.2">
      <c r="A99" s="79">
        <v>2020</v>
      </c>
      <c r="B99" s="80" t="s">
        <v>83</v>
      </c>
      <c r="C99" s="89"/>
      <c r="D99" s="90">
        <v>26605231.832859904</v>
      </c>
      <c r="E99" s="90"/>
      <c r="F99" s="91">
        <v>12414908.619999999</v>
      </c>
      <c r="G99" s="92">
        <v>21861</v>
      </c>
      <c r="H99" s="90">
        <v>3390848.1999999997</v>
      </c>
      <c r="I99" s="92">
        <v>1786</v>
      </c>
      <c r="J99" s="93">
        <v>9454858.0600000005</v>
      </c>
      <c r="K99" s="94">
        <v>27547</v>
      </c>
      <c r="L99" s="92">
        <v>158</v>
      </c>
      <c r="M99" s="90">
        <v>43810.02</v>
      </c>
      <c r="N99" s="95">
        <v>122</v>
      </c>
      <c r="O99" s="92">
        <v>404</v>
      </c>
      <c r="P99" s="93">
        <v>104147.88</v>
      </c>
      <c r="Q99" s="96">
        <v>330</v>
      </c>
      <c r="R99" s="92">
        <v>7052</v>
      </c>
      <c r="S99" s="93">
        <v>77839</v>
      </c>
      <c r="T99" s="94"/>
      <c r="U99" s="92">
        <v>260</v>
      </c>
      <c r="V99" s="93"/>
      <c r="W99" s="94"/>
      <c r="X99" s="92">
        <v>0</v>
      </c>
      <c r="Z99" s="140"/>
    </row>
    <row r="100" spans="1:26" x14ac:dyDescent="0.2">
      <c r="A100" s="79">
        <v>2020</v>
      </c>
      <c r="B100" s="80" t="s">
        <v>48</v>
      </c>
      <c r="C100" s="89"/>
      <c r="D100" s="90">
        <v>28255543.1817187</v>
      </c>
      <c r="E100" s="90"/>
      <c r="F100" s="91">
        <v>13456824.82</v>
      </c>
      <c r="G100" s="92">
        <v>21888</v>
      </c>
      <c r="H100" s="90">
        <v>3428186.73</v>
      </c>
      <c r="I100" s="92">
        <v>1783</v>
      </c>
      <c r="J100" s="93">
        <v>10075538.260000002</v>
      </c>
      <c r="K100" s="94">
        <v>32536</v>
      </c>
      <c r="L100" s="92">
        <v>158</v>
      </c>
      <c r="M100" s="90">
        <v>44955.83</v>
      </c>
      <c r="N100" s="95">
        <v>121</v>
      </c>
      <c r="O100" s="92">
        <v>403</v>
      </c>
      <c r="P100" s="93">
        <v>94875.12</v>
      </c>
      <c r="Q100" s="96">
        <v>330</v>
      </c>
      <c r="R100" s="92">
        <v>7052</v>
      </c>
      <c r="S100" s="93">
        <v>80029</v>
      </c>
      <c r="T100" s="94"/>
      <c r="U100" s="92">
        <v>259</v>
      </c>
      <c r="V100" s="93"/>
      <c r="W100" s="94"/>
      <c r="X100" s="92">
        <v>0</v>
      </c>
      <c r="Z100" s="140"/>
    </row>
    <row r="101" spans="1:26" x14ac:dyDescent="0.2">
      <c r="A101" s="79">
        <v>2020</v>
      </c>
      <c r="B101" s="80" t="s">
        <v>84</v>
      </c>
      <c r="C101" s="89"/>
      <c r="D101" s="90">
        <v>33406975.0200781</v>
      </c>
      <c r="E101" s="90"/>
      <c r="F101" s="91">
        <v>17782162.890000001</v>
      </c>
      <c r="G101" s="92">
        <v>21918</v>
      </c>
      <c r="H101" s="90">
        <v>3872427.9</v>
      </c>
      <c r="I101" s="92">
        <v>1793</v>
      </c>
      <c r="J101" s="93">
        <v>10973356.379999999</v>
      </c>
      <c r="K101" s="94">
        <v>32840</v>
      </c>
      <c r="L101" s="92">
        <v>160</v>
      </c>
      <c r="M101" s="90">
        <v>43454.34</v>
      </c>
      <c r="N101" s="95">
        <v>121</v>
      </c>
      <c r="O101" s="92">
        <v>402</v>
      </c>
      <c r="P101" s="93">
        <v>85734</v>
      </c>
      <c r="Q101" s="96">
        <v>330</v>
      </c>
      <c r="R101" s="92">
        <v>7052</v>
      </c>
      <c r="S101" s="93">
        <v>76647</v>
      </c>
      <c r="T101" s="94"/>
      <c r="U101" s="92">
        <v>257</v>
      </c>
      <c r="V101" s="93"/>
      <c r="W101" s="94"/>
      <c r="X101" s="92">
        <v>0</v>
      </c>
      <c r="Z101" s="140"/>
    </row>
    <row r="102" spans="1:26" x14ac:dyDescent="0.2">
      <c r="A102" s="79">
        <v>2020</v>
      </c>
      <c r="B102" s="80" t="s">
        <v>85</v>
      </c>
      <c r="C102" s="89"/>
      <c r="D102" s="90">
        <v>42687999.775185399</v>
      </c>
      <c r="E102" s="90"/>
      <c r="F102" s="91">
        <v>22211661.710000001</v>
      </c>
      <c r="G102" s="92">
        <v>21950</v>
      </c>
      <c r="H102" s="90">
        <v>4623631.9300000006</v>
      </c>
      <c r="I102" s="92">
        <v>1790</v>
      </c>
      <c r="J102" s="93">
        <v>12264473.049999999</v>
      </c>
      <c r="K102" s="94">
        <v>34975</v>
      </c>
      <c r="L102" s="92">
        <v>160</v>
      </c>
      <c r="M102" s="90">
        <v>44849.81</v>
      </c>
      <c r="N102" s="95">
        <v>121</v>
      </c>
      <c r="O102" s="92">
        <v>402</v>
      </c>
      <c r="P102" s="93">
        <v>92163.46</v>
      </c>
      <c r="Q102" s="96">
        <v>330</v>
      </c>
      <c r="R102" s="92">
        <v>7086</v>
      </c>
      <c r="S102" s="93">
        <v>79190</v>
      </c>
      <c r="T102" s="94"/>
      <c r="U102" s="92">
        <v>257</v>
      </c>
      <c r="V102" s="93"/>
      <c r="W102" s="94"/>
      <c r="X102" s="92">
        <v>0</v>
      </c>
      <c r="Z102" s="140"/>
    </row>
    <row r="103" spans="1:26" x14ac:dyDescent="0.2">
      <c r="A103" s="79">
        <v>2020</v>
      </c>
      <c r="B103" s="80" t="s">
        <v>86</v>
      </c>
      <c r="C103" s="89"/>
      <c r="D103" s="90">
        <v>37930770.327769101</v>
      </c>
      <c r="E103" s="90"/>
      <c r="F103" s="91">
        <v>19369497.870000001</v>
      </c>
      <c r="G103" s="92">
        <v>21972</v>
      </c>
      <c r="H103" s="90">
        <v>4482673.5600000005</v>
      </c>
      <c r="I103" s="92">
        <v>1791</v>
      </c>
      <c r="J103" s="93">
        <v>12006141.370000001</v>
      </c>
      <c r="K103" s="94">
        <v>34025</v>
      </c>
      <c r="L103" s="92">
        <v>161</v>
      </c>
      <c r="M103" s="90">
        <v>44849.82</v>
      </c>
      <c r="N103" s="95">
        <v>121</v>
      </c>
      <c r="O103" s="92">
        <v>402</v>
      </c>
      <c r="P103" s="93">
        <v>103707.8</v>
      </c>
      <c r="Q103" s="96">
        <v>330</v>
      </c>
      <c r="R103" s="92">
        <v>7096</v>
      </c>
      <c r="S103" s="93">
        <v>79190</v>
      </c>
      <c r="T103" s="94"/>
      <c r="U103" s="92">
        <v>257</v>
      </c>
      <c r="V103" s="93"/>
      <c r="W103" s="94"/>
      <c r="X103" s="92">
        <v>0</v>
      </c>
      <c r="Z103" s="140"/>
    </row>
    <row r="104" spans="1:26" x14ac:dyDescent="0.2">
      <c r="A104" s="79">
        <v>2020</v>
      </c>
      <c r="B104" s="80" t="s">
        <v>87</v>
      </c>
      <c r="C104" s="89"/>
      <c r="D104" s="90">
        <v>29216230.450019099</v>
      </c>
      <c r="E104" s="90"/>
      <c r="F104" s="91">
        <v>13630284.539999999</v>
      </c>
      <c r="G104" s="92">
        <v>21993</v>
      </c>
      <c r="H104" s="90">
        <v>3728234.4299999997</v>
      </c>
      <c r="I104" s="92">
        <v>1791</v>
      </c>
      <c r="J104" s="93">
        <v>11036613.07</v>
      </c>
      <c r="K104" s="94">
        <v>32959</v>
      </c>
      <c r="L104" s="92">
        <v>161</v>
      </c>
      <c r="M104" s="90">
        <v>43355.16</v>
      </c>
      <c r="N104" s="95">
        <v>121</v>
      </c>
      <c r="O104" s="92">
        <v>401</v>
      </c>
      <c r="P104" s="93">
        <v>114421.4</v>
      </c>
      <c r="Q104" s="96">
        <v>330</v>
      </c>
      <c r="R104" s="92">
        <v>7096</v>
      </c>
      <c r="S104" s="93">
        <v>76647</v>
      </c>
      <c r="T104" s="94"/>
      <c r="U104" s="92">
        <v>257</v>
      </c>
      <c r="V104" s="93"/>
      <c r="W104" s="94"/>
      <c r="X104" s="92">
        <v>0</v>
      </c>
      <c r="Z104" s="140"/>
    </row>
    <row r="105" spans="1:26" x14ac:dyDescent="0.2">
      <c r="A105" s="79">
        <v>2020</v>
      </c>
      <c r="B105" s="80" t="s">
        <v>88</v>
      </c>
      <c r="C105" s="89"/>
      <c r="D105" s="90">
        <v>27410041.627921898</v>
      </c>
      <c r="E105" s="90"/>
      <c r="F105" s="91">
        <v>12069964.689999999</v>
      </c>
      <c r="G105" s="92">
        <v>22017</v>
      </c>
      <c r="H105" s="90">
        <v>3701709.39</v>
      </c>
      <c r="I105" s="92">
        <v>1783</v>
      </c>
      <c r="J105" s="93">
        <v>10483165.18</v>
      </c>
      <c r="K105" s="94">
        <v>32743</v>
      </c>
      <c r="L105" s="92">
        <v>161</v>
      </c>
      <c r="M105" s="90">
        <v>44779.13</v>
      </c>
      <c r="N105" s="95">
        <v>120.6</v>
      </c>
      <c r="O105" s="92">
        <v>401</v>
      </c>
      <c r="P105" s="93">
        <v>133270.85999999999</v>
      </c>
      <c r="Q105" s="96">
        <v>330</v>
      </c>
      <c r="R105" s="92">
        <v>7055</v>
      </c>
      <c r="S105" s="93">
        <v>79190</v>
      </c>
      <c r="T105" s="94"/>
      <c r="U105" s="92">
        <v>257</v>
      </c>
      <c r="V105" s="93"/>
      <c r="W105" s="94"/>
      <c r="X105" s="92">
        <v>0</v>
      </c>
      <c r="Z105" s="140"/>
    </row>
    <row r="106" spans="1:26" x14ac:dyDescent="0.2">
      <c r="A106" s="79">
        <v>2020</v>
      </c>
      <c r="B106" s="80" t="s">
        <v>89</v>
      </c>
      <c r="C106" s="89"/>
      <c r="D106" s="90">
        <v>28047137.9106231</v>
      </c>
      <c r="E106" s="90"/>
      <c r="F106" s="91">
        <v>12744800.52</v>
      </c>
      <c r="G106" s="92">
        <v>22046</v>
      </c>
      <c r="H106" s="90">
        <v>3869106.98</v>
      </c>
      <c r="I106" s="92">
        <v>1788</v>
      </c>
      <c r="J106" s="93">
        <v>10300508.439999999</v>
      </c>
      <c r="K106" s="94">
        <v>28820</v>
      </c>
      <c r="L106" s="92">
        <v>161</v>
      </c>
      <c r="M106" s="90">
        <v>43262.64</v>
      </c>
      <c r="N106" s="95">
        <v>121</v>
      </c>
      <c r="O106" s="92">
        <v>401</v>
      </c>
      <c r="P106" s="93">
        <v>141740.54</v>
      </c>
      <c r="Q106" s="96">
        <v>330</v>
      </c>
      <c r="R106" s="92">
        <v>7055</v>
      </c>
      <c r="S106" s="93">
        <v>76647</v>
      </c>
      <c r="T106" s="94"/>
      <c r="U106" s="92">
        <v>257</v>
      </c>
      <c r="V106" s="93"/>
      <c r="W106" s="94"/>
      <c r="X106" s="92">
        <v>0</v>
      </c>
      <c r="Z106" s="140"/>
    </row>
    <row r="107" spans="1:26" x14ac:dyDescent="0.2">
      <c r="A107" s="79">
        <v>2020</v>
      </c>
      <c r="B107" s="80" t="s">
        <v>90</v>
      </c>
      <c r="C107" s="89"/>
      <c r="D107" s="90">
        <v>32403661.342188701</v>
      </c>
      <c r="E107" s="90"/>
      <c r="F107" s="91">
        <v>15245598.5</v>
      </c>
      <c r="G107" s="92">
        <v>22102</v>
      </c>
      <c r="H107" s="90">
        <v>4440317.87</v>
      </c>
      <c r="I107" s="92">
        <v>1791</v>
      </c>
      <c r="J107" s="93">
        <v>10933571.23</v>
      </c>
      <c r="K107" s="94">
        <v>28204</v>
      </c>
      <c r="L107" s="92">
        <v>161</v>
      </c>
      <c r="M107" s="90">
        <v>44704.73</v>
      </c>
      <c r="N107" s="95">
        <v>120</v>
      </c>
      <c r="O107" s="92">
        <v>401</v>
      </c>
      <c r="P107" s="93">
        <v>153109.51999999999</v>
      </c>
      <c r="Q107" s="96">
        <v>330</v>
      </c>
      <c r="R107" s="92">
        <v>7103</v>
      </c>
      <c r="S107" s="93">
        <v>79190</v>
      </c>
      <c r="T107" s="94"/>
      <c r="U107" s="92">
        <v>257</v>
      </c>
      <c r="V107" s="93"/>
      <c r="W107" s="94"/>
      <c r="X107" s="92">
        <v>0</v>
      </c>
      <c r="Z107" s="140"/>
    </row>
    <row r="108" spans="1:26" x14ac:dyDescent="0.2">
      <c r="A108" s="79">
        <v>2021</v>
      </c>
      <c r="B108" s="80" t="s">
        <v>80</v>
      </c>
      <c r="C108" s="89"/>
      <c r="D108" s="82">
        <v>32846157.776278503</v>
      </c>
      <c r="E108" s="82"/>
      <c r="F108" s="83">
        <v>15838147.710000001</v>
      </c>
      <c r="G108" s="84">
        <v>22121</v>
      </c>
      <c r="H108" s="82">
        <v>4781810.03</v>
      </c>
      <c r="I108" s="84">
        <v>1817</v>
      </c>
      <c r="J108" s="85">
        <v>10726335.640000001</v>
      </c>
      <c r="K108" s="86">
        <v>27582</v>
      </c>
      <c r="L108" s="84">
        <v>136</v>
      </c>
      <c r="M108" s="82">
        <v>44704.73</v>
      </c>
      <c r="N108" s="87">
        <v>120.4</v>
      </c>
      <c r="O108" s="84">
        <v>401</v>
      </c>
      <c r="P108" s="85">
        <v>148291.49</v>
      </c>
      <c r="Q108" s="88">
        <v>327.8</v>
      </c>
      <c r="R108" s="84">
        <v>7103</v>
      </c>
      <c r="S108" s="85">
        <v>79190</v>
      </c>
      <c r="T108" s="86"/>
      <c r="U108" s="84">
        <v>257</v>
      </c>
      <c r="V108" s="85"/>
      <c r="W108" s="86"/>
      <c r="X108" s="84">
        <v>0</v>
      </c>
      <c r="Z108" s="140"/>
    </row>
    <row r="109" spans="1:26" x14ac:dyDescent="0.2">
      <c r="A109" s="79">
        <v>2021</v>
      </c>
      <c r="B109" s="80" t="s">
        <v>81</v>
      </c>
      <c r="C109" s="89"/>
      <c r="D109" s="90">
        <v>30819473.817396801</v>
      </c>
      <c r="E109" s="90"/>
      <c r="F109" s="91">
        <v>14486833.300000001</v>
      </c>
      <c r="G109" s="92">
        <v>22198</v>
      </c>
      <c r="H109" s="90">
        <v>4553304.9000000004</v>
      </c>
      <c r="I109" s="92">
        <v>1820</v>
      </c>
      <c r="J109" s="93">
        <v>10234591.66</v>
      </c>
      <c r="K109" s="94">
        <v>27928.400000000001</v>
      </c>
      <c r="L109" s="92">
        <v>136</v>
      </c>
      <c r="M109" s="90">
        <v>40378.47</v>
      </c>
      <c r="N109" s="95">
        <v>120.4</v>
      </c>
      <c r="O109" s="92">
        <v>401</v>
      </c>
      <c r="P109" s="93">
        <v>123574.95</v>
      </c>
      <c r="Q109" s="96">
        <v>327.8</v>
      </c>
      <c r="R109" s="92">
        <v>7106</v>
      </c>
      <c r="S109" s="93">
        <v>71524</v>
      </c>
      <c r="T109" s="94"/>
      <c r="U109" s="92">
        <v>257</v>
      </c>
      <c r="V109" s="93"/>
      <c r="W109" s="94"/>
      <c r="X109" s="92">
        <v>0</v>
      </c>
      <c r="Z109" s="140"/>
    </row>
    <row r="110" spans="1:26" x14ac:dyDescent="0.2">
      <c r="A110" s="79">
        <v>2021</v>
      </c>
      <c r="B110" s="80" t="s">
        <v>82</v>
      </c>
      <c r="C110" s="89"/>
      <c r="D110" s="90">
        <v>30429325.708896</v>
      </c>
      <c r="E110" s="90"/>
      <c r="F110" s="91">
        <v>13580578.720000001</v>
      </c>
      <c r="G110" s="92">
        <v>22269</v>
      </c>
      <c r="H110" s="90">
        <v>4626248.7700000005</v>
      </c>
      <c r="I110" s="92">
        <v>1828</v>
      </c>
      <c r="J110" s="93">
        <v>10829737.430000002</v>
      </c>
      <c r="K110" s="94">
        <v>28625.64</v>
      </c>
      <c r="L110" s="92">
        <v>140</v>
      </c>
      <c r="M110" s="90">
        <v>44704.73</v>
      </c>
      <c r="N110" s="95">
        <v>120.4</v>
      </c>
      <c r="O110" s="92">
        <v>401</v>
      </c>
      <c r="P110" s="93">
        <v>122411.54</v>
      </c>
      <c r="Q110" s="96">
        <v>327.8</v>
      </c>
      <c r="R110" s="92">
        <v>7106</v>
      </c>
      <c r="S110" s="93">
        <v>79190</v>
      </c>
      <c r="T110" s="94"/>
      <c r="U110" s="92">
        <v>257</v>
      </c>
      <c r="V110" s="93"/>
      <c r="W110" s="94"/>
      <c r="X110" s="92">
        <v>0</v>
      </c>
      <c r="Z110" s="140"/>
    </row>
    <row r="111" spans="1:26" x14ac:dyDescent="0.2">
      <c r="A111" s="79">
        <v>2021</v>
      </c>
      <c r="B111" s="80" t="s">
        <v>83</v>
      </c>
      <c r="C111" s="89"/>
      <c r="D111" s="90">
        <v>26763134.5519844</v>
      </c>
      <c r="E111" s="90"/>
      <c r="F111" s="91">
        <v>11975553.24</v>
      </c>
      <c r="G111" s="92">
        <v>22294</v>
      </c>
      <c r="H111" s="90">
        <v>3836073.87</v>
      </c>
      <c r="I111" s="92">
        <v>1841</v>
      </c>
      <c r="J111" s="93">
        <v>9698568.5300000012</v>
      </c>
      <c r="K111" s="94">
        <v>28021.78</v>
      </c>
      <c r="L111" s="92">
        <v>140</v>
      </c>
      <c r="M111" s="90">
        <v>43262.64</v>
      </c>
      <c r="N111" s="95">
        <v>120.4</v>
      </c>
      <c r="O111" s="92">
        <v>401</v>
      </c>
      <c r="P111" s="93">
        <v>103453.54</v>
      </c>
      <c r="Q111" s="96">
        <v>327.8</v>
      </c>
      <c r="R111" s="92">
        <v>7105</v>
      </c>
      <c r="S111" s="93">
        <v>76647</v>
      </c>
      <c r="T111" s="94"/>
      <c r="U111" s="92">
        <v>257</v>
      </c>
      <c r="V111" s="93"/>
      <c r="W111" s="94"/>
      <c r="X111" s="92">
        <v>0</v>
      </c>
      <c r="Z111" s="140"/>
    </row>
    <row r="112" spans="1:26" x14ac:dyDescent="0.2">
      <c r="A112" s="79">
        <v>2021</v>
      </c>
      <c r="B112" s="80" t="s">
        <v>48</v>
      </c>
      <c r="C112" s="89"/>
      <c r="D112" s="90">
        <v>28296552.692327201</v>
      </c>
      <c r="E112" s="90"/>
      <c r="F112" s="91">
        <v>13476019.84</v>
      </c>
      <c r="G112" s="92">
        <v>22316</v>
      </c>
      <c r="H112" s="90">
        <v>3863113.84</v>
      </c>
      <c r="I112" s="92">
        <v>1843</v>
      </c>
      <c r="J112" s="93">
        <v>9927468.6499999985</v>
      </c>
      <c r="K112" s="94">
        <v>29304.6</v>
      </c>
      <c r="L112" s="92">
        <v>140</v>
      </c>
      <c r="M112" s="90">
        <v>44704.73</v>
      </c>
      <c r="N112" s="95">
        <v>120.4</v>
      </c>
      <c r="O112" s="92">
        <v>401</v>
      </c>
      <c r="P112" s="93">
        <v>94242.64</v>
      </c>
      <c r="Q112" s="96">
        <v>327.8</v>
      </c>
      <c r="R112" s="92">
        <v>7105</v>
      </c>
      <c r="S112" s="93">
        <v>77946</v>
      </c>
      <c r="T112" s="94"/>
      <c r="U112" s="92">
        <v>256</v>
      </c>
      <c r="V112" s="93"/>
      <c r="W112" s="94"/>
      <c r="X112" s="92">
        <v>0</v>
      </c>
      <c r="Z112" s="140"/>
    </row>
    <row r="113" spans="1:26" x14ac:dyDescent="0.2">
      <c r="A113" s="79">
        <v>2021</v>
      </c>
      <c r="B113" s="80" t="s">
        <v>84</v>
      </c>
      <c r="C113" s="89"/>
      <c r="D113" s="90">
        <v>34399006.535900503</v>
      </c>
      <c r="E113" s="90"/>
      <c r="F113" s="91">
        <v>16982021.079999998</v>
      </c>
      <c r="G113" s="92">
        <v>22382</v>
      </c>
      <c r="H113" s="90">
        <v>4362549.6000000006</v>
      </c>
      <c r="I113" s="92">
        <v>1843</v>
      </c>
      <c r="J113" s="93">
        <v>10906800.98</v>
      </c>
      <c r="K113" s="94">
        <v>30647.599999999999</v>
      </c>
      <c r="L113" s="92">
        <v>140</v>
      </c>
      <c r="M113" s="90">
        <v>42832.44</v>
      </c>
      <c r="N113" s="95">
        <v>119.2</v>
      </c>
      <c r="O113" s="92">
        <v>398</v>
      </c>
      <c r="P113" s="93">
        <v>85162.44</v>
      </c>
      <c r="Q113" s="96">
        <v>327.8</v>
      </c>
      <c r="R113" s="92">
        <v>7105</v>
      </c>
      <c r="S113" s="93">
        <v>75443</v>
      </c>
      <c r="T113" s="94"/>
      <c r="U113" s="92">
        <v>256</v>
      </c>
      <c r="V113" s="93"/>
      <c r="W113" s="94"/>
      <c r="X113" s="92">
        <v>0</v>
      </c>
      <c r="Z113" s="140"/>
    </row>
    <row r="114" spans="1:26" x14ac:dyDescent="0.2">
      <c r="A114" s="79">
        <v>2021</v>
      </c>
      <c r="B114" s="80" t="s">
        <v>85</v>
      </c>
      <c r="C114" s="89"/>
      <c r="D114" s="90">
        <v>36416581.592046797</v>
      </c>
      <c r="E114" s="90"/>
      <c r="F114" s="91">
        <v>18957065.719999999</v>
      </c>
      <c r="G114" s="92">
        <v>22403</v>
      </c>
      <c r="H114" s="90">
        <v>4824293.49</v>
      </c>
      <c r="I114" s="92">
        <v>1845</v>
      </c>
      <c r="J114" s="93">
        <v>11237187.99</v>
      </c>
      <c r="K114" s="94">
        <v>30355.48</v>
      </c>
      <c r="L114" s="92">
        <v>141</v>
      </c>
      <c r="M114" s="90">
        <v>42941.75</v>
      </c>
      <c r="N114" s="95">
        <v>119.2</v>
      </c>
      <c r="O114" s="92">
        <v>398</v>
      </c>
      <c r="P114" s="93">
        <v>91549.03</v>
      </c>
      <c r="Q114" s="96">
        <v>327.8</v>
      </c>
      <c r="R114" s="92">
        <v>7105</v>
      </c>
      <c r="S114" s="93">
        <v>77946</v>
      </c>
      <c r="T114" s="94"/>
      <c r="U114" s="92">
        <v>256</v>
      </c>
      <c r="V114" s="93"/>
      <c r="W114" s="94"/>
      <c r="X114" s="92">
        <v>0</v>
      </c>
      <c r="Z114" s="140"/>
    </row>
    <row r="115" spans="1:26" x14ac:dyDescent="0.2">
      <c r="A115" s="79">
        <v>2021</v>
      </c>
      <c r="B115" s="80" t="s">
        <v>86</v>
      </c>
      <c r="C115" s="89"/>
      <c r="D115" s="90">
        <v>41970614.616817705</v>
      </c>
      <c r="E115" s="90"/>
      <c r="F115" s="91">
        <v>21600059.73</v>
      </c>
      <c r="G115" s="92">
        <v>22462</v>
      </c>
      <c r="H115" s="90">
        <v>5450822.7799999993</v>
      </c>
      <c r="I115" s="92">
        <v>1845</v>
      </c>
      <c r="J115" s="93">
        <v>12164298.41</v>
      </c>
      <c r="K115" s="94">
        <v>31590.270000000004</v>
      </c>
      <c r="L115" s="92">
        <v>140</v>
      </c>
      <c r="M115" s="90">
        <v>36105.949999999997</v>
      </c>
      <c r="N115" s="95">
        <v>97.1</v>
      </c>
      <c r="O115" s="92">
        <v>345</v>
      </c>
      <c r="P115" s="93">
        <v>103016.38</v>
      </c>
      <c r="Q115" s="96">
        <v>327.8</v>
      </c>
      <c r="R115" s="92">
        <v>7105</v>
      </c>
      <c r="S115" s="93">
        <v>77946</v>
      </c>
      <c r="T115" s="94"/>
      <c r="U115" s="92">
        <v>256</v>
      </c>
      <c r="V115" s="93"/>
      <c r="W115" s="94"/>
      <c r="X115" s="92">
        <v>0</v>
      </c>
      <c r="Z115" s="140"/>
    </row>
    <row r="116" spans="1:26" x14ac:dyDescent="0.2">
      <c r="A116" s="79">
        <v>2021</v>
      </c>
      <c r="B116" s="80" t="s">
        <v>87</v>
      </c>
      <c r="C116" s="89"/>
      <c r="D116" s="90">
        <v>30974506.587737001</v>
      </c>
      <c r="E116" s="90"/>
      <c r="F116" s="91">
        <v>14782035.1</v>
      </c>
      <c r="G116" s="92">
        <v>22493</v>
      </c>
      <c r="H116" s="90">
        <v>4386824.76</v>
      </c>
      <c r="I116" s="92">
        <v>1846</v>
      </c>
      <c r="J116" s="93">
        <v>10734699.250000002</v>
      </c>
      <c r="K116" s="94">
        <v>30624.100000000002</v>
      </c>
      <c r="L116" s="92">
        <v>141</v>
      </c>
      <c r="M116" s="90">
        <v>34957.440000000002</v>
      </c>
      <c r="N116" s="95">
        <v>97.5</v>
      </c>
      <c r="O116" s="92">
        <v>345</v>
      </c>
      <c r="P116" s="93">
        <v>113659</v>
      </c>
      <c r="Q116" s="96">
        <v>327.8</v>
      </c>
      <c r="R116" s="92">
        <v>7105</v>
      </c>
      <c r="S116" s="93">
        <v>75395</v>
      </c>
      <c r="T116" s="94"/>
      <c r="U116" s="92">
        <v>256</v>
      </c>
      <c r="V116" s="93"/>
      <c r="W116" s="94"/>
      <c r="X116" s="92">
        <v>0</v>
      </c>
      <c r="Z116" s="140"/>
    </row>
    <row r="117" spans="1:26" x14ac:dyDescent="0.2">
      <c r="A117" s="79">
        <v>2021</v>
      </c>
      <c r="B117" s="80" t="s">
        <v>88</v>
      </c>
      <c r="C117" s="89"/>
      <c r="D117" s="90">
        <v>28889124.189985599</v>
      </c>
      <c r="E117" s="90"/>
      <c r="F117" s="91">
        <v>12931228.32</v>
      </c>
      <c r="G117" s="92">
        <v>22552</v>
      </c>
      <c r="H117" s="90">
        <v>4235432.3</v>
      </c>
      <c r="I117" s="92">
        <v>1846</v>
      </c>
      <c r="J117" s="93">
        <v>10597546.299999999</v>
      </c>
      <c r="K117" s="94">
        <v>28982.3</v>
      </c>
      <c r="L117" s="92">
        <v>141</v>
      </c>
      <c r="M117" s="90">
        <v>36156.17</v>
      </c>
      <c r="N117" s="95">
        <v>97.5</v>
      </c>
      <c r="O117" s="92">
        <v>347</v>
      </c>
      <c r="P117" s="93">
        <v>132382.45000000001</v>
      </c>
      <c r="Q117" s="96">
        <v>327.8</v>
      </c>
      <c r="R117" s="92">
        <v>7138</v>
      </c>
      <c r="S117" s="93">
        <v>77574</v>
      </c>
      <c r="T117" s="94"/>
      <c r="U117" s="92">
        <v>255</v>
      </c>
      <c r="V117" s="93"/>
      <c r="W117" s="94"/>
      <c r="X117" s="92">
        <v>0</v>
      </c>
      <c r="Z117" s="140"/>
    </row>
    <row r="118" spans="1:26" x14ac:dyDescent="0.2">
      <c r="A118" s="79">
        <v>2021</v>
      </c>
      <c r="B118" s="80" t="s">
        <v>89</v>
      </c>
      <c r="C118" s="89"/>
      <c r="D118" s="90">
        <v>29524971.059174798</v>
      </c>
      <c r="E118" s="90"/>
      <c r="F118" s="91">
        <v>13082669.48</v>
      </c>
      <c r="G118" s="92">
        <v>22604</v>
      </c>
      <c r="H118" s="90">
        <v>4459505.13</v>
      </c>
      <c r="I118" s="92">
        <v>1832</v>
      </c>
      <c r="J118" s="93">
        <v>10492851.17</v>
      </c>
      <c r="K118" s="94">
        <v>27361.199999999997</v>
      </c>
      <c r="L118" s="92">
        <v>141</v>
      </c>
      <c r="M118" s="90">
        <v>34989.839999999997</v>
      </c>
      <c r="N118" s="95">
        <v>97.5</v>
      </c>
      <c r="O118" s="92">
        <v>347</v>
      </c>
      <c r="P118" s="93">
        <v>140795.60999999999</v>
      </c>
      <c r="Q118" s="96">
        <v>327.8</v>
      </c>
      <c r="R118" s="92">
        <v>7138</v>
      </c>
      <c r="S118" s="93">
        <v>74181</v>
      </c>
      <c r="T118" s="94"/>
      <c r="U118" s="92">
        <v>254</v>
      </c>
      <c r="V118" s="93"/>
      <c r="W118" s="94"/>
      <c r="X118" s="92">
        <v>0</v>
      </c>
      <c r="Z118" s="140"/>
    </row>
    <row r="119" spans="1:26" x14ac:dyDescent="0.2">
      <c r="A119" s="79">
        <v>2021</v>
      </c>
      <c r="B119" s="80" t="s">
        <v>90</v>
      </c>
      <c r="C119" s="89"/>
      <c r="D119" s="90">
        <v>32565823.594668198</v>
      </c>
      <c r="E119" s="90"/>
      <c r="F119" s="91">
        <v>15200169.49</v>
      </c>
      <c r="G119" s="92">
        <v>22654</v>
      </c>
      <c r="H119" s="90">
        <v>4850070.4300000006</v>
      </c>
      <c r="I119" s="92">
        <v>1832</v>
      </c>
      <c r="J119" s="93">
        <v>10998377.120000001</v>
      </c>
      <c r="K119" s="94">
        <v>28201.9</v>
      </c>
      <c r="L119" s="92">
        <v>141</v>
      </c>
      <c r="M119" s="90">
        <v>36156.17</v>
      </c>
      <c r="N119" s="95">
        <v>97.5</v>
      </c>
      <c r="O119" s="92">
        <v>347</v>
      </c>
      <c r="P119" s="93">
        <v>152088.88</v>
      </c>
      <c r="Q119" s="96">
        <v>327.8</v>
      </c>
      <c r="R119" s="92">
        <v>7161</v>
      </c>
      <c r="S119" s="93">
        <v>76383</v>
      </c>
      <c r="T119" s="94"/>
      <c r="U119" s="92">
        <v>253</v>
      </c>
      <c r="V119" s="93"/>
      <c r="W119" s="94"/>
      <c r="X119" s="92">
        <v>0</v>
      </c>
      <c r="Z119" s="140"/>
    </row>
    <row r="120" spans="1:26" x14ac:dyDescent="0.2">
      <c r="A120" s="79">
        <v>2022</v>
      </c>
      <c r="B120" s="80" t="s">
        <v>80</v>
      </c>
      <c r="C120" s="89"/>
      <c r="D120" s="82">
        <v>35465006.471801899</v>
      </c>
      <c r="E120" s="82"/>
      <c r="F120" s="83">
        <v>17094811.809999999</v>
      </c>
      <c r="G120" s="84">
        <v>22676</v>
      </c>
      <c r="H120" s="82">
        <v>5248209.67</v>
      </c>
      <c r="I120" s="84">
        <v>1830</v>
      </c>
      <c r="J120" s="85">
        <v>11481027.18</v>
      </c>
      <c r="K120" s="86">
        <v>27990.36</v>
      </c>
      <c r="L120" s="84">
        <v>133</v>
      </c>
      <c r="M120" s="82">
        <v>36156.17</v>
      </c>
      <c r="N120" s="87">
        <v>97.45</v>
      </c>
      <c r="O120" s="84">
        <v>347</v>
      </c>
      <c r="P120" s="85">
        <v>149114.87</v>
      </c>
      <c r="Q120" s="88">
        <v>329.62</v>
      </c>
      <c r="R120" s="84">
        <v>7161</v>
      </c>
      <c r="S120" s="85">
        <v>76383</v>
      </c>
      <c r="T120" s="86"/>
      <c r="U120" s="84">
        <v>253</v>
      </c>
      <c r="V120" s="85"/>
      <c r="W120" s="86"/>
      <c r="X120" s="84">
        <v>0</v>
      </c>
      <c r="Z120" s="140"/>
    </row>
    <row r="121" spans="1:26" x14ac:dyDescent="0.2">
      <c r="A121" s="79">
        <v>2022</v>
      </c>
      <c r="B121" s="80" t="s">
        <v>81</v>
      </c>
      <c r="C121" s="89"/>
      <c r="D121" s="90">
        <v>31523310.542636499</v>
      </c>
      <c r="E121" s="90"/>
      <c r="F121" s="91">
        <v>14588726.92</v>
      </c>
      <c r="G121" s="92">
        <v>22684</v>
      </c>
      <c r="H121" s="90">
        <v>4771951.45</v>
      </c>
      <c r="I121" s="92">
        <v>1830</v>
      </c>
      <c r="J121" s="93">
        <v>10742355.280000001</v>
      </c>
      <c r="K121" s="94">
        <v>30666.99</v>
      </c>
      <c r="L121" s="92">
        <v>138</v>
      </c>
      <c r="M121" s="90">
        <v>32657.19</v>
      </c>
      <c r="N121" s="95">
        <v>97.91</v>
      </c>
      <c r="O121" s="92">
        <v>347</v>
      </c>
      <c r="P121" s="93">
        <v>124261.04</v>
      </c>
      <c r="Q121" s="96">
        <v>329.62</v>
      </c>
      <c r="R121" s="92">
        <v>7177</v>
      </c>
      <c r="S121" s="93">
        <v>68761</v>
      </c>
      <c r="T121" s="94"/>
      <c r="U121" s="92">
        <v>252</v>
      </c>
      <c r="V121" s="93"/>
      <c r="W121" s="94"/>
      <c r="X121" s="92">
        <v>0</v>
      </c>
      <c r="Z121" s="140"/>
    </row>
    <row r="122" spans="1:26" x14ac:dyDescent="0.2">
      <c r="A122" s="79">
        <v>2022</v>
      </c>
      <c r="B122" s="80" t="s">
        <v>82</v>
      </c>
      <c r="C122" s="89"/>
      <c r="D122" s="90">
        <v>32353240.0566434</v>
      </c>
      <c r="E122" s="90"/>
      <c r="F122" s="91">
        <v>14264198.84</v>
      </c>
      <c r="G122" s="92">
        <v>22714</v>
      </c>
      <c r="H122" s="90">
        <v>4844340.4000000004</v>
      </c>
      <c r="I122" s="92">
        <v>1834</v>
      </c>
      <c r="J122" s="93">
        <v>11771947.310000001</v>
      </c>
      <c r="K122" s="94">
        <v>30632.75</v>
      </c>
      <c r="L122" s="92">
        <v>139</v>
      </c>
      <c r="M122" s="90">
        <v>36079.730000000003</v>
      </c>
      <c r="N122" s="95">
        <v>96.99</v>
      </c>
      <c r="O122" s="92">
        <v>346</v>
      </c>
      <c r="P122" s="93">
        <v>123091.17</v>
      </c>
      <c r="Q122" s="96">
        <v>329.62</v>
      </c>
      <c r="R122" s="92">
        <v>7177</v>
      </c>
      <c r="S122" s="93">
        <v>76011</v>
      </c>
      <c r="T122" s="94"/>
      <c r="U122" s="92">
        <v>252</v>
      </c>
      <c r="V122" s="93"/>
      <c r="W122" s="94"/>
      <c r="X122" s="92">
        <v>0</v>
      </c>
      <c r="Z122" s="140"/>
    </row>
    <row r="123" spans="1:26" x14ac:dyDescent="0.2">
      <c r="A123" s="79">
        <v>2022</v>
      </c>
      <c r="B123" s="80" t="s">
        <v>83</v>
      </c>
      <c r="C123" s="89"/>
      <c r="D123" s="90">
        <v>27915177.2162803</v>
      </c>
      <c r="E123" s="90"/>
      <c r="F123" s="91">
        <v>12283802.050000001</v>
      </c>
      <c r="G123" s="92">
        <v>22758</v>
      </c>
      <c r="H123" s="90">
        <v>4163023.65</v>
      </c>
      <c r="I123" s="92">
        <v>1842</v>
      </c>
      <c r="J123" s="93">
        <v>10165552.229999999</v>
      </c>
      <c r="K123" s="94">
        <v>27648.229999999996</v>
      </c>
      <c r="L123" s="92">
        <v>139</v>
      </c>
      <c r="M123" s="90">
        <v>34826.04</v>
      </c>
      <c r="N123" s="95">
        <v>96.99</v>
      </c>
      <c r="O123" s="92">
        <v>346</v>
      </c>
      <c r="P123" s="93">
        <v>104027.95</v>
      </c>
      <c r="Q123" s="96">
        <v>329.62</v>
      </c>
      <c r="R123" s="92">
        <v>7177</v>
      </c>
      <c r="S123" s="93">
        <v>73571</v>
      </c>
      <c r="T123" s="94"/>
      <c r="U123" s="92">
        <v>252</v>
      </c>
      <c r="V123" s="93"/>
      <c r="W123" s="94"/>
      <c r="X123" s="92">
        <v>0</v>
      </c>
      <c r="Z123" s="140"/>
    </row>
    <row r="124" spans="1:26" x14ac:dyDescent="0.2">
      <c r="A124" s="79">
        <v>2022</v>
      </c>
      <c r="B124" s="80" t="s">
        <v>48</v>
      </c>
      <c r="C124" s="89"/>
      <c r="D124" s="90">
        <v>29942359.493953399</v>
      </c>
      <c r="E124" s="90"/>
      <c r="F124" s="91">
        <v>13299835.68</v>
      </c>
      <c r="G124" s="92">
        <v>22784</v>
      </c>
      <c r="H124" s="90">
        <v>4256205.5</v>
      </c>
      <c r="I124" s="92">
        <v>1844</v>
      </c>
      <c r="J124" s="93">
        <v>10987486.509999998</v>
      </c>
      <c r="K124" s="94">
        <v>29350.57</v>
      </c>
      <c r="L124" s="92">
        <v>138</v>
      </c>
      <c r="M124" s="90">
        <v>35986.910000000003</v>
      </c>
      <c r="N124" s="95">
        <v>96.99</v>
      </c>
      <c r="O124" s="92">
        <v>346</v>
      </c>
      <c r="P124" s="93">
        <v>94765.89</v>
      </c>
      <c r="Q124" s="96">
        <v>329.62</v>
      </c>
      <c r="R124" s="92">
        <v>7177</v>
      </c>
      <c r="S124" s="93">
        <v>76011</v>
      </c>
      <c r="T124" s="94"/>
      <c r="U124" s="92">
        <v>252</v>
      </c>
      <c r="V124" s="93"/>
      <c r="W124" s="94"/>
      <c r="X124" s="92">
        <v>0</v>
      </c>
      <c r="Z124" s="140"/>
    </row>
    <row r="125" spans="1:26" x14ac:dyDescent="0.2">
      <c r="A125" s="79">
        <v>2022</v>
      </c>
      <c r="B125" s="80" t="s">
        <v>84</v>
      </c>
      <c r="C125" s="89"/>
      <c r="D125" s="90">
        <v>32984458.022498798</v>
      </c>
      <c r="E125" s="90"/>
      <c r="F125" s="91">
        <v>15755653.300000001</v>
      </c>
      <c r="G125" s="92">
        <v>22808</v>
      </c>
      <c r="H125" s="90">
        <v>4499684.5599999996</v>
      </c>
      <c r="I125" s="92">
        <v>1844</v>
      </c>
      <c r="J125" s="93">
        <v>11187102.190000001</v>
      </c>
      <c r="K125" s="94">
        <v>31997.97</v>
      </c>
      <c r="L125" s="92">
        <v>138</v>
      </c>
      <c r="M125" s="90">
        <v>34826.04</v>
      </c>
      <c r="N125" s="95">
        <v>97.37</v>
      </c>
      <c r="O125" s="92">
        <v>346</v>
      </c>
      <c r="P125" s="93">
        <v>85635.24</v>
      </c>
      <c r="Q125" s="96">
        <v>329.62</v>
      </c>
      <c r="R125" s="92">
        <v>7177</v>
      </c>
      <c r="S125" s="93">
        <v>73571</v>
      </c>
      <c r="T125" s="94"/>
      <c r="U125" s="92">
        <v>252</v>
      </c>
      <c r="V125" s="93"/>
      <c r="W125" s="94"/>
      <c r="X125" s="92">
        <v>0</v>
      </c>
      <c r="Z125" s="140"/>
    </row>
    <row r="126" spans="1:26" x14ac:dyDescent="0.2">
      <c r="A126" s="79">
        <v>2022</v>
      </c>
      <c r="B126" s="80" t="s">
        <v>85</v>
      </c>
      <c r="C126" s="89"/>
      <c r="D126" s="90">
        <v>39133029.9268599</v>
      </c>
      <c r="E126" s="90"/>
      <c r="F126" s="91">
        <v>20212226.859999999</v>
      </c>
      <c r="G126" s="92">
        <v>22842</v>
      </c>
      <c r="H126" s="90">
        <v>5038460.28</v>
      </c>
      <c r="I126" s="92">
        <v>1836</v>
      </c>
      <c r="J126" s="93">
        <v>12132980.999999998</v>
      </c>
      <c r="K126" s="94">
        <v>31237.25</v>
      </c>
      <c r="L126" s="92">
        <v>140</v>
      </c>
      <c r="M126" s="90">
        <v>35891.15</v>
      </c>
      <c r="N126" s="95">
        <v>96.61</v>
      </c>
      <c r="O126" s="92">
        <v>346</v>
      </c>
      <c r="P126" s="93">
        <v>92057.33</v>
      </c>
      <c r="Q126" s="96">
        <v>329.62</v>
      </c>
      <c r="R126" s="92">
        <v>7177</v>
      </c>
      <c r="S126" s="93">
        <v>76011</v>
      </c>
      <c r="T126" s="94"/>
      <c r="U126" s="92">
        <v>252</v>
      </c>
      <c r="V126" s="93"/>
      <c r="W126" s="94"/>
      <c r="X126" s="92">
        <v>0</v>
      </c>
      <c r="Z126" s="140"/>
    </row>
    <row r="127" spans="1:26" x14ac:dyDescent="0.2">
      <c r="A127" s="79">
        <v>2022</v>
      </c>
      <c r="B127" s="80" t="s">
        <v>86</v>
      </c>
      <c r="C127" s="89"/>
      <c r="D127" s="90">
        <v>39821521.175825201</v>
      </c>
      <c r="E127" s="90"/>
      <c r="F127" s="91">
        <v>20213985.329999998</v>
      </c>
      <c r="G127" s="92">
        <v>22885</v>
      </c>
      <c r="H127" s="90">
        <v>5129010.74</v>
      </c>
      <c r="I127" s="92">
        <v>1836</v>
      </c>
      <c r="J127" s="93">
        <v>12590510.060000002</v>
      </c>
      <c r="K127" s="94">
        <v>31432.58</v>
      </c>
      <c r="L127" s="92">
        <v>140</v>
      </c>
      <c r="M127" s="90">
        <v>35843.269999999997</v>
      </c>
      <c r="N127" s="95">
        <v>96.83</v>
      </c>
      <c r="O127" s="92">
        <v>346</v>
      </c>
      <c r="P127" s="93">
        <v>103588.36</v>
      </c>
      <c r="Q127" s="96">
        <v>329.62</v>
      </c>
      <c r="R127" s="92">
        <v>7177</v>
      </c>
      <c r="S127" s="93">
        <v>76011</v>
      </c>
      <c r="T127" s="94"/>
      <c r="U127" s="92">
        <v>252</v>
      </c>
      <c r="V127" s="93"/>
      <c r="W127" s="94"/>
      <c r="X127" s="92">
        <v>0</v>
      </c>
      <c r="Z127" s="140"/>
    </row>
    <row r="128" spans="1:26" x14ac:dyDescent="0.2">
      <c r="A128" s="79">
        <v>2022</v>
      </c>
      <c r="B128" s="80" t="s">
        <v>87</v>
      </c>
      <c r="C128" s="89"/>
      <c r="D128" s="90">
        <v>31429525.786972698</v>
      </c>
      <c r="E128" s="90"/>
      <c r="F128" s="91">
        <v>14211138.42</v>
      </c>
      <c r="G128" s="92">
        <v>22924</v>
      </c>
      <c r="H128" s="90">
        <v>4269069.9000000004</v>
      </c>
      <c r="I128" s="92">
        <v>1837</v>
      </c>
      <c r="J128" s="93">
        <v>11467517.67</v>
      </c>
      <c r="K128" s="94">
        <v>31261.790000000005</v>
      </c>
      <c r="L128" s="92">
        <v>140</v>
      </c>
      <c r="M128" s="90">
        <v>34619.22</v>
      </c>
      <c r="N128" s="95">
        <v>96.42</v>
      </c>
      <c r="O128" s="92">
        <v>343</v>
      </c>
      <c r="P128" s="93">
        <v>114290.09</v>
      </c>
      <c r="Q128" s="96">
        <v>329.62</v>
      </c>
      <c r="R128" s="92">
        <v>7185</v>
      </c>
      <c r="S128" s="93">
        <v>73571</v>
      </c>
      <c r="T128" s="94"/>
      <c r="U128" s="92">
        <v>252</v>
      </c>
      <c r="V128" s="93"/>
      <c r="W128" s="94"/>
      <c r="X128" s="92">
        <v>0</v>
      </c>
      <c r="Z128" s="140"/>
    </row>
    <row r="129" spans="1:26" x14ac:dyDescent="0.2">
      <c r="A129" s="79">
        <v>2022</v>
      </c>
      <c r="B129" s="80" t="s">
        <v>88</v>
      </c>
      <c r="C129" s="89"/>
      <c r="D129" s="90">
        <v>28375439.900397301</v>
      </c>
      <c r="E129" s="90"/>
      <c r="F129" s="91">
        <v>11961248.59</v>
      </c>
      <c r="G129" s="92">
        <v>22993</v>
      </c>
      <c r="H129" s="90">
        <v>4084495.52</v>
      </c>
      <c r="I129" s="92">
        <v>1847</v>
      </c>
      <c r="J129" s="93">
        <v>10980059.050000001</v>
      </c>
      <c r="K129" s="94">
        <v>28362.549999999996</v>
      </c>
      <c r="L129" s="92">
        <v>140</v>
      </c>
      <c r="M129" s="90">
        <v>35724.65</v>
      </c>
      <c r="N129" s="95">
        <v>96.09</v>
      </c>
      <c r="O129" s="92">
        <v>342</v>
      </c>
      <c r="P129" s="93">
        <v>133117.44</v>
      </c>
      <c r="Q129" s="96">
        <v>329.62</v>
      </c>
      <c r="R129" s="92">
        <v>7185</v>
      </c>
      <c r="S129" s="93">
        <v>76011</v>
      </c>
      <c r="T129" s="94"/>
      <c r="U129" s="92">
        <v>252</v>
      </c>
      <c r="V129" s="93"/>
      <c r="W129" s="94"/>
      <c r="X129" s="92">
        <v>0</v>
      </c>
      <c r="Z129" s="140"/>
    </row>
    <row r="130" spans="1:26" x14ac:dyDescent="0.2">
      <c r="A130" s="79">
        <v>2022</v>
      </c>
      <c r="B130" s="80" t="s">
        <v>89</v>
      </c>
      <c r="C130" s="89"/>
      <c r="D130" s="90">
        <v>29798652.173497498</v>
      </c>
      <c r="E130" s="90"/>
      <c r="F130" s="91">
        <v>12947605.449999999</v>
      </c>
      <c r="G130" s="92">
        <v>23036</v>
      </c>
      <c r="H130" s="90">
        <v>4414009.78</v>
      </c>
      <c r="I130" s="92">
        <v>1837</v>
      </c>
      <c r="J130" s="93">
        <v>11042555.199999999</v>
      </c>
      <c r="K130" s="94">
        <v>28710.57</v>
      </c>
      <c r="L130" s="92">
        <v>141</v>
      </c>
      <c r="M130" s="90">
        <v>34572.239999999998</v>
      </c>
      <c r="N130" s="95">
        <v>96.28</v>
      </c>
      <c r="O130" s="92">
        <v>342</v>
      </c>
      <c r="P130" s="93">
        <v>141577.29999999999</v>
      </c>
      <c r="Q130" s="96">
        <v>329.62</v>
      </c>
      <c r="R130" s="92">
        <v>7185</v>
      </c>
      <c r="S130" s="93">
        <v>73571</v>
      </c>
      <c r="T130" s="94"/>
      <c r="U130" s="92">
        <v>252</v>
      </c>
      <c r="V130" s="93"/>
      <c r="W130" s="94"/>
      <c r="X130" s="92">
        <v>0</v>
      </c>
      <c r="Z130" s="140"/>
    </row>
    <row r="131" spans="1:26" x14ac:dyDescent="0.2">
      <c r="A131" s="79">
        <v>2022</v>
      </c>
      <c r="B131" s="80" t="s">
        <v>90</v>
      </c>
      <c r="C131" s="89"/>
      <c r="D131" s="90">
        <v>33870515.1064891</v>
      </c>
      <c r="E131" s="90"/>
      <c r="F131" s="91">
        <v>15811663.27</v>
      </c>
      <c r="G131" s="92">
        <v>23084</v>
      </c>
      <c r="H131" s="90">
        <v>5000980.3499999996</v>
      </c>
      <c r="I131" s="92">
        <v>1840</v>
      </c>
      <c r="J131" s="93">
        <v>11480377.619999999</v>
      </c>
      <c r="K131" s="94">
        <v>27921.54</v>
      </c>
      <c r="L131" s="92">
        <v>139</v>
      </c>
      <c r="M131" s="90">
        <v>35724.65</v>
      </c>
      <c r="N131" s="95">
        <v>96.28</v>
      </c>
      <c r="O131" s="92">
        <v>342</v>
      </c>
      <c r="P131" s="93">
        <v>152933.22</v>
      </c>
      <c r="Q131" s="96">
        <v>329.62</v>
      </c>
      <c r="R131" s="92">
        <v>7279</v>
      </c>
      <c r="S131" s="93">
        <v>76011</v>
      </c>
      <c r="T131" s="94"/>
      <c r="U131" s="92">
        <v>252</v>
      </c>
      <c r="V131" s="93"/>
      <c r="W131" s="94"/>
      <c r="X131" s="92">
        <v>0</v>
      </c>
      <c r="Z131" s="140"/>
    </row>
    <row r="132" spans="1:26" x14ac:dyDescent="0.2">
      <c r="A132" s="79">
        <v>2023</v>
      </c>
      <c r="B132" s="80" t="s">
        <v>80</v>
      </c>
      <c r="C132" s="89"/>
      <c r="D132" s="82">
        <v>33991812.103445902</v>
      </c>
      <c r="E132" s="82"/>
      <c r="F132" s="83">
        <v>15400439.299999999</v>
      </c>
      <c r="G132" s="84">
        <v>23098</v>
      </c>
      <c r="H132" s="82">
        <v>5119897.5199999986</v>
      </c>
      <c r="I132" s="84">
        <v>1847</v>
      </c>
      <c r="J132" s="85">
        <v>11307279.920249999</v>
      </c>
      <c r="K132" s="86">
        <v>28163.800000000003</v>
      </c>
      <c r="L132" s="84">
        <v>136</v>
      </c>
      <c r="M132" s="82">
        <v>35724.65</v>
      </c>
      <c r="N132" s="87">
        <v>96.28</v>
      </c>
      <c r="O132" s="84">
        <v>342</v>
      </c>
      <c r="P132" s="85">
        <v>151509.94</v>
      </c>
      <c r="Q132" s="88">
        <v>334.94</v>
      </c>
      <c r="R132" s="84">
        <v>7279</v>
      </c>
      <c r="S132" s="85">
        <v>76011</v>
      </c>
      <c r="T132" s="86"/>
      <c r="U132" s="84">
        <v>252</v>
      </c>
      <c r="V132" s="85"/>
      <c r="W132" s="86"/>
      <c r="X132" s="84">
        <v>0</v>
      </c>
      <c r="Z132" s="140"/>
    </row>
    <row r="133" spans="1:26" x14ac:dyDescent="0.2">
      <c r="A133" s="79">
        <v>2023</v>
      </c>
      <c r="B133" s="80" t="s">
        <v>81</v>
      </c>
      <c r="C133" s="89"/>
      <c r="D133" s="90">
        <v>30665858.379131198</v>
      </c>
      <c r="E133" s="90"/>
      <c r="F133" s="91">
        <v>13712540.429999998</v>
      </c>
      <c r="G133" s="92">
        <v>23116</v>
      </c>
      <c r="H133" s="90">
        <v>4653598.4899999993</v>
      </c>
      <c r="I133" s="92">
        <v>1841</v>
      </c>
      <c r="J133" s="93">
        <v>11186421.212000001</v>
      </c>
      <c r="K133" s="94">
        <v>28855.49</v>
      </c>
      <c r="L133" s="92">
        <v>136</v>
      </c>
      <c r="M133" s="90">
        <v>32267.430000000004</v>
      </c>
      <c r="N133" s="95">
        <v>96.28</v>
      </c>
      <c r="O133" s="92">
        <v>342</v>
      </c>
      <c r="P133" s="93">
        <v>126300.17</v>
      </c>
      <c r="Q133" s="96">
        <v>334.94</v>
      </c>
      <c r="R133" s="92">
        <v>7279</v>
      </c>
      <c r="S133" s="93">
        <v>67578</v>
      </c>
      <c r="T133" s="94"/>
      <c r="U133" s="92">
        <v>196</v>
      </c>
      <c r="V133" s="93"/>
      <c r="W133" s="94"/>
      <c r="X133" s="92">
        <v>0</v>
      </c>
      <c r="Z133" s="140"/>
    </row>
    <row r="134" spans="1:26" x14ac:dyDescent="0.2">
      <c r="A134" s="79">
        <v>2023</v>
      </c>
      <c r="B134" s="80" t="s">
        <v>82</v>
      </c>
      <c r="C134" s="89"/>
      <c r="D134" s="90">
        <v>32629381.9263977</v>
      </c>
      <c r="E134" s="90"/>
      <c r="F134" s="91">
        <v>14354034.919999994</v>
      </c>
      <c r="G134" s="92">
        <v>23151</v>
      </c>
      <c r="H134" s="90">
        <v>4943675.4899999993</v>
      </c>
      <c r="I134" s="92">
        <v>1842</v>
      </c>
      <c r="J134" s="93">
        <v>11453032.650750002</v>
      </c>
      <c r="K134" s="94">
        <v>27440.43</v>
      </c>
      <c r="L134" s="92">
        <v>136</v>
      </c>
      <c r="M134" s="90">
        <v>35724.65</v>
      </c>
      <c r="N134" s="95">
        <v>96.28</v>
      </c>
      <c r="O134" s="92">
        <v>342</v>
      </c>
      <c r="P134" s="93">
        <v>125127.83</v>
      </c>
      <c r="Q134" s="96">
        <v>334.94</v>
      </c>
      <c r="R134" s="92">
        <v>7305</v>
      </c>
      <c r="S134" s="93">
        <v>71845</v>
      </c>
      <c r="T134" s="94"/>
      <c r="U134" s="92">
        <v>196</v>
      </c>
      <c r="V134" s="93"/>
      <c r="W134" s="94"/>
      <c r="X134" s="92">
        <v>0</v>
      </c>
      <c r="Z134" s="140"/>
    </row>
    <row r="135" spans="1:26" x14ac:dyDescent="0.2">
      <c r="A135" s="79">
        <v>2023</v>
      </c>
      <c r="B135" s="80" t="s">
        <v>83</v>
      </c>
      <c r="C135" s="89"/>
      <c r="D135" s="90">
        <v>28070848.797054499</v>
      </c>
      <c r="E135" s="90"/>
      <c r="F135" s="91">
        <v>12070642.949999999</v>
      </c>
      <c r="G135" s="92">
        <v>23223</v>
      </c>
      <c r="H135" s="90">
        <v>4028518.22</v>
      </c>
      <c r="I135" s="92">
        <v>1848</v>
      </c>
      <c r="J135" s="93">
        <v>10875262.258750001</v>
      </c>
      <c r="K135" s="94">
        <v>27347.980000000003</v>
      </c>
      <c r="L135" s="92">
        <v>142</v>
      </c>
      <c r="M135" s="90">
        <v>34572.239999999998</v>
      </c>
      <c r="N135" s="95">
        <v>96.28</v>
      </c>
      <c r="O135" s="92">
        <v>342</v>
      </c>
      <c r="P135" s="93">
        <v>106242.79</v>
      </c>
      <c r="Q135" s="96">
        <v>334.94</v>
      </c>
      <c r="R135" s="92">
        <v>7305</v>
      </c>
      <c r="S135" s="93">
        <v>69311</v>
      </c>
      <c r="T135" s="94"/>
      <c r="U135" s="92">
        <v>195</v>
      </c>
      <c r="V135" s="93"/>
      <c r="W135" s="94"/>
      <c r="X135" s="92">
        <v>0</v>
      </c>
      <c r="Z135" s="140"/>
    </row>
    <row r="136" spans="1:26" x14ac:dyDescent="0.2">
      <c r="A136" s="79">
        <v>2023</v>
      </c>
      <c r="B136" s="80" t="s">
        <v>48</v>
      </c>
      <c r="C136" s="89"/>
      <c r="D136" s="90">
        <v>28924411.6335361</v>
      </c>
      <c r="E136" s="90"/>
      <c r="F136" s="91">
        <v>12265205.780000005</v>
      </c>
      <c r="G136" s="92">
        <v>23315</v>
      </c>
      <c r="H136" s="90">
        <v>4075068.2300000004</v>
      </c>
      <c r="I136" s="92">
        <v>1842</v>
      </c>
      <c r="J136" s="93">
        <v>10935284.704750001</v>
      </c>
      <c r="K136" s="94">
        <v>30485.699999999997</v>
      </c>
      <c r="L136" s="92">
        <v>144</v>
      </c>
      <c r="M136" s="90">
        <v>35724.65</v>
      </c>
      <c r="N136" s="95">
        <v>96.28</v>
      </c>
      <c r="O136" s="92">
        <v>342</v>
      </c>
      <c r="P136" s="93">
        <v>96674.69</v>
      </c>
      <c r="Q136" s="96">
        <v>334.94</v>
      </c>
      <c r="R136" s="92">
        <v>7305</v>
      </c>
      <c r="S136" s="93">
        <v>71473</v>
      </c>
      <c r="T136" s="94"/>
      <c r="U136" s="92">
        <v>195</v>
      </c>
      <c r="V136" s="93"/>
      <c r="W136" s="94"/>
      <c r="X136" s="92">
        <v>0</v>
      </c>
      <c r="Z136" s="140"/>
    </row>
    <row r="137" spans="1:26" x14ac:dyDescent="0.2">
      <c r="A137" s="79">
        <v>2023</v>
      </c>
      <c r="B137" s="80" t="s">
        <v>84</v>
      </c>
      <c r="C137" s="89"/>
      <c r="D137" s="90">
        <v>32337605.014613099</v>
      </c>
      <c r="E137" s="90"/>
      <c r="F137" s="91">
        <v>15104643.910000002</v>
      </c>
      <c r="G137" s="92">
        <v>23394</v>
      </c>
      <c r="H137" s="90">
        <v>4326511.0100000007</v>
      </c>
      <c r="I137" s="92">
        <v>1848</v>
      </c>
      <c r="J137" s="93">
        <v>11485832.382249998</v>
      </c>
      <c r="K137" s="94">
        <v>30853.600000000002</v>
      </c>
      <c r="L137" s="92">
        <v>144</v>
      </c>
      <c r="M137" s="90">
        <v>34572.239999999991</v>
      </c>
      <c r="N137" s="95">
        <v>96.28</v>
      </c>
      <c r="O137" s="92">
        <v>342</v>
      </c>
      <c r="P137" s="93">
        <v>87067.53</v>
      </c>
      <c r="Q137" s="96">
        <v>334.94</v>
      </c>
      <c r="R137" s="92">
        <v>7305</v>
      </c>
      <c r="S137" s="93">
        <v>69239</v>
      </c>
      <c r="T137" s="94"/>
      <c r="U137" s="92">
        <v>195</v>
      </c>
      <c r="V137" s="93"/>
      <c r="W137" s="94"/>
      <c r="X137" s="92">
        <v>0</v>
      </c>
      <c r="Z137" s="140"/>
    </row>
    <row r="138" spans="1:26" x14ac:dyDescent="0.2">
      <c r="A138" s="79">
        <v>2023</v>
      </c>
      <c r="B138" s="80" t="s">
        <v>85</v>
      </c>
      <c r="C138" s="89"/>
      <c r="D138" s="90">
        <v>39594891.335779101</v>
      </c>
      <c r="E138" s="90"/>
      <c r="F138" s="91">
        <v>20276948.509999998</v>
      </c>
      <c r="G138" s="92">
        <v>23430</v>
      </c>
      <c r="H138" s="90">
        <v>4969411.3099999996</v>
      </c>
      <c r="I138" s="92">
        <v>1849</v>
      </c>
      <c r="J138" s="93">
        <v>12313567.817249998</v>
      </c>
      <c r="K138" s="94">
        <v>31569.019999999997</v>
      </c>
      <c r="L138" s="92">
        <v>144</v>
      </c>
      <c r="M138" s="90">
        <v>35724.65</v>
      </c>
      <c r="N138" s="95">
        <v>96.28</v>
      </c>
      <c r="O138" s="92">
        <v>342</v>
      </c>
      <c r="P138" s="93">
        <v>94157.99</v>
      </c>
      <c r="Q138" s="96">
        <v>341.22</v>
      </c>
      <c r="R138" s="92">
        <v>7399</v>
      </c>
      <c r="S138" s="93">
        <v>71845</v>
      </c>
      <c r="T138" s="94"/>
      <c r="U138" s="92">
        <v>195</v>
      </c>
      <c r="V138" s="93"/>
      <c r="W138" s="94"/>
      <c r="X138" s="92">
        <v>0</v>
      </c>
      <c r="Z138" s="140"/>
    </row>
    <row r="139" spans="1:26" x14ac:dyDescent="0.2">
      <c r="A139" s="79">
        <v>2023</v>
      </c>
      <c r="B139" s="80" t="s">
        <v>86</v>
      </c>
      <c r="C139" s="89"/>
      <c r="D139" s="90">
        <v>35523357.586275995</v>
      </c>
      <c r="E139" s="90"/>
      <c r="F139" s="91">
        <v>17297910.550000004</v>
      </c>
      <c r="G139" s="92">
        <v>23485</v>
      </c>
      <c r="H139" s="90">
        <v>4569321.8500000006</v>
      </c>
      <c r="I139" s="92">
        <v>1845</v>
      </c>
      <c r="J139" s="93">
        <v>12062480.350000001</v>
      </c>
      <c r="K139" s="94">
        <v>29546.949999999997</v>
      </c>
      <c r="L139" s="92">
        <v>144</v>
      </c>
      <c r="M139" s="90">
        <v>35724.65</v>
      </c>
      <c r="N139" s="95">
        <v>96.28</v>
      </c>
      <c r="O139" s="92">
        <v>342</v>
      </c>
      <c r="P139" s="93">
        <v>106727.86</v>
      </c>
      <c r="Q139" s="96">
        <v>341.22</v>
      </c>
      <c r="R139" s="92">
        <v>7399</v>
      </c>
      <c r="S139" s="93">
        <v>71845</v>
      </c>
      <c r="T139" s="94"/>
      <c r="U139" s="92">
        <v>195</v>
      </c>
      <c r="V139" s="93"/>
      <c r="W139" s="94"/>
      <c r="X139" s="92">
        <v>0</v>
      </c>
      <c r="Z139" s="140"/>
    </row>
    <row r="140" spans="1:26" x14ac:dyDescent="0.2">
      <c r="A140" s="79">
        <v>2023</v>
      </c>
      <c r="B140" s="80" t="s">
        <v>87</v>
      </c>
      <c r="C140" s="89"/>
      <c r="D140" s="90">
        <v>31570923.270029802</v>
      </c>
      <c r="E140" s="90"/>
      <c r="F140" s="91">
        <v>14579829.130000001</v>
      </c>
      <c r="G140" s="92">
        <v>23557</v>
      </c>
      <c r="H140" s="90">
        <v>4269674.47</v>
      </c>
      <c r="I140" s="92">
        <v>1847</v>
      </c>
      <c r="J140" s="93">
        <v>11476498.1555</v>
      </c>
      <c r="K140" s="94">
        <v>32840.129999999997</v>
      </c>
      <c r="L140" s="92">
        <v>144</v>
      </c>
      <c r="M140" s="90">
        <v>34572.239999999998</v>
      </c>
      <c r="N140" s="95">
        <v>96.47</v>
      </c>
      <c r="O140" s="92">
        <v>342</v>
      </c>
      <c r="P140" s="93">
        <v>117772.01</v>
      </c>
      <c r="Q140" s="96">
        <v>341.22</v>
      </c>
      <c r="R140" s="92">
        <v>7399</v>
      </c>
      <c r="S140" s="93">
        <v>69539</v>
      </c>
      <c r="T140" s="94"/>
      <c r="U140" s="92">
        <v>195</v>
      </c>
      <c r="V140" s="93"/>
      <c r="W140" s="94"/>
      <c r="X140" s="92">
        <v>0</v>
      </c>
      <c r="Z140" s="140"/>
    </row>
    <row r="141" spans="1:26" x14ac:dyDescent="0.2">
      <c r="A141" s="79">
        <v>2023</v>
      </c>
      <c r="B141" s="80" t="s">
        <v>88</v>
      </c>
      <c r="C141" s="89"/>
      <c r="D141" s="90">
        <v>29609700.8526466</v>
      </c>
      <c r="E141" s="90"/>
      <c r="F141" s="91">
        <v>13072465.739999998</v>
      </c>
      <c r="G141" s="92">
        <v>23681</v>
      </c>
      <c r="H141" s="90">
        <v>4181105.42</v>
      </c>
      <c r="I141" s="92">
        <v>1845</v>
      </c>
      <c r="J141" s="93">
        <v>10979100.983500002</v>
      </c>
      <c r="K141" s="94">
        <v>29814.499999999996</v>
      </c>
      <c r="L141" s="92">
        <v>144</v>
      </c>
      <c r="M141" s="90">
        <v>35615.21</v>
      </c>
      <c r="N141" s="95">
        <v>95.990000000000009</v>
      </c>
      <c r="O141" s="92">
        <v>341</v>
      </c>
      <c r="P141" s="93">
        <v>137249.98000000001</v>
      </c>
      <c r="Q141" s="96">
        <v>341.22</v>
      </c>
      <c r="R141" s="92">
        <v>7383</v>
      </c>
      <c r="S141" s="93">
        <v>71845</v>
      </c>
      <c r="T141" s="96"/>
      <c r="U141" s="92">
        <v>196</v>
      </c>
      <c r="V141" s="93"/>
      <c r="W141" s="96"/>
      <c r="X141" s="92">
        <v>0</v>
      </c>
      <c r="Z141" s="140"/>
    </row>
    <row r="142" spans="1:26" x14ac:dyDescent="0.2">
      <c r="A142" s="79">
        <v>2023</v>
      </c>
      <c r="B142" s="80" t="s">
        <v>89</v>
      </c>
      <c r="C142" s="89"/>
      <c r="D142" s="90">
        <v>30895716.9335532</v>
      </c>
      <c r="E142" s="90"/>
      <c r="F142" s="91">
        <v>13791629.319999998</v>
      </c>
      <c r="G142" s="92">
        <v>23713</v>
      </c>
      <c r="H142" s="90">
        <v>4438433.7299999995</v>
      </c>
      <c r="I142" s="92">
        <v>1843</v>
      </c>
      <c r="J142" s="93">
        <v>11097897.367000001</v>
      </c>
      <c r="K142" s="94">
        <v>28939.419999999995</v>
      </c>
      <c r="L142" s="92">
        <v>145</v>
      </c>
      <c r="M142" s="90">
        <v>34367.039999999994</v>
      </c>
      <c r="N142" s="95">
        <v>93.13000000000001</v>
      </c>
      <c r="O142" s="92">
        <v>341</v>
      </c>
      <c r="P142" s="93">
        <v>146121.74</v>
      </c>
      <c r="Q142" s="96">
        <v>341.22</v>
      </c>
      <c r="R142" s="92">
        <v>7401</v>
      </c>
      <c r="S142" s="93">
        <v>69539</v>
      </c>
      <c r="T142" s="96"/>
      <c r="U142" s="92">
        <v>196</v>
      </c>
      <c r="V142" s="93"/>
      <c r="W142" s="96"/>
      <c r="X142" s="92">
        <v>0</v>
      </c>
      <c r="Z142" s="140"/>
    </row>
    <row r="143" spans="1:26" ht="13.5" thickBot="1" x14ac:dyDescent="0.25">
      <c r="A143" s="79">
        <v>2023</v>
      </c>
      <c r="B143" s="80" t="s">
        <v>90</v>
      </c>
      <c r="C143" s="89"/>
      <c r="D143" s="97">
        <v>32819279.789655898</v>
      </c>
      <c r="E143" s="97"/>
      <c r="F143" s="98">
        <v>15465345.939999999</v>
      </c>
      <c r="G143" s="99">
        <v>23761</v>
      </c>
      <c r="H143" s="97">
        <v>4704208.76</v>
      </c>
      <c r="I143" s="99">
        <v>1847</v>
      </c>
      <c r="J143" s="100">
        <v>11259431.705250001</v>
      </c>
      <c r="K143" s="101">
        <v>27947.090000000004</v>
      </c>
      <c r="L143" s="99">
        <v>145</v>
      </c>
      <c r="M143" s="97">
        <v>35081.289999999994</v>
      </c>
      <c r="N143" s="102">
        <v>97.28</v>
      </c>
      <c r="O143" s="99">
        <v>341</v>
      </c>
      <c r="P143" s="100">
        <v>158223.57999999999</v>
      </c>
      <c r="Q143" s="103">
        <v>341.22</v>
      </c>
      <c r="R143" s="99">
        <v>7272</v>
      </c>
      <c r="S143" s="100">
        <v>71845</v>
      </c>
      <c r="T143" s="103"/>
      <c r="U143" s="99">
        <v>196</v>
      </c>
      <c r="V143" s="100"/>
      <c r="W143" s="103"/>
      <c r="X143" s="92">
        <v>0</v>
      </c>
      <c r="Z143" s="140"/>
    </row>
    <row r="144" spans="1:26" x14ac:dyDescent="0.2">
      <c r="A144" s="62"/>
      <c r="B144" s="62"/>
      <c r="C144" s="89"/>
      <c r="D144" s="62"/>
      <c r="E144" s="81"/>
      <c r="F144" s="104"/>
      <c r="G144" s="104"/>
      <c r="H144" s="62"/>
      <c r="I144" s="105"/>
      <c r="J144" s="62"/>
      <c r="K144" s="105"/>
      <c r="L144" s="62"/>
      <c r="M144" s="62"/>
      <c r="N144" s="105"/>
      <c r="O144" s="62"/>
      <c r="P144" s="62"/>
      <c r="Q144" s="105"/>
      <c r="R144" s="62"/>
      <c r="S144" s="62"/>
      <c r="T144" s="105"/>
      <c r="U144" s="62"/>
      <c r="V144" s="62"/>
      <c r="W144" s="106"/>
      <c r="X144" s="106"/>
      <c r="Y144" s="62"/>
    </row>
    <row r="145" spans="1:25" s="146" customFormat="1" ht="14.25" x14ac:dyDescent="0.2">
      <c r="D145" s="146">
        <f>SUM(D24:D144)</f>
        <v>3834937086.8809695</v>
      </c>
      <c r="E145" s="147"/>
      <c r="F145" s="146">
        <f>SUM(F24:F144)</f>
        <v>1692205323.4399996</v>
      </c>
      <c r="G145" s="147"/>
      <c r="H145" s="146">
        <f>SUM(H24:H144)</f>
        <v>530337362.62999982</v>
      </c>
      <c r="I145" s="147"/>
      <c r="J145" s="146">
        <f>SUM(J24:J144)</f>
        <v>1410168251.2172496</v>
      </c>
      <c r="K145" s="146">
        <f>SUM(K24:K144)</f>
        <v>3870317.53</v>
      </c>
      <c r="L145" s="147"/>
      <c r="M145" s="146">
        <f>SUM(M24:M144)</f>
        <v>6119852.2300000051</v>
      </c>
      <c r="N145" s="146">
        <f>SUM(N24:N144)</f>
        <v>16889.420000000009</v>
      </c>
      <c r="O145" s="148"/>
      <c r="P145" s="146">
        <f>SUM(P24:P144)</f>
        <v>16272944.219999991</v>
      </c>
      <c r="Q145" s="146">
        <f>SUM(Q24:Q144)</f>
        <v>45664.200000000084</v>
      </c>
      <c r="R145" s="146">
        <f t="shared" ref="R145:W145" si="0">SUM(R24:R144)</f>
        <v>839211</v>
      </c>
      <c r="S145" s="146">
        <f t="shared" si="0"/>
        <v>9389211</v>
      </c>
      <c r="T145" s="146">
        <f t="shared" si="0"/>
        <v>0</v>
      </c>
      <c r="U145" s="146">
        <f t="shared" si="0"/>
        <v>30363</v>
      </c>
      <c r="V145" s="146">
        <f t="shared" si="0"/>
        <v>20644590</v>
      </c>
      <c r="W145" s="146">
        <f t="shared" si="0"/>
        <v>59623</v>
      </c>
      <c r="X145" s="149"/>
    </row>
    <row r="146" spans="1:25" x14ac:dyDescent="0.2">
      <c r="A146" s="81"/>
      <c r="B146" s="81"/>
      <c r="C146" s="81"/>
      <c r="D146" s="81"/>
      <c r="E146" s="81"/>
      <c r="F146" s="104"/>
      <c r="G146" s="81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</row>
    <row r="147" spans="1:25" x14ac:dyDescent="0.2">
      <c r="A147" s="62"/>
      <c r="B147" s="62"/>
      <c r="C147" s="62"/>
      <c r="D147" s="62"/>
      <c r="E147" s="81"/>
      <c r="F147" s="104"/>
      <c r="G147" s="81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</row>
    <row r="148" spans="1:25" x14ac:dyDescent="0.2">
      <c r="A148" s="62"/>
      <c r="B148" s="62"/>
      <c r="C148" s="62"/>
      <c r="D148" s="62"/>
      <c r="E148" s="81"/>
      <c r="F148" s="104"/>
      <c r="G148" s="81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</row>
    <row r="149" spans="1:25" x14ac:dyDescent="0.2">
      <c r="A149" s="62"/>
      <c r="B149" s="62"/>
      <c r="C149" s="62"/>
      <c r="D149" s="62"/>
      <c r="E149" s="81"/>
      <c r="F149" s="104"/>
      <c r="G149" s="81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</sheetData>
  <sheetProtection selectLockedCells="1" selectUnlockedCells="1"/>
  <mergeCells count="10">
    <mergeCell ref="A20:B20"/>
    <mergeCell ref="D20:E20"/>
    <mergeCell ref="F20:X20"/>
    <mergeCell ref="S21:U21"/>
    <mergeCell ref="V21:X21"/>
    <mergeCell ref="F21:G21"/>
    <mergeCell ref="H21:I21"/>
    <mergeCell ref="J21:L21"/>
    <mergeCell ref="M21:O21"/>
    <mergeCell ref="P21:R21"/>
  </mergeCells>
  <pageMargins left="0.70866141732283472" right="0.70866141732283472" top="0.74803149606299213" bottom="0.74803149606299213" header="0.31496062992125984" footer="0.31496062992125984"/>
  <pageSetup paperSize="17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O65"/>
  <sheetViews>
    <sheetView tabSelected="1" zoomScale="85" zoomScaleNormal="85" workbookViewId="0">
      <selection activeCell="N18" sqref="N18"/>
    </sheetView>
  </sheetViews>
  <sheetFormatPr defaultRowHeight="12.75" x14ac:dyDescent="0.2"/>
  <cols>
    <col min="1" max="1" width="30.140625" customWidth="1"/>
    <col min="2" max="2" width="16.140625" bestFit="1" customWidth="1"/>
    <col min="3" max="3" width="14" bestFit="1" customWidth="1"/>
    <col min="4" max="8" width="12.5703125" bestFit="1" customWidth="1"/>
    <col min="9" max="11" width="12.5703125" customWidth="1"/>
    <col min="12" max="12" width="12.5703125" hidden="1" customWidth="1"/>
    <col min="13" max="14" width="12.5703125" bestFit="1" customWidth="1"/>
  </cols>
  <sheetData>
    <row r="1" spans="1:15" ht="15.75" x14ac:dyDescent="0.25">
      <c r="A1" s="27" t="s">
        <v>120</v>
      </c>
    </row>
    <row r="2" spans="1:15" x14ac:dyDescent="0.2">
      <c r="M2" s="29" t="s">
        <v>116</v>
      </c>
      <c r="N2" s="29" t="s">
        <v>117</v>
      </c>
    </row>
    <row r="3" spans="1:15" ht="38.25" x14ac:dyDescent="0.2">
      <c r="B3" s="29" t="s">
        <v>118</v>
      </c>
      <c r="C3" s="29" t="s">
        <v>115</v>
      </c>
      <c r="D3" s="29" t="s">
        <v>51</v>
      </c>
      <c r="E3" s="29" t="s">
        <v>52</v>
      </c>
      <c r="F3" s="29" t="s">
        <v>56</v>
      </c>
      <c r="G3" s="29" t="s">
        <v>57</v>
      </c>
      <c r="H3" s="29" t="s">
        <v>111</v>
      </c>
      <c r="I3" s="29" t="s">
        <v>65</v>
      </c>
      <c r="J3" s="29" t="s">
        <v>66</v>
      </c>
      <c r="K3" s="29" t="s">
        <v>121</v>
      </c>
      <c r="L3" s="29" t="s">
        <v>130</v>
      </c>
      <c r="M3" s="29" t="s">
        <v>110</v>
      </c>
      <c r="N3" s="29" t="s">
        <v>110</v>
      </c>
    </row>
    <row r="4" spans="1:15" x14ac:dyDescent="0.2">
      <c r="A4" s="13" t="s">
        <v>43</v>
      </c>
      <c r="B4" s="20">
        <f>+'Power Purchased Model'!B152</f>
        <v>391741970.1024</v>
      </c>
      <c r="C4" s="20">
        <f>+'Power Purchased Model'!B153</f>
        <v>372659576.71719992</v>
      </c>
      <c r="D4" s="20">
        <f>+'Power Purchased Model'!B154</f>
        <v>380022205.18436003</v>
      </c>
      <c r="E4" s="20">
        <f>+'Power Purchased Model'!B155</f>
        <v>368596644.64483672</v>
      </c>
      <c r="F4" s="20">
        <f>+'Power Purchased Model'!B156</f>
        <v>393889926.42846549</v>
      </c>
      <c r="G4" s="20">
        <f>+'Power Purchased Model'!B157</f>
        <v>384791777.21642524</v>
      </c>
      <c r="H4" s="20">
        <f>+'Power Purchased Model'!B158</f>
        <v>380093690.36809278</v>
      </c>
      <c r="I4" s="20">
        <f>+'Power Purchased Model'!B159</f>
        <v>383895272.72321349</v>
      </c>
      <c r="J4" s="20">
        <f>+'Power Purchased Model'!B160</f>
        <v>392612235.87385601</v>
      </c>
      <c r="K4" s="20">
        <f>+'Power Purchased Model'!B161</f>
        <v>386633787.62211913</v>
      </c>
      <c r="L4" s="20">
        <f>+'Power Purchased Model'!B162</f>
        <v>0</v>
      </c>
    </row>
    <row r="5" spans="1:15" x14ac:dyDescent="0.2">
      <c r="A5" s="13" t="s">
        <v>44</v>
      </c>
      <c r="B5" s="20">
        <f>+'Power Purchased Model'!H152</f>
        <v>373605408.52804506</v>
      </c>
      <c r="C5" s="20">
        <f>+'Power Purchased Model'!H153</f>
        <v>375680252.58074784</v>
      </c>
      <c r="D5" s="20">
        <f>+'Power Purchased Model'!H154</f>
        <v>389367971.22513556</v>
      </c>
      <c r="E5" s="20">
        <f>+'Power Purchased Model'!H155</f>
        <v>374426765.05070925</v>
      </c>
      <c r="F5" s="20">
        <f>+'Power Purchased Model'!H156</f>
        <v>390694843.61246467</v>
      </c>
      <c r="G5" s="20">
        <f>+'Power Purchased Model'!H157</f>
        <v>381803843.10498363</v>
      </c>
      <c r="H5" s="20">
        <f>+'Power Purchased Model'!H158</f>
        <v>387589449.03610957</v>
      </c>
      <c r="I5" s="20">
        <f>+'Power Purchased Model'!H159</f>
        <v>388275738.39954656</v>
      </c>
      <c r="J5" s="20">
        <f>+'Power Purchased Model'!H160</f>
        <v>390620163.52743006</v>
      </c>
      <c r="K5" s="20">
        <f>+'Power Purchased Model'!H161</f>
        <v>382872651.81579709</v>
      </c>
      <c r="L5" s="20">
        <f>+'Power Purchased Model'!H162</f>
        <v>396767741.72420484</v>
      </c>
      <c r="M5" s="20">
        <f>+'Power Purchased Model'!H162</f>
        <v>396767741.72420484</v>
      </c>
      <c r="N5" s="20">
        <f>+'Power Purchased Model'!H163</f>
        <v>398349812.78829038</v>
      </c>
    </row>
    <row r="6" spans="1:15" x14ac:dyDescent="0.2">
      <c r="A6" s="13" t="s">
        <v>6</v>
      </c>
      <c r="B6" s="28">
        <f t="shared" ref="B6:L6" si="0">(B5-B4)/B4</f>
        <v>-4.6297213366272988E-2</v>
      </c>
      <c r="C6" s="28">
        <f t="shared" si="0"/>
        <v>8.1057245064178798E-3</v>
      </c>
      <c r="D6" s="28">
        <f t="shared" si="0"/>
        <v>2.4592684093924538E-2</v>
      </c>
      <c r="E6" s="28">
        <f t="shared" si="0"/>
        <v>1.5817074003726127E-2</v>
      </c>
      <c r="F6" s="28">
        <f t="shared" si="0"/>
        <v>-8.1116134270600073E-3</v>
      </c>
      <c r="G6" s="28">
        <f t="shared" si="0"/>
        <v>-7.7650674685832899E-3</v>
      </c>
      <c r="H6" s="28">
        <f t="shared" si="0"/>
        <v>1.9720818466514665E-2</v>
      </c>
      <c r="I6" s="28">
        <f t="shared" si="0"/>
        <v>1.1410574673815697E-2</v>
      </c>
      <c r="J6" s="28">
        <f t="shared" si="0"/>
        <v>-5.0738926717148764E-3</v>
      </c>
      <c r="K6" s="28">
        <f t="shared" ref="K6" si="1">(K5-K4)/K4</f>
        <v>-9.7279025443012413E-3</v>
      </c>
      <c r="L6" s="28" t="e">
        <f t="shared" si="0"/>
        <v>#DIV/0!</v>
      </c>
    </row>
    <row r="7" spans="1:15" x14ac:dyDescent="0.2">
      <c r="A7" s="1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0"/>
      <c r="N7" s="20"/>
    </row>
    <row r="8" spans="1:15" x14ac:dyDescent="0.2">
      <c r="A8" s="13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34"/>
      <c r="N8" s="34"/>
    </row>
    <row r="9" spans="1:15" x14ac:dyDescent="0.2">
      <c r="A9" s="13"/>
      <c r="B9" s="28"/>
      <c r="C9" s="28"/>
      <c r="D9" s="28"/>
      <c r="E9" s="28"/>
      <c r="F9" s="28"/>
      <c r="G9" s="28"/>
      <c r="H9" s="28"/>
      <c r="I9" s="28"/>
      <c r="J9" s="28"/>
      <c r="K9" s="182"/>
      <c r="L9" s="28"/>
      <c r="M9" s="179"/>
      <c r="N9" s="179"/>
    </row>
    <row r="10" spans="1:15" x14ac:dyDescent="0.2">
      <c r="A10" s="13" t="s">
        <v>58</v>
      </c>
      <c r="B10" s="56">
        <f>'Rate Class Energy Model'!G3</f>
        <v>380885629</v>
      </c>
      <c r="C10" s="56">
        <f>'Rate Class Energy Model'!G4</f>
        <v>356369056</v>
      </c>
      <c r="D10" s="56">
        <f>'Rate Class Energy Model'!G5</f>
        <v>363388525</v>
      </c>
      <c r="E10" s="6">
        <f>'Rate Class Energy Model'!G6</f>
        <v>353716802</v>
      </c>
      <c r="F10" s="6">
        <f>'Rate Class Energy Model'!G7</f>
        <v>379090833.32999998</v>
      </c>
      <c r="G10" s="6">
        <f>'Rate Class Energy Model'!G8</f>
        <v>370608216.25</v>
      </c>
      <c r="H10" s="6">
        <f>'Rate Class Energy Model'!G9</f>
        <v>364637107.06999999</v>
      </c>
      <c r="I10" s="6">
        <f>'Rate Class Energy Model'!G10</f>
        <v>368482782.76999998</v>
      </c>
      <c r="J10" s="6">
        <f>'Rate Class Energy Model'!G11</f>
        <v>377130670.77999997</v>
      </c>
      <c r="K10" s="6">
        <f>'Rate Class Energy Model'!G12</f>
        <v>370827912.53724998</v>
      </c>
      <c r="L10" s="6">
        <f>'Rate Class Energy Model'!G13</f>
        <v>381241465.1608215</v>
      </c>
      <c r="M10" s="6">
        <f>'Rate Class Energy Model'!G13</f>
        <v>381241465.1608215</v>
      </c>
      <c r="N10" s="6">
        <f>'Rate Class Energy Model'!G14</f>
        <v>382761626.77436256</v>
      </c>
    </row>
    <row r="11" spans="1:15" x14ac:dyDescent="0.2">
      <c r="A11" s="13"/>
      <c r="B11" s="41"/>
      <c r="C11" s="41"/>
      <c r="D11" s="41"/>
      <c r="M11" s="6"/>
      <c r="N11" s="6"/>
    </row>
    <row r="12" spans="1:15" ht="15.75" x14ac:dyDescent="0.25">
      <c r="A12" s="27" t="s">
        <v>45</v>
      </c>
      <c r="B12" s="41"/>
      <c r="C12" s="49"/>
      <c r="D12" s="41"/>
      <c r="E12" s="1"/>
      <c r="H12" s="34"/>
    </row>
    <row r="13" spans="1:15" x14ac:dyDescent="0.2">
      <c r="A13" s="26" t="str">
        <f>'Rate Class Energy Model'!H2</f>
        <v>Residential</v>
      </c>
      <c r="B13" s="41"/>
      <c r="C13" s="49"/>
      <c r="D13" s="49"/>
      <c r="E13" s="1"/>
      <c r="H13" s="6"/>
      <c r="I13" s="6"/>
      <c r="J13" s="6"/>
      <c r="K13" s="6"/>
      <c r="L13" s="6"/>
      <c r="M13" s="186"/>
      <c r="N13" s="6"/>
    </row>
    <row r="14" spans="1:15" x14ac:dyDescent="0.2">
      <c r="A14" t="s">
        <v>37</v>
      </c>
      <c r="B14" s="56">
        <f>'Rate Class Customer Model'!B11</f>
        <v>20472.166666666668</v>
      </c>
      <c r="C14" s="56">
        <f>'Rate Class Customer Model'!B12</f>
        <v>20635.5</v>
      </c>
      <c r="D14" s="56">
        <f>'Rate Class Customer Model'!B13</f>
        <v>20822.5</v>
      </c>
      <c r="E14" s="6">
        <f>'Rate Class Customer Model'!B14</f>
        <v>20986.583333333332</v>
      </c>
      <c r="F14" s="6">
        <f>'Rate Class Customer Model'!B15</f>
        <v>21242.333333333332</v>
      </c>
      <c r="G14" s="6">
        <f>'Rate Class Customer Model'!B16</f>
        <v>21580</v>
      </c>
      <c r="H14" s="6">
        <f>'Rate Class Customer Model'!B17</f>
        <v>21926.833333333332</v>
      </c>
      <c r="I14" s="6">
        <f>'Rate Class Customer Model'!B18</f>
        <v>22395.666666666668</v>
      </c>
      <c r="J14" s="6">
        <f>'Rate Class Customer Model'!B19</f>
        <v>22849</v>
      </c>
      <c r="K14" s="6">
        <f>'Rate Class Customer Model'!B20</f>
        <v>23410.333333333332</v>
      </c>
      <c r="L14" s="6">
        <f>'Rate Class Customer Model'!B21</f>
        <v>23926.811319836324</v>
      </c>
      <c r="M14" s="6">
        <f>'Rate Class Customer Model'!B21</f>
        <v>23926.811319836324</v>
      </c>
      <c r="N14" s="6">
        <f>'Rate Class Customer Model'!B22</f>
        <v>24454.683826303815</v>
      </c>
      <c r="O14" s="34"/>
    </row>
    <row r="15" spans="1:15" x14ac:dyDescent="0.2">
      <c r="A15" t="s">
        <v>38</v>
      </c>
      <c r="B15" s="56">
        <f>'Rate Class Energy Model'!H3</f>
        <v>158185053</v>
      </c>
      <c r="C15" s="56">
        <f>'Rate Class Energy Model'!H4</f>
        <v>157973719</v>
      </c>
      <c r="D15" s="56">
        <f>'Rate Class Energy Model'!H5</f>
        <v>163109690</v>
      </c>
      <c r="E15" s="33">
        <f>'Rate Class Energy Model'!H6</f>
        <v>153825741</v>
      </c>
      <c r="F15" s="6">
        <f>'Rate Class Energy Model'!H7</f>
        <v>170461439</v>
      </c>
      <c r="G15" s="6">
        <f>'Rate Class Energy Model'!H8</f>
        <v>165806296.44</v>
      </c>
      <c r="H15" s="6">
        <f>'Rate Class Energy Model'!H9</f>
        <v>179914470.27000001</v>
      </c>
      <c r="I15" s="6">
        <f>'Rate Class Energy Model'!H10</f>
        <v>182892381.72999999</v>
      </c>
      <c r="J15" s="6">
        <f>'Rate Class Energy Model'!H11</f>
        <v>182644896.51999998</v>
      </c>
      <c r="K15" s="6">
        <f>'Rate Class Energy Model'!H12</f>
        <v>177391636.47999999</v>
      </c>
      <c r="L15" s="6">
        <f>'Rate Class Energy Model'!H31</f>
        <v>187506112.07001334</v>
      </c>
      <c r="M15" s="6">
        <f>'Rate Class Energy Model'!H31</f>
        <v>187506112.07001334</v>
      </c>
      <c r="N15" s="6">
        <f>'Rate Class Energy Model'!H32</f>
        <v>192920795.12934858</v>
      </c>
      <c r="O15" s="34"/>
    </row>
    <row r="16" spans="1:15" x14ac:dyDescent="0.2">
      <c r="B16" s="41"/>
      <c r="C16" s="148"/>
      <c r="D16" s="41"/>
      <c r="F16" s="34"/>
      <c r="G16" s="34"/>
      <c r="I16" s="34"/>
      <c r="J16" s="34"/>
      <c r="K16" s="34"/>
      <c r="L16" s="34"/>
      <c r="M16" s="34"/>
      <c r="N16" s="34"/>
      <c r="O16" s="34"/>
    </row>
    <row r="17" spans="1:15" x14ac:dyDescent="0.2">
      <c r="A17" s="26" t="str">
        <f>'Rate Class Energy Model'!I2</f>
        <v>General Service &lt; 50 kW</v>
      </c>
      <c r="B17" s="41"/>
      <c r="C17" s="151"/>
      <c r="D17" s="49"/>
      <c r="E17" s="1"/>
      <c r="F17" s="1"/>
      <c r="G17" s="6"/>
      <c r="H17" s="6"/>
      <c r="I17" s="6"/>
      <c r="J17" s="6"/>
      <c r="K17" s="6"/>
      <c r="L17" s="6"/>
      <c r="M17" s="6"/>
      <c r="N17" s="6"/>
      <c r="O17" s="34"/>
    </row>
    <row r="18" spans="1:15" ht="13.5" customHeight="1" x14ac:dyDescent="0.2">
      <c r="A18" t="s">
        <v>37</v>
      </c>
      <c r="B18" s="56">
        <f>'Rate Class Customer Model'!C11</f>
        <v>1742.8333333333333</v>
      </c>
      <c r="C18" s="56">
        <f>'Rate Class Customer Model'!C12</f>
        <v>1769.0833333333333</v>
      </c>
      <c r="D18" s="56">
        <f>'Rate Class Customer Model'!C13</f>
        <v>1770.5833333333333</v>
      </c>
      <c r="E18" s="6">
        <f>'Rate Class Customer Model'!C14</f>
        <v>1791.4166666666667</v>
      </c>
      <c r="F18" s="6">
        <f>'Rate Class Customer Model'!C15</f>
        <v>1798.25</v>
      </c>
      <c r="G18" s="6">
        <f>'Rate Class Customer Model'!C16</f>
        <v>1797.3333333333333</v>
      </c>
      <c r="H18" s="6">
        <f>'Rate Class Customer Model'!C17</f>
        <v>1787.5</v>
      </c>
      <c r="I18" s="6">
        <f>'Rate Class Customer Model'!C18</f>
        <v>1836.5</v>
      </c>
      <c r="J18" s="6">
        <f>'Rate Class Customer Model'!C19</f>
        <v>1838.0833333333333</v>
      </c>
      <c r="K18" s="6">
        <f>'Rate Class Customer Model'!C20</f>
        <v>1845.3333333333333</v>
      </c>
      <c r="L18" s="6">
        <f>'Rate Class Customer Model'!C21</f>
        <v>1865.0239739306633</v>
      </c>
      <c r="M18" s="6">
        <f>'Rate Class Customer Model'!C21</f>
        <v>1865.0239739306633</v>
      </c>
      <c r="N18" s="6">
        <f>'Rate Class Customer Model'!C22</f>
        <v>1884.9247236286797</v>
      </c>
      <c r="O18" s="34"/>
    </row>
    <row r="19" spans="1:15" x14ac:dyDescent="0.2">
      <c r="A19" t="s">
        <v>38</v>
      </c>
      <c r="B19" s="56">
        <f>'Rate Class Energy Model'!I3</f>
        <v>53903009</v>
      </c>
      <c r="C19" s="56">
        <f>'Rate Class Energy Model'!I4</f>
        <v>54312604</v>
      </c>
      <c r="D19" s="56">
        <f>'Rate Class Energy Model'!I5</f>
        <v>53545593</v>
      </c>
      <c r="E19" s="6">
        <f>'Rate Class Energy Model'!I6</f>
        <v>52319962</v>
      </c>
      <c r="F19" s="6">
        <f>'Rate Class Energy Model'!I7</f>
        <v>52983336.789999999</v>
      </c>
      <c r="G19" s="6">
        <f>'Rate Class Energy Model'!I8</f>
        <v>50506434.530000001</v>
      </c>
      <c r="H19" s="6">
        <f>'Rate Class Energy Model'!I9</f>
        <v>48537507.109999992</v>
      </c>
      <c r="I19" s="6">
        <f>'Rate Class Energy Model'!I10</f>
        <v>54230049.899999999</v>
      </c>
      <c r="J19" s="6">
        <f>'Rate Class Energy Model'!I11</f>
        <v>55719441.800000004</v>
      </c>
      <c r="K19" s="6">
        <f>'Rate Class Energy Model'!I12</f>
        <v>54279424.499999993</v>
      </c>
      <c r="L19" s="6">
        <f>'Rate Class Energy Model'!I31</f>
        <v>56734846.967201807</v>
      </c>
      <c r="M19" s="6">
        <f>'Rate Class Energy Model'!I31</f>
        <v>56734846.967201807</v>
      </c>
      <c r="N19" s="6">
        <f>'Rate Class Energy Model'!I32</f>
        <v>57722597.619670399</v>
      </c>
      <c r="O19" s="34"/>
    </row>
    <row r="20" spans="1:15" x14ac:dyDescent="0.2">
      <c r="B20" s="56"/>
      <c r="C20" s="49"/>
      <c r="D20" s="41"/>
      <c r="G20" s="34"/>
      <c r="I20" s="34"/>
      <c r="J20" s="34"/>
      <c r="K20" s="34"/>
      <c r="L20" s="34"/>
      <c r="M20" s="34"/>
      <c r="N20" s="34"/>
      <c r="O20" s="34"/>
    </row>
    <row r="21" spans="1:15" x14ac:dyDescent="0.2">
      <c r="A21" s="26" t="str">
        <f>'Rate Class Energy Model'!J2</f>
        <v>General Service &gt; 50 to 4999 kW</v>
      </c>
      <c r="B21" s="56"/>
      <c r="C21" s="49"/>
      <c r="D21" s="49"/>
      <c r="E21" s="1"/>
      <c r="F21" s="1"/>
      <c r="O21" s="34"/>
    </row>
    <row r="22" spans="1:15" x14ac:dyDescent="0.2">
      <c r="A22" t="s">
        <v>37</v>
      </c>
      <c r="B22" s="56">
        <f>'Rate Class Customer Model'!D11</f>
        <v>165.33333333333334</v>
      </c>
      <c r="C22" s="56">
        <f>'Rate Class Customer Model'!D12</f>
        <v>158.83333333333334</v>
      </c>
      <c r="D22" s="56">
        <f>'Rate Class Customer Model'!D13</f>
        <v>159</v>
      </c>
      <c r="E22" s="6">
        <f>'Rate Class Customer Model'!D14</f>
        <v>159.16666666666666</v>
      </c>
      <c r="F22" s="6">
        <f>'Rate Class Customer Model'!D15</f>
        <v>164</v>
      </c>
      <c r="G22" s="6">
        <f>'Rate Class Customer Model'!D16</f>
        <v>166.16666666666666</v>
      </c>
      <c r="H22" s="6">
        <f>'Rate Class Customer Model'!D17</f>
        <v>161.08333333333334</v>
      </c>
      <c r="I22" s="6">
        <f>'Rate Class Customer Model'!D18</f>
        <v>139.75</v>
      </c>
      <c r="J22" s="6">
        <f>'Rate Class Customer Model'!D19</f>
        <v>138.75</v>
      </c>
      <c r="K22" s="6">
        <f>'Rate Class Customer Model'!D20</f>
        <v>142</v>
      </c>
      <c r="L22" s="6">
        <f>'Rate Class Customer Model'!D21</f>
        <v>136.15520754778788</v>
      </c>
      <c r="M22" s="6">
        <f>'Rate Class Customer Model'!D21</f>
        <v>136.15520754778788</v>
      </c>
      <c r="N22" s="6">
        <f>'Rate Class Customer Model'!D22</f>
        <v>130.55098973507884</v>
      </c>
      <c r="O22" s="34"/>
    </row>
    <row r="23" spans="1:15" x14ac:dyDescent="0.2">
      <c r="A23" t="s">
        <v>38</v>
      </c>
      <c r="B23" s="56">
        <f>'Rate Class Energy Model'!J3</f>
        <v>144192534</v>
      </c>
      <c r="C23" s="56">
        <f>'Rate Class Energy Model'!J4</f>
        <v>139796962</v>
      </c>
      <c r="D23" s="56">
        <f>'Rate Class Energy Model'!J5</f>
        <v>143431671</v>
      </c>
      <c r="E23" s="6">
        <f>'Rate Class Energy Model'!J6</f>
        <v>144490127</v>
      </c>
      <c r="F23" s="6">
        <f>'Rate Class Energy Model'!J7</f>
        <v>152610120.72999999</v>
      </c>
      <c r="G23" s="6">
        <f>'Rate Class Energy Model'!J8</f>
        <v>151352403.78</v>
      </c>
      <c r="H23" s="6">
        <f>'Rate Class Energy Model'!J9</f>
        <v>133284408.77</v>
      </c>
      <c r="I23" s="6">
        <f>'Rate Class Energy Model'!J10</f>
        <v>128548463.13</v>
      </c>
      <c r="J23" s="6">
        <f>'Rate Class Energy Model'!J11</f>
        <v>136029471.30000001</v>
      </c>
      <c r="K23" s="6">
        <f>'Rate Class Energy Model'!J12</f>
        <v>136432089.50725001</v>
      </c>
      <c r="L23" s="6">
        <f>'Rate Class Energy Model'!J31</f>
        <v>134306283.70602027</v>
      </c>
      <c r="M23" s="6">
        <f>'Rate Class Energy Model'!J31</f>
        <v>134306283.70602027</v>
      </c>
      <c r="N23" s="6">
        <f>'Rate Class Energy Model'!J32</f>
        <v>129452890.37381263</v>
      </c>
      <c r="O23" s="34"/>
    </row>
    <row r="24" spans="1:15" x14ac:dyDescent="0.2">
      <c r="A24" t="s">
        <v>39</v>
      </c>
      <c r="B24" s="56">
        <f>'Rate Class Load Model'!B2</f>
        <v>402375</v>
      </c>
      <c r="C24" s="56">
        <f>'Rate Class Load Model'!B3</f>
        <v>402768</v>
      </c>
      <c r="D24" s="56">
        <f>'Rate Class Load Model'!B4</f>
        <v>396528</v>
      </c>
      <c r="E24" s="6">
        <f>'Rate Class Load Model'!B5</f>
        <v>397736</v>
      </c>
      <c r="F24" s="6">
        <f>'Rate Class Load Model'!B6</f>
        <v>413412</v>
      </c>
      <c r="G24" s="6">
        <f>'Rate Class Load Model'!B7</f>
        <v>415535.11</v>
      </c>
      <c r="H24" s="6">
        <f>'Rate Class Load Model'!B8</f>
        <v>381720.89</v>
      </c>
      <c r="I24" s="6">
        <f>'Rate Class Load Model'!B9</f>
        <v>349225.27</v>
      </c>
      <c r="J24" s="6">
        <f>'Rate Class Load Model'!B10</f>
        <v>357213.14999999997</v>
      </c>
      <c r="K24" s="6">
        <f>'Rate Class Load Model'!B11</f>
        <v>353804.11000000004</v>
      </c>
      <c r="L24" s="6">
        <f>'Rate Class Load Model'!B12</f>
        <v>368579.67169734783</v>
      </c>
      <c r="M24" s="6">
        <f>'Rate Class Load Model'!B12</f>
        <v>368579.67169734783</v>
      </c>
      <c r="N24" s="6">
        <f>'Rate Class Load Model'!B13</f>
        <v>355260.39823045046</v>
      </c>
      <c r="O24" s="34"/>
    </row>
    <row r="25" spans="1:15" x14ac:dyDescent="0.2">
      <c r="B25" s="56"/>
      <c r="C25" s="56"/>
      <c r="D25" s="56"/>
      <c r="E25" s="6"/>
      <c r="F25" s="6"/>
      <c r="G25" s="6"/>
      <c r="H25" s="6"/>
      <c r="I25" s="6"/>
      <c r="L25" s="6"/>
      <c r="M25" s="6"/>
      <c r="N25" s="6"/>
      <c r="O25" s="34"/>
    </row>
    <row r="26" spans="1:15" x14ac:dyDescent="0.2">
      <c r="A26" s="26" t="str">
        <f>'Rate Class Energy Model'!K2</f>
        <v xml:space="preserve">Sentinel </v>
      </c>
      <c r="B26" s="41"/>
      <c r="C26" s="41"/>
      <c r="D26" s="41"/>
      <c r="E26" s="1"/>
      <c r="F26" s="1"/>
      <c r="H26" s="1"/>
      <c r="L26" s="6"/>
      <c r="O26" s="34"/>
    </row>
    <row r="27" spans="1:15" x14ac:dyDescent="0.2">
      <c r="A27" t="s">
        <v>40</v>
      </c>
      <c r="B27" s="56">
        <f>'Rate Class Customer Model'!E11</f>
        <v>519.16666666666663</v>
      </c>
      <c r="C27" s="56">
        <f>'Rate Class Customer Model'!E12</f>
        <v>515.08333333333337</v>
      </c>
      <c r="D27" s="56">
        <f>'Rate Class Customer Model'!E13</f>
        <v>508.75</v>
      </c>
      <c r="E27" s="6">
        <f>'Rate Class Customer Model'!E14</f>
        <v>500.08333333333331</v>
      </c>
      <c r="F27" s="6">
        <f>'Rate Class Customer Model'!E15</f>
        <v>486.5</v>
      </c>
      <c r="G27" s="6">
        <f>'Rate Class Customer Model'!E16</f>
        <v>453.58333333333331</v>
      </c>
      <c r="H27" s="6">
        <f>'Rate Class Customer Model'!E17</f>
        <v>405.75</v>
      </c>
      <c r="I27" s="6">
        <f>'Rate Class Customer Model'!E18</f>
        <v>377.66666666666669</v>
      </c>
      <c r="J27" s="6">
        <f>'Rate Class Customer Model'!E19</f>
        <v>344.91666666666669</v>
      </c>
      <c r="K27" s="6">
        <f>'Rate Class Customer Model'!E20</f>
        <v>341.75</v>
      </c>
      <c r="L27" s="6">
        <f>'Rate Class Customer Model'!E21</f>
        <v>326.23528886060188</v>
      </c>
      <c r="M27" s="6">
        <f>'Rate Class Customer Model'!E21</f>
        <v>326.23528886060188</v>
      </c>
      <c r="N27" s="6">
        <f>'Rate Class Customer Model'!E22</f>
        <v>311.42491206425854</v>
      </c>
      <c r="O27" s="34"/>
    </row>
    <row r="28" spans="1:15" x14ac:dyDescent="0.2">
      <c r="A28" t="s">
        <v>38</v>
      </c>
      <c r="B28" s="56">
        <f>'Rate Class Energy Model'!K3</f>
        <v>767199</v>
      </c>
      <c r="C28" s="56">
        <f>'Rate Class Energy Model'!K4</f>
        <v>753964</v>
      </c>
      <c r="D28" s="56">
        <f>'Rate Class Energy Model'!K5</f>
        <v>749437</v>
      </c>
      <c r="E28" s="6">
        <f>'Rate Class Energy Model'!K6</f>
        <v>729133</v>
      </c>
      <c r="F28" s="6">
        <f>'Rate Class Energy Model'!K7</f>
        <v>675874</v>
      </c>
      <c r="G28" s="6">
        <f>'Rate Class Energy Model'!K8</f>
        <v>583837.25</v>
      </c>
      <c r="H28" s="6">
        <f>'Rate Class Energy Model'!K9</f>
        <v>535934.71999999997</v>
      </c>
      <c r="I28" s="6">
        <f>'Rate Class Energy Model'!K10</f>
        <v>481895.06</v>
      </c>
      <c r="J28" s="6">
        <f>'Rate Class Energy Model'!K11</f>
        <v>422907.26</v>
      </c>
      <c r="K28" s="6">
        <f>'Rate Class Energy Model'!K12</f>
        <v>419670.93999999994</v>
      </c>
      <c r="L28" s="6">
        <f>'Rate Class Energy Model'!K31</f>
        <v>400618.78664901335</v>
      </c>
      <c r="M28" s="6">
        <f>'Rate Class Energy Model'!K31</f>
        <v>400618.78664901335</v>
      </c>
      <c r="N28" s="6">
        <f>'Rate Class Energy Model'!K32</f>
        <v>382431.55986956751</v>
      </c>
      <c r="O28" s="34"/>
    </row>
    <row r="29" spans="1:15" x14ac:dyDescent="0.2">
      <c r="A29" t="s">
        <v>39</v>
      </c>
      <c r="B29" s="56">
        <f>'Rate Class Load Model'!C2</f>
        <v>2120</v>
      </c>
      <c r="C29" s="56">
        <f>'Rate Class Load Model'!C3</f>
        <v>2077</v>
      </c>
      <c r="D29" s="56">
        <f>'Rate Class Load Model'!C4</f>
        <v>2061</v>
      </c>
      <c r="E29" s="6">
        <f>'Rate Class Load Model'!C5</f>
        <v>2012</v>
      </c>
      <c r="F29" s="6">
        <f>'Rate Class Load Model'!C6</f>
        <v>1898</v>
      </c>
      <c r="G29" s="6">
        <f>'Rate Class Load Model'!C7</f>
        <v>1605</v>
      </c>
      <c r="H29" s="6">
        <f>'Rate Class Load Model'!C8</f>
        <v>1473.6</v>
      </c>
      <c r="I29" s="6">
        <f>'Rate Class Load Model'!C9</f>
        <v>1327.5</v>
      </c>
      <c r="J29" s="6">
        <f>'Rate Class Load Model'!C10</f>
        <v>1162.21</v>
      </c>
      <c r="K29" s="6">
        <f>'Rate Class Load Model'!C11</f>
        <v>1153.1099999999999</v>
      </c>
      <c r="L29" s="6">
        <f>'Rate Class Load Model'!C12</f>
        <v>1105.1062048152135</v>
      </c>
      <c r="M29" s="6">
        <f>'Rate Class Load Model'!C12</f>
        <v>1105.1062048152135</v>
      </c>
      <c r="N29" s="6">
        <f>'Rate Class Load Model'!C13</f>
        <v>1054.9367723468461</v>
      </c>
      <c r="O29" s="34"/>
    </row>
    <row r="30" spans="1:15" x14ac:dyDescent="0.2">
      <c r="B30" s="41"/>
      <c r="C30" s="41"/>
      <c r="D30" s="41"/>
      <c r="H30" s="6"/>
      <c r="I30" s="6"/>
      <c r="L30" s="6"/>
      <c r="M30" s="6"/>
      <c r="N30" s="6"/>
    </row>
    <row r="31" spans="1:15" x14ac:dyDescent="0.2">
      <c r="A31" s="26" t="str">
        <f>'Rate Class Energy Model'!L2</f>
        <v xml:space="preserve">Street Lighting </v>
      </c>
      <c r="B31" s="41"/>
      <c r="C31" s="41"/>
      <c r="D31" s="41"/>
      <c r="E31" s="1"/>
      <c r="G31" s="1"/>
      <c r="L31" s="17"/>
    </row>
    <row r="32" spans="1:15" x14ac:dyDescent="0.2">
      <c r="A32" t="s">
        <v>40</v>
      </c>
      <c r="B32" s="56">
        <f>'Rate Class Customer Model'!F11</f>
        <v>6784.333333333333</v>
      </c>
      <c r="C32" s="56">
        <f>'Rate Class Customer Model'!F12</f>
        <v>6792.583333333333</v>
      </c>
      <c r="D32" s="56">
        <f>'Rate Class Customer Model'!F13</f>
        <v>6825</v>
      </c>
      <c r="E32" s="6">
        <f>'Rate Class Customer Model'!F14</f>
        <v>6865.333333333333</v>
      </c>
      <c r="F32" s="6">
        <f>'Rate Class Customer Model'!F15</f>
        <v>6956.25</v>
      </c>
      <c r="G32" s="6">
        <f>'Rate Class Customer Model'!F16</f>
        <v>7006.75</v>
      </c>
      <c r="H32" s="6">
        <f>'Rate Class Customer Model'!F17</f>
        <v>7066.75</v>
      </c>
      <c r="I32" s="6">
        <f>'Rate Class Customer Model'!F18</f>
        <v>7115.166666666667</v>
      </c>
      <c r="J32" s="6">
        <f>'Rate Class Customer Model'!F19</f>
        <v>7186.166666666667</v>
      </c>
      <c r="K32" s="6">
        <f>'Rate Class Customer Model'!F20</f>
        <v>7335.916666666667</v>
      </c>
      <c r="L32" s="6">
        <f>'Rate Class Customer Model'!F21</f>
        <v>7399.9076810095339</v>
      </c>
      <c r="M32" s="6">
        <f>'Rate Class Customer Model'!F21</f>
        <v>7399.9076810095339</v>
      </c>
      <c r="N32" s="6">
        <f>'Rate Class Customer Model'!F22</f>
        <v>7464.456887341581</v>
      </c>
      <c r="O32" s="34"/>
    </row>
    <row r="33" spans="1:15" x14ac:dyDescent="0.2">
      <c r="A33" t="s">
        <v>38</v>
      </c>
      <c r="B33" s="56">
        <f>'Rate Class Energy Model'!L3</f>
        <v>2503378</v>
      </c>
      <c r="C33" s="56">
        <f>'Rate Class Energy Model'!L4</f>
        <v>2284687</v>
      </c>
      <c r="D33" s="56">
        <f>'Rate Class Energy Model'!L5</f>
        <v>1575426</v>
      </c>
      <c r="E33" s="6">
        <f>'Rate Class Energy Model'!L6</f>
        <v>1393112</v>
      </c>
      <c r="F33" s="6">
        <f>'Rate Class Energy Model'!L7</f>
        <v>1403955.81</v>
      </c>
      <c r="G33" s="6">
        <f>'Rate Class Energy Model'!L8</f>
        <v>1406314.25</v>
      </c>
      <c r="H33" s="6">
        <f>'Rate Class Energy Model'!L9</f>
        <v>1423807.2000000002</v>
      </c>
      <c r="I33" s="6">
        <f>'Rate Class Energy Model'!L10</f>
        <v>1410627.9499999997</v>
      </c>
      <c r="J33" s="6">
        <f>'Rate Class Energy Model'!L11</f>
        <v>1418459.9</v>
      </c>
      <c r="K33" s="6">
        <f>'Rate Class Energy Model'!L12</f>
        <v>1453176.11</v>
      </c>
      <c r="L33" s="6">
        <f>'Rate Class Energy Model'!L31</f>
        <v>1465852.1282159998</v>
      </c>
      <c r="M33" s="6">
        <f>'Rate Class Energy Model'!L31</f>
        <v>1465852.1282159998</v>
      </c>
      <c r="N33" s="6">
        <f>'Rate Class Energy Model'!L32</f>
        <v>1478638.7190162211</v>
      </c>
    </row>
    <row r="34" spans="1:15" x14ac:dyDescent="0.2">
      <c r="A34" t="s">
        <v>39</v>
      </c>
      <c r="B34" s="56">
        <f>'Rate Class Load Model'!D2</f>
        <v>6992</v>
      </c>
      <c r="C34" s="56">
        <f>'Rate Class Load Model'!D3</f>
        <v>6476</v>
      </c>
      <c r="D34" s="56">
        <f>'Rate Class Load Model'!D4</f>
        <v>4561</v>
      </c>
      <c r="E34" s="6">
        <f>'Rate Class Load Model'!D5</f>
        <v>3890</v>
      </c>
      <c r="F34" s="6">
        <f>'Rate Class Load Model'!D6</f>
        <v>3915</v>
      </c>
      <c r="G34" s="6">
        <f>'Rate Class Load Model'!D7</f>
        <v>3924.2</v>
      </c>
      <c r="H34" s="6">
        <f>'Rate Class Load Model'!D8</f>
        <v>3960</v>
      </c>
      <c r="I34" s="6">
        <f>'Rate Class Load Model'!D9</f>
        <v>3933.6000000000008</v>
      </c>
      <c r="J34" s="6">
        <f>'Rate Class Load Model'!D10</f>
        <v>3955.4399999999991</v>
      </c>
      <c r="K34" s="6">
        <f>'Rate Class Load Model'!D11</f>
        <v>4056.9600000000009</v>
      </c>
      <c r="L34" s="6">
        <f>'Rate Class Load Model'!D12</f>
        <v>4110.8456995557044</v>
      </c>
      <c r="M34" s="6">
        <f>'Rate Class Load Model'!D12</f>
        <v>4110.8456995557044</v>
      </c>
      <c r="N34" s="6">
        <f>'Rate Class Load Model'!D13</f>
        <v>4146.7045019487132</v>
      </c>
    </row>
    <row r="35" spans="1:15" x14ac:dyDescent="0.2">
      <c r="B35" s="41"/>
      <c r="C35" s="41"/>
      <c r="D35" s="41"/>
    </row>
    <row r="36" spans="1:15" x14ac:dyDescent="0.2">
      <c r="A36" s="26" t="str">
        <f>'Rate Class Energy Model'!M2</f>
        <v>USL</v>
      </c>
      <c r="B36" s="41"/>
      <c r="C36" s="41"/>
      <c r="D36" s="41"/>
      <c r="E36" s="1"/>
      <c r="F36" s="1"/>
      <c r="G36" s="1"/>
      <c r="H36" s="1"/>
    </row>
    <row r="37" spans="1:15" x14ac:dyDescent="0.2">
      <c r="A37" t="s">
        <v>40</v>
      </c>
      <c r="B37" s="56">
        <f>'Rate Class Customer Model'!G11</f>
        <v>259.33333333333331</v>
      </c>
      <c r="C37" s="56">
        <f>'Rate Class Customer Model'!G12</f>
        <v>256.66666666666669</v>
      </c>
      <c r="D37" s="56">
        <f>'Rate Class Customer Model'!G13</f>
        <v>261.33333333333331</v>
      </c>
      <c r="E37" s="6">
        <f>'Rate Class Customer Model'!G14</f>
        <v>261.91666666666669</v>
      </c>
      <c r="F37" s="6">
        <f>'Rate Class Customer Model'!G15</f>
        <v>262.83333333333331</v>
      </c>
      <c r="G37" s="6">
        <f>'Rate Class Customer Model'!G16</f>
        <v>261.83333333333331</v>
      </c>
      <c r="H37" s="6">
        <f>'Rate Class Customer Model'!G17</f>
        <v>258.25</v>
      </c>
      <c r="I37" s="6">
        <f>'Rate Class Customer Model'!G18</f>
        <v>255.83333333333334</v>
      </c>
      <c r="J37" s="6">
        <f>'Rate Class Customer Model'!G19</f>
        <v>252.08333333333334</v>
      </c>
      <c r="K37" s="6">
        <f>'Rate Class Customer Model'!G20</f>
        <v>200.16666666666666</v>
      </c>
      <c r="L37" s="6">
        <f>'Rate Class Customer Model'!G21</f>
        <v>194.48919097328556</v>
      </c>
      <c r="M37" s="6">
        <f>'Rate Class Customer Model'!G21</f>
        <v>194.48919097328556</v>
      </c>
      <c r="N37" s="6">
        <f>'Rate Class Customer Model'!G22</f>
        <v>188.97274973576924</v>
      </c>
      <c r="O37" s="34"/>
    </row>
    <row r="38" spans="1:15" x14ac:dyDescent="0.2">
      <c r="A38" t="s">
        <v>38</v>
      </c>
      <c r="B38" s="56">
        <f>'Rate Class Energy Model'!M3</f>
        <v>966945</v>
      </c>
      <c r="C38" s="56">
        <f>'Rate Class Energy Model'!M4</f>
        <v>970041</v>
      </c>
      <c r="D38" s="56">
        <f>'Rate Class Energy Model'!M5</f>
        <v>976708</v>
      </c>
      <c r="E38" s="6">
        <f>'Rate Class Energy Model'!M6</f>
        <v>958727</v>
      </c>
      <c r="F38" s="6">
        <f>'Rate Class Energy Model'!M7</f>
        <v>956107</v>
      </c>
      <c r="G38" s="6">
        <f>'Rate Class Energy Model'!M8</f>
        <v>952930</v>
      </c>
      <c r="H38" s="6">
        <f>'Rate Class Energy Model'!M9</f>
        <v>940979</v>
      </c>
      <c r="I38" s="6">
        <f>'Rate Class Energy Model'!M10</f>
        <v>919365</v>
      </c>
      <c r="J38" s="6">
        <f>'Rate Class Energy Model'!M11</f>
        <v>895494</v>
      </c>
      <c r="K38" s="6">
        <f>'Rate Class Energy Model'!M12</f>
        <v>851915</v>
      </c>
      <c r="L38" s="6">
        <f>'Rate Class Energy Model'!M31</f>
        <v>827751.50272109872</v>
      </c>
      <c r="M38" s="6">
        <f>'Rate Class Energy Model'!M31</f>
        <v>827751.50272109872</v>
      </c>
      <c r="N38" s="6">
        <f>'Rate Class Energy Model'!M32</f>
        <v>804273.37264520174</v>
      </c>
    </row>
    <row r="39" spans="1:15" x14ac:dyDescent="0.2">
      <c r="B39" s="41"/>
      <c r="C39" s="41"/>
      <c r="D39" s="41"/>
    </row>
    <row r="40" spans="1:15" x14ac:dyDescent="0.2">
      <c r="A40" s="26" t="str">
        <f>'Rate Class Energy Model'!N2</f>
        <v>Large User</v>
      </c>
      <c r="B40" s="41"/>
      <c r="C40" s="41"/>
      <c r="D40" s="41"/>
      <c r="E40" s="1"/>
      <c r="G40" s="1"/>
      <c r="L40" s="17"/>
    </row>
    <row r="41" spans="1:15" x14ac:dyDescent="0.2">
      <c r="A41" t="s">
        <v>40</v>
      </c>
      <c r="B41" s="56">
        <v>1</v>
      </c>
      <c r="C41" s="56">
        <f>'Rate Class Customer Model'!H12</f>
        <v>0</v>
      </c>
      <c r="D41" s="56">
        <f>'Rate Class Customer Model'!H13</f>
        <v>0</v>
      </c>
      <c r="E41" s="6">
        <f>'Rate Class Customer Model'!H14</f>
        <v>0</v>
      </c>
      <c r="F41" s="6">
        <f>'Rate Class Customer Model'!H15</f>
        <v>0</v>
      </c>
      <c r="G41" s="6">
        <f>'Rate Class Customer Model'!H16</f>
        <v>0</v>
      </c>
      <c r="H41" s="6">
        <f>'Rate Class Customer Model'!H17</f>
        <v>0</v>
      </c>
      <c r="I41" s="6">
        <f>'Rate Class Customer Model'!H18</f>
        <v>0</v>
      </c>
      <c r="J41" s="6">
        <f>'Rate Class Customer Model'!H19</f>
        <v>0</v>
      </c>
      <c r="K41" s="6">
        <f>'Rate Class Customer Model'!H20</f>
        <v>0</v>
      </c>
      <c r="L41" s="6">
        <f>'Rate Class Customer Model'!H21</f>
        <v>0</v>
      </c>
      <c r="M41" s="6">
        <f>'Rate Class Customer Model'!H21</f>
        <v>0</v>
      </c>
      <c r="N41" s="6">
        <f>'Rate Class Customer Model'!H22</f>
        <v>0</v>
      </c>
    </row>
    <row r="42" spans="1:15" x14ac:dyDescent="0.2">
      <c r="A42" t="s">
        <v>38</v>
      </c>
      <c r="B42" s="56">
        <f>'Rate Class Energy Model'!N3</f>
        <v>20367511</v>
      </c>
      <c r="C42" s="56">
        <f>'Rate Class Energy Model'!N4</f>
        <v>277079</v>
      </c>
      <c r="D42" s="56">
        <f>'Rate Class Energy Model'!N5</f>
        <v>0</v>
      </c>
      <c r="E42" s="6">
        <f>'Rate Class Energy Model'!N6</f>
        <v>0</v>
      </c>
      <c r="F42" s="6">
        <f>'Rate Class Energy Model'!N7</f>
        <v>0</v>
      </c>
      <c r="G42" s="6">
        <f>'Rate Class Energy Model'!N8</f>
        <v>0</v>
      </c>
      <c r="H42" s="6">
        <f>'Rate Class Energy Model'!N9</f>
        <v>0</v>
      </c>
      <c r="I42" s="6">
        <f>'Rate Class Energy Model'!N10</f>
        <v>0</v>
      </c>
      <c r="J42" s="6">
        <f>'Rate Class Energy Model'!N11</f>
        <v>0</v>
      </c>
      <c r="K42" s="6">
        <f>'Rate Class Energy Model'!N12</f>
        <v>0</v>
      </c>
      <c r="L42" s="6">
        <f>'Rate Class Energy Model'!N31</f>
        <v>0</v>
      </c>
      <c r="M42" s="6">
        <f>'Rate Class Energy Model'!N31</f>
        <v>0</v>
      </c>
      <c r="N42" s="6">
        <f>'Rate Class Energy Model'!N32</f>
        <v>0</v>
      </c>
    </row>
    <row r="43" spans="1:15" x14ac:dyDescent="0.2">
      <c r="A43" t="s">
        <v>39</v>
      </c>
      <c r="B43" s="56">
        <f>'Rate Class Load Model'!E2</f>
        <v>59144</v>
      </c>
      <c r="C43" s="56">
        <f>'Rate Class Load Model'!E3</f>
        <v>479</v>
      </c>
      <c r="D43" s="56">
        <f>'Rate Class Load Model'!E4</f>
        <v>0</v>
      </c>
      <c r="E43" s="6">
        <f>'Rate Class Load Model'!E5</f>
        <v>0</v>
      </c>
      <c r="F43" s="6">
        <f>'Rate Class Load Model'!E6</f>
        <v>0</v>
      </c>
      <c r="G43" s="6">
        <f>'Rate Class Load Model'!E7</f>
        <v>0</v>
      </c>
      <c r="H43" s="6">
        <f>'Rate Class Load Model'!E8</f>
        <v>0</v>
      </c>
      <c r="I43" s="6">
        <f>'Rate Class Load Model'!E9</f>
        <v>0</v>
      </c>
      <c r="J43" s="6">
        <f>'Rate Class Load Model'!E10</f>
        <v>0</v>
      </c>
      <c r="K43" s="6">
        <f>'Rate Class Load Model'!E11</f>
        <v>0</v>
      </c>
      <c r="L43" s="6">
        <f>'Rate Class Load Model'!E12</f>
        <v>0</v>
      </c>
      <c r="M43" s="6">
        <f>'Rate Class Load Model'!E12</f>
        <v>0</v>
      </c>
      <c r="N43" s="6">
        <f>'Rate Class Load Model'!E13</f>
        <v>0</v>
      </c>
    </row>
    <row r="44" spans="1:15" x14ac:dyDescent="0.2">
      <c r="B44" s="41"/>
      <c r="C44" s="41"/>
      <c r="D44" s="41"/>
    </row>
    <row r="45" spans="1:15" x14ac:dyDescent="0.2">
      <c r="A45" s="26" t="s">
        <v>7</v>
      </c>
      <c r="B45" s="41"/>
      <c r="C45" s="49"/>
      <c r="D45" s="41"/>
      <c r="E45" s="1"/>
      <c r="H45" s="42"/>
    </row>
    <row r="46" spans="1:15" x14ac:dyDescent="0.2">
      <c r="A46" t="s">
        <v>42</v>
      </c>
      <c r="B46" s="56">
        <f>+B14+B18+B22+B27+B32+B37+B41</f>
        <v>29944.166666666664</v>
      </c>
      <c r="C46" s="56">
        <f>+C14+C18+C22+C27+C32+C37+C41</f>
        <v>30127.749999999996</v>
      </c>
      <c r="D46" s="56">
        <f t="shared" ref="D46:N46" si="2">+D14+D18+D22+D27+D32+D37+D41</f>
        <v>30347.166666666664</v>
      </c>
      <c r="E46" s="6">
        <f t="shared" si="2"/>
        <v>30564.5</v>
      </c>
      <c r="F46" s="6">
        <f t="shared" si="2"/>
        <v>30910.166666666664</v>
      </c>
      <c r="G46" s="6">
        <f t="shared" si="2"/>
        <v>31265.666666666664</v>
      </c>
      <c r="H46" s="6">
        <f t="shared" si="2"/>
        <v>31606.166666666664</v>
      </c>
      <c r="I46" s="6">
        <f>+I14+I18+I22+I27+I32+I37+I41</f>
        <v>32120.583333333336</v>
      </c>
      <c r="J46" s="6">
        <f t="shared" si="2"/>
        <v>32609</v>
      </c>
      <c r="K46" s="6">
        <f t="shared" ref="K46" si="3">+K14+K18+K22+K27+K32+K37+K41</f>
        <v>33275.499999999993</v>
      </c>
      <c r="L46" s="6">
        <f t="shared" si="2"/>
        <v>33848.622662158195</v>
      </c>
      <c r="M46" s="6">
        <f t="shared" si="2"/>
        <v>33848.622662158195</v>
      </c>
      <c r="N46" s="6">
        <f t="shared" si="2"/>
        <v>34435.014088809185</v>
      </c>
    </row>
    <row r="47" spans="1:15" x14ac:dyDescent="0.2">
      <c r="A47" t="s">
        <v>38</v>
      </c>
      <c r="B47" s="56">
        <f>+B15+B19+B23+B28+B33+B38+B42</f>
        <v>380885629</v>
      </c>
      <c r="C47" s="56">
        <f t="shared" ref="C47:N47" si="4">+C15+C19+C23+C28+C33+C38+C42</f>
        <v>356369056</v>
      </c>
      <c r="D47" s="56">
        <f t="shared" si="4"/>
        <v>363388525</v>
      </c>
      <c r="E47" s="6">
        <f t="shared" si="4"/>
        <v>353716802</v>
      </c>
      <c r="F47" s="6">
        <f>+F15+F19+F23+F28+F33+F38+F42</f>
        <v>379090833.32999998</v>
      </c>
      <c r="G47" s="6">
        <f t="shared" si="4"/>
        <v>370608216.25</v>
      </c>
      <c r="H47" s="6">
        <f t="shared" si="4"/>
        <v>364637107.06999999</v>
      </c>
      <c r="I47" s="6">
        <f t="shared" si="4"/>
        <v>368482782.76999998</v>
      </c>
      <c r="J47" s="6">
        <f>+J15+J19+J23+J28+J33+J38+J42</f>
        <v>377130670.77999997</v>
      </c>
      <c r="K47" s="6">
        <f t="shared" ref="K47" si="5">+K15+K19+K23+K28+K33+K38+K42</f>
        <v>370827912.53724998</v>
      </c>
      <c r="L47" s="6">
        <f t="shared" si="4"/>
        <v>381241465.1608215</v>
      </c>
      <c r="M47" s="6">
        <f t="shared" si="4"/>
        <v>381241465.1608215</v>
      </c>
      <c r="N47" s="6">
        <f t="shared" si="4"/>
        <v>382761626.77436256</v>
      </c>
    </row>
    <row r="48" spans="1:15" x14ac:dyDescent="0.2">
      <c r="A48" t="s">
        <v>41</v>
      </c>
      <c r="B48" s="56">
        <f>+B24+B29+B34+B43</f>
        <v>470631</v>
      </c>
      <c r="C48" s="56">
        <f t="shared" ref="C48:L48" si="6">+C24+C29+C34+C43</f>
        <v>411800</v>
      </c>
      <c r="D48" s="56">
        <f t="shared" si="6"/>
        <v>403150</v>
      </c>
      <c r="E48" s="6">
        <f t="shared" si="6"/>
        <v>403638</v>
      </c>
      <c r="F48" s="6">
        <f t="shared" si="6"/>
        <v>419225</v>
      </c>
      <c r="G48" s="6">
        <f t="shared" si="6"/>
        <v>421064.31</v>
      </c>
      <c r="H48" s="6">
        <f t="shared" si="6"/>
        <v>387154.49</v>
      </c>
      <c r="I48" s="6">
        <f t="shared" si="6"/>
        <v>354486.37</v>
      </c>
      <c r="J48" s="6">
        <f t="shared" si="6"/>
        <v>362330.8</v>
      </c>
      <c r="K48" s="6">
        <f t="shared" ref="K48" si="7">+K24+K29+K34+K43</f>
        <v>359014.18000000005</v>
      </c>
      <c r="L48" s="6">
        <f t="shared" si="6"/>
        <v>373795.62360171875</v>
      </c>
      <c r="M48" s="6">
        <f>+M24+M29+M34+M43</f>
        <v>373795.62360171875</v>
      </c>
      <c r="N48" s="6">
        <f>+N24+N29+N34+N43</f>
        <v>360462.03950474603</v>
      </c>
    </row>
    <row r="49" spans="1:14" x14ac:dyDescent="0.2">
      <c r="B49" s="41"/>
      <c r="C49" s="152"/>
      <c r="D49" s="49"/>
      <c r="E49" s="1"/>
      <c r="F49" s="1"/>
    </row>
    <row r="50" spans="1:14" x14ac:dyDescent="0.2">
      <c r="A50" t="s">
        <v>42</v>
      </c>
      <c r="B50" s="56">
        <f>'Rate Class Customer Model'!I11</f>
        <v>29944.166666666664</v>
      </c>
      <c r="C50" s="56">
        <f>'Rate Class Customer Model'!I12</f>
        <v>30127.749999999996</v>
      </c>
      <c r="D50" s="56">
        <f>'Rate Class Customer Model'!I13</f>
        <v>30347.166666666664</v>
      </c>
      <c r="E50" s="6">
        <f>'Rate Class Customer Model'!I14</f>
        <v>30564.5</v>
      </c>
      <c r="F50" s="6">
        <f>'Rate Class Customer Model'!I15</f>
        <v>30910.166666666664</v>
      </c>
      <c r="G50" s="6">
        <f>'Rate Class Customer Model'!I16</f>
        <v>31265.666666666664</v>
      </c>
      <c r="H50" s="6">
        <f>'Rate Class Customer Model'!I17</f>
        <v>31606.166666666664</v>
      </c>
      <c r="I50" s="6">
        <f>'Rate Class Customer Model'!I18</f>
        <v>32120.583333333336</v>
      </c>
      <c r="J50" s="6">
        <f>'Rate Class Customer Model'!I19</f>
        <v>32609</v>
      </c>
      <c r="K50" s="6">
        <f>'Rate Class Customer Model'!I20</f>
        <v>33275.499999999993</v>
      </c>
      <c r="L50" s="6">
        <f>'Rate Class Customer Model'!I21</f>
        <v>33848.622662158195</v>
      </c>
      <c r="M50" s="6">
        <f>'Rate Class Customer Model'!I21</f>
        <v>33848.622662158195</v>
      </c>
      <c r="N50" s="6">
        <f>'Rate Class Customer Model'!I22</f>
        <v>34435.014088809185</v>
      </c>
    </row>
    <row r="51" spans="1:14" x14ac:dyDescent="0.2">
      <c r="A51" t="s">
        <v>38</v>
      </c>
      <c r="B51" s="6">
        <f>'Rate Class Energy Model'!G3</f>
        <v>380885629</v>
      </c>
      <c r="C51" s="6">
        <f>'Rate Class Energy Model'!G4</f>
        <v>356369056</v>
      </c>
      <c r="D51" s="6">
        <f>'Rate Class Energy Model'!G5</f>
        <v>363388525</v>
      </c>
      <c r="E51" s="6">
        <f>'Rate Class Energy Model'!G6</f>
        <v>353716802</v>
      </c>
      <c r="F51" s="6">
        <f>'Rate Class Energy Model'!G7</f>
        <v>379090833.32999998</v>
      </c>
      <c r="G51" s="6">
        <f>'Rate Class Energy Model'!G8</f>
        <v>370608216.25</v>
      </c>
      <c r="H51" s="6">
        <f>'Rate Class Energy Model'!G9</f>
        <v>364637107.06999999</v>
      </c>
      <c r="I51" s="6">
        <f>'Rate Class Energy Model'!G10</f>
        <v>368482782.76999998</v>
      </c>
      <c r="J51" s="6">
        <f>'Rate Class Energy Model'!G11</f>
        <v>377130670.77999997</v>
      </c>
      <c r="K51" s="6">
        <f>'Rate Class Energy Model'!G12</f>
        <v>370827912.53724998</v>
      </c>
      <c r="L51" s="6">
        <f>'Rate Class Energy Model'!O31</f>
        <v>381241465.1608215</v>
      </c>
      <c r="M51" s="6">
        <f>'Rate Class Energy Model'!O31</f>
        <v>381241465.1608215</v>
      </c>
      <c r="N51" s="6">
        <f>'Rate Class Energy Model'!O32</f>
        <v>382761626.77436256</v>
      </c>
    </row>
    <row r="52" spans="1:14" x14ac:dyDescent="0.2">
      <c r="A52" t="s">
        <v>41</v>
      </c>
      <c r="B52" s="6">
        <f>'Rate Class Load Model'!F2</f>
        <v>470631</v>
      </c>
      <c r="C52" s="6">
        <f>'Rate Class Load Model'!F3</f>
        <v>411800</v>
      </c>
      <c r="D52" s="6">
        <f>'Rate Class Load Model'!F4</f>
        <v>403150</v>
      </c>
      <c r="E52" s="6">
        <f>'Rate Class Load Model'!F5</f>
        <v>403638</v>
      </c>
      <c r="F52" s="6">
        <f>'Rate Class Load Model'!F6</f>
        <v>419225</v>
      </c>
      <c r="G52" s="6">
        <f>'Rate Class Load Model'!F7</f>
        <v>421064.31</v>
      </c>
      <c r="H52" s="6">
        <f>'Rate Class Load Model'!F8</f>
        <v>387154.49</v>
      </c>
      <c r="I52" s="6">
        <f>'Rate Class Load Model'!F9</f>
        <v>354486.37</v>
      </c>
      <c r="J52" s="6">
        <f>'Rate Class Load Model'!F10</f>
        <v>362330.8</v>
      </c>
      <c r="K52" s="6">
        <f>'Rate Class Load Model'!F11</f>
        <v>359014.18000000005</v>
      </c>
      <c r="L52" s="6">
        <f>'Rate Class Load Model'!F12</f>
        <v>373795.62360171875</v>
      </c>
      <c r="M52" s="6">
        <f>'Rate Class Load Model'!F12</f>
        <v>373795.62360171875</v>
      </c>
      <c r="N52" s="6">
        <f>'Rate Class Load Model'!F13</f>
        <v>360462.03950474603</v>
      </c>
    </row>
    <row r="54" spans="1:14" hidden="1" x14ac:dyDescent="0.2">
      <c r="A54" t="s">
        <v>42</v>
      </c>
      <c r="H54" s="6">
        <f>'Rate Class Load Model'!F12</f>
        <v>373795.62360171875</v>
      </c>
      <c r="I54" s="6" t="e">
        <f>#REF!</f>
        <v>#REF!</v>
      </c>
      <c r="J54" s="6"/>
      <c r="K54" s="6"/>
      <c r="L54" s="6"/>
      <c r="M54" s="6" t="e">
        <f>#REF!</f>
        <v>#REF!</v>
      </c>
      <c r="N54" s="6" t="e">
        <f>#REF!</f>
        <v>#REF!</v>
      </c>
    </row>
    <row r="55" spans="1:14" hidden="1" x14ac:dyDescent="0.2">
      <c r="A55" t="s">
        <v>38</v>
      </c>
      <c r="H55" s="6">
        <f>'Rate Class Load Model'!F13</f>
        <v>360462.03950474603</v>
      </c>
      <c r="I55" s="6" t="e">
        <f>#REF!</f>
        <v>#REF!</v>
      </c>
      <c r="J55" s="6"/>
      <c r="K55" s="6"/>
      <c r="L55" s="6"/>
      <c r="M55" s="6" t="e">
        <f>#REF!</f>
        <v>#REF!</v>
      </c>
      <c r="N55" s="6" t="e">
        <f>#REF!</f>
        <v>#REF!</v>
      </c>
    </row>
    <row r="56" spans="1:14" hidden="1" x14ac:dyDescent="0.2">
      <c r="A56" t="s">
        <v>41</v>
      </c>
      <c r="H56" s="6">
        <f>'Rate Class Load Model'!F14</f>
        <v>0</v>
      </c>
      <c r="I56" s="6" t="e">
        <f>#REF!</f>
        <v>#REF!</v>
      </c>
      <c r="J56" s="6"/>
      <c r="K56" s="6"/>
      <c r="L56" s="6"/>
      <c r="M56" s="6" t="e">
        <f>#REF!</f>
        <v>#REF!</v>
      </c>
      <c r="N56" s="6" t="e">
        <f>#REF!</f>
        <v>#REF!</v>
      </c>
    </row>
    <row r="57" spans="1:14" hidden="1" x14ac:dyDescent="0.2">
      <c r="H57" s="6">
        <f>'Rate Class Load Model'!F15</f>
        <v>0</v>
      </c>
    </row>
    <row r="58" spans="1:14" hidden="1" x14ac:dyDescent="0.2">
      <c r="A58" t="s">
        <v>42</v>
      </c>
      <c r="H58" s="6">
        <f>'Rate Class Load Model'!F16</f>
        <v>0</v>
      </c>
      <c r="I58" s="6" t="e">
        <f>#REF!-I54</f>
        <v>#REF!</v>
      </c>
      <c r="J58" s="6"/>
      <c r="K58" s="6"/>
      <c r="L58" s="6"/>
      <c r="M58" s="6" t="e">
        <f>#REF!-M54</f>
        <v>#REF!</v>
      </c>
      <c r="N58" s="6" t="e">
        <f>#REF!-N54</f>
        <v>#REF!</v>
      </c>
    </row>
    <row r="59" spans="1:14" hidden="1" x14ac:dyDescent="0.2">
      <c r="A59" t="s">
        <v>38</v>
      </c>
      <c r="H59" s="6">
        <f>'Rate Class Load Model'!F17</f>
        <v>0</v>
      </c>
      <c r="I59" s="6" t="e">
        <f>#REF!-I55</f>
        <v>#REF!</v>
      </c>
      <c r="J59" s="6"/>
      <c r="K59" s="6"/>
      <c r="L59" s="6"/>
      <c r="M59" s="6" t="e">
        <f>#REF!-M55</f>
        <v>#REF!</v>
      </c>
      <c r="N59" s="6" t="e">
        <f>#REF!-N55</f>
        <v>#REF!</v>
      </c>
    </row>
    <row r="60" spans="1:14" hidden="1" x14ac:dyDescent="0.2">
      <c r="A60" t="s">
        <v>41</v>
      </c>
      <c r="H60" s="6">
        <f>'Rate Class Load Model'!F18</f>
        <v>0</v>
      </c>
      <c r="I60" s="6" t="e">
        <f>#REF!-I56</f>
        <v>#REF!</v>
      </c>
      <c r="J60" s="6"/>
      <c r="K60" s="6"/>
      <c r="L60" s="6"/>
      <c r="M60" s="6" t="e">
        <f>#REF!-M56</f>
        <v>#REF!</v>
      </c>
      <c r="N60" s="6" t="e">
        <f>#REF!-N56</f>
        <v>#REF!</v>
      </c>
    </row>
    <row r="61" spans="1:14" hidden="1" x14ac:dyDescent="0.2">
      <c r="H61" s="6">
        <f>'Rate Class Load Model'!F19</f>
        <v>0</v>
      </c>
    </row>
    <row r="62" spans="1:14" x14ac:dyDescent="0.2">
      <c r="A62" s="41" t="s">
        <v>13</v>
      </c>
      <c r="H62" s="6"/>
    </row>
    <row r="63" spans="1:14" x14ac:dyDescent="0.2">
      <c r="A63" t="s">
        <v>42</v>
      </c>
      <c r="B63" s="6">
        <f t="shared" ref="B63:N63" si="8">B46-B50</f>
        <v>0</v>
      </c>
      <c r="C63" s="6">
        <f>C46-C50</f>
        <v>0</v>
      </c>
      <c r="D63" s="6">
        <f t="shared" si="8"/>
        <v>0</v>
      </c>
      <c r="E63" s="6">
        <f t="shared" si="8"/>
        <v>0</v>
      </c>
      <c r="F63" s="6">
        <f t="shared" si="8"/>
        <v>0</v>
      </c>
      <c r="G63" s="6">
        <f t="shared" si="8"/>
        <v>0</v>
      </c>
      <c r="H63" s="6">
        <f t="shared" si="8"/>
        <v>0</v>
      </c>
      <c r="I63" s="6">
        <f t="shared" si="8"/>
        <v>0</v>
      </c>
      <c r="J63" s="6">
        <f t="shared" ref="J63:L65" si="9">J46-J50</f>
        <v>0</v>
      </c>
      <c r="K63" s="6">
        <f t="shared" ref="K63" si="10">K46-K50</f>
        <v>0</v>
      </c>
      <c r="L63" s="6">
        <f t="shared" si="9"/>
        <v>0</v>
      </c>
      <c r="M63" s="6">
        <f t="shared" si="8"/>
        <v>0</v>
      </c>
      <c r="N63" s="6">
        <f t="shared" si="8"/>
        <v>0</v>
      </c>
    </row>
    <row r="64" spans="1:14" x14ac:dyDescent="0.2">
      <c r="A64" t="s">
        <v>38</v>
      </c>
      <c r="B64" s="6">
        <f>B47-B51</f>
        <v>0</v>
      </c>
      <c r="C64" s="6">
        <f t="shared" ref="C64:N64" si="11">C47-C51</f>
        <v>0</v>
      </c>
      <c r="D64" s="6">
        <f t="shared" si="11"/>
        <v>0</v>
      </c>
      <c r="E64" s="6">
        <f t="shared" si="11"/>
        <v>0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9"/>
        <v>0</v>
      </c>
      <c r="K64" s="6">
        <f t="shared" ref="K64" si="12">K47-K51</f>
        <v>0</v>
      </c>
      <c r="L64" s="6">
        <f t="shared" si="9"/>
        <v>0</v>
      </c>
      <c r="M64" s="6">
        <f t="shared" si="11"/>
        <v>0</v>
      </c>
      <c r="N64" s="6">
        <f t="shared" si="11"/>
        <v>0</v>
      </c>
    </row>
    <row r="65" spans="1:14" x14ac:dyDescent="0.2">
      <c r="A65" t="s">
        <v>41</v>
      </c>
      <c r="B65" s="6">
        <f t="shared" ref="B65:N65" si="13">B48-B52</f>
        <v>0</v>
      </c>
      <c r="C65" s="6">
        <f t="shared" si="13"/>
        <v>0</v>
      </c>
      <c r="D65" s="6">
        <f t="shared" si="13"/>
        <v>0</v>
      </c>
      <c r="E65" s="6">
        <f t="shared" si="13"/>
        <v>0</v>
      </c>
      <c r="F65" s="6">
        <f t="shared" si="13"/>
        <v>0</v>
      </c>
      <c r="G65" s="6">
        <f t="shared" si="13"/>
        <v>0</v>
      </c>
      <c r="H65" s="6">
        <f t="shared" si="13"/>
        <v>0</v>
      </c>
      <c r="I65" s="6">
        <f t="shared" si="13"/>
        <v>0</v>
      </c>
      <c r="J65" s="6">
        <f t="shared" si="9"/>
        <v>0</v>
      </c>
      <c r="K65" s="6">
        <f t="shared" ref="K65" si="14">K48-K52</f>
        <v>0</v>
      </c>
      <c r="L65" s="6">
        <f t="shared" si="9"/>
        <v>0</v>
      </c>
      <c r="M65" s="6">
        <f t="shared" si="13"/>
        <v>0</v>
      </c>
      <c r="N65" s="6">
        <f t="shared" si="13"/>
        <v>0</v>
      </c>
    </row>
  </sheetData>
  <phoneticPr fontId="0" type="noConversion"/>
  <pageMargins left="0.38" right="0.75" top="0.73" bottom="0.74" header="0.5" footer="0.5"/>
  <pageSetup scale="69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</sheetPr>
  <dimension ref="A2:X174"/>
  <sheetViews>
    <sheetView zoomScale="85" zoomScaleNormal="85" workbookViewId="0">
      <selection activeCell="I158" sqref="I158"/>
    </sheetView>
  </sheetViews>
  <sheetFormatPr defaultRowHeight="12.75" x14ac:dyDescent="0.2"/>
  <cols>
    <col min="1" max="1" width="11.85546875" style="25" customWidth="1"/>
    <col min="2" max="2" width="16.85546875" style="6" customWidth="1"/>
    <col min="3" max="3" width="11.5703125" style="1" customWidth="1"/>
    <col min="4" max="4" width="13.42578125" style="1" customWidth="1"/>
    <col min="5" max="5" width="10.140625" style="1" customWidth="1"/>
    <col min="6" max="6" width="10.28515625" style="54" customWidth="1"/>
    <col min="7" max="7" width="13" style="1" customWidth="1"/>
    <col min="8" max="8" width="16.28515625" style="1" bestFit="1" customWidth="1"/>
    <col min="9" max="11" width="16.28515625" style="1" customWidth="1"/>
    <col min="12" max="12" width="22.42578125" style="1" bestFit="1" customWidth="1"/>
    <col min="13" max="13" width="13" style="1" customWidth="1"/>
    <col min="14" max="14" width="19.7109375" style="1" bestFit="1" customWidth="1"/>
    <col min="15" max="15" width="15.7109375" style="1" customWidth="1"/>
    <col min="16" max="16" width="35.28515625" style="1" bestFit="1" customWidth="1"/>
    <col min="17" max="17" width="20.42578125" style="1" customWidth="1"/>
    <col min="18" max="18" width="31.7109375" customWidth="1"/>
    <col min="19" max="19" width="18.42578125" customWidth="1"/>
    <col min="20" max="24" width="12.5703125" customWidth="1"/>
  </cols>
  <sheetData>
    <row r="2" spans="1:21" ht="38.25" x14ac:dyDescent="0.2">
      <c r="A2" s="169"/>
      <c r="B2" s="170" t="s">
        <v>53</v>
      </c>
      <c r="C2" s="171" t="s">
        <v>2</v>
      </c>
      <c r="D2" s="171" t="s">
        <v>3</v>
      </c>
      <c r="E2" s="171" t="s">
        <v>93</v>
      </c>
      <c r="F2" s="172" t="s">
        <v>14</v>
      </c>
      <c r="G2" s="171" t="s">
        <v>109</v>
      </c>
      <c r="H2" s="171" t="s">
        <v>8</v>
      </c>
      <c r="I2" s="156" t="s">
        <v>135</v>
      </c>
      <c r="J2" s="156" t="s">
        <v>136</v>
      </c>
      <c r="K2" s="156" t="s">
        <v>137</v>
      </c>
      <c r="L2" s="156" t="s">
        <v>132</v>
      </c>
      <c r="M2" s="156" t="s">
        <v>133</v>
      </c>
      <c r="N2" s="156" t="s">
        <v>134</v>
      </c>
      <c r="O2" s="156"/>
      <c r="P2" t="s">
        <v>15</v>
      </c>
      <c r="Q2"/>
    </row>
    <row r="3" spans="1:21" ht="13.5" thickBot="1" x14ac:dyDescent="0.25">
      <c r="A3" s="173">
        <v>41670</v>
      </c>
      <c r="B3" s="174">
        <f>Inputs!D24</f>
        <v>40172298.198266663</v>
      </c>
      <c r="C3" s="174">
        <v>783.19999999999993</v>
      </c>
      <c r="D3" s="174">
        <v>0</v>
      </c>
      <c r="E3" s="174">
        <v>31</v>
      </c>
      <c r="F3" s="175">
        <v>0</v>
      </c>
      <c r="G3" s="174">
        <f>Inputs!G24+Inputs!I24+Inputs!L24+Inputs!X24</f>
        <v>22329</v>
      </c>
      <c r="H3" s="174">
        <f>$Q$18+$Q$19*C3+$Q$20*D3+$Q$21*E3+$Q$22*F3+$Q$23*G3</f>
        <v>36078059.161778331</v>
      </c>
      <c r="I3" s="9">
        <f>H3-B3</f>
        <v>-4094239.0364883319</v>
      </c>
      <c r="J3" s="187">
        <f>I3/B3</f>
        <v>-0.10191697314108328</v>
      </c>
      <c r="K3" s="187">
        <f>ABS(J3)</f>
        <v>0.10191697314108328</v>
      </c>
      <c r="L3" s="188">
        <f t="shared" ref="L3:L34" si="0">I3*I3</f>
        <v>16762793287904.904</v>
      </c>
      <c r="M3" s="11"/>
      <c r="N3" s="11"/>
      <c r="O3" s="11"/>
      <c r="P3"/>
      <c r="Q3"/>
    </row>
    <row r="4" spans="1:21" x14ac:dyDescent="0.2">
      <c r="A4" s="173">
        <v>41698</v>
      </c>
      <c r="B4" s="174">
        <f>Inputs!D25</f>
        <v>35904108.981466666</v>
      </c>
      <c r="C4" s="174">
        <v>743.69999999999993</v>
      </c>
      <c r="D4" s="174">
        <v>0</v>
      </c>
      <c r="E4" s="174">
        <v>28</v>
      </c>
      <c r="F4" s="175">
        <v>0</v>
      </c>
      <c r="G4" s="174">
        <f>Inputs!G25+Inputs!I25+Inputs!L25+Inputs!X25</f>
        <v>22326</v>
      </c>
      <c r="H4" s="174">
        <f>$Q$18+$Q$19*C4+$Q$20*D4+$Q$21*E4+$Q$22*F4+$Q$23*G4</f>
        <v>31895194.41082051</v>
      </c>
      <c r="I4" s="9">
        <f>H4-B4</f>
        <v>-4008914.5706461556</v>
      </c>
      <c r="J4" s="187">
        <f>I4/B4</f>
        <v>-0.11165614979376083</v>
      </c>
      <c r="K4" s="187">
        <f t="shared" ref="K4:K67" si="1">ABS(J4)</f>
        <v>0.11165614979376083</v>
      </c>
      <c r="L4" s="188">
        <f t="shared" si="0"/>
        <v>16071396034739.051</v>
      </c>
      <c r="M4" s="188">
        <f t="shared" ref="M4:M35" si="2">I4-I3</f>
        <v>85324.465842176229</v>
      </c>
      <c r="N4" s="188">
        <f>M4*M4</f>
        <v>7280264471.2526979</v>
      </c>
      <c r="O4" s="11"/>
      <c r="P4" s="160" t="s">
        <v>16</v>
      </c>
      <c r="Q4" s="160"/>
    </row>
    <row r="5" spans="1:21" x14ac:dyDescent="0.2">
      <c r="A5" s="173">
        <v>41729</v>
      </c>
      <c r="B5" s="174">
        <f>Inputs!D26</f>
        <v>37359874.474666663</v>
      </c>
      <c r="C5" s="174">
        <v>692.30000000000007</v>
      </c>
      <c r="D5" s="174">
        <v>0</v>
      </c>
      <c r="E5" s="174">
        <v>31</v>
      </c>
      <c r="F5" s="175">
        <v>1</v>
      </c>
      <c r="G5" s="174">
        <f>Inputs!G26+Inputs!I26+Inputs!L26+Inputs!X26</f>
        <v>22340</v>
      </c>
      <c r="H5" s="174">
        <f>$Q$18+$Q$19*C5+$Q$20*D5+$Q$21*E5+$Q$22*F5+$Q$23*G5</f>
        <v>32760249.67322477</v>
      </c>
      <c r="I5" s="9">
        <f>H5-B5</f>
        <v>-4599624.801441893</v>
      </c>
      <c r="J5" s="187">
        <f>I5/B5</f>
        <v>-0.12311670919988904</v>
      </c>
      <c r="K5" s="187">
        <f t="shared" si="1"/>
        <v>0.12311670919988904</v>
      </c>
      <c r="L5" s="188">
        <f t="shared" si="0"/>
        <v>21156548314039.375</v>
      </c>
      <c r="M5" s="188">
        <f t="shared" si="2"/>
        <v>-590710.23079573736</v>
      </c>
      <c r="N5" s="188">
        <f t="shared" ref="N5:N68" si="3">M5*M5</f>
        <v>348938576766.7533</v>
      </c>
      <c r="O5" s="11"/>
      <c r="P5" t="s">
        <v>17</v>
      </c>
      <c r="Q5">
        <v>0.94298453474577371</v>
      </c>
    </row>
    <row r="6" spans="1:21" x14ac:dyDescent="0.2">
      <c r="A6" s="173">
        <v>41759</v>
      </c>
      <c r="B6" s="174">
        <f>Inputs!D27</f>
        <v>29870903.297066666</v>
      </c>
      <c r="C6" s="174">
        <v>338.40000000000009</v>
      </c>
      <c r="D6" s="174">
        <v>0</v>
      </c>
      <c r="E6" s="174">
        <v>30</v>
      </c>
      <c r="F6" s="175">
        <v>1</v>
      </c>
      <c r="G6" s="174">
        <f>Inputs!G27+Inputs!I27+Inputs!L27+Inputs!X27</f>
        <v>22334</v>
      </c>
      <c r="H6" s="174">
        <f>$Q$18+$Q$19*C6+$Q$20*D6+$Q$21*E6+$Q$22*F6+$Q$23*G6</f>
        <v>27807129.329060927</v>
      </c>
      <c r="I6" s="9">
        <f>H6-B6</f>
        <v>-2063773.9680057392</v>
      </c>
      <c r="J6" s="187">
        <f>I6/B6</f>
        <v>-6.9089774335963999E-2</v>
      </c>
      <c r="K6" s="187">
        <f t="shared" si="1"/>
        <v>6.9089774335963999E-2</v>
      </c>
      <c r="L6" s="188">
        <f t="shared" si="0"/>
        <v>4259162991018.1538</v>
      </c>
      <c r="M6" s="188">
        <f t="shared" si="2"/>
        <v>2535850.8334361538</v>
      </c>
      <c r="N6" s="188">
        <f t="shared" si="3"/>
        <v>6430539449438.8359</v>
      </c>
      <c r="O6" s="11"/>
      <c r="P6" t="s">
        <v>18</v>
      </c>
      <c r="Q6">
        <v>0.8892198327697034</v>
      </c>
    </row>
    <row r="7" spans="1:21" x14ac:dyDescent="0.2">
      <c r="A7" s="173">
        <v>41790</v>
      </c>
      <c r="B7" s="174">
        <f>Inputs!D28</f>
        <v>27607357.325866669</v>
      </c>
      <c r="C7" s="174">
        <v>143.89999999999995</v>
      </c>
      <c r="D7" s="174">
        <v>7.3</v>
      </c>
      <c r="E7" s="174">
        <v>31</v>
      </c>
      <c r="F7" s="175">
        <v>1</v>
      </c>
      <c r="G7" s="174">
        <f>Inputs!G28+Inputs!I28+Inputs!L28+Inputs!X28</f>
        <v>22336</v>
      </c>
      <c r="H7" s="174">
        <f>$Q$18+$Q$19*C7+$Q$20*D7+$Q$21*E7+$Q$22*F7+$Q$23*G7</f>
        <v>27698518.049769469</v>
      </c>
      <c r="I7" s="9">
        <f>H7-B7</f>
        <v>91160.723902799189</v>
      </c>
      <c r="J7" s="187">
        <f>I7/B7</f>
        <v>3.3020445538040071E-3</v>
      </c>
      <c r="K7" s="187">
        <f t="shared" si="1"/>
        <v>3.3020445538040071E-3</v>
      </c>
      <c r="L7" s="188">
        <f t="shared" si="0"/>
        <v>8310277582.4823837</v>
      </c>
      <c r="M7" s="188">
        <f t="shared" si="2"/>
        <v>2154934.6919085383</v>
      </c>
      <c r="N7" s="188">
        <f t="shared" si="3"/>
        <v>4643743526390.9473</v>
      </c>
      <c r="O7" s="11"/>
      <c r="P7" t="s">
        <v>19</v>
      </c>
      <c r="Q7">
        <v>0.88436105350521665</v>
      </c>
    </row>
    <row r="8" spans="1:21" x14ac:dyDescent="0.2">
      <c r="A8" s="173">
        <v>41820</v>
      </c>
      <c r="B8" s="174">
        <f>Inputs!D29</f>
        <v>32169591.381466668</v>
      </c>
      <c r="C8" s="174">
        <v>21.3</v>
      </c>
      <c r="D8" s="174">
        <v>62.800000000000004</v>
      </c>
      <c r="E8" s="174">
        <v>30</v>
      </c>
      <c r="F8" s="175">
        <v>0</v>
      </c>
      <c r="G8" s="174">
        <f>Inputs!G29+Inputs!I29+Inputs!L29+Inputs!X29</f>
        <v>22351</v>
      </c>
      <c r="H8" s="174">
        <f>$Q$18+$Q$19*C8+$Q$20*D8+$Q$21*E8+$Q$22*F8+$Q$23*G8</f>
        <v>32593462.802103225</v>
      </c>
      <c r="I8" s="9">
        <f>H8-B8</f>
        <v>423871.42063655704</v>
      </c>
      <c r="J8" s="187">
        <f>I8/B8</f>
        <v>1.3176151838868399E-2</v>
      </c>
      <c r="K8" s="187">
        <f t="shared" si="1"/>
        <v>1.3176151838868399E-2</v>
      </c>
      <c r="L8" s="188">
        <f t="shared" si="0"/>
        <v>179666981232.45306</v>
      </c>
      <c r="M8" s="188">
        <f t="shared" si="2"/>
        <v>332710.69673375785</v>
      </c>
      <c r="N8" s="188">
        <f t="shared" si="3"/>
        <v>110696407721.06259</v>
      </c>
      <c r="O8" s="11"/>
      <c r="P8" t="s">
        <v>20</v>
      </c>
      <c r="Q8">
        <v>1253344.3772014761</v>
      </c>
    </row>
    <row r="9" spans="1:21" ht="13.5" thickBot="1" x14ac:dyDescent="0.25">
      <c r="A9" s="173">
        <v>41851</v>
      </c>
      <c r="B9" s="174">
        <f>Inputs!D30</f>
        <v>33916845.750666663</v>
      </c>
      <c r="C9" s="174">
        <v>13.700000000000001</v>
      </c>
      <c r="D9" s="174">
        <v>51</v>
      </c>
      <c r="E9" s="174">
        <v>31</v>
      </c>
      <c r="F9" s="175">
        <v>0</v>
      </c>
      <c r="G9" s="174">
        <f>Inputs!G30+Inputs!I30+Inputs!L30+Inputs!X30</f>
        <v>22375</v>
      </c>
      <c r="H9" s="174">
        <f>$Q$18+$Q$19*C9+$Q$20*D9+$Q$21*E9+$Q$22*F9+$Q$23*G9</f>
        <v>32707165.590169683</v>
      </c>
      <c r="I9" s="9">
        <f>H9-B9</f>
        <v>-1209680.16049698</v>
      </c>
      <c r="J9" s="187">
        <f>I9/B9</f>
        <v>-3.5666057197350158E-2</v>
      </c>
      <c r="K9" s="187">
        <f t="shared" si="1"/>
        <v>3.5666057197350158E-2</v>
      </c>
      <c r="L9" s="188">
        <f t="shared" si="0"/>
        <v>1463326090699.9993</v>
      </c>
      <c r="M9" s="188">
        <f t="shared" si="2"/>
        <v>-1633551.581133537</v>
      </c>
      <c r="N9" s="188">
        <f t="shared" si="3"/>
        <v>2668490768223.8789</v>
      </c>
      <c r="O9" s="11"/>
      <c r="P9" s="158" t="s">
        <v>21</v>
      </c>
      <c r="Q9" s="158">
        <v>120</v>
      </c>
    </row>
    <row r="10" spans="1:21" x14ac:dyDescent="0.2">
      <c r="A10" s="173">
        <v>41882</v>
      </c>
      <c r="B10" s="174">
        <f>Inputs!D31</f>
        <v>33253613.143466666</v>
      </c>
      <c r="C10" s="174">
        <v>11.999999999999998</v>
      </c>
      <c r="D10" s="174">
        <v>56.999999999999993</v>
      </c>
      <c r="E10" s="174">
        <v>31</v>
      </c>
      <c r="F10" s="175">
        <v>0</v>
      </c>
      <c r="G10" s="174">
        <f>Inputs!G31+Inputs!I31+Inputs!L31+Inputs!X31</f>
        <v>22386</v>
      </c>
      <c r="H10" s="174">
        <f>$Q$18+$Q$19*C10+$Q$20*D10+$Q$21*E10+$Q$22*F10+$Q$23*G10</f>
        <v>33240249.772831436</v>
      </c>
      <c r="I10" s="9">
        <f>H10-B10</f>
        <v>-13363.370635230094</v>
      </c>
      <c r="J10" s="187">
        <f>I10/B10</f>
        <v>-4.0186221501935026E-4</v>
      </c>
      <c r="K10" s="187">
        <f t="shared" si="1"/>
        <v>4.0186221501935026E-4</v>
      </c>
      <c r="L10" s="188">
        <f t="shared" si="0"/>
        <v>178579674.73452997</v>
      </c>
      <c r="M10" s="188">
        <f t="shared" si="2"/>
        <v>1196316.7898617499</v>
      </c>
      <c r="N10" s="188">
        <f t="shared" si="3"/>
        <v>1431173861705.1221</v>
      </c>
      <c r="O10" s="11"/>
      <c r="P10"/>
      <c r="Q10"/>
    </row>
    <row r="11" spans="1:21" ht="13.5" thickBot="1" x14ac:dyDescent="0.25">
      <c r="A11" s="173">
        <v>41912</v>
      </c>
      <c r="B11" s="174">
        <f>Inputs!D32</f>
        <v>28705908.135466669</v>
      </c>
      <c r="C11" s="174">
        <v>85.300000000000011</v>
      </c>
      <c r="D11" s="174">
        <v>27.500000000000004</v>
      </c>
      <c r="E11" s="174">
        <v>30</v>
      </c>
      <c r="F11" s="175">
        <v>0</v>
      </c>
      <c r="G11" s="174">
        <f>Inputs!G32+Inputs!I32+Inputs!L32+Inputs!X32</f>
        <v>22411</v>
      </c>
      <c r="H11" s="174">
        <f>$Q$18+$Q$19*C11+$Q$20*D11+$Q$21*E11+$Q$22*F11+$Q$23*G11</f>
        <v>30075226.464730907</v>
      </c>
      <c r="I11" s="9">
        <f>H11-B11</f>
        <v>1369318.3292642385</v>
      </c>
      <c r="J11" s="187">
        <f>I11/B11</f>
        <v>4.7701620265844194E-2</v>
      </c>
      <c r="K11" s="187">
        <f t="shared" si="1"/>
        <v>4.7701620265844194E-2</v>
      </c>
      <c r="L11" s="188">
        <f t="shared" si="0"/>
        <v>1875032686859.0054</v>
      </c>
      <c r="M11" s="188">
        <f t="shared" si="2"/>
        <v>1382681.6998994686</v>
      </c>
      <c r="N11" s="188">
        <f t="shared" si="3"/>
        <v>1911808683236.884</v>
      </c>
      <c r="O11" s="11"/>
      <c r="P11" t="s">
        <v>22</v>
      </c>
      <c r="Q11"/>
    </row>
    <row r="12" spans="1:21" x14ac:dyDescent="0.2">
      <c r="A12" s="173">
        <v>41943</v>
      </c>
      <c r="B12" s="174">
        <f>Inputs!D33</f>
        <v>29560489.815066669</v>
      </c>
      <c r="C12" s="174">
        <v>223.09999999999997</v>
      </c>
      <c r="D12" s="174">
        <v>4.5</v>
      </c>
      <c r="E12" s="174">
        <v>31</v>
      </c>
      <c r="F12" s="175">
        <v>1</v>
      </c>
      <c r="G12" s="174">
        <f>Inputs!G33+Inputs!I33+Inputs!L33+Inputs!X33</f>
        <v>22460</v>
      </c>
      <c r="H12" s="174">
        <f>$Q$18+$Q$19*C12+$Q$20*D12+$Q$21*E12+$Q$22*F12+$Q$23*G12</f>
        <v>28324528.152100541</v>
      </c>
      <c r="I12" s="9">
        <f>H12-B12</f>
        <v>-1235961.6629661284</v>
      </c>
      <c r="J12" s="187">
        <f>I12/B12</f>
        <v>-4.181127142000779E-2</v>
      </c>
      <c r="K12" s="187">
        <f t="shared" si="1"/>
        <v>4.181127142000779E-2</v>
      </c>
      <c r="L12" s="188">
        <f t="shared" si="0"/>
        <v>1527601232321.9976</v>
      </c>
      <c r="M12" s="188">
        <f t="shared" si="2"/>
        <v>-2605279.9922303669</v>
      </c>
      <c r="N12" s="188">
        <f t="shared" si="3"/>
        <v>6787483837915.8604</v>
      </c>
      <c r="O12" s="11"/>
      <c r="P12" s="159"/>
      <c r="Q12" s="159" t="s">
        <v>26</v>
      </c>
      <c r="R12" s="159" t="s">
        <v>27</v>
      </c>
      <c r="S12" s="159" t="s">
        <v>28</v>
      </c>
      <c r="T12" s="159" t="s">
        <v>29</v>
      </c>
      <c r="U12" s="159" t="s">
        <v>30</v>
      </c>
    </row>
    <row r="13" spans="1:21" x14ac:dyDescent="0.2">
      <c r="A13" s="173">
        <v>41973</v>
      </c>
      <c r="B13" s="174">
        <f>Inputs!D34</f>
        <v>30512368.479866669</v>
      </c>
      <c r="C13" s="174">
        <v>465.7</v>
      </c>
      <c r="D13" s="174">
        <v>0</v>
      </c>
      <c r="E13" s="174">
        <v>30</v>
      </c>
      <c r="F13" s="175">
        <v>1</v>
      </c>
      <c r="G13" s="174">
        <f>Inputs!G34+Inputs!I34+Inputs!L34+Inputs!X34</f>
        <v>22458</v>
      </c>
      <c r="H13" s="174">
        <f>$Q$18+$Q$19*C13+$Q$20*D13+$Q$21*E13+$Q$22*F13+$Q$23*G13</f>
        <v>29190031.192960739</v>
      </c>
      <c r="I13" s="9">
        <f>H13-B13</f>
        <v>-1322337.2869059294</v>
      </c>
      <c r="J13" s="187">
        <f>I13/B13</f>
        <v>-4.333774638892627E-2</v>
      </c>
      <c r="K13" s="187">
        <f t="shared" si="1"/>
        <v>4.333774638892627E-2</v>
      </c>
      <c r="L13" s="188">
        <f t="shared" si="0"/>
        <v>1748575900341.7344</v>
      </c>
      <c r="M13" s="188">
        <f t="shared" si="2"/>
        <v>-86375.623939801008</v>
      </c>
      <c r="N13" s="188">
        <f t="shared" si="3"/>
        <v>7460748410.9899254</v>
      </c>
      <c r="O13" s="11"/>
      <c r="P13" t="s">
        <v>23</v>
      </c>
      <c r="Q13">
        <v>5</v>
      </c>
      <c r="R13">
        <v>1437450205908975.3</v>
      </c>
      <c r="S13">
        <v>287490041181795.06</v>
      </c>
      <c r="T13">
        <v>183.01301301524467</v>
      </c>
      <c r="U13">
        <v>9.6281939353698485E-53</v>
      </c>
    </row>
    <row r="14" spans="1:21" x14ac:dyDescent="0.2">
      <c r="A14" s="173">
        <v>42004</v>
      </c>
      <c r="B14" s="174">
        <f>Inputs!D35</f>
        <v>32708611.119066667</v>
      </c>
      <c r="C14" s="174">
        <v>540.79999999999995</v>
      </c>
      <c r="D14" s="174">
        <v>0</v>
      </c>
      <c r="E14" s="174">
        <v>31</v>
      </c>
      <c r="F14" s="175">
        <v>1</v>
      </c>
      <c r="G14" s="174">
        <f>Inputs!G35+Inputs!I35+Inputs!L35+Inputs!X35</f>
        <v>22470</v>
      </c>
      <c r="H14" s="174">
        <f>$Q$18+$Q$19*C14+$Q$20*D14+$Q$21*E14+$Q$22*F14+$Q$23*G14</f>
        <v>31235593.92849445</v>
      </c>
      <c r="I14" s="9">
        <f>H14-B14</f>
        <v>-1473017.1905722171</v>
      </c>
      <c r="J14" s="187">
        <f>I14/B14</f>
        <v>-4.5034538006218143E-2</v>
      </c>
      <c r="K14" s="187">
        <f t="shared" si="1"/>
        <v>4.5034538006218143E-2</v>
      </c>
      <c r="L14" s="188">
        <f t="shared" si="0"/>
        <v>2169779643721.2673</v>
      </c>
      <c r="M14" s="188">
        <f t="shared" si="2"/>
        <v>-150679.90366628766</v>
      </c>
      <c r="N14" s="188">
        <f t="shared" si="3"/>
        <v>22704433368.881729</v>
      </c>
      <c r="O14" s="11"/>
      <c r="P14" t="s">
        <v>24</v>
      </c>
      <c r="Q14">
        <v>114</v>
      </c>
      <c r="R14">
        <v>179079422576331.41</v>
      </c>
      <c r="S14">
        <v>1570872127862.5562</v>
      </c>
    </row>
    <row r="15" spans="1:21" ht="13.5" thickBot="1" x14ac:dyDescent="0.25">
      <c r="A15" s="173">
        <v>42035</v>
      </c>
      <c r="B15" s="174">
        <f>Inputs!D36</f>
        <v>35265002.026533335</v>
      </c>
      <c r="C15" s="174">
        <v>753.1</v>
      </c>
      <c r="D15" s="174">
        <v>0</v>
      </c>
      <c r="E15" s="174">
        <v>31</v>
      </c>
      <c r="F15" s="175">
        <v>0</v>
      </c>
      <c r="G15" s="174">
        <f>Inputs!G36+Inputs!I36+Inputs!L36+Inputs!X36</f>
        <v>22484</v>
      </c>
      <c r="H15" s="174">
        <f>$Q$18+$Q$19*C15+$Q$20*D15+$Q$21*E15+$Q$22*F15+$Q$23*G15</f>
        <v>35831514.039288163</v>
      </c>
      <c r="I15" s="9">
        <f>H15-B15</f>
        <v>566512.01275482774</v>
      </c>
      <c r="J15" s="187">
        <f>I15/B15</f>
        <v>1.6064425923712836E-2</v>
      </c>
      <c r="K15" s="187">
        <f t="shared" si="1"/>
        <v>1.6064425923712836E-2</v>
      </c>
      <c r="L15" s="188">
        <f t="shared" si="0"/>
        <v>320935860595.52612</v>
      </c>
      <c r="M15" s="188">
        <f t="shared" si="2"/>
        <v>2039529.2033270448</v>
      </c>
      <c r="N15" s="188">
        <f t="shared" si="3"/>
        <v>4159679371223.8501</v>
      </c>
      <c r="O15" s="11"/>
      <c r="P15" s="158" t="s">
        <v>7</v>
      </c>
      <c r="Q15" s="158">
        <v>119</v>
      </c>
      <c r="R15" s="158">
        <v>1616529628485306.8</v>
      </c>
      <c r="S15" s="158"/>
      <c r="T15" s="158"/>
      <c r="U15" s="158"/>
    </row>
    <row r="16" spans="1:21" ht="13.5" thickBot="1" x14ac:dyDescent="0.25">
      <c r="A16" s="173">
        <v>42063</v>
      </c>
      <c r="B16" s="174">
        <f>Inputs!D37</f>
        <v>32520528.185333334</v>
      </c>
      <c r="C16" s="174">
        <v>871.9</v>
      </c>
      <c r="D16" s="174">
        <v>0</v>
      </c>
      <c r="E16" s="174">
        <v>28</v>
      </c>
      <c r="F16" s="175">
        <v>0</v>
      </c>
      <c r="G16" s="174">
        <f>Inputs!G37+Inputs!I37+Inputs!L37+Inputs!X37</f>
        <v>22480</v>
      </c>
      <c r="H16" s="174">
        <f>$Q$18+$Q$19*C16+$Q$20*D16+$Q$21*E16+$Q$22*F16+$Q$23*G16</f>
        <v>33300583.321033828</v>
      </c>
      <c r="I16" s="9">
        <f>H16-B16</f>
        <v>780055.13570049405</v>
      </c>
      <c r="J16" s="187">
        <f>I16/B16</f>
        <v>2.3986545705991846E-2</v>
      </c>
      <c r="K16" s="187">
        <f t="shared" si="1"/>
        <v>2.3986545705991846E-2</v>
      </c>
      <c r="L16" s="188">
        <f t="shared" si="0"/>
        <v>608486014732.71619</v>
      </c>
      <c r="M16" s="188">
        <f t="shared" si="2"/>
        <v>213543.12294566631</v>
      </c>
      <c r="N16" s="188">
        <f t="shared" si="3"/>
        <v>45600665357.387962</v>
      </c>
      <c r="O16" s="11"/>
      <c r="P16"/>
      <c r="Q16"/>
    </row>
    <row r="17" spans="1:24" x14ac:dyDescent="0.2">
      <c r="A17" s="173">
        <v>42094</v>
      </c>
      <c r="B17" s="174">
        <f>Inputs!D38</f>
        <v>32214658.640933331</v>
      </c>
      <c r="C17" s="174">
        <v>637</v>
      </c>
      <c r="D17" s="174">
        <v>0</v>
      </c>
      <c r="E17" s="174">
        <v>31</v>
      </c>
      <c r="F17" s="175">
        <v>1</v>
      </c>
      <c r="G17" s="174">
        <f>Inputs!G38+Inputs!I38+Inputs!L38+Inputs!X38</f>
        <v>22502</v>
      </c>
      <c r="H17" s="174">
        <f>$Q$18+$Q$19*C17+$Q$20*D17+$Q$21*E17+$Q$22*F17+$Q$23*G17</f>
        <v>32253716.321366191</v>
      </c>
      <c r="I17" s="9">
        <f>H17-B17</f>
        <v>39057.680432859808</v>
      </c>
      <c r="J17" s="187">
        <f>I17/B17</f>
        <v>1.2124195034378367E-3</v>
      </c>
      <c r="K17" s="187">
        <f t="shared" si="1"/>
        <v>1.2124195034378367E-3</v>
      </c>
      <c r="L17" s="188">
        <f t="shared" si="0"/>
        <v>1525502400.7953999</v>
      </c>
      <c r="M17" s="188">
        <f t="shared" si="2"/>
        <v>-740997.45526763424</v>
      </c>
      <c r="N17" s="188">
        <f t="shared" si="3"/>
        <v>549077228713.10962</v>
      </c>
      <c r="O17" s="11"/>
      <c r="P17" s="159"/>
      <c r="Q17" s="159" t="s">
        <v>122</v>
      </c>
      <c r="R17" s="159" t="s">
        <v>20</v>
      </c>
      <c r="S17" s="159" t="s">
        <v>123</v>
      </c>
      <c r="T17" s="159" t="s">
        <v>124</v>
      </c>
      <c r="U17" s="159" t="s">
        <v>125</v>
      </c>
      <c r="V17" s="159" t="s">
        <v>126</v>
      </c>
      <c r="W17" s="159" t="s">
        <v>127</v>
      </c>
      <c r="X17" s="159" t="s">
        <v>128</v>
      </c>
    </row>
    <row r="18" spans="1:24" x14ac:dyDescent="0.2">
      <c r="A18" s="173">
        <v>42124</v>
      </c>
      <c r="B18" s="174">
        <f>Inputs!D39</f>
        <v>27411226.508933332</v>
      </c>
      <c r="C18" s="174">
        <v>319.59999999999997</v>
      </c>
      <c r="D18" s="174">
        <v>0</v>
      </c>
      <c r="E18" s="174">
        <v>30</v>
      </c>
      <c r="F18" s="175">
        <v>1</v>
      </c>
      <c r="G18" s="174">
        <f>Inputs!G39+Inputs!I39+Inputs!L39+Inputs!X39</f>
        <v>22537</v>
      </c>
      <c r="H18" s="174">
        <f>$Q$18+$Q$19*C18+$Q$20*D18+$Q$21*E18+$Q$22*F18+$Q$23*G18</f>
        <v>27699484.344090611</v>
      </c>
      <c r="I18" s="9">
        <f>H18-B18</f>
        <v>288257.83515727893</v>
      </c>
      <c r="J18" s="187">
        <f>I18/B18</f>
        <v>1.0516050241799125E-2</v>
      </c>
      <c r="K18" s="187">
        <f t="shared" si="1"/>
        <v>1.0516050241799125E-2</v>
      </c>
      <c r="L18" s="188">
        <f t="shared" si="0"/>
        <v>83092579529.560989</v>
      </c>
      <c r="M18" s="188">
        <f t="shared" si="2"/>
        <v>249200.15472441912</v>
      </c>
      <c r="N18" s="188">
        <f t="shared" si="3"/>
        <v>62100717114.674431</v>
      </c>
      <c r="O18" s="11"/>
      <c r="P18" t="s">
        <v>25</v>
      </c>
      <c r="Q18" s="164">
        <v>-20790885.684787542</v>
      </c>
      <c r="R18" s="43">
        <v>5611298.4617465623</v>
      </c>
      <c r="S18" s="179">
        <v>-3.7051826464985806</v>
      </c>
      <c r="T18">
        <v>3.2744877628005373E-4</v>
      </c>
      <c r="U18">
        <v>-31906824.71915127</v>
      </c>
      <c r="V18">
        <v>-9674946.6504238136</v>
      </c>
      <c r="W18">
        <v>-31906824.71915127</v>
      </c>
      <c r="X18">
        <v>-9674946.6504238136</v>
      </c>
    </row>
    <row r="19" spans="1:24" x14ac:dyDescent="0.2">
      <c r="A19" s="173">
        <v>42155</v>
      </c>
      <c r="B19" s="174">
        <f>Inputs!D40</f>
        <v>28734001.131733332</v>
      </c>
      <c r="C19" s="174">
        <v>96.5</v>
      </c>
      <c r="D19" s="174">
        <v>34.200000000000003</v>
      </c>
      <c r="E19" s="174">
        <v>31</v>
      </c>
      <c r="F19" s="175">
        <v>1</v>
      </c>
      <c r="G19" s="174">
        <f>Inputs!G40+Inputs!I40+Inputs!L40+Inputs!X40</f>
        <v>22526</v>
      </c>
      <c r="H19" s="174">
        <f>$Q$18+$Q$19*C19+$Q$20*D19+$Q$21*E19+$Q$22*F19+$Q$23*G19</f>
        <v>29734694.324252933</v>
      </c>
      <c r="I19" s="9">
        <f>H19-B19</f>
        <v>1000693.1925196014</v>
      </c>
      <c r="J19" s="187">
        <f>I19/B19</f>
        <v>3.4826099850551386E-2</v>
      </c>
      <c r="K19" s="187">
        <f t="shared" si="1"/>
        <v>3.4826099850551386E-2</v>
      </c>
      <c r="L19" s="188">
        <f t="shared" si="0"/>
        <v>1001386865555.0721</v>
      </c>
      <c r="M19" s="188">
        <f t="shared" si="2"/>
        <v>712435.35736232251</v>
      </c>
      <c r="N19" s="188">
        <f t="shared" si="3"/>
        <v>507564138419.98016</v>
      </c>
      <c r="O19" s="11"/>
      <c r="P19" t="s">
        <v>2</v>
      </c>
      <c r="Q19" s="164">
        <v>10438.221442013162</v>
      </c>
      <c r="R19" s="43">
        <v>654.13170895002645</v>
      </c>
      <c r="S19" s="179">
        <v>15.957369592689489</v>
      </c>
      <c r="T19">
        <v>7.9178606525178238E-31</v>
      </c>
      <c r="U19">
        <v>9142.3915647213726</v>
      </c>
      <c r="V19">
        <v>11734.051319304952</v>
      </c>
      <c r="W19">
        <v>9142.3915647213726</v>
      </c>
      <c r="X19">
        <v>11734.051319304952</v>
      </c>
    </row>
    <row r="20" spans="1:24" x14ac:dyDescent="0.2">
      <c r="A20" s="173">
        <v>42185</v>
      </c>
      <c r="B20" s="174">
        <f>Inputs!D41</f>
        <v>29750992.611733332</v>
      </c>
      <c r="C20" s="174">
        <v>35.9</v>
      </c>
      <c r="D20" s="174">
        <v>28.599999999999998</v>
      </c>
      <c r="E20" s="174">
        <v>30</v>
      </c>
      <c r="F20" s="175">
        <v>0</v>
      </c>
      <c r="G20" s="174">
        <f>Inputs!G41+Inputs!I41+Inputs!L41+Inputs!X41</f>
        <v>22535</v>
      </c>
      <c r="H20" s="174">
        <f>$Q$18+$Q$19*C20+$Q$20*D20+$Q$21*E20+$Q$22*F20+$Q$23*G20</f>
        <v>29713799.828837246</v>
      </c>
      <c r="I20" s="9">
        <f>H20-B20</f>
        <v>-37192.782896086574</v>
      </c>
      <c r="J20" s="187">
        <f>I20/B20</f>
        <v>-1.2501358654305307E-3</v>
      </c>
      <c r="K20" s="187">
        <f t="shared" si="1"/>
        <v>1.2501358654305307E-3</v>
      </c>
      <c r="L20" s="188">
        <f t="shared" si="0"/>
        <v>1383303099.5554299</v>
      </c>
      <c r="M20" s="188">
        <f t="shared" si="2"/>
        <v>-1037885.975415688</v>
      </c>
      <c r="N20" s="188">
        <f t="shared" si="3"/>
        <v>1077207297964.5741</v>
      </c>
      <c r="O20" s="11"/>
      <c r="P20" t="s">
        <v>3</v>
      </c>
      <c r="Q20" s="164">
        <v>91004.753645681325</v>
      </c>
      <c r="R20" s="43">
        <v>5017.5812949732754</v>
      </c>
      <c r="S20" s="179">
        <v>18.137175721866612</v>
      </c>
      <c r="T20">
        <v>2.1717880111246917E-35</v>
      </c>
      <c r="U20">
        <v>81064.96374587153</v>
      </c>
      <c r="V20">
        <v>100944.54354549112</v>
      </c>
      <c r="W20">
        <v>81064.96374587153</v>
      </c>
      <c r="X20">
        <v>100944.54354549112</v>
      </c>
    </row>
    <row r="21" spans="1:24" x14ac:dyDescent="0.2">
      <c r="A21" s="173">
        <v>42216</v>
      </c>
      <c r="B21" s="174">
        <f>Inputs!D42</f>
        <v>35319999.557733327</v>
      </c>
      <c r="C21" s="174">
        <v>7.6</v>
      </c>
      <c r="D21" s="174">
        <v>79.100000000000009</v>
      </c>
      <c r="E21" s="174">
        <v>31</v>
      </c>
      <c r="F21" s="175">
        <v>0</v>
      </c>
      <c r="G21" s="174">
        <f>Inputs!G42+Inputs!I42+Inputs!L42+Inputs!X42</f>
        <v>22560</v>
      </c>
      <c r="H21" s="174">
        <f>$Q$18+$Q$19*C21+$Q$20*D21+$Q$21*E21+$Q$22*F21+$Q$23*G21</f>
        <v>35281464.006747171</v>
      </c>
      <c r="I21" s="9">
        <f>H21-B21</f>
        <v>-38535.550986155868</v>
      </c>
      <c r="J21" s="187">
        <f>I21/B21</f>
        <v>-1.0910405285585146E-3</v>
      </c>
      <c r="K21" s="187">
        <f t="shared" si="1"/>
        <v>1.0910405285585146E-3</v>
      </c>
      <c r="L21" s="188">
        <f t="shared" si="0"/>
        <v>1484988689.8066185</v>
      </c>
      <c r="M21" s="188">
        <f t="shared" si="2"/>
        <v>-1342.768090069294</v>
      </c>
      <c r="N21" s="188">
        <f t="shared" si="3"/>
        <v>1803026.1437083397</v>
      </c>
      <c r="O21" s="11"/>
      <c r="P21" t="s">
        <v>93</v>
      </c>
      <c r="Q21" s="164">
        <v>1256415.2464322452</v>
      </c>
      <c r="R21" s="43">
        <v>162915.2443406026</v>
      </c>
      <c r="S21" s="179">
        <v>7.7120790722658894</v>
      </c>
      <c r="T21">
        <v>5.0697299893666102E-12</v>
      </c>
      <c r="U21">
        <v>933681.40217065625</v>
      </c>
      <c r="V21">
        <v>1579149.0906938342</v>
      </c>
      <c r="W21">
        <v>933681.40217065625</v>
      </c>
      <c r="X21">
        <v>1579149.0906938342</v>
      </c>
    </row>
    <row r="22" spans="1:24" x14ac:dyDescent="0.2">
      <c r="A22" s="173">
        <v>42247</v>
      </c>
      <c r="B22" s="174">
        <f>Inputs!D43</f>
        <v>33778593.432533331</v>
      </c>
      <c r="C22" s="174">
        <v>12</v>
      </c>
      <c r="D22" s="174">
        <v>59</v>
      </c>
      <c r="E22" s="174">
        <v>31</v>
      </c>
      <c r="F22" s="175">
        <v>0</v>
      </c>
      <c r="G22" s="174">
        <f>Inputs!G43+Inputs!I43+Inputs!L43+Inputs!X43</f>
        <v>22588</v>
      </c>
      <c r="H22" s="174">
        <f>$Q$18+$Q$19*C22+$Q$20*D22+$Q$21*E22+$Q$22*F22+$Q$23*G22</f>
        <v>33510416.436695144</v>
      </c>
      <c r="I22" s="9">
        <f>H22-B22</f>
        <v>-268176.99583818763</v>
      </c>
      <c r="J22" s="187">
        <f>I22/B22</f>
        <v>-7.939258820051906E-3</v>
      </c>
      <c r="K22" s="187">
        <f t="shared" si="1"/>
        <v>7.939258820051906E-3</v>
      </c>
      <c r="L22" s="188">
        <f t="shared" si="0"/>
        <v>71918901096.795303</v>
      </c>
      <c r="M22" s="188">
        <f t="shared" si="2"/>
        <v>-229641.44485203177</v>
      </c>
      <c r="N22" s="188">
        <f t="shared" si="3"/>
        <v>52735193193.728745</v>
      </c>
      <c r="O22" s="11"/>
      <c r="P22" t="s">
        <v>14</v>
      </c>
      <c r="Q22" s="164">
        <v>-2373775.7967136591</v>
      </c>
      <c r="R22" s="43">
        <v>316216.30567026645</v>
      </c>
      <c r="S22" s="179">
        <v>-7.506810224988544</v>
      </c>
      <c r="T22">
        <v>1.4528950096755838E-11</v>
      </c>
      <c r="U22">
        <v>-3000197.862740837</v>
      </c>
      <c r="V22">
        <v>-1747353.7306864811</v>
      </c>
      <c r="W22">
        <v>-3000197.862740837</v>
      </c>
      <c r="X22">
        <v>-1747353.7306864811</v>
      </c>
    </row>
    <row r="23" spans="1:24" ht="13.5" thickBot="1" x14ac:dyDescent="0.25">
      <c r="A23" s="173">
        <v>42277</v>
      </c>
      <c r="B23" s="174">
        <f>Inputs!D44</f>
        <v>32399240.260533333</v>
      </c>
      <c r="C23" s="174">
        <v>37</v>
      </c>
      <c r="D23" s="174">
        <v>54.4</v>
      </c>
      <c r="E23" s="174">
        <v>30</v>
      </c>
      <c r="F23" s="175">
        <v>0</v>
      </c>
      <c r="G23" s="174">
        <f>Inputs!G44+Inputs!I44+Inputs!L44+Inputs!X44</f>
        <v>22606</v>
      </c>
      <c r="H23" s="174">
        <f>$Q$18+$Q$19*C23+$Q$20*D23+$Q$21*E23+$Q$22*F23+$Q$23*G23</f>
        <v>32104190.447752513</v>
      </c>
      <c r="I23" s="9">
        <f>H23-B23</f>
        <v>-295049.81278081983</v>
      </c>
      <c r="J23" s="187">
        <f>I23/B23</f>
        <v>-9.1066892435817549E-3</v>
      </c>
      <c r="K23" s="187">
        <f t="shared" si="1"/>
        <v>9.1066892435817549E-3</v>
      </c>
      <c r="L23" s="188">
        <f t="shared" si="0"/>
        <v>87054392021.996841</v>
      </c>
      <c r="M23" s="188">
        <f t="shared" si="2"/>
        <v>-26872.816942632198</v>
      </c>
      <c r="N23" s="188">
        <f t="shared" si="3"/>
        <v>722148290.4322201</v>
      </c>
      <c r="O23" s="11"/>
      <c r="P23" s="158" t="s">
        <v>109</v>
      </c>
      <c r="Q23" s="183">
        <v>436.42156718982329</v>
      </c>
      <c r="R23" s="168">
        <v>118.60579345769628</v>
      </c>
      <c r="S23" s="180">
        <v>3.6795973827828568</v>
      </c>
      <c r="T23" s="158">
        <v>3.5821771085983939E-4</v>
      </c>
      <c r="U23" s="158">
        <v>201.46440385481137</v>
      </c>
      <c r="V23" s="158">
        <v>671.37873052483519</v>
      </c>
      <c r="W23" s="158">
        <v>201.46440385481137</v>
      </c>
      <c r="X23" s="158">
        <v>671.37873052483519</v>
      </c>
    </row>
    <row r="24" spans="1:24" x14ac:dyDescent="0.2">
      <c r="A24" s="173">
        <v>42308</v>
      </c>
      <c r="B24" s="174">
        <f>Inputs!D45</f>
        <v>27207724.193333331</v>
      </c>
      <c r="C24" s="174">
        <v>252.3</v>
      </c>
      <c r="D24" s="174">
        <v>0.9</v>
      </c>
      <c r="E24" s="174">
        <v>31</v>
      </c>
      <c r="F24" s="175">
        <v>1</v>
      </c>
      <c r="G24" s="174">
        <f>Inputs!G45+Inputs!I45+Inputs!L45+Inputs!X45</f>
        <v>22626</v>
      </c>
      <c r="H24" s="174">
        <f>$Q$18+$Q$19*C24+$Q$20*D24+$Q$21*E24+$Q$22*F24+$Q$23*G24</f>
        <v>28374153.085236385</v>
      </c>
      <c r="I24" s="9">
        <f>H24-B24</f>
        <v>1166428.891903054</v>
      </c>
      <c r="J24" s="187">
        <f>I24/B24</f>
        <v>4.2871240667341895E-2</v>
      </c>
      <c r="K24" s="187">
        <f t="shared" si="1"/>
        <v>4.2871240667341895E-2</v>
      </c>
      <c r="L24" s="188">
        <f t="shared" si="0"/>
        <v>1360556359866.1863</v>
      </c>
      <c r="M24" s="188">
        <f t="shared" si="2"/>
        <v>1461478.7046838738</v>
      </c>
      <c r="N24" s="188">
        <f t="shared" si="3"/>
        <v>2135920004244.4536</v>
      </c>
      <c r="O24" s="11"/>
      <c r="P24"/>
      <c r="Q24"/>
    </row>
    <row r="25" spans="1:24" x14ac:dyDescent="0.2">
      <c r="A25" s="173">
        <v>42338</v>
      </c>
      <c r="B25" s="174">
        <f>Inputs!D46</f>
        <v>27907416.640533332</v>
      </c>
      <c r="C25" s="174">
        <v>337</v>
      </c>
      <c r="D25" s="174">
        <v>0</v>
      </c>
      <c r="E25" s="174">
        <v>30</v>
      </c>
      <c r="F25" s="175">
        <v>1</v>
      </c>
      <c r="G25" s="174">
        <f>Inputs!G46+Inputs!I46+Inputs!L46+Inputs!X46</f>
        <v>22650</v>
      </c>
      <c r="H25" s="174">
        <f>$Q$18+$Q$19*C25+$Q$20*D25+$Q$21*E25+$Q$22*F25+$Q$23*G25</f>
        <v>27930425.034274094</v>
      </c>
      <c r="I25" s="9">
        <f>H25-B25</f>
        <v>23008.393740762025</v>
      </c>
      <c r="J25" s="187">
        <f>I25/B25</f>
        <v>8.2445444654107253E-4</v>
      </c>
      <c r="K25" s="187">
        <f t="shared" si="1"/>
        <v>8.2445444654107253E-4</v>
      </c>
      <c r="L25" s="188">
        <f t="shared" si="0"/>
        <v>529386182.52993715</v>
      </c>
      <c r="M25" s="188">
        <f t="shared" si="2"/>
        <v>-1143420.4981622919</v>
      </c>
      <c r="N25" s="188">
        <f t="shared" si="3"/>
        <v>1307410435617.7039</v>
      </c>
      <c r="O25" s="11"/>
      <c r="P25" t="s">
        <v>138</v>
      </c>
      <c r="Q25" s="189">
        <f>K123</f>
        <v>2.8002982725527467E-2</v>
      </c>
    </row>
    <row r="26" spans="1:24" x14ac:dyDescent="0.2">
      <c r="A26" s="173">
        <v>42369</v>
      </c>
      <c r="B26" s="174">
        <f>Inputs!D47</f>
        <v>30150193.52733333</v>
      </c>
      <c r="C26" s="174">
        <v>408.99999999999989</v>
      </c>
      <c r="D26" s="174">
        <v>0</v>
      </c>
      <c r="E26" s="174">
        <v>31</v>
      </c>
      <c r="F26" s="175">
        <v>1</v>
      </c>
      <c r="G26" s="174">
        <f>Inputs!G47+Inputs!I47+Inputs!L47+Inputs!X47</f>
        <v>22667</v>
      </c>
      <c r="H26" s="174">
        <f>$Q$18+$Q$19*C26+$Q$20*D26+$Q$21*E26+$Q$22*F26+$Q$23*G26</f>
        <v>29945811.391173512</v>
      </c>
      <c r="I26" s="9">
        <f>H26-B26</f>
        <v>-204382.13615981862</v>
      </c>
      <c r="J26" s="187">
        <f>I26/B26</f>
        <v>-6.7788001418475621E-3</v>
      </c>
      <c r="K26" s="187">
        <f t="shared" si="1"/>
        <v>6.7788001418475621E-3</v>
      </c>
      <c r="L26" s="188">
        <f t="shared" si="0"/>
        <v>41772057581.250641</v>
      </c>
      <c r="M26" s="188">
        <f t="shared" si="2"/>
        <v>-227390.52990058064</v>
      </c>
      <c r="N26" s="188">
        <f t="shared" si="3"/>
        <v>51706453088.466858</v>
      </c>
      <c r="O26" s="11"/>
      <c r="P26"/>
      <c r="Q26"/>
    </row>
    <row r="27" spans="1:24" x14ac:dyDescent="0.2">
      <c r="A27" s="173">
        <v>42400</v>
      </c>
      <c r="B27" s="174">
        <f>Inputs!D48</f>
        <v>33030100.046666667</v>
      </c>
      <c r="C27" s="174">
        <v>657.2</v>
      </c>
      <c r="D27" s="174">
        <v>0</v>
      </c>
      <c r="E27" s="174">
        <v>31</v>
      </c>
      <c r="F27" s="175">
        <v>0</v>
      </c>
      <c r="G27" s="174">
        <f>Inputs!G48+Inputs!I48+Inputs!L48+Inputs!X48</f>
        <v>22670</v>
      </c>
      <c r="H27" s="174">
        <f>$Q$18+$Q$19*C27+$Q$20*D27+$Q$21*E27+$Q$22*F27+$Q$23*G27</f>
        <v>34911663.014496401</v>
      </c>
      <c r="I27" s="9">
        <f>H27-B27</f>
        <v>1881562.9678297341</v>
      </c>
      <c r="J27" s="187">
        <f>I27/B27</f>
        <v>5.6965100474154262E-2</v>
      </c>
      <c r="K27" s="187">
        <f t="shared" si="1"/>
        <v>5.6965100474154262E-2</v>
      </c>
      <c r="L27" s="188">
        <f t="shared" si="0"/>
        <v>3540279201908.2368</v>
      </c>
      <c r="M27" s="188">
        <f t="shared" si="2"/>
        <v>2085945.1039895527</v>
      </c>
      <c r="N27" s="188">
        <f t="shared" si="3"/>
        <v>4351166976857.9858</v>
      </c>
      <c r="O27" s="11"/>
      <c r="P27" t="s">
        <v>139</v>
      </c>
      <c r="Q27" s="141">
        <f>N123</f>
        <v>197126276531352.63</v>
      </c>
    </row>
    <row r="28" spans="1:24" x14ac:dyDescent="0.2">
      <c r="A28" s="173">
        <v>42429</v>
      </c>
      <c r="B28" s="174">
        <f>Inputs!D49</f>
        <v>30335368.476666667</v>
      </c>
      <c r="C28" s="174">
        <v>587.1</v>
      </c>
      <c r="D28" s="174">
        <v>0</v>
      </c>
      <c r="E28" s="174">
        <v>29</v>
      </c>
      <c r="F28" s="175">
        <v>0</v>
      </c>
      <c r="G28" s="174">
        <f>Inputs!G49+Inputs!I49+Inputs!L49+Inputs!X49</f>
        <v>22695</v>
      </c>
      <c r="H28" s="174">
        <f>$Q$18+$Q$19*C28+$Q$20*D28+$Q$21*E28+$Q$22*F28+$Q$23*G28</f>
        <v>31678023.737726539</v>
      </c>
      <c r="I28" s="9">
        <f>H28-B28</f>
        <v>1342655.2610598728</v>
      </c>
      <c r="J28" s="187">
        <f>I28/B28</f>
        <v>4.4260390708377756E-2</v>
      </c>
      <c r="K28" s="187">
        <f t="shared" si="1"/>
        <v>4.4260390708377756E-2</v>
      </c>
      <c r="L28" s="188">
        <f t="shared" si="0"/>
        <v>1802723150051.7551</v>
      </c>
      <c r="M28" s="188">
        <f t="shared" si="2"/>
        <v>-538907.70676986128</v>
      </c>
      <c r="N28" s="188">
        <f t="shared" si="3"/>
        <v>290421516415.95081</v>
      </c>
      <c r="O28" s="11"/>
      <c r="P28" t="s">
        <v>140</v>
      </c>
      <c r="Q28" s="141">
        <f>L123</f>
        <v>179079422576331.06</v>
      </c>
    </row>
    <row r="29" spans="1:24" x14ac:dyDescent="0.2">
      <c r="A29" s="173">
        <v>42460</v>
      </c>
      <c r="B29" s="174">
        <f>Inputs!D50</f>
        <v>29470505.726666667</v>
      </c>
      <c r="C29" s="174">
        <v>448.80000000000007</v>
      </c>
      <c r="D29" s="174">
        <v>0</v>
      </c>
      <c r="E29" s="174">
        <v>31</v>
      </c>
      <c r="F29" s="175">
        <v>1</v>
      </c>
      <c r="G29" s="174">
        <f>Inputs!G50+Inputs!I50+Inputs!L50+Inputs!X50</f>
        <v>22699</v>
      </c>
      <c r="H29" s="174">
        <f>$Q$18+$Q$19*C29+$Q$20*D29+$Q$21*E29+$Q$22*F29+$Q$23*G29</f>
        <v>30375218.094715707</v>
      </c>
      <c r="I29" s="9">
        <f>H29-B29</f>
        <v>904712.36804904044</v>
      </c>
      <c r="J29" s="187">
        <f>I29/B29</f>
        <v>3.0698908815480656E-2</v>
      </c>
      <c r="K29" s="187">
        <f t="shared" si="1"/>
        <v>3.0698908815480656E-2</v>
      </c>
      <c r="L29" s="188">
        <f t="shared" si="0"/>
        <v>818504468900.90234</v>
      </c>
      <c r="M29" s="188">
        <f t="shared" si="2"/>
        <v>-437942.89301083237</v>
      </c>
      <c r="N29" s="188">
        <f t="shared" si="3"/>
        <v>191793977538.69736</v>
      </c>
      <c r="O29" s="11"/>
      <c r="P29"/>
      <c r="Q29"/>
    </row>
    <row r="30" spans="1:24" x14ac:dyDescent="0.2">
      <c r="A30" s="173">
        <v>42490</v>
      </c>
      <c r="B30" s="174">
        <f>Inputs!D51</f>
        <v>27500006.806666669</v>
      </c>
      <c r="C30" s="174">
        <v>352.8</v>
      </c>
      <c r="D30" s="174">
        <v>0</v>
      </c>
      <c r="E30" s="174">
        <v>30</v>
      </c>
      <c r="F30" s="175">
        <v>1</v>
      </c>
      <c r="G30" s="174">
        <f>Inputs!G51+Inputs!I51+Inputs!L51+Inputs!X51</f>
        <v>22717</v>
      </c>
      <c r="H30" s="174">
        <f>$Q$18+$Q$19*C30+$Q$20*D30+$Q$21*E30+$Q$22*F30+$Q$23*G30</f>
        <v>28124589.178059623</v>
      </c>
      <c r="I30" s="9">
        <f>H30-B30</f>
        <v>624582.37139295414</v>
      </c>
      <c r="J30" s="187">
        <f>I30/B30</f>
        <v>2.2712080610886986E-2</v>
      </c>
      <c r="K30" s="187">
        <f t="shared" si="1"/>
        <v>2.2712080610886986E-2</v>
      </c>
      <c r="L30" s="188">
        <f t="shared" si="0"/>
        <v>390103138654.84607</v>
      </c>
      <c r="M30" s="188">
        <f t="shared" si="2"/>
        <v>-280129.9966560863</v>
      </c>
      <c r="N30" s="188">
        <f t="shared" si="3"/>
        <v>78472815026.538925</v>
      </c>
      <c r="O30" s="11"/>
      <c r="P30" s="157" t="s">
        <v>141</v>
      </c>
      <c r="Q30" s="190">
        <f>Q27/Q28</f>
        <v>1.1007756988234048</v>
      </c>
    </row>
    <row r="31" spans="1:24" x14ac:dyDescent="0.2">
      <c r="A31" s="173">
        <v>42521</v>
      </c>
      <c r="B31" s="174">
        <f>Inputs!D52</f>
        <v>28052824.666666668</v>
      </c>
      <c r="C31" s="174">
        <v>144.60000000000002</v>
      </c>
      <c r="D31" s="174">
        <v>24.400000000000002</v>
      </c>
      <c r="E31" s="174">
        <v>31</v>
      </c>
      <c r="F31" s="175">
        <v>1</v>
      </c>
      <c r="G31" s="174">
        <f>Inputs!G52+Inputs!I52+Inputs!L52+Inputs!X52</f>
        <v>22722</v>
      </c>
      <c r="H31" s="174">
        <f>$Q$18+$Q$19*C31+$Q$20*D31+$Q$21*E31+$Q$22*F31+$Q$23*G31</f>
        <v>29430464.8170553</v>
      </c>
      <c r="I31" s="9">
        <f>H31-B31</f>
        <v>1377640.150388632</v>
      </c>
      <c r="J31" s="187">
        <f>I31/B31</f>
        <v>4.9108785541499902E-2</v>
      </c>
      <c r="K31" s="187">
        <f t="shared" si="1"/>
        <v>4.9108785541499902E-2</v>
      </c>
      <c r="L31" s="188">
        <f t="shared" si="0"/>
        <v>1897892383962.8125</v>
      </c>
      <c r="M31" s="188">
        <f t="shared" si="2"/>
        <v>753057.77899567783</v>
      </c>
      <c r="N31" s="188">
        <f t="shared" si="3"/>
        <v>567096018505.9032</v>
      </c>
      <c r="O31" s="11"/>
      <c r="P31" s="157"/>
      <c r="S31" s="41"/>
    </row>
    <row r="32" spans="1:24" x14ac:dyDescent="0.2">
      <c r="A32" s="173">
        <v>42551</v>
      </c>
      <c r="B32" s="174">
        <f>Inputs!D53</f>
        <v>31979033.996666666</v>
      </c>
      <c r="C32" s="174">
        <v>29.2</v>
      </c>
      <c r="D32" s="174">
        <v>51.699999999999996</v>
      </c>
      <c r="E32" s="174">
        <v>30</v>
      </c>
      <c r="F32" s="175">
        <v>0</v>
      </c>
      <c r="G32" s="174">
        <f>Inputs!G53+Inputs!I53+Inputs!L53+Inputs!X53</f>
        <v>22733</v>
      </c>
      <c r="H32" s="174">
        <f>$Q$18+$Q$19*C32+$Q$20*D32+$Q$21*E32+$Q$22*F32+$Q$23*G32</f>
        <v>31832485.024694577</v>
      </c>
      <c r="I32" s="9">
        <f>H32-B32</f>
        <v>-146548.97197208926</v>
      </c>
      <c r="J32" s="187">
        <f>I32/B32</f>
        <v>-4.5826578747614703E-3</v>
      </c>
      <c r="K32" s="187">
        <f t="shared" si="1"/>
        <v>4.5826578747614703E-3</v>
      </c>
      <c r="L32" s="188">
        <f t="shared" si="0"/>
        <v>21476601186.076202</v>
      </c>
      <c r="M32" s="188">
        <f t="shared" si="2"/>
        <v>-1524189.1223607212</v>
      </c>
      <c r="N32" s="188">
        <f t="shared" si="3"/>
        <v>2323152480722.7456</v>
      </c>
      <c r="O32" s="11"/>
      <c r="P32" s="157"/>
      <c r="S32" s="41"/>
    </row>
    <row r="33" spans="1:19" x14ac:dyDescent="0.2">
      <c r="A33" s="173">
        <v>42582</v>
      </c>
      <c r="B33" s="174">
        <f>Inputs!D54</f>
        <v>38582728.506666668</v>
      </c>
      <c r="C33" s="174">
        <v>0</v>
      </c>
      <c r="D33" s="174">
        <v>140.69999999999996</v>
      </c>
      <c r="E33" s="174">
        <v>31</v>
      </c>
      <c r="F33" s="175">
        <v>0</v>
      </c>
      <c r="G33" s="174">
        <f>Inputs!G54+Inputs!I54+Inputs!L54+Inputs!X54</f>
        <v>22761</v>
      </c>
      <c r="H33" s="174">
        <f>$Q$18+$Q$19*C33+$Q$20*D33+$Q$21*E33+$Q$22*F33+$Q$23*G33</f>
        <v>40895747.08336699</v>
      </c>
      <c r="I33" s="9">
        <f>H33-B33</f>
        <v>2313018.5767003223</v>
      </c>
      <c r="J33" s="187">
        <f>I33/B33</f>
        <v>5.9949585377318725E-2</v>
      </c>
      <c r="K33" s="187">
        <f t="shared" si="1"/>
        <v>5.9949585377318725E-2</v>
      </c>
      <c r="L33" s="188">
        <f t="shared" si="0"/>
        <v>5350054936160.7852</v>
      </c>
      <c r="M33" s="188">
        <f t="shared" si="2"/>
        <v>2459567.5486724116</v>
      </c>
      <c r="N33" s="188">
        <f t="shared" si="3"/>
        <v>6049472526482.416</v>
      </c>
      <c r="O33" s="11"/>
      <c r="P33" s="157"/>
      <c r="Q33"/>
      <c r="S33" s="41"/>
    </row>
    <row r="34" spans="1:19" x14ac:dyDescent="0.2">
      <c r="A34" s="173">
        <v>42613</v>
      </c>
      <c r="B34" s="174">
        <f>Inputs!D55</f>
        <v>41437079.986666664</v>
      </c>
      <c r="C34" s="174">
        <v>0.1</v>
      </c>
      <c r="D34" s="174">
        <v>159.30000000000001</v>
      </c>
      <c r="E34" s="174">
        <v>31</v>
      </c>
      <c r="F34" s="175">
        <v>0</v>
      </c>
      <c r="G34" s="174">
        <f>Inputs!G55+Inputs!I55+Inputs!L55+Inputs!X55</f>
        <v>22775</v>
      </c>
      <c r="H34" s="174">
        <f>$Q$18+$Q$19*C34+$Q$20*D34+$Q$21*E34+$Q$22*F34+$Q$23*G34</f>
        <v>42595589.225261524</v>
      </c>
      <c r="I34" s="9">
        <f>H34-B34</f>
        <v>1158509.2385948598</v>
      </c>
      <c r="J34" s="187">
        <f>I34/B34</f>
        <v>2.7958274061966645E-2</v>
      </c>
      <c r="K34" s="187">
        <f t="shared" si="1"/>
        <v>2.7958274061966645E-2</v>
      </c>
      <c r="L34" s="188">
        <f t="shared" si="0"/>
        <v>1342143655909.6418</v>
      </c>
      <c r="M34" s="188">
        <f t="shared" si="2"/>
        <v>-1154509.3381054625</v>
      </c>
      <c r="N34" s="188">
        <f t="shared" si="3"/>
        <v>1332891811772.7131</v>
      </c>
      <c r="O34" s="11"/>
      <c r="P34" s="157"/>
      <c r="Q34"/>
      <c r="S34" s="41"/>
    </row>
    <row r="35" spans="1:19" x14ac:dyDescent="0.2">
      <c r="A35" s="173">
        <v>42643</v>
      </c>
      <c r="B35" s="174">
        <f>Inputs!D56</f>
        <v>31887811.926666666</v>
      </c>
      <c r="C35" s="174">
        <v>34.299999999999997</v>
      </c>
      <c r="D35" s="174">
        <v>47.3</v>
      </c>
      <c r="E35" s="174">
        <v>30</v>
      </c>
      <c r="F35" s="175">
        <v>0</v>
      </c>
      <c r="G35" s="174">
        <f>Inputs!G56+Inputs!I56+Inputs!L56+Inputs!X56</f>
        <v>22784</v>
      </c>
      <c r="H35" s="174">
        <f>$Q$18+$Q$19*C35+$Q$20*D35+$Q$21*E35+$Q$22*F35+$Q$23*G35</f>
        <v>31507556.537934527</v>
      </c>
      <c r="I35" s="9">
        <f>H35-B35</f>
        <v>-380255.38873213902</v>
      </c>
      <c r="J35" s="187">
        <f>I35/B35</f>
        <v>-1.192478774042645E-2</v>
      </c>
      <c r="K35" s="187">
        <f t="shared" si="1"/>
        <v>1.192478774042645E-2</v>
      </c>
      <c r="L35" s="188">
        <f t="shared" ref="L35:L66" si="4">I35*I35</f>
        <v>144594160659.83017</v>
      </c>
      <c r="M35" s="188">
        <f t="shared" si="2"/>
        <v>-1538764.6273269989</v>
      </c>
      <c r="N35" s="188">
        <f t="shared" si="3"/>
        <v>2367796578312.7979</v>
      </c>
      <c r="O35" s="11"/>
      <c r="P35" s="157"/>
      <c r="Q35"/>
      <c r="S35" s="41"/>
    </row>
    <row r="36" spans="1:19" x14ac:dyDescent="0.2">
      <c r="A36" s="173">
        <v>42674</v>
      </c>
      <c r="B36" s="174">
        <f>Inputs!D57</f>
        <v>27632019.866666667</v>
      </c>
      <c r="C36" s="174">
        <v>184.50000000000003</v>
      </c>
      <c r="D36" s="174">
        <v>5.0999999999999996</v>
      </c>
      <c r="E36" s="174">
        <v>31</v>
      </c>
      <c r="F36" s="175">
        <v>1</v>
      </c>
      <c r="G36" s="174">
        <f>Inputs!G57+Inputs!I57+Inputs!L57+Inputs!X57</f>
        <v>22793</v>
      </c>
      <c r="H36" s="174">
        <f>$Q$18+$Q$19*C36+$Q$20*D36+$Q$21*E36+$Q$22*F36+$Q$23*G36</f>
        <v>28121544.038500451</v>
      </c>
      <c r="I36" s="9">
        <f>H36-B36</f>
        <v>489524.17183378339</v>
      </c>
      <c r="J36" s="187">
        <f>I36/B36</f>
        <v>1.7715830192504712E-2</v>
      </c>
      <c r="K36" s="187">
        <f t="shared" si="1"/>
        <v>1.7715830192504712E-2</v>
      </c>
      <c r="L36" s="188">
        <f t="shared" si="4"/>
        <v>239633914809.55148</v>
      </c>
      <c r="M36" s="188">
        <f t="shared" ref="M36:M72" si="5">I36-I35</f>
        <v>869779.56056592241</v>
      </c>
      <c r="N36" s="188">
        <f t="shared" si="3"/>
        <v>756516483978.24915</v>
      </c>
      <c r="O36" s="11"/>
      <c r="P36" s="157"/>
      <c r="Q36"/>
      <c r="S36" s="41"/>
    </row>
    <row r="37" spans="1:19" x14ac:dyDescent="0.2">
      <c r="A37" s="173">
        <v>42704</v>
      </c>
      <c r="B37" s="174">
        <f>Inputs!D58</f>
        <v>28072689.79275357</v>
      </c>
      <c r="C37" s="174">
        <v>356.7</v>
      </c>
      <c r="D37" s="174">
        <v>0</v>
      </c>
      <c r="E37" s="174">
        <v>30</v>
      </c>
      <c r="F37" s="175">
        <v>1</v>
      </c>
      <c r="G37" s="174">
        <f>Inputs!G58+Inputs!I58+Inputs!L58+Inputs!X58</f>
        <v>22824</v>
      </c>
      <c r="H37" s="174">
        <f>$Q$18+$Q$19*C37+$Q$20*D37+$Q$21*E37+$Q$22*F37+$Q$23*G37</f>
        <v>28211995.349372782</v>
      </c>
      <c r="I37" s="9">
        <f>H37-B37</f>
        <v>139305.55661921203</v>
      </c>
      <c r="J37" s="187">
        <f>I37/B37</f>
        <v>4.9623159607303149E-3</v>
      </c>
      <c r="K37" s="187">
        <f t="shared" si="1"/>
        <v>4.9623159607303149E-3</v>
      </c>
      <c r="L37" s="188">
        <f t="shared" si="4"/>
        <v>19406038104.988487</v>
      </c>
      <c r="M37" s="188">
        <f t="shared" si="5"/>
        <v>-350218.61521457136</v>
      </c>
      <c r="N37" s="188">
        <f t="shared" si="3"/>
        <v>122653078442.812</v>
      </c>
      <c r="O37" s="11"/>
      <c r="P37" s="157"/>
      <c r="Q37"/>
      <c r="S37" s="41"/>
    </row>
    <row r="38" spans="1:19" x14ac:dyDescent="0.2">
      <c r="A38" s="173">
        <v>42735</v>
      </c>
      <c r="B38" s="174">
        <f>Inputs!D59</f>
        <v>32042035.384939767</v>
      </c>
      <c r="C38" s="174">
        <v>567.70000000000005</v>
      </c>
      <c r="D38" s="174">
        <v>0</v>
      </c>
      <c r="E38" s="174">
        <v>31</v>
      </c>
      <c r="F38" s="175">
        <v>1</v>
      </c>
      <c r="G38" s="174">
        <f>Inputs!G59+Inputs!I59+Inputs!L59+Inputs!X59</f>
        <v>22852</v>
      </c>
      <c r="H38" s="174">
        <f>$Q$18+$Q$19*C38+$Q$20*D38+$Q$21*E38+$Q$22*F38+$Q$23*G38</f>
        <v>31683095.123951118</v>
      </c>
      <c r="I38" s="9">
        <f>H38-B38</f>
        <v>-358940.26098864898</v>
      </c>
      <c r="J38" s="187">
        <f>I38/B38</f>
        <v>-1.1202167923369694E-2</v>
      </c>
      <c r="K38" s="187">
        <f t="shared" si="1"/>
        <v>1.1202167923369694E-2</v>
      </c>
      <c r="L38" s="188">
        <f t="shared" si="4"/>
        <v>128838110958.59944</v>
      </c>
      <c r="M38" s="188">
        <f t="shared" si="5"/>
        <v>-498245.81760786101</v>
      </c>
      <c r="N38" s="188">
        <f t="shared" si="3"/>
        <v>248248894763.72589</v>
      </c>
      <c r="O38" s="11"/>
      <c r="P38" s="157"/>
      <c r="Q38"/>
      <c r="S38" s="41"/>
    </row>
    <row r="39" spans="1:19" x14ac:dyDescent="0.2">
      <c r="A39" s="173">
        <v>42766</v>
      </c>
      <c r="B39" s="174">
        <f>Inputs!D60</f>
        <v>32603243.687800001</v>
      </c>
      <c r="C39" s="174">
        <v>593.9</v>
      </c>
      <c r="D39" s="174">
        <v>0</v>
      </c>
      <c r="E39" s="174">
        <v>31</v>
      </c>
      <c r="F39" s="175">
        <v>0</v>
      </c>
      <c r="G39" s="174">
        <f>Inputs!G60+Inputs!I60+Inputs!L60+Inputs!X60</f>
        <v>22862</v>
      </c>
      <c r="H39" s="174">
        <f>$Q$18+$Q$19*C39+$Q$20*D39+$Q$21*E39+$Q$22*F39+$Q$23*G39</f>
        <v>34334716.538117416</v>
      </c>
      <c r="I39" s="9">
        <f>H39-B39</f>
        <v>1731472.8503174148</v>
      </c>
      <c r="J39" s="187">
        <f>I39/B39</f>
        <v>5.3107379955735043E-2</v>
      </c>
      <c r="K39" s="187">
        <f t="shared" si="1"/>
        <v>5.3107379955735043E-2</v>
      </c>
      <c r="L39" s="188">
        <f t="shared" si="4"/>
        <v>2997998231386.313</v>
      </c>
      <c r="M39" s="188">
        <f t="shared" si="5"/>
        <v>2090413.1113060638</v>
      </c>
      <c r="N39" s="188">
        <f t="shared" si="3"/>
        <v>4369826975920.2979</v>
      </c>
      <c r="O39" s="11"/>
      <c r="P39" s="157"/>
      <c r="Q39"/>
      <c r="S39" s="41"/>
    </row>
    <row r="40" spans="1:19" x14ac:dyDescent="0.2">
      <c r="A40" s="173">
        <v>42794</v>
      </c>
      <c r="B40" s="174">
        <f>Inputs!D61</f>
        <v>28442344.894508798</v>
      </c>
      <c r="C40" s="174">
        <v>487.80000000000007</v>
      </c>
      <c r="D40" s="174">
        <v>0</v>
      </c>
      <c r="E40" s="174">
        <v>28</v>
      </c>
      <c r="F40" s="175">
        <v>0</v>
      </c>
      <c r="G40" s="174">
        <f>Inputs!G61+Inputs!I61+Inputs!L61+Inputs!X61</f>
        <v>22870</v>
      </c>
      <c r="H40" s="174">
        <f>$Q$18+$Q$19*C40+$Q$20*D40+$Q$21*E40+$Q$22*F40+$Q$23*G40</f>
        <v>29461466.876360606</v>
      </c>
      <c r="I40" s="9">
        <f>H40-B40</f>
        <v>1019121.9818518087</v>
      </c>
      <c r="J40" s="187">
        <f>I40/B40</f>
        <v>3.5831151954301942E-2</v>
      </c>
      <c r="K40" s="187">
        <f t="shared" si="1"/>
        <v>3.5831151954301942E-2</v>
      </c>
      <c r="L40" s="188">
        <f t="shared" si="4"/>
        <v>1038609613893.5583</v>
      </c>
      <c r="M40" s="188">
        <f t="shared" si="5"/>
        <v>-712350.86846560612</v>
      </c>
      <c r="N40" s="188">
        <f t="shared" si="3"/>
        <v>507443759803.70325</v>
      </c>
      <c r="O40" s="11"/>
      <c r="P40" s="157"/>
      <c r="Q40"/>
    </row>
    <row r="41" spans="1:19" x14ac:dyDescent="0.2">
      <c r="A41" s="173">
        <v>42825</v>
      </c>
      <c r="B41" s="174">
        <f>Inputs!D62</f>
        <v>31091148.4114093</v>
      </c>
      <c r="C41" s="174">
        <v>555.29999999999995</v>
      </c>
      <c r="D41" s="174">
        <v>0</v>
      </c>
      <c r="E41" s="174">
        <v>31</v>
      </c>
      <c r="F41" s="175">
        <v>1</v>
      </c>
      <c r="G41" s="174">
        <f>Inputs!G62+Inputs!I62+Inputs!L62+Inputs!X62</f>
        <v>22881</v>
      </c>
      <c r="H41" s="174">
        <f>$Q$18+$Q$19*C41+$Q$20*D41+$Q$21*E41+$Q$22*F41+$Q$23*G41</f>
        <v>31566317.403518662</v>
      </c>
      <c r="I41" s="9">
        <f>H41-B41</f>
        <v>475168.99210936204</v>
      </c>
      <c r="J41" s="187">
        <f>I41/B41</f>
        <v>1.528309555574321E-2</v>
      </c>
      <c r="K41" s="187">
        <f t="shared" si="1"/>
        <v>1.528309555574321E-2</v>
      </c>
      <c r="L41" s="188">
        <f t="shared" si="4"/>
        <v>225785571062.22696</v>
      </c>
      <c r="M41" s="188">
        <f t="shared" si="5"/>
        <v>-543952.98974244669</v>
      </c>
      <c r="N41" s="188">
        <f t="shared" si="3"/>
        <v>295884855049.74634</v>
      </c>
      <c r="O41" s="11"/>
      <c r="P41" s="157"/>
      <c r="Q41"/>
    </row>
    <row r="42" spans="1:19" x14ac:dyDescent="0.2">
      <c r="A42" s="173">
        <v>42855</v>
      </c>
      <c r="B42" s="174">
        <f>Inputs!D63</f>
        <v>26726381.985407598</v>
      </c>
      <c r="C42" s="174">
        <v>261.80000000000007</v>
      </c>
      <c r="D42" s="174">
        <v>0.5</v>
      </c>
      <c r="E42" s="174">
        <v>30</v>
      </c>
      <c r="F42" s="175">
        <v>1</v>
      </c>
      <c r="G42" s="174">
        <f>Inputs!G63+Inputs!I63+Inputs!L63+Inputs!X63</f>
        <v>22886</v>
      </c>
      <c r="H42" s="174">
        <f>$Q$18+$Q$19*C42+$Q$20*D42+$Q$21*E42+$Q$22*F42+$Q$23*G42</f>
        <v>27293968.648514345</v>
      </c>
      <c r="I42" s="9">
        <f>H42-B42</f>
        <v>567586.66310674697</v>
      </c>
      <c r="J42" s="187">
        <f>I42/B42</f>
        <v>2.123694345971127E-2</v>
      </c>
      <c r="K42" s="187">
        <f t="shared" si="1"/>
        <v>2.123694345971127E-2</v>
      </c>
      <c r="L42" s="188">
        <f t="shared" si="4"/>
        <v>322154620136.65186</v>
      </c>
      <c r="M42" s="188">
        <f t="shared" si="5"/>
        <v>92417.670997384936</v>
      </c>
      <c r="N42" s="188">
        <f t="shared" si="3"/>
        <v>8541025912.5808849</v>
      </c>
      <c r="O42" s="11"/>
      <c r="P42" s="157"/>
      <c r="Q42"/>
    </row>
    <row r="43" spans="1:19" x14ac:dyDescent="0.2">
      <c r="A43" s="173">
        <v>42886</v>
      </c>
      <c r="B43" s="174">
        <f>Inputs!D64</f>
        <v>27100631.439999998</v>
      </c>
      <c r="C43" s="174">
        <v>168.29999999999998</v>
      </c>
      <c r="D43" s="174">
        <v>6.4999999999999991</v>
      </c>
      <c r="E43" s="174">
        <v>31</v>
      </c>
      <c r="F43" s="175">
        <v>1</v>
      </c>
      <c r="G43" s="174">
        <f>Inputs!G64+Inputs!I64+Inputs!L64+Inputs!X64</f>
        <v>22907</v>
      </c>
      <c r="H43" s="174">
        <f>$Q$18+$Q$19*C43+$Q$20*D43+$Q$21*E43+$Q$22*F43+$Q$23*G43</f>
        <v>28129603.564903431</v>
      </c>
      <c r="I43" s="9">
        <f>H43-B43</f>
        <v>1028972.124903433</v>
      </c>
      <c r="J43" s="187">
        <f>I43/B43</f>
        <v>3.7968566421839545E-2</v>
      </c>
      <c r="K43" s="187">
        <f t="shared" si="1"/>
        <v>3.7968566421839545E-2</v>
      </c>
      <c r="L43" s="188">
        <f t="shared" si="4"/>
        <v>1058783633828.2861</v>
      </c>
      <c r="M43" s="188">
        <f t="shared" si="5"/>
        <v>461385.46179668605</v>
      </c>
      <c r="N43" s="188">
        <f t="shared" si="3"/>
        <v>212876544357.34125</v>
      </c>
      <c r="O43" s="11"/>
      <c r="P43" s="157"/>
      <c r="Q43"/>
    </row>
    <row r="44" spans="1:19" x14ac:dyDescent="0.2">
      <c r="A44" s="173">
        <v>42916</v>
      </c>
      <c r="B44" s="174">
        <f>Inputs!D65</f>
        <v>31069771.245993197</v>
      </c>
      <c r="C44" s="174">
        <v>32.599999999999994</v>
      </c>
      <c r="D44" s="174">
        <v>62.20000000000001</v>
      </c>
      <c r="E44" s="174">
        <v>30</v>
      </c>
      <c r="F44" s="175">
        <v>0</v>
      </c>
      <c r="G44" s="174">
        <f>Inputs!G65+Inputs!I65+Inputs!L65+Inputs!X65</f>
        <v>22911</v>
      </c>
      <c r="H44" s="174">
        <f>$Q$18+$Q$19*C44+$Q$20*D44+$Q$21*E44+$Q$22*F44+$Q$23*G44</f>
        <v>32901207.929836869</v>
      </c>
      <c r="I44" s="9">
        <f>H44-B44</f>
        <v>1831436.6838436723</v>
      </c>
      <c r="J44" s="187">
        <f>I44/B44</f>
        <v>5.8945933954369138E-2</v>
      </c>
      <c r="K44" s="187">
        <f t="shared" si="1"/>
        <v>5.8945933954369138E-2</v>
      </c>
      <c r="L44" s="188">
        <f t="shared" si="4"/>
        <v>3354160326928.3071</v>
      </c>
      <c r="M44" s="188">
        <f t="shared" si="5"/>
        <v>802464.55894023925</v>
      </c>
      <c r="N44" s="188">
        <f t="shared" si="3"/>
        <v>643949368355.15271</v>
      </c>
      <c r="O44" s="11"/>
      <c r="P44" s="157"/>
      <c r="Q44"/>
    </row>
    <row r="45" spans="1:19" x14ac:dyDescent="0.2">
      <c r="A45" s="173">
        <v>42947</v>
      </c>
      <c r="B45" s="174">
        <f>Inputs!D66</f>
        <v>35551342.793448403</v>
      </c>
      <c r="C45" s="174">
        <v>2.2000000000000002</v>
      </c>
      <c r="D45" s="174">
        <v>83</v>
      </c>
      <c r="E45" s="174">
        <v>31</v>
      </c>
      <c r="F45" s="175">
        <v>0</v>
      </c>
      <c r="G45" s="174">
        <f>Inputs!G66+Inputs!I66+Inputs!L66+Inputs!X66</f>
        <v>22937</v>
      </c>
      <c r="H45" s="174">
        <f>$Q$18+$Q$19*C45+$Q$20*D45+$Q$21*E45+$Q$22*F45+$Q$23*G45</f>
        <v>35744547.081009015</v>
      </c>
      <c r="I45" s="9">
        <f>H45-B45</f>
        <v>193204.28756061196</v>
      </c>
      <c r="J45" s="187">
        <f>I45/B45</f>
        <v>5.4345144902998351E-3</v>
      </c>
      <c r="K45" s="187">
        <f t="shared" si="1"/>
        <v>5.4345144902998351E-3</v>
      </c>
      <c r="L45" s="188">
        <f t="shared" si="4"/>
        <v>37327896731.803642</v>
      </c>
      <c r="M45" s="188">
        <f t="shared" si="5"/>
        <v>-1638232.3962830603</v>
      </c>
      <c r="N45" s="188">
        <f t="shared" si="3"/>
        <v>2683805384231.3379</v>
      </c>
      <c r="O45" s="11"/>
      <c r="P45" s="157"/>
      <c r="Q45"/>
    </row>
    <row r="46" spans="1:19" x14ac:dyDescent="0.2">
      <c r="A46" s="173">
        <v>42978</v>
      </c>
      <c r="B46" s="174">
        <f>Inputs!D67</f>
        <v>34125261.1615927</v>
      </c>
      <c r="C46" s="174">
        <v>19.200000000000003</v>
      </c>
      <c r="D46" s="174">
        <v>50.800000000000004</v>
      </c>
      <c r="E46" s="174">
        <v>31</v>
      </c>
      <c r="F46" s="175">
        <v>0</v>
      </c>
      <c r="G46" s="174">
        <f>Inputs!G67+Inputs!I67+Inputs!L67+Inputs!X67</f>
        <v>22952</v>
      </c>
      <c r="H46" s="174">
        <f>$Q$18+$Q$19*C46+$Q$20*D46+$Q$21*E46+$Q$22*F46+$Q$23*G46</f>
        <v>32998190.10164015</v>
      </c>
      <c r="I46" s="9">
        <f>H46-B46</f>
        <v>-1127071.0599525496</v>
      </c>
      <c r="J46" s="187">
        <f>I46/B46</f>
        <v>-3.302747060646808E-2</v>
      </c>
      <c r="K46" s="187">
        <f t="shared" si="1"/>
        <v>3.302747060646808E-2</v>
      </c>
      <c r="L46" s="188">
        <f t="shared" si="4"/>
        <v>1270289174182.5637</v>
      </c>
      <c r="M46" s="188">
        <f t="shared" si="5"/>
        <v>-1320275.3475131616</v>
      </c>
      <c r="N46" s="188">
        <f t="shared" si="3"/>
        <v>1743126993250.9995</v>
      </c>
      <c r="O46" s="11"/>
      <c r="P46" s="157"/>
      <c r="Q46"/>
    </row>
    <row r="47" spans="1:19" x14ac:dyDescent="0.2">
      <c r="A47" s="173">
        <v>43008</v>
      </c>
      <c r="B47" s="174">
        <f>Inputs!D68</f>
        <v>31037006.541170798</v>
      </c>
      <c r="C47" s="174">
        <v>66.5</v>
      </c>
      <c r="D47" s="174">
        <v>49.3</v>
      </c>
      <c r="E47" s="174">
        <v>30</v>
      </c>
      <c r="F47" s="175">
        <v>0</v>
      </c>
      <c r="G47" s="174">
        <f>Inputs!G68+Inputs!I68+Inputs!L68+Inputs!X68</f>
        <v>22968</v>
      </c>
      <c r="H47" s="174">
        <f>$Q$18+$Q$19*C47+$Q$20*D47+$Q$21*E47+$Q$22*F47+$Q$23*G47</f>
        <v>32105978.344021641</v>
      </c>
      <c r="I47" s="9">
        <f>H47-B47</f>
        <v>1068971.8028508425</v>
      </c>
      <c r="J47" s="187">
        <f>I47/B47</f>
        <v>3.4441846104998695E-2</v>
      </c>
      <c r="K47" s="187">
        <f t="shared" si="1"/>
        <v>3.4441846104998695E-2</v>
      </c>
      <c r="L47" s="188">
        <f t="shared" si="4"/>
        <v>1142700715290.1804</v>
      </c>
      <c r="M47" s="188">
        <f t="shared" si="5"/>
        <v>2196042.8628033921</v>
      </c>
      <c r="N47" s="188">
        <f t="shared" si="3"/>
        <v>4822604255269.7178</v>
      </c>
      <c r="O47" s="11"/>
      <c r="P47" s="157"/>
      <c r="Q47"/>
    </row>
    <row r="48" spans="1:19" x14ac:dyDescent="0.2">
      <c r="A48" s="173">
        <v>43039</v>
      </c>
      <c r="B48" s="174">
        <f>Inputs!D69</f>
        <v>28262231.379913501</v>
      </c>
      <c r="C48" s="174">
        <v>148.5</v>
      </c>
      <c r="D48" s="174">
        <v>6.4</v>
      </c>
      <c r="E48" s="174">
        <v>31</v>
      </c>
      <c r="F48" s="175">
        <v>1</v>
      </c>
      <c r="G48" s="174">
        <f>Inputs!G69+Inputs!I69+Inputs!L69+Inputs!X69</f>
        <v>22997</v>
      </c>
      <c r="H48" s="174">
        <f>$Q$18+$Q$19*C48+$Q$20*D48+$Q$21*E48+$Q$22*F48+$Q$23*G48</f>
        <v>27953104.246034082</v>
      </c>
      <c r="I48" s="9">
        <f>H48-B48</f>
        <v>-309127.13387941942</v>
      </c>
      <c r="J48" s="187">
        <f>I48/B48</f>
        <v>-1.0937817673487801E-2</v>
      </c>
      <c r="K48" s="187">
        <f t="shared" si="1"/>
        <v>1.0937817673487801E-2</v>
      </c>
      <c r="L48" s="188">
        <f t="shared" si="4"/>
        <v>95559584900.504501</v>
      </c>
      <c r="M48" s="188">
        <f t="shared" si="5"/>
        <v>-1378098.9367302619</v>
      </c>
      <c r="N48" s="188">
        <f t="shared" si="3"/>
        <v>1899156679417.0784</v>
      </c>
      <c r="O48" s="11"/>
      <c r="P48" s="157"/>
      <c r="Q48"/>
    </row>
    <row r="49" spans="1:17" x14ac:dyDescent="0.2">
      <c r="A49" s="173">
        <v>43069</v>
      </c>
      <c r="B49" s="174">
        <f>Inputs!D70</f>
        <v>29451606.664241601</v>
      </c>
      <c r="C49" s="174">
        <v>411.39999999999992</v>
      </c>
      <c r="D49" s="174">
        <v>0</v>
      </c>
      <c r="E49" s="174">
        <v>30</v>
      </c>
      <c r="F49" s="175">
        <v>1</v>
      </c>
      <c r="G49" s="174">
        <f>Inputs!G70+Inputs!I70+Inputs!L70+Inputs!X70</f>
        <v>23027</v>
      </c>
      <c r="H49" s="174">
        <f>$Q$18+$Q$19*C49+$Q$20*D49+$Q$21*E49+$Q$22*F49+$Q$23*G49</f>
        <v>28871559.640390433</v>
      </c>
      <c r="I49" s="9">
        <f>H49-B49</f>
        <v>-580047.02385116741</v>
      </c>
      <c r="J49" s="187">
        <f>I49/B49</f>
        <v>-1.9694919549344186E-2</v>
      </c>
      <c r="K49" s="187">
        <f t="shared" si="1"/>
        <v>1.9694919549344186E-2</v>
      </c>
      <c r="L49" s="188">
        <f t="shared" si="4"/>
        <v>336454549878.5968</v>
      </c>
      <c r="M49" s="188">
        <f t="shared" si="5"/>
        <v>-270919.88997174799</v>
      </c>
      <c r="N49" s="188">
        <f t="shared" si="3"/>
        <v>73397586782.304047</v>
      </c>
      <c r="O49" s="11"/>
      <c r="P49" s="157"/>
      <c r="Q49"/>
    </row>
    <row r="50" spans="1:17" x14ac:dyDescent="0.2">
      <c r="A50" s="173">
        <v>43100</v>
      </c>
      <c r="B50" s="174">
        <f>Inputs!D71</f>
        <v>33135674.439350799</v>
      </c>
      <c r="C50" s="174">
        <v>692.00000000000023</v>
      </c>
      <c r="D50" s="174">
        <v>0</v>
      </c>
      <c r="E50" s="174">
        <v>31</v>
      </c>
      <c r="F50" s="175">
        <v>1</v>
      </c>
      <c r="G50" s="174">
        <f>Inputs!G71+Inputs!I71+Inputs!L71+Inputs!X71</f>
        <v>23048</v>
      </c>
      <c r="H50" s="174">
        <f>$Q$18+$Q$19*C50+$Q$20*D50+$Q$21*E50+$Q$22*F50+$Q$23*G50</f>
        <v>33066104.676362559</v>
      </c>
      <c r="I50" s="9">
        <f>H50-B50</f>
        <v>-69569.762988239527</v>
      </c>
      <c r="J50" s="187">
        <f>I50/B50</f>
        <v>-2.0995426882158418E-3</v>
      </c>
      <c r="K50" s="187">
        <f t="shared" si="1"/>
        <v>2.0995426882158418E-3</v>
      </c>
      <c r="L50" s="188">
        <f t="shared" si="4"/>
        <v>4839951922.2398224</v>
      </c>
      <c r="M50" s="188">
        <f t="shared" si="5"/>
        <v>510477.26086292788</v>
      </c>
      <c r="N50" s="188">
        <f t="shared" si="3"/>
        <v>260587033858.11774</v>
      </c>
      <c r="O50" s="11"/>
      <c r="P50" s="157"/>
      <c r="Q50"/>
    </row>
    <row r="51" spans="1:17" x14ac:dyDescent="0.2">
      <c r="A51" s="173">
        <v>43131</v>
      </c>
      <c r="B51" s="174">
        <f>Inputs!D72</f>
        <v>34633272.560236096</v>
      </c>
      <c r="C51" s="174">
        <v>731</v>
      </c>
      <c r="D51" s="174">
        <v>0</v>
      </c>
      <c r="E51" s="174">
        <v>31</v>
      </c>
      <c r="F51" s="175">
        <v>0</v>
      </c>
      <c r="G51" s="174">
        <f>Inputs!G72+Inputs!I72+Inputs!L72+Inputs!X72</f>
        <v>23089</v>
      </c>
      <c r="H51" s="174">
        <f>$Q$18+$Q$19*C51+$Q$20*D51+$Q$21*E51+$Q$22*F51+$Q$23*G51</f>
        <v>35864864.393569514</v>
      </c>
      <c r="I51" s="9">
        <f>H51-B51</f>
        <v>1231591.8333334178</v>
      </c>
      <c r="J51" s="187">
        <f>I51/B51</f>
        <v>3.556094305530514E-2</v>
      </c>
      <c r="K51" s="187">
        <f t="shared" si="1"/>
        <v>3.556094305530514E-2</v>
      </c>
      <c r="L51" s="188">
        <f t="shared" si="4"/>
        <v>1516818443933.5691</v>
      </c>
      <c r="M51" s="188">
        <f t="shared" si="5"/>
        <v>1301161.5963216573</v>
      </c>
      <c r="N51" s="188">
        <f t="shared" si="3"/>
        <v>1693021499742.3235</v>
      </c>
      <c r="O51" s="11"/>
      <c r="P51" s="157"/>
      <c r="Q51"/>
    </row>
    <row r="52" spans="1:17" x14ac:dyDescent="0.2">
      <c r="A52" s="173">
        <v>43159</v>
      </c>
      <c r="B52" s="174">
        <f>Inputs!D73</f>
        <v>29707123.119004901</v>
      </c>
      <c r="C52" s="174">
        <v>540.29999999999984</v>
      </c>
      <c r="D52" s="174">
        <v>0</v>
      </c>
      <c r="E52" s="174">
        <v>28</v>
      </c>
      <c r="F52" s="175">
        <v>0</v>
      </c>
      <c r="G52" s="174">
        <f>Inputs!G73+Inputs!I73+Inputs!L73+Inputs!X73</f>
        <v>23082</v>
      </c>
      <c r="H52" s="174">
        <f>$Q$18+$Q$19*C52+$Q$20*D52+$Q$21*E52+$Q$22*F52+$Q$23*G52</f>
        <v>30101994.874310538</v>
      </c>
      <c r="I52" s="9">
        <f>H52-B52</f>
        <v>394871.75530563667</v>
      </c>
      <c r="J52" s="187">
        <f>I52/B52</f>
        <v>1.3292157363195514E-2</v>
      </c>
      <c r="K52" s="187">
        <f t="shared" si="1"/>
        <v>1.3292157363195514E-2</v>
      </c>
      <c r="L52" s="188">
        <f t="shared" si="4"/>
        <v>155923703138.1546</v>
      </c>
      <c r="M52" s="188">
        <f t="shared" si="5"/>
        <v>-836720.0780277811</v>
      </c>
      <c r="N52" s="188">
        <f t="shared" si="3"/>
        <v>700100488974.81604</v>
      </c>
      <c r="O52" s="11"/>
      <c r="P52" s="157"/>
      <c r="Q52"/>
    </row>
    <row r="53" spans="1:17" x14ac:dyDescent="0.2">
      <c r="A53" s="173">
        <v>43190</v>
      </c>
      <c r="B53" s="174">
        <f>Inputs!D74</f>
        <v>31571358.704649799</v>
      </c>
      <c r="C53" s="174">
        <v>564.50000000000011</v>
      </c>
      <c r="D53" s="174">
        <v>0</v>
      </c>
      <c r="E53" s="174">
        <v>31</v>
      </c>
      <c r="F53" s="175">
        <v>1</v>
      </c>
      <c r="G53" s="174">
        <f>Inputs!G74+Inputs!I74+Inputs!L74+Inputs!X74</f>
        <v>23104</v>
      </c>
      <c r="H53" s="174">
        <f>$Q$18+$Q$19*C53+$Q$20*D53+$Q$21*E53+$Q$22*F53+$Q$23*G53</f>
        <v>31759671.050268508</v>
      </c>
      <c r="I53" s="9">
        <f>H53-B53</f>
        <v>188312.34561870992</v>
      </c>
      <c r="J53" s="187">
        <f>I53/B53</f>
        <v>5.9646576309994367E-3</v>
      </c>
      <c r="K53" s="187">
        <f t="shared" si="1"/>
        <v>5.9646576309994367E-3</v>
      </c>
      <c r="L53" s="188">
        <f t="shared" si="4"/>
        <v>35461539512.420456</v>
      </c>
      <c r="M53" s="188">
        <f t="shared" si="5"/>
        <v>-206559.40968692675</v>
      </c>
      <c r="N53" s="188">
        <f t="shared" si="3"/>
        <v>42666789730.211647</v>
      </c>
      <c r="O53" s="11"/>
      <c r="P53" s="157"/>
      <c r="Q53"/>
    </row>
    <row r="54" spans="1:17" x14ac:dyDescent="0.2">
      <c r="A54" s="173">
        <v>43220</v>
      </c>
      <c r="B54" s="174">
        <f>Inputs!D75</f>
        <v>29502213.161825802</v>
      </c>
      <c r="C54" s="174">
        <v>438.3</v>
      </c>
      <c r="D54" s="174">
        <v>0</v>
      </c>
      <c r="E54" s="174">
        <v>30</v>
      </c>
      <c r="F54" s="175">
        <v>1</v>
      </c>
      <c r="G54" s="174">
        <f>Inputs!G75+Inputs!I75+Inputs!L75+Inputs!X75</f>
        <v>23133</v>
      </c>
      <c r="H54" s="174">
        <f>$Q$18+$Q$19*C54+$Q$20*D54+$Q$21*E54+$Q$22*F54+$Q$23*G54</f>
        <v>29198608.483302712</v>
      </c>
      <c r="I54" s="9">
        <f>H54-B54</f>
        <v>-303604.67852308974</v>
      </c>
      <c r="J54" s="187">
        <f>I54/B54</f>
        <v>-1.0290911968459947E-2</v>
      </c>
      <c r="K54" s="187">
        <f t="shared" si="1"/>
        <v>1.0290911968459947E-2</v>
      </c>
      <c r="L54" s="188">
        <f t="shared" si="4"/>
        <v>92175800821.108673</v>
      </c>
      <c r="M54" s="188">
        <f t="shared" si="5"/>
        <v>-491917.02414179966</v>
      </c>
      <c r="N54" s="188">
        <f t="shared" si="3"/>
        <v>241982358640.5239</v>
      </c>
      <c r="O54" s="11"/>
      <c r="P54" s="157"/>
      <c r="Q54"/>
    </row>
    <row r="55" spans="1:17" x14ac:dyDescent="0.2">
      <c r="A55" s="173">
        <v>43251</v>
      </c>
      <c r="B55" s="174">
        <f>Inputs!D76</f>
        <v>29818036.360710699</v>
      </c>
      <c r="C55" s="174">
        <v>75.3</v>
      </c>
      <c r="D55" s="174">
        <v>30</v>
      </c>
      <c r="E55" s="174">
        <v>31</v>
      </c>
      <c r="F55" s="175">
        <v>1</v>
      </c>
      <c r="G55" s="174">
        <f>Inputs!G76+Inputs!I76+Inputs!L76+Inputs!X76</f>
        <v>23168</v>
      </c>
      <c r="H55" s="174">
        <f>$Q$18+$Q$19*C55+$Q$20*D55+$Q$21*E55+$Q$22*F55+$Q$23*G55</f>
        <v>29411366.71050626</v>
      </c>
      <c r="I55" s="9">
        <f>H55-B55</f>
        <v>-406669.65020443872</v>
      </c>
      <c r="J55" s="187">
        <f>I55/B55</f>
        <v>-1.3638377969794183E-2</v>
      </c>
      <c r="K55" s="187">
        <f t="shared" si="1"/>
        <v>1.3638377969794183E-2</v>
      </c>
      <c r="L55" s="188">
        <f t="shared" si="4"/>
        <v>165380204397.40054</v>
      </c>
      <c r="M55" s="188">
        <f t="shared" si="5"/>
        <v>-103064.97168134898</v>
      </c>
      <c r="N55" s="188">
        <f t="shared" si="3"/>
        <v>10622388387.677267</v>
      </c>
      <c r="O55" s="11"/>
      <c r="P55" s="157"/>
      <c r="Q55"/>
    </row>
    <row r="56" spans="1:17" x14ac:dyDescent="0.2">
      <c r="A56" s="173">
        <v>43281</v>
      </c>
      <c r="B56" s="174">
        <f>Inputs!D77</f>
        <v>32564167.646594502</v>
      </c>
      <c r="C56" s="174">
        <v>21.199999999999996</v>
      </c>
      <c r="D56" s="174">
        <v>47.800000000000004</v>
      </c>
      <c r="E56" s="174">
        <v>30</v>
      </c>
      <c r="F56" s="175">
        <v>0</v>
      </c>
      <c r="G56" s="174">
        <f>Inputs!G77+Inputs!I77+Inputs!L77+Inputs!X77</f>
        <v>23182</v>
      </c>
      <c r="H56" s="174">
        <f>$Q$18+$Q$19*C56+$Q$20*D56+$Q$21*E56+$Q$22*F56+$Q$23*G56</f>
        <v>31590013.99760855</v>
      </c>
      <c r="I56" s="9">
        <f>H56-B56</f>
        <v>-974153.64898595214</v>
      </c>
      <c r="J56" s="187">
        <f>I56/B56</f>
        <v>-2.9914894787363842E-2</v>
      </c>
      <c r="K56" s="187">
        <f t="shared" si="1"/>
        <v>2.9914894787363842E-2</v>
      </c>
      <c r="L56" s="188">
        <f t="shared" si="4"/>
        <v>948975331832.64563</v>
      </c>
      <c r="M56" s="188">
        <f t="shared" si="5"/>
        <v>-567483.99878151342</v>
      </c>
      <c r="N56" s="188">
        <f t="shared" si="3"/>
        <v>322038088873.0567</v>
      </c>
      <c r="O56" s="11"/>
      <c r="P56" s="157"/>
      <c r="Q56"/>
    </row>
    <row r="57" spans="1:17" x14ac:dyDescent="0.2">
      <c r="A57" s="173">
        <v>43312</v>
      </c>
      <c r="B57" s="174">
        <f>Inputs!D78</f>
        <v>41016276.892574996</v>
      </c>
      <c r="C57" s="174">
        <v>0</v>
      </c>
      <c r="D57" s="174">
        <v>111.3</v>
      </c>
      <c r="E57" s="174">
        <v>31</v>
      </c>
      <c r="F57" s="175">
        <v>0</v>
      </c>
      <c r="G57" s="174">
        <f>Inputs!G78+Inputs!I78+Inputs!L78+Inputs!X78</f>
        <v>23194</v>
      </c>
      <c r="H57" s="174">
        <f>$Q$18+$Q$19*C57+$Q$20*D57+$Q$21*E57+$Q$22*F57+$Q$23*G57</f>
        <v>38409177.864777155</v>
      </c>
      <c r="I57" s="9">
        <f>H57-B57</f>
        <v>-2607099.0277978405</v>
      </c>
      <c r="J57" s="187">
        <f>I57/B57</f>
        <v>-6.3562547001183148E-2</v>
      </c>
      <c r="K57" s="187">
        <f t="shared" si="1"/>
        <v>6.3562547001183148E-2</v>
      </c>
      <c r="L57" s="188">
        <f t="shared" si="4"/>
        <v>6796965340744.4453</v>
      </c>
      <c r="M57" s="188">
        <f t="shared" si="5"/>
        <v>-1632945.3788118884</v>
      </c>
      <c r="N57" s="188">
        <f t="shared" si="3"/>
        <v>2666510610183.1016</v>
      </c>
      <c r="O57" s="11"/>
      <c r="P57" s="157"/>
      <c r="Q57"/>
    </row>
    <row r="58" spans="1:17" x14ac:dyDescent="0.2">
      <c r="A58" s="173">
        <v>43343</v>
      </c>
      <c r="B58" s="174">
        <f>Inputs!D79</f>
        <v>39071849.328965105</v>
      </c>
      <c r="C58" s="174">
        <v>1.6</v>
      </c>
      <c r="D58" s="174">
        <v>124.00000000000001</v>
      </c>
      <c r="E58" s="174">
        <v>31</v>
      </c>
      <c r="F58" s="175">
        <v>0</v>
      </c>
      <c r="G58" s="174">
        <f>Inputs!G79+Inputs!I79+Inputs!L79+Inputs!X79</f>
        <v>23239</v>
      </c>
      <c r="H58" s="174">
        <f>$Q$18+$Q$19*C58+$Q$20*D58+$Q$21*E58+$Q$22*F58+$Q$23*G58</f>
        <v>39601278.360908076</v>
      </c>
      <c r="I58" s="9">
        <f>H58-B58</f>
        <v>529429.03194297105</v>
      </c>
      <c r="J58" s="187">
        <f>I58/B58</f>
        <v>1.3550140088979352E-2</v>
      </c>
      <c r="K58" s="187">
        <f t="shared" si="1"/>
        <v>1.3550140088979352E-2</v>
      </c>
      <c r="L58" s="188">
        <f t="shared" si="4"/>
        <v>280295099864.07147</v>
      </c>
      <c r="M58" s="188">
        <f t="shared" si="5"/>
        <v>3136528.0597408116</v>
      </c>
      <c r="N58" s="188">
        <f t="shared" si="3"/>
        <v>9837808269541.4609</v>
      </c>
      <c r="O58" s="11"/>
      <c r="P58" s="157"/>
      <c r="Q58"/>
    </row>
    <row r="59" spans="1:17" x14ac:dyDescent="0.2">
      <c r="A59" s="173">
        <v>43373</v>
      </c>
      <c r="B59" s="174">
        <f>Inputs!D80</f>
        <v>33330014.256383102</v>
      </c>
      <c r="C59" s="174">
        <v>57.900000000000006</v>
      </c>
      <c r="D59" s="174">
        <v>69.3</v>
      </c>
      <c r="E59" s="174">
        <v>30</v>
      </c>
      <c r="F59" s="175">
        <v>0</v>
      </c>
      <c r="G59" s="174">
        <f>Inputs!G80+Inputs!I80+Inputs!L80+Inputs!X80</f>
        <v>23272</v>
      </c>
      <c r="H59" s="174">
        <f>$Q$18+$Q$19*C59+$Q$20*D59+$Q$21*E59+$Q$22*F59+$Q$23*G59</f>
        <v>33968976.868959665</v>
      </c>
      <c r="I59" s="9">
        <f>H59-B59</f>
        <v>638962.61257656291</v>
      </c>
      <c r="J59" s="187">
        <f>I59/B59</f>
        <v>1.9170787256839947E-2</v>
      </c>
      <c r="K59" s="187">
        <f t="shared" si="1"/>
        <v>1.9170787256839947E-2</v>
      </c>
      <c r="L59" s="188">
        <f t="shared" si="4"/>
        <v>408273220270.66681</v>
      </c>
      <c r="M59" s="188">
        <f t="shared" si="5"/>
        <v>109533.58063359186</v>
      </c>
      <c r="N59" s="188">
        <f t="shared" si="3"/>
        <v>11997605286.415569</v>
      </c>
      <c r="O59" s="11"/>
      <c r="P59" s="157"/>
      <c r="Q59"/>
    </row>
    <row r="60" spans="1:17" x14ac:dyDescent="0.2">
      <c r="A60" s="173">
        <v>43404</v>
      </c>
      <c r="B60" s="174">
        <f>Inputs!D81</f>
        <v>29522757.314444497</v>
      </c>
      <c r="C60" s="174">
        <v>245.5</v>
      </c>
      <c r="D60" s="174">
        <v>11.100000000000001</v>
      </c>
      <c r="E60" s="174">
        <v>31</v>
      </c>
      <c r="F60" s="175">
        <v>1</v>
      </c>
      <c r="G60" s="174">
        <f>Inputs!G81+Inputs!I81+Inputs!L81+Inputs!X81</f>
        <v>23305</v>
      </c>
      <c r="H60" s="174">
        <f>$Q$18+$Q$19*C60+$Q$20*D60+$Q$21*E60+$Q$22*F60+$Q$23*G60</f>
        <v>29527751.910738528</v>
      </c>
      <c r="I60" s="9">
        <f>H60-B60</f>
        <v>4994.5962940305471</v>
      </c>
      <c r="J60" s="187">
        <f>I60/B60</f>
        <v>1.6917783934723666E-4</v>
      </c>
      <c r="K60" s="187">
        <f t="shared" si="1"/>
        <v>1.6917783934723666E-4</v>
      </c>
      <c r="L60" s="188">
        <f t="shared" si="4"/>
        <v>24945992.140343677</v>
      </c>
      <c r="M60" s="188">
        <f t="shared" si="5"/>
        <v>-633968.01628253236</v>
      </c>
      <c r="N60" s="188">
        <f t="shared" si="3"/>
        <v>401915445669.20923</v>
      </c>
      <c r="O60" s="11"/>
      <c r="P60" s="157"/>
      <c r="Q60"/>
    </row>
    <row r="61" spans="1:17" x14ac:dyDescent="0.2">
      <c r="A61" s="173">
        <v>43434</v>
      </c>
      <c r="B61" s="174">
        <f>Inputs!D82</f>
        <v>30788860.462713901</v>
      </c>
      <c r="C61" s="174">
        <v>462.59999999999997</v>
      </c>
      <c r="D61" s="174">
        <v>0</v>
      </c>
      <c r="E61" s="174">
        <v>30</v>
      </c>
      <c r="F61" s="175">
        <v>1</v>
      </c>
      <c r="G61" s="174">
        <f>Inputs!G82+Inputs!I82+Inputs!L82+Inputs!X82</f>
        <v>23321</v>
      </c>
      <c r="H61" s="174">
        <f>$Q$18+$Q$19*C61+$Q$20*D61+$Q$21*E61+$Q$22*F61+$Q$23*G61</f>
        <v>29534304.518975317</v>
      </c>
      <c r="I61" s="9">
        <f>H61-B61</f>
        <v>-1254555.9437385835</v>
      </c>
      <c r="J61" s="187">
        <f>I61/B61</f>
        <v>-4.0747072963544163E-2</v>
      </c>
      <c r="K61" s="187">
        <f t="shared" si="1"/>
        <v>4.0747072963544163E-2</v>
      </c>
      <c r="L61" s="188">
        <f t="shared" si="4"/>
        <v>1573910615969.8079</v>
      </c>
      <c r="M61" s="188">
        <f t="shared" si="5"/>
        <v>-1259550.540032614</v>
      </c>
      <c r="N61" s="188">
        <f t="shared" si="3"/>
        <v>1586467562896.4497</v>
      </c>
      <c r="O61" s="11"/>
      <c r="P61" s="157"/>
      <c r="Q61"/>
    </row>
    <row r="62" spans="1:17" x14ac:dyDescent="0.2">
      <c r="A62" s="173">
        <v>43465</v>
      </c>
      <c r="B62" s="174">
        <f>Inputs!D83</f>
        <v>32363996.620362099</v>
      </c>
      <c r="C62" s="174">
        <v>550.4</v>
      </c>
      <c r="D62" s="174">
        <v>0</v>
      </c>
      <c r="E62" s="174">
        <v>31</v>
      </c>
      <c r="F62" s="175">
        <v>1</v>
      </c>
      <c r="G62" s="174">
        <f>Inputs!G83+Inputs!I83+Inputs!L83+Inputs!X83</f>
        <v>23366</v>
      </c>
      <c r="H62" s="174">
        <f>$Q$18+$Q$19*C62+$Q$20*D62+$Q$21*E62+$Q$22*F62+$Q$23*G62</f>
        <v>31726834.57853986</v>
      </c>
      <c r="I62" s="9">
        <f>H62-B62</f>
        <v>-637162.04182223976</v>
      </c>
      <c r="J62" s="187">
        <f>I62/B62</f>
        <v>-1.968737202936684E-2</v>
      </c>
      <c r="K62" s="187">
        <f t="shared" si="1"/>
        <v>1.968737202936684E-2</v>
      </c>
      <c r="L62" s="188">
        <f t="shared" si="4"/>
        <v>405975467539.08563</v>
      </c>
      <c r="M62" s="188">
        <f t="shared" si="5"/>
        <v>617393.90191634372</v>
      </c>
      <c r="N62" s="188">
        <f t="shared" si="3"/>
        <v>381175230123.48785</v>
      </c>
      <c r="O62" s="11"/>
      <c r="P62" s="157"/>
      <c r="Q62"/>
    </row>
    <row r="63" spans="1:17" x14ac:dyDescent="0.2">
      <c r="A63" s="173">
        <v>43496</v>
      </c>
      <c r="B63" s="174">
        <f>Inputs!D84</f>
        <v>35287777.216221102</v>
      </c>
      <c r="C63" s="174">
        <v>726.30000000000007</v>
      </c>
      <c r="D63" s="174">
        <v>0</v>
      </c>
      <c r="E63" s="174">
        <v>31</v>
      </c>
      <c r="F63" s="175">
        <v>0</v>
      </c>
      <c r="G63" s="174">
        <f>Inputs!G84+Inputs!I84+Inputs!L84+Inputs!X84</f>
        <v>23414</v>
      </c>
      <c r="H63" s="174">
        <f>$Q$18+$Q$19*C63+$Q$20*D63+$Q$21*E63+$Q$22*F63+$Q$23*G63</f>
        <v>35957641.762128748</v>
      </c>
      <c r="I63" s="9">
        <f>H63-B63</f>
        <v>669864.54590764642</v>
      </c>
      <c r="J63" s="187">
        <f>I63/B63</f>
        <v>1.8982905661729318E-2</v>
      </c>
      <c r="K63" s="187">
        <f t="shared" si="1"/>
        <v>1.8982905661729318E-2</v>
      </c>
      <c r="L63" s="188">
        <f t="shared" si="4"/>
        <v>448718509864.05731</v>
      </c>
      <c r="M63" s="188">
        <f t="shared" si="5"/>
        <v>1307026.5877298862</v>
      </c>
      <c r="N63" s="188">
        <f t="shared" si="3"/>
        <v>1708318501032.8298</v>
      </c>
      <c r="O63" s="11"/>
      <c r="P63" s="157"/>
      <c r="Q63"/>
    </row>
    <row r="64" spans="1:17" x14ac:dyDescent="0.2">
      <c r="A64" s="173">
        <v>43524</v>
      </c>
      <c r="B64" s="174">
        <f>Inputs!D85</f>
        <v>31413450.428820997</v>
      </c>
      <c r="C64" s="174">
        <v>587.80000000000007</v>
      </c>
      <c r="D64" s="174">
        <v>0</v>
      </c>
      <c r="E64" s="174">
        <v>28</v>
      </c>
      <c r="F64" s="175">
        <v>0</v>
      </c>
      <c r="G64" s="174">
        <f>Inputs!G85+Inputs!I85+Inputs!L85+Inputs!X85</f>
        <v>23414</v>
      </c>
      <c r="H64" s="174">
        <f>$Q$18+$Q$19*C64+$Q$20*D64+$Q$21*E64+$Q$22*F64+$Q$23*G64</f>
        <v>30742702.353113189</v>
      </c>
      <c r="I64" s="9">
        <f>H64-B64</f>
        <v>-670748.07570780814</v>
      </c>
      <c r="J64" s="187">
        <f>I64/B64</f>
        <v>-2.1352257283154569E-2</v>
      </c>
      <c r="K64" s="187">
        <f t="shared" si="1"/>
        <v>2.1352257283154569E-2</v>
      </c>
      <c r="L64" s="188">
        <f t="shared" si="4"/>
        <v>449902981065.72754</v>
      </c>
      <c r="M64" s="188">
        <f t="shared" si="5"/>
        <v>-1340612.6216154546</v>
      </c>
      <c r="N64" s="188">
        <f t="shared" si="3"/>
        <v>1797242201234.6619</v>
      </c>
      <c r="O64" s="11"/>
      <c r="P64" s="157"/>
      <c r="Q64"/>
    </row>
    <row r="65" spans="1:17" x14ac:dyDescent="0.2">
      <c r="A65" s="173">
        <v>43555</v>
      </c>
      <c r="B65" s="174">
        <f>Inputs!D86</f>
        <v>32753174.855792601</v>
      </c>
      <c r="C65" s="174">
        <v>598.00000000000023</v>
      </c>
      <c r="D65" s="174">
        <v>0</v>
      </c>
      <c r="E65" s="174">
        <v>31</v>
      </c>
      <c r="F65" s="175">
        <v>1</v>
      </c>
      <c r="G65" s="174">
        <f>Inputs!G86+Inputs!I86+Inputs!L86+Inputs!X86</f>
        <v>23448</v>
      </c>
      <c r="H65" s="174">
        <f>$Q$18+$Q$19*C65+$Q$20*D65+$Q$21*E65+$Q$22*F65+$Q$23*G65</f>
        <v>32259480.487689257</v>
      </c>
      <c r="I65" s="9">
        <f>H65-B65</f>
        <v>-493694.36810334399</v>
      </c>
      <c r="J65" s="187">
        <f>I65/B65</f>
        <v>-1.5073175967734654E-2</v>
      </c>
      <c r="K65" s="187">
        <f t="shared" si="1"/>
        <v>1.5073175967734654E-2</v>
      </c>
      <c r="L65" s="188">
        <f t="shared" si="4"/>
        <v>243734129096.96011</v>
      </c>
      <c r="M65" s="188">
        <f t="shared" si="5"/>
        <v>177053.70760446414</v>
      </c>
      <c r="N65" s="188">
        <f t="shared" si="3"/>
        <v>31348015376.487083</v>
      </c>
      <c r="O65" s="11"/>
      <c r="P65" s="157"/>
    </row>
    <row r="66" spans="1:17" x14ac:dyDescent="0.2">
      <c r="A66" s="173">
        <v>43585</v>
      </c>
      <c r="B66" s="174">
        <f>Inputs!D87</f>
        <v>28598242.1384985</v>
      </c>
      <c r="C66" s="174">
        <v>327.29999999999995</v>
      </c>
      <c r="D66" s="174">
        <v>0</v>
      </c>
      <c r="E66" s="174">
        <v>30</v>
      </c>
      <c r="F66" s="175">
        <v>1</v>
      </c>
      <c r="G66" s="174">
        <f>Inputs!G87+Inputs!I87+Inputs!L87+Inputs!X87</f>
        <v>23474</v>
      </c>
      <c r="H66" s="174">
        <f>$Q$18+$Q$19*C66+$Q$20*D66+$Q$21*E66+$Q$22*F66+$Q$23*G66</f>
        <v>28188785.657650977</v>
      </c>
      <c r="I66" s="9">
        <f>H66-B66</f>
        <v>-409456.48084752262</v>
      </c>
      <c r="J66" s="187">
        <f>I66/B66</f>
        <v>-1.4317540178328611E-2</v>
      </c>
      <c r="K66" s="187">
        <f t="shared" si="1"/>
        <v>1.4317540178328611E-2</v>
      </c>
      <c r="L66" s="188">
        <f t="shared" si="4"/>
        <v>167654609708.03766</v>
      </c>
      <c r="M66" s="188">
        <f t="shared" si="5"/>
        <v>84237.887255821377</v>
      </c>
      <c r="N66" s="188">
        <f t="shared" si="3"/>
        <v>7096021649.3244734</v>
      </c>
      <c r="O66" s="11"/>
      <c r="P66" s="157"/>
    </row>
    <row r="67" spans="1:17" x14ac:dyDescent="0.2">
      <c r="A67" s="173">
        <v>43616</v>
      </c>
      <c r="B67" s="174">
        <f>Inputs!D88</f>
        <v>27905719.018595401</v>
      </c>
      <c r="C67" s="174">
        <v>173.70000000000002</v>
      </c>
      <c r="D67" s="174">
        <v>1.8</v>
      </c>
      <c r="E67" s="174">
        <v>31</v>
      </c>
      <c r="F67" s="175">
        <v>1</v>
      </c>
      <c r="G67" s="174">
        <f>Inputs!G88+Inputs!I88+Inputs!L88+Inputs!X88</f>
        <v>23504</v>
      </c>
      <c r="H67" s="174">
        <f>$Q$18+$Q$19*C67+$Q$20*D67+$Q$21*E67+$Q$22*F67+$Q$23*G67</f>
        <v>28018791.294167921</v>
      </c>
      <c r="I67" s="9">
        <f>H67-B67</f>
        <v>113072.27557251975</v>
      </c>
      <c r="J67" s="187">
        <f>I67/B67</f>
        <v>4.0519391561698271E-3</v>
      </c>
      <c r="K67" s="187">
        <f t="shared" si="1"/>
        <v>4.0519391561698271E-3</v>
      </c>
      <c r="L67" s="188">
        <f t="shared" ref="L67:L72" si="6">I67*I67</f>
        <v>12785339503.147846</v>
      </c>
      <c r="M67" s="188">
        <f t="shared" si="5"/>
        <v>522528.75642004237</v>
      </c>
      <c r="N67" s="188">
        <f t="shared" si="3"/>
        <v>273036301285.87598</v>
      </c>
      <c r="O67" s="11"/>
      <c r="P67" s="157"/>
    </row>
    <row r="68" spans="1:17" x14ac:dyDescent="0.2">
      <c r="A68" s="173">
        <v>43646</v>
      </c>
      <c r="B68" s="174">
        <f>Inputs!D89</f>
        <v>30246126.597568698</v>
      </c>
      <c r="C68" s="174">
        <v>33.599999999999994</v>
      </c>
      <c r="D68" s="174">
        <v>31.799999999999997</v>
      </c>
      <c r="E68" s="174">
        <v>30</v>
      </c>
      <c r="F68" s="175">
        <v>0</v>
      </c>
      <c r="G68" s="174">
        <f>Inputs!G89+Inputs!I89+Inputs!L89+Inputs!X89</f>
        <v>23505</v>
      </c>
      <c r="H68" s="174">
        <f>$Q$18+$Q$19*C68+$Q$20*D68+$Q$21*E68+$Q$22*F68+$Q$23*G68</f>
        <v>30404336.05136092</v>
      </c>
      <c r="I68" s="9">
        <f>H68-B68</f>
        <v>158209.45379222184</v>
      </c>
      <c r="J68" s="187">
        <f>I68/B68</f>
        <v>5.2307343646752881E-3</v>
      </c>
      <c r="K68" s="187">
        <f t="shared" ref="K68:K122" si="7">ABS(J68)</f>
        <v>5.2307343646752881E-3</v>
      </c>
      <c r="L68" s="188">
        <f t="shared" si="6"/>
        <v>25030231269.233177</v>
      </c>
      <c r="M68" s="188">
        <f t="shared" si="5"/>
        <v>45137.178219702095</v>
      </c>
      <c r="N68" s="188">
        <f t="shared" si="3"/>
        <v>2037364857.6371491</v>
      </c>
      <c r="O68" s="11"/>
      <c r="P68" s="157"/>
    </row>
    <row r="69" spans="1:17" x14ac:dyDescent="0.2">
      <c r="A69" s="173">
        <v>43677</v>
      </c>
      <c r="B69" s="174">
        <f>Inputs!D90</f>
        <v>40514961.932033904</v>
      </c>
      <c r="C69" s="174">
        <v>0</v>
      </c>
      <c r="D69" s="174">
        <v>143.79999999999998</v>
      </c>
      <c r="E69" s="174">
        <v>31</v>
      </c>
      <c r="F69" s="175">
        <v>0</v>
      </c>
      <c r="G69" s="174">
        <f>Inputs!G90+Inputs!I90+Inputs!L90+Inputs!X90</f>
        <v>23545</v>
      </c>
      <c r="H69" s="174">
        <f>$Q$18+$Q$19*C69+$Q$20*D69+$Q$21*E69+$Q$22*F69+$Q$23*G69</f>
        <v>41520016.328345425</v>
      </c>
      <c r="I69" s="9">
        <f>H69-B69</f>
        <v>1005054.3963115215</v>
      </c>
      <c r="J69" s="187">
        <f>I69/B69</f>
        <v>2.480699347558455E-2</v>
      </c>
      <c r="K69" s="187">
        <f t="shared" si="7"/>
        <v>2.480699347558455E-2</v>
      </c>
      <c r="L69" s="188">
        <f t="shared" si="6"/>
        <v>1010134339545.1169</v>
      </c>
      <c r="M69" s="188">
        <f t="shared" si="5"/>
        <v>846844.94251929969</v>
      </c>
      <c r="N69" s="188">
        <f t="shared" ref="N69:N122" si="8">M69*M69</f>
        <v>717146356670.51599</v>
      </c>
      <c r="O69" s="11"/>
      <c r="P69" s="157"/>
    </row>
    <row r="70" spans="1:17" x14ac:dyDescent="0.2">
      <c r="A70" s="173">
        <v>43708</v>
      </c>
      <c r="B70" s="174">
        <f>Inputs!D91</f>
        <v>36599467.089364603</v>
      </c>
      <c r="C70" s="174">
        <v>4.5999999999999996</v>
      </c>
      <c r="D70" s="174">
        <v>76</v>
      </c>
      <c r="E70" s="174">
        <v>31</v>
      </c>
      <c r="F70" s="175">
        <v>0</v>
      </c>
      <c r="G70" s="174">
        <f>Inputs!G91+Inputs!I91+Inputs!L91+Inputs!X91</f>
        <v>23610</v>
      </c>
      <c r="H70" s="174">
        <f>$Q$18+$Q$19*C70+$Q$20*D70+$Q$21*E70+$Q$22*F70+$Q$23*G70</f>
        <v>35426277.251668833</v>
      </c>
      <c r="I70" s="9">
        <f>H70-B70</f>
        <v>-1173189.83769577</v>
      </c>
      <c r="J70" s="187">
        <f>I70/B70</f>
        <v>-3.2054833881356867E-2</v>
      </c>
      <c r="K70" s="187">
        <f t="shared" si="7"/>
        <v>3.2054833881356867E-2</v>
      </c>
      <c r="L70" s="188">
        <f t="shared" si="6"/>
        <v>1376374395272.627</v>
      </c>
      <c r="M70" s="188">
        <f t="shared" si="5"/>
        <v>-2178244.2340072915</v>
      </c>
      <c r="N70" s="188">
        <f t="shared" si="8"/>
        <v>4744747942986.0117</v>
      </c>
      <c r="O70" s="11"/>
      <c r="P70" s="157"/>
    </row>
    <row r="71" spans="1:17" x14ac:dyDescent="0.2">
      <c r="A71" s="173">
        <v>43738</v>
      </c>
      <c r="B71" s="174">
        <f>Inputs!D92</f>
        <v>30196024.2346556</v>
      </c>
      <c r="C71" s="174">
        <v>31.600000000000005</v>
      </c>
      <c r="D71" s="174">
        <v>11.6</v>
      </c>
      <c r="E71" s="174">
        <v>30</v>
      </c>
      <c r="F71" s="175">
        <v>0</v>
      </c>
      <c r="G71" s="174">
        <f>Inputs!G92+Inputs!I92+Inputs!L92+Inputs!X92</f>
        <v>23624</v>
      </c>
      <c r="H71" s="174">
        <f>$Q$18+$Q$19*C71+$Q$20*D71+$Q$21*E71+$Q$22*F71+$Q$23*G71</f>
        <v>28597097.75132972</v>
      </c>
      <c r="I71" s="9">
        <f>H71-B71</f>
        <v>-1598926.48332588</v>
      </c>
      <c r="J71" s="187">
        <f>I71/B71</f>
        <v>-5.2951556499640506E-2</v>
      </c>
      <c r="K71" s="187">
        <f t="shared" si="7"/>
        <v>5.2951556499640506E-2</v>
      </c>
      <c r="L71" s="188">
        <f t="shared" si="6"/>
        <v>2556565899080.8657</v>
      </c>
      <c r="M71" s="188">
        <f t="shared" si="5"/>
        <v>-425736.64563011006</v>
      </c>
      <c r="N71" s="188">
        <f t="shared" si="8"/>
        <v>181251691432.3779</v>
      </c>
      <c r="O71" s="11"/>
      <c r="P71" s="157"/>
    </row>
    <row r="72" spans="1:17" x14ac:dyDescent="0.2">
      <c r="A72" s="173">
        <v>43769</v>
      </c>
      <c r="B72" s="174">
        <f>Inputs!D93</f>
        <v>27971860.355314802</v>
      </c>
      <c r="C72" s="174">
        <v>220.89999999999998</v>
      </c>
      <c r="D72" s="174">
        <v>3.9</v>
      </c>
      <c r="E72" s="174">
        <v>31</v>
      </c>
      <c r="F72" s="175">
        <v>1</v>
      </c>
      <c r="G72" s="174">
        <f>Inputs!G93+Inputs!I93+Inputs!L93+Inputs!X93</f>
        <v>23662</v>
      </c>
      <c r="H72" s="174">
        <f>$Q$18+$Q$19*C72+$Q$20*D72+$Q$21*E72+$Q$22*F72+$Q$23*G72</f>
        <v>28771539.936502866</v>
      </c>
      <c r="I72" s="9">
        <f>H72-B72</f>
        <v>799679.58118806407</v>
      </c>
      <c r="J72" s="187">
        <f>I72/B72</f>
        <v>2.8588716339566621E-2</v>
      </c>
      <c r="K72" s="187">
        <f t="shared" si="7"/>
        <v>2.8588716339566621E-2</v>
      </c>
      <c r="L72" s="188">
        <f t="shared" si="6"/>
        <v>639487432569.11755</v>
      </c>
      <c r="M72" s="188">
        <f t="shared" si="5"/>
        <v>2398606.0645139441</v>
      </c>
      <c r="N72" s="188">
        <f t="shared" si="8"/>
        <v>5753311052723.0713</v>
      </c>
      <c r="O72" s="11"/>
      <c r="P72" s="157"/>
    </row>
    <row r="73" spans="1:17" x14ac:dyDescent="0.2">
      <c r="A73" s="173">
        <v>43799</v>
      </c>
      <c r="B73" s="174">
        <f>Inputs!D94</f>
        <v>30548760.205844</v>
      </c>
      <c r="C73" s="174">
        <v>502.69999999999993</v>
      </c>
      <c r="D73" s="174">
        <v>0</v>
      </c>
      <c r="E73" s="174">
        <v>30</v>
      </c>
      <c r="F73" s="175">
        <v>1</v>
      </c>
      <c r="G73" s="174">
        <f>Inputs!G94+Inputs!I94+Inputs!L94+Inputs!X94</f>
        <v>23658</v>
      </c>
      <c r="H73" s="174">
        <f>$Q$18+$Q$19*C73+$Q$20*D73+$Q$21*E73+$Q$22*F73+$Q$23*G73</f>
        <v>30099951.266943015</v>
      </c>
      <c r="I73" s="9">
        <f>H73-B73</f>
        <v>-448808.93890098482</v>
      </c>
      <c r="J73" s="187">
        <f>I73/B73</f>
        <v>-1.4691559849788188E-2</v>
      </c>
      <c r="K73" s="187">
        <f t="shared" si="7"/>
        <v>1.4691559849788188E-2</v>
      </c>
      <c r="L73" s="188">
        <f t="shared" ref="L73:L122" si="9">I73*I73</f>
        <v>201429463637.42792</v>
      </c>
      <c r="M73" s="188">
        <f t="shared" ref="M73:M122" si="10">I73-I72</f>
        <v>-1248488.5200890489</v>
      </c>
      <c r="N73" s="188">
        <f t="shared" si="8"/>
        <v>1558723584794.1436</v>
      </c>
      <c r="O73" s="11"/>
      <c r="P73" s="157"/>
    </row>
    <row r="74" spans="1:17" x14ac:dyDescent="0.2">
      <c r="A74" s="173">
        <v>43830</v>
      </c>
      <c r="B74" s="174">
        <f>Inputs!D95</f>
        <v>32756213.143715002</v>
      </c>
      <c r="C74" s="174">
        <v>546.60000000000014</v>
      </c>
      <c r="D74" s="174">
        <v>0</v>
      </c>
      <c r="E74" s="174">
        <v>31</v>
      </c>
      <c r="F74" s="175">
        <v>1</v>
      </c>
      <c r="G74" s="174">
        <f>Inputs!G95+Inputs!I95+Inputs!L95+Inputs!X95</f>
        <v>23664</v>
      </c>
      <c r="H74" s="174">
        <f>$Q$18+$Q$19*C74+$Q$20*D74+$Q$21*E74+$Q$22*F74+$Q$23*G74</f>
        <v>31817222.964082778</v>
      </c>
      <c r="I74" s="9">
        <f>H74-B74</f>
        <v>-938990.17963222414</v>
      </c>
      <c r="J74" s="187">
        <f>I74/B74</f>
        <v>-2.8666017512845192E-2</v>
      </c>
      <c r="K74" s="187">
        <f t="shared" si="7"/>
        <v>2.8666017512845192E-2</v>
      </c>
      <c r="L74" s="188">
        <f t="shared" si="9"/>
        <v>881702557445.75659</v>
      </c>
      <c r="M74" s="188">
        <f t="shared" si="10"/>
        <v>-490181.24073123932</v>
      </c>
      <c r="N74" s="188">
        <f t="shared" si="8"/>
        <v>240277648764.8172</v>
      </c>
      <c r="O74" s="11"/>
      <c r="P74" s="157"/>
    </row>
    <row r="75" spans="1:17" x14ac:dyDescent="0.2">
      <c r="A75" s="173">
        <v>43861</v>
      </c>
      <c r="B75" s="174">
        <f>Inputs!D96</f>
        <v>32984745.984053601</v>
      </c>
      <c r="C75" s="174">
        <v>551.6</v>
      </c>
      <c r="D75" s="174">
        <v>0</v>
      </c>
      <c r="E75" s="174">
        <v>31</v>
      </c>
      <c r="F75" s="175">
        <v>0</v>
      </c>
      <c r="G75" s="174">
        <f>Inputs!G96+Inputs!I96+Inputs!L96+Inputs!X96</f>
        <v>23709</v>
      </c>
      <c r="H75" s="174">
        <f>$Q$18+$Q$19*C75+$Q$20*D75+$Q$21*E75+$Q$22*F75+$Q$23*G75</f>
        <v>34262828.838530041</v>
      </c>
      <c r="I75" s="9">
        <f>H75-B75</f>
        <v>1278082.8544764407</v>
      </c>
      <c r="J75" s="187">
        <f>I75/B75</f>
        <v>3.8747694315861246E-2</v>
      </c>
      <c r="K75" s="187">
        <f t="shared" si="7"/>
        <v>3.8747694315861246E-2</v>
      </c>
      <c r="L75" s="188">
        <f t="shared" si="9"/>
        <v>1633495782906.6467</v>
      </c>
      <c r="M75" s="188">
        <f t="shared" si="10"/>
        <v>2217073.0341086648</v>
      </c>
      <c r="N75" s="188">
        <f t="shared" si="8"/>
        <v>4915412838571.8008</v>
      </c>
      <c r="O75" s="11"/>
      <c r="P75" s="157"/>
      <c r="Q75" s="40"/>
    </row>
    <row r="76" spans="1:17" x14ac:dyDescent="0.2">
      <c r="A76" s="173">
        <v>43890</v>
      </c>
      <c r="B76" s="174">
        <f>Inputs!D97</f>
        <v>31066267.637283299</v>
      </c>
      <c r="C76" s="174">
        <v>586.90000000000009</v>
      </c>
      <c r="D76" s="174">
        <v>0</v>
      </c>
      <c r="E76" s="174">
        <v>29</v>
      </c>
      <c r="F76" s="175">
        <v>0</v>
      </c>
      <c r="G76" s="174">
        <f>Inputs!G97+Inputs!I97+Inputs!L97+Inputs!X97</f>
        <v>23738</v>
      </c>
      <c r="H76" s="174">
        <f>$Q$18+$Q$19*C76+$Q$20*D76+$Q$21*E76+$Q$22*F76+$Q$23*G76</f>
        <v>32131123.788017124</v>
      </c>
      <c r="I76" s="9">
        <f>H76-B76</f>
        <v>1064856.1507338248</v>
      </c>
      <c r="J76" s="187">
        <f>I76/B76</f>
        <v>3.4276925801536198E-2</v>
      </c>
      <c r="K76" s="187">
        <f t="shared" si="7"/>
        <v>3.4276925801536198E-2</v>
      </c>
      <c r="L76" s="188">
        <f t="shared" si="9"/>
        <v>1133918621755.6582</v>
      </c>
      <c r="M76" s="188">
        <f t="shared" si="10"/>
        <v>-213226.70374261588</v>
      </c>
      <c r="N76" s="188">
        <f t="shared" si="8"/>
        <v>45465627188.941277</v>
      </c>
      <c r="O76" s="11"/>
      <c r="P76" s="157"/>
    </row>
    <row r="77" spans="1:17" x14ac:dyDescent="0.2">
      <c r="A77" s="173">
        <v>43921</v>
      </c>
      <c r="B77" s="174">
        <f>Inputs!D98</f>
        <v>30079085.278391898</v>
      </c>
      <c r="C77" s="174">
        <v>433.8</v>
      </c>
      <c r="D77" s="174">
        <v>0</v>
      </c>
      <c r="E77" s="174">
        <v>31</v>
      </c>
      <c r="F77" s="175">
        <v>1</v>
      </c>
      <c r="G77" s="174">
        <f>Inputs!G98+Inputs!I98+Inputs!L98+Inputs!X98</f>
        <v>23774</v>
      </c>
      <c r="H77" s="174">
        <f>$Q$18+$Q$19*C77+$Q$20*D77+$Q$21*E77+$Q$22*F77+$Q$23*G77</f>
        <v>30687797.957814574</v>
      </c>
      <c r="I77" s="9">
        <f>H77-B77</f>
        <v>608712.67942267656</v>
      </c>
      <c r="J77" s="187">
        <f>I77/B77</f>
        <v>2.0237074159298367E-2</v>
      </c>
      <c r="K77" s="187">
        <f t="shared" si="7"/>
        <v>2.0237074159298367E-2</v>
      </c>
      <c r="L77" s="188">
        <f t="shared" si="9"/>
        <v>370531126089.9342</v>
      </c>
      <c r="M77" s="188">
        <f t="shared" si="10"/>
        <v>-456143.47131114826</v>
      </c>
      <c r="N77" s="188">
        <f t="shared" si="8"/>
        <v>208066866419.78433</v>
      </c>
      <c r="O77" s="11"/>
      <c r="P77" s="157"/>
    </row>
    <row r="78" spans="1:17" x14ac:dyDescent="0.2">
      <c r="A78" s="173">
        <v>43951</v>
      </c>
      <c r="B78" s="174">
        <f>Inputs!D99</f>
        <v>26605231.832859904</v>
      </c>
      <c r="C78" s="174">
        <v>372.9</v>
      </c>
      <c r="D78" s="174">
        <v>0</v>
      </c>
      <c r="E78" s="174">
        <v>30</v>
      </c>
      <c r="F78" s="175">
        <v>1</v>
      </c>
      <c r="G78" s="174">
        <f>Inputs!G99+Inputs!I99+Inputs!L99+Inputs!X99</f>
        <v>23805</v>
      </c>
      <c r="H78" s="174">
        <f>$Q$18+$Q$19*C78+$Q$20*D78+$Q$21*E78+$Q$22*F78+$Q$23*G78</f>
        <v>28809224.094146609</v>
      </c>
      <c r="I78" s="9">
        <f>H78-B78</f>
        <v>2203992.2612867057</v>
      </c>
      <c r="J78" s="187">
        <f>I78/B78</f>
        <v>8.2840558395908162E-2</v>
      </c>
      <c r="K78" s="187">
        <f t="shared" si="7"/>
        <v>8.2840558395908162E-2</v>
      </c>
      <c r="L78" s="188">
        <f t="shared" si="9"/>
        <v>4857581887811.6865</v>
      </c>
      <c r="M78" s="188">
        <f t="shared" si="10"/>
        <v>1595279.5818640292</v>
      </c>
      <c r="N78" s="188">
        <f t="shared" si="8"/>
        <v>2544916944312.272</v>
      </c>
      <c r="O78" s="11"/>
      <c r="P78" s="157"/>
    </row>
    <row r="79" spans="1:17" x14ac:dyDescent="0.2">
      <c r="A79" s="173">
        <v>43982</v>
      </c>
      <c r="B79" s="174">
        <f>Inputs!D100</f>
        <v>28255543.1817187</v>
      </c>
      <c r="C79" s="174">
        <v>207.90000000000003</v>
      </c>
      <c r="D79" s="174">
        <v>22.8</v>
      </c>
      <c r="E79" s="174">
        <v>31</v>
      </c>
      <c r="F79" s="175">
        <v>1</v>
      </c>
      <c r="G79" s="174">
        <f>Inputs!G100+Inputs!I100+Inputs!L100+Inputs!X100</f>
        <v>23829</v>
      </c>
      <c r="H79" s="174">
        <f>$Q$18+$Q$19*C79+$Q$20*D79+$Q$21*E79+$Q$22*F79+$Q$23*G79</f>
        <v>30428715.303380772</v>
      </c>
      <c r="I79" s="9">
        <f>H79-B79</f>
        <v>2173172.1216620728</v>
      </c>
      <c r="J79" s="187">
        <f>I79/B79</f>
        <v>7.6911355328964703E-2</v>
      </c>
      <c r="K79" s="187">
        <f t="shared" si="7"/>
        <v>7.6911355328964703E-2</v>
      </c>
      <c r="L79" s="188">
        <f t="shared" si="9"/>
        <v>4722677070369.2354</v>
      </c>
      <c r="M79" s="188">
        <f t="shared" si="10"/>
        <v>-30820.139624632895</v>
      </c>
      <c r="N79" s="188">
        <f t="shared" si="8"/>
        <v>949881006.48186672</v>
      </c>
      <c r="O79" s="11"/>
      <c r="P79" s="157"/>
    </row>
    <row r="80" spans="1:17" x14ac:dyDescent="0.2">
      <c r="A80" s="173">
        <v>44012</v>
      </c>
      <c r="B80" s="174">
        <f>Inputs!D101</f>
        <v>33406975.0200781</v>
      </c>
      <c r="C80" s="174">
        <v>27</v>
      </c>
      <c r="D80" s="174">
        <v>70.09999999999998</v>
      </c>
      <c r="E80" s="174">
        <v>30</v>
      </c>
      <c r="F80" s="175">
        <v>0</v>
      </c>
      <c r="G80" s="174">
        <f>Inputs!G101+Inputs!I101+Inputs!L101+Inputs!X101</f>
        <v>23871</v>
      </c>
      <c r="H80" s="174">
        <f>$Q$18+$Q$19*C80+$Q$20*D80+$Q$21*E80+$Q$22*F80+$Q$23*G80</f>
        <v>33980656.148064703</v>
      </c>
      <c r="I80" s="9">
        <f>H80-B80</f>
        <v>573681.12798660249</v>
      </c>
      <c r="J80" s="187">
        <f>I80/B80</f>
        <v>1.7172495493585137E-2</v>
      </c>
      <c r="K80" s="187">
        <f t="shared" si="7"/>
        <v>1.7172495493585137E-2</v>
      </c>
      <c r="L80" s="188">
        <f t="shared" si="9"/>
        <v>329110036607.98059</v>
      </c>
      <c r="M80" s="188">
        <f t="shared" si="10"/>
        <v>-1599490.9936754704</v>
      </c>
      <c r="N80" s="188">
        <f t="shared" si="8"/>
        <v>2558371438848.9434</v>
      </c>
      <c r="O80" s="11"/>
      <c r="P80" s="157"/>
    </row>
    <row r="81" spans="1:17" x14ac:dyDescent="0.2">
      <c r="A81" s="173">
        <v>44043</v>
      </c>
      <c r="B81" s="174">
        <f>Inputs!D102</f>
        <v>42687999.775185399</v>
      </c>
      <c r="C81" s="174">
        <v>0</v>
      </c>
      <c r="D81" s="174">
        <v>168.5</v>
      </c>
      <c r="E81" s="174">
        <v>31</v>
      </c>
      <c r="F81" s="175">
        <v>0</v>
      </c>
      <c r="G81" s="174">
        <f>Inputs!G102+Inputs!I102+Inputs!L102+Inputs!X102</f>
        <v>23900</v>
      </c>
      <c r="H81" s="174">
        <f>$Q$18+$Q$19*C81+$Q$20*D81+$Q$21*E81+$Q$22*F81+$Q$23*G81</f>
        <v>43922763.399746135</v>
      </c>
      <c r="I81" s="9">
        <f>H81-B81</f>
        <v>1234763.6245607361</v>
      </c>
      <c r="J81" s="187">
        <f>I81/B81</f>
        <v>2.8925309948078338E-2</v>
      </c>
      <c r="K81" s="187">
        <f t="shared" si="7"/>
        <v>2.8925309948078338E-2</v>
      </c>
      <c r="L81" s="188">
        <f t="shared" si="9"/>
        <v>1524641208538.3665</v>
      </c>
      <c r="M81" s="188">
        <f t="shared" si="10"/>
        <v>661082.49657413363</v>
      </c>
      <c r="N81" s="188">
        <f t="shared" si="8"/>
        <v>437030067276.68939</v>
      </c>
      <c r="O81" s="11"/>
      <c r="P81" s="157"/>
    </row>
    <row r="82" spans="1:17" x14ac:dyDescent="0.2">
      <c r="A82" s="173">
        <v>44074</v>
      </c>
      <c r="B82" s="174">
        <f>Inputs!D103</f>
        <v>37930770.327769101</v>
      </c>
      <c r="C82" s="174">
        <v>1.5999999999999999</v>
      </c>
      <c r="D82" s="174">
        <v>71.100000000000009</v>
      </c>
      <c r="E82" s="174">
        <v>31</v>
      </c>
      <c r="F82" s="175">
        <v>0</v>
      </c>
      <c r="G82" s="174">
        <f>Inputs!G103+Inputs!I103+Inputs!L103+Inputs!X103</f>
        <v>23924</v>
      </c>
      <c r="H82" s="174">
        <f>$Q$18+$Q$19*C82+$Q$20*D82+$Q$21*E82+$Q$22*F82+$Q$23*G82</f>
        <v>35086075.666576557</v>
      </c>
      <c r="I82" s="9">
        <f>H82-B82</f>
        <v>-2844694.6611925438</v>
      </c>
      <c r="J82" s="187">
        <f>I82/B82</f>
        <v>-7.4997017898946916E-2</v>
      </c>
      <c r="K82" s="187">
        <f t="shared" si="7"/>
        <v>7.4997017898946916E-2</v>
      </c>
      <c r="L82" s="188">
        <f t="shared" si="9"/>
        <v>8092287715417.3613</v>
      </c>
      <c r="M82" s="188">
        <f t="shared" si="10"/>
        <v>-4079458.2857532799</v>
      </c>
      <c r="N82" s="188">
        <f t="shared" si="8"/>
        <v>16641979905201.09</v>
      </c>
      <c r="O82" s="11"/>
      <c r="P82" s="157"/>
    </row>
    <row r="83" spans="1:17" x14ac:dyDescent="0.2">
      <c r="A83" s="173">
        <v>44104</v>
      </c>
      <c r="B83" s="174">
        <f>Inputs!D104</f>
        <v>29216230.450019099</v>
      </c>
      <c r="C83" s="174">
        <v>74.999999999999986</v>
      </c>
      <c r="D83" s="174">
        <v>10</v>
      </c>
      <c r="E83" s="174">
        <v>30</v>
      </c>
      <c r="F83" s="175">
        <v>0</v>
      </c>
      <c r="G83" s="174">
        <f>Inputs!G104+Inputs!I104+Inputs!L104+Inputs!X104</f>
        <v>23945</v>
      </c>
      <c r="H83" s="174">
        <f>$Q$18+$Q$19*C83+$Q$20*D83+$Q$21*E83+$Q$22*F83+$Q$23*G83</f>
        <v>29044600.279147938</v>
      </c>
      <c r="I83" s="9">
        <f>H83-B83</f>
        <v>-171630.17087116092</v>
      </c>
      <c r="J83" s="187">
        <f>I83/B83</f>
        <v>-5.8744803223253848E-3</v>
      </c>
      <c r="K83" s="187">
        <f t="shared" si="7"/>
        <v>5.8744803223253848E-3</v>
      </c>
      <c r="L83" s="188">
        <f t="shared" si="9"/>
        <v>29456915553.263897</v>
      </c>
      <c r="M83" s="188">
        <f t="shared" si="10"/>
        <v>2673064.4903213829</v>
      </c>
      <c r="N83" s="188">
        <f t="shared" si="8"/>
        <v>7145273769417.1143</v>
      </c>
      <c r="O83" s="11"/>
      <c r="P83" s="157"/>
    </row>
    <row r="84" spans="1:17" x14ac:dyDescent="0.2">
      <c r="A84" s="173">
        <v>44135</v>
      </c>
      <c r="B84" s="174">
        <f>Inputs!D105</f>
        <v>27410041.627921898</v>
      </c>
      <c r="C84" s="174">
        <v>252.50000000000006</v>
      </c>
      <c r="D84" s="174">
        <v>0</v>
      </c>
      <c r="E84" s="174">
        <v>31</v>
      </c>
      <c r="F84" s="175">
        <v>1</v>
      </c>
      <c r="G84" s="174">
        <f>Inputs!G105+Inputs!I105+Inputs!L105+Inputs!X105</f>
        <v>23961</v>
      </c>
      <c r="H84" s="174">
        <f>$Q$18+$Q$19*C84+$Q$20*D84+$Q$21*E84+$Q$22*F84+$Q$23*G84</f>
        <v>28876959.243442085</v>
      </c>
      <c r="I84" s="9">
        <f>H84-B84</f>
        <v>1466917.6155201867</v>
      </c>
      <c r="J84" s="187">
        <f>I84/B84</f>
        <v>5.351752600134236E-2</v>
      </c>
      <c r="K84" s="187">
        <f t="shared" si="7"/>
        <v>5.351752600134236E-2</v>
      </c>
      <c r="L84" s="188">
        <f t="shared" si="9"/>
        <v>2151847290723.4304</v>
      </c>
      <c r="M84" s="188">
        <f t="shared" si="10"/>
        <v>1638547.7863913476</v>
      </c>
      <c r="N84" s="188">
        <f t="shared" si="8"/>
        <v>2684838848287.9854</v>
      </c>
      <c r="O84" s="11"/>
      <c r="P84" s="157"/>
    </row>
    <row r="85" spans="1:17" x14ac:dyDescent="0.2">
      <c r="A85" s="173">
        <v>44165</v>
      </c>
      <c r="B85" s="174">
        <f>Inputs!D106</f>
        <v>28047137.9106231</v>
      </c>
      <c r="C85" s="174">
        <v>329.20000000000005</v>
      </c>
      <c r="D85" s="174">
        <v>0</v>
      </c>
      <c r="E85" s="174">
        <v>30</v>
      </c>
      <c r="F85" s="175">
        <v>1</v>
      </c>
      <c r="G85" s="174">
        <f>Inputs!G106+Inputs!I106+Inputs!L106+Inputs!X106</f>
        <v>23995</v>
      </c>
      <c r="H85" s="174">
        <f>$Q$18+$Q$19*C85+$Q$20*D85+$Q$21*E85+$Q$22*F85+$Q$23*G85</f>
        <v>28435993.914896704</v>
      </c>
      <c r="I85" s="9">
        <f>H85-B85</f>
        <v>388856.0042736046</v>
      </c>
      <c r="J85" s="187">
        <f>I85/B85</f>
        <v>1.3864373809290608E-2</v>
      </c>
      <c r="K85" s="187">
        <f t="shared" si="7"/>
        <v>1.3864373809290608E-2</v>
      </c>
      <c r="L85" s="188">
        <f t="shared" si="9"/>
        <v>151208992059.63361</v>
      </c>
      <c r="M85" s="188">
        <f t="shared" si="10"/>
        <v>-1078061.6112465821</v>
      </c>
      <c r="N85" s="188">
        <f t="shared" si="8"/>
        <v>1162216837643.5767</v>
      </c>
      <c r="O85" s="11"/>
      <c r="P85" s="157"/>
    </row>
    <row r="86" spans="1:17" x14ac:dyDescent="0.2">
      <c r="A86" s="173">
        <v>44196</v>
      </c>
      <c r="B86" s="174">
        <f>Inputs!D107</f>
        <v>32403661.342188701</v>
      </c>
      <c r="C86" s="174">
        <v>540.4</v>
      </c>
      <c r="D86" s="174">
        <v>0</v>
      </c>
      <c r="E86" s="174">
        <v>31</v>
      </c>
      <c r="F86" s="175">
        <v>1</v>
      </c>
      <c r="G86" s="174">
        <f>Inputs!G107+Inputs!I107+Inputs!L107+Inputs!X107</f>
        <v>24054</v>
      </c>
      <c r="H86" s="174">
        <f>$Q$18+$Q$19*C86+$Q$20*D86+$Q$21*E86+$Q$22*F86+$Q$23*G86</f>
        <v>31922710.402346328</v>
      </c>
      <c r="I86" s="9">
        <f>H86-B86</f>
        <v>-480950.93984237313</v>
      </c>
      <c r="J86" s="187">
        <f>I86/B86</f>
        <v>-1.4842487543720495E-2</v>
      </c>
      <c r="K86" s="187">
        <f t="shared" si="7"/>
        <v>1.4842487543720495E-2</v>
      </c>
      <c r="L86" s="188">
        <f t="shared" si="9"/>
        <v>231313806535.26202</v>
      </c>
      <c r="M86" s="188">
        <f t="shared" si="10"/>
        <v>-869806.94411597773</v>
      </c>
      <c r="N86" s="188">
        <f t="shared" si="8"/>
        <v>756564120032.37561</v>
      </c>
      <c r="O86" s="11"/>
      <c r="P86" s="157"/>
    </row>
    <row r="87" spans="1:17" x14ac:dyDescent="0.2">
      <c r="A87" s="173">
        <v>44227</v>
      </c>
      <c r="B87" s="174">
        <f>Inputs!D108</f>
        <v>32846157.776278503</v>
      </c>
      <c r="C87" s="174">
        <v>626.70000000000005</v>
      </c>
      <c r="D87" s="174">
        <v>0</v>
      </c>
      <c r="E87" s="174">
        <v>31</v>
      </c>
      <c r="F87" s="175">
        <v>0</v>
      </c>
      <c r="G87" s="174">
        <f>Inputs!G108+Inputs!I108+Inputs!L108+Inputs!X108</f>
        <v>24074</v>
      </c>
      <c r="H87" s="174">
        <f>$Q$18+$Q$19*C87+$Q$20*D87+$Q$21*E87+$Q$22*F87+$Q$23*G87</f>
        <v>35206033.140849516</v>
      </c>
      <c r="I87" s="9">
        <f>H87-B87</f>
        <v>2359875.3645710126</v>
      </c>
      <c r="J87" s="187">
        <f>I87/B87</f>
        <v>7.1846313978169915E-2</v>
      </c>
      <c r="K87" s="187">
        <f t="shared" si="7"/>
        <v>7.1846313978169915E-2</v>
      </c>
      <c r="L87" s="188">
        <f t="shared" si="9"/>
        <v>5569011736309.1689</v>
      </c>
      <c r="M87" s="188">
        <f t="shared" si="10"/>
        <v>2840826.3044133857</v>
      </c>
      <c r="N87" s="188">
        <f t="shared" si="8"/>
        <v>8070294091847.0146</v>
      </c>
      <c r="O87" s="11"/>
      <c r="P87" s="157"/>
    </row>
    <row r="88" spans="1:17" x14ac:dyDescent="0.2">
      <c r="A88" s="173">
        <v>44255</v>
      </c>
      <c r="B88" s="174">
        <f>Inputs!D109</f>
        <v>30819473.817396801</v>
      </c>
      <c r="C88" s="174">
        <v>667.10000000000014</v>
      </c>
      <c r="D88" s="174">
        <v>0</v>
      </c>
      <c r="E88" s="174">
        <v>28</v>
      </c>
      <c r="F88" s="175">
        <v>0</v>
      </c>
      <c r="G88" s="174">
        <f>Inputs!G109+Inputs!I109+Inputs!L109+Inputs!X109</f>
        <v>24154</v>
      </c>
      <c r="H88" s="174">
        <f>$Q$18+$Q$19*C88+$Q$20*D88+$Q$21*E88+$Q$22*F88+$Q$23*G88</f>
        <v>31893405.273185302</v>
      </c>
      <c r="I88" s="9">
        <f>H88-B88</f>
        <v>1073931.4557885006</v>
      </c>
      <c r="J88" s="187">
        <f>I88/B88</f>
        <v>3.4845872520454707E-2</v>
      </c>
      <c r="K88" s="187">
        <f t="shared" si="7"/>
        <v>3.4845872520454707E-2</v>
      </c>
      <c r="L88" s="188">
        <f t="shared" si="9"/>
        <v>1153328771732.0083</v>
      </c>
      <c r="M88" s="188">
        <f t="shared" si="10"/>
        <v>-1285943.9087825119</v>
      </c>
      <c r="N88" s="188">
        <f t="shared" si="8"/>
        <v>1653651736534.8455</v>
      </c>
      <c r="O88" s="11"/>
      <c r="P88" s="157"/>
    </row>
    <row r="89" spans="1:17" x14ac:dyDescent="0.2">
      <c r="A89" s="173">
        <v>44286</v>
      </c>
      <c r="B89" s="174">
        <f>Inputs!D110</f>
        <v>30429325.708896</v>
      </c>
      <c r="C89" s="174">
        <v>450.80000000000007</v>
      </c>
      <c r="D89" s="174">
        <v>0</v>
      </c>
      <c r="E89" s="174">
        <v>31</v>
      </c>
      <c r="F89" s="175">
        <v>1</v>
      </c>
      <c r="G89" s="174">
        <f>Inputs!G110+Inputs!I110+Inputs!L110+Inputs!X110</f>
        <v>24237</v>
      </c>
      <c r="H89" s="174">
        <f>$Q$18+$Q$19*C89+$Q$20*D89+$Q$21*E89+$Q$22*F89+$Q$23*G89</f>
        <v>31067310.907937683</v>
      </c>
      <c r="I89" s="9">
        <f>H89-B89</f>
        <v>637985.19904168323</v>
      </c>
      <c r="J89" s="187">
        <f>I89/B89</f>
        <v>2.0966130013691645E-2</v>
      </c>
      <c r="K89" s="187">
        <f t="shared" si="7"/>
        <v>2.0966130013691645E-2</v>
      </c>
      <c r="L89" s="188">
        <f t="shared" si="9"/>
        <v>407025114196.25616</v>
      </c>
      <c r="M89" s="188">
        <f t="shared" si="10"/>
        <v>-435946.25674681738</v>
      </c>
      <c r="N89" s="188">
        <f t="shared" si="8"/>
        <v>190049138771.56201</v>
      </c>
      <c r="O89" s="11"/>
      <c r="P89" s="157"/>
    </row>
    <row r="90" spans="1:17" x14ac:dyDescent="0.2">
      <c r="A90" s="173">
        <v>44316</v>
      </c>
      <c r="B90" s="174">
        <f>Inputs!D111</f>
        <v>26763134.5519844</v>
      </c>
      <c r="C90" s="174">
        <v>307</v>
      </c>
      <c r="D90" s="174">
        <v>0</v>
      </c>
      <c r="E90" s="174">
        <v>30</v>
      </c>
      <c r="F90" s="175">
        <v>1</v>
      </c>
      <c r="G90" s="174">
        <f>Inputs!G111+Inputs!I111+Inputs!L111+Inputs!X111</f>
        <v>24275</v>
      </c>
      <c r="H90" s="174">
        <f>$Q$18+$Q$19*C90+$Q$20*D90+$Q$21*E90+$Q$22*F90+$Q$23*G90</f>
        <v>28326463.437697161</v>
      </c>
      <c r="I90" s="9">
        <f>H90-B90</f>
        <v>1563328.8857127614</v>
      </c>
      <c r="J90" s="187">
        <f>I90/B90</f>
        <v>5.8413519637476312E-2</v>
      </c>
      <c r="K90" s="187">
        <f t="shared" si="7"/>
        <v>5.8413519637476312E-2</v>
      </c>
      <c r="L90" s="188">
        <f t="shared" si="9"/>
        <v>2443997204903.9043</v>
      </c>
      <c r="M90" s="188">
        <f t="shared" si="10"/>
        <v>925343.68667107821</v>
      </c>
      <c r="N90" s="188">
        <f t="shared" si="8"/>
        <v>856260938462.02258</v>
      </c>
      <c r="O90" s="11"/>
      <c r="P90" s="157"/>
    </row>
    <row r="91" spans="1:17" x14ac:dyDescent="0.2">
      <c r="A91" s="173">
        <v>44347</v>
      </c>
      <c r="B91" s="174">
        <f>Inputs!D112</f>
        <v>28296552.692327201</v>
      </c>
      <c r="C91" s="174">
        <v>185.10000000000005</v>
      </c>
      <c r="D91" s="174">
        <v>16.5</v>
      </c>
      <c r="E91" s="174">
        <v>31</v>
      </c>
      <c r="F91" s="175">
        <v>1</v>
      </c>
      <c r="G91" s="174">
        <f>Inputs!G112+Inputs!I112+Inputs!L112+Inputs!X112</f>
        <v>24299</v>
      </c>
      <c r="H91" s="174">
        <f>$Q$18+$Q$19*C91+$Q$20*D91+$Q$21*E91+$Q$22*F91+$Q$23*G91</f>
        <v>29822512.043114297</v>
      </c>
      <c r="I91" s="9">
        <f>H91-B91</f>
        <v>1525959.3507870957</v>
      </c>
      <c r="J91" s="187">
        <f>I91/B91</f>
        <v>5.3927394173385289E-2</v>
      </c>
      <c r="K91" s="187">
        <f t="shared" si="7"/>
        <v>5.3927394173385289E-2</v>
      </c>
      <c r="L91" s="188">
        <f t="shared" si="9"/>
        <v>2328551940254.5747</v>
      </c>
      <c r="M91" s="188">
        <f t="shared" si="10"/>
        <v>-37369.534925665706</v>
      </c>
      <c r="N91" s="188">
        <f t="shared" si="8"/>
        <v>1396482140.560549</v>
      </c>
      <c r="O91" s="11"/>
      <c r="P91" s="157"/>
    </row>
    <row r="92" spans="1:17" x14ac:dyDescent="0.2">
      <c r="A92" s="173">
        <v>44377</v>
      </c>
      <c r="B92" s="174">
        <f>Inputs!D113</f>
        <v>34399006.535900503</v>
      </c>
      <c r="C92" s="174">
        <v>18</v>
      </c>
      <c r="D92" s="174">
        <v>84.800000000000011</v>
      </c>
      <c r="E92" s="174">
        <v>30</v>
      </c>
      <c r="F92" s="175">
        <v>0</v>
      </c>
      <c r="G92" s="174">
        <f>Inputs!G113+Inputs!I113+Inputs!L113+Inputs!X113</f>
        <v>24365</v>
      </c>
      <c r="H92" s="174">
        <f>$Q$18+$Q$19*C92+$Q$20*D92+$Q$21*E92+$Q$22*F92+$Q$23*G92</f>
        <v>35440074.287869871</v>
      </c>
      <c r="I92" s="9">
        <f>H92-B92</f>
        <v>1041067.7519693673</v>
      </c>
      <c r="J92" s="187">
        <f>I92/B92</f>
        <v>3.0264471471955375E-2</v>
      </c>
      <c r="K92" s="187">
        <f t="shared" si="7"/>
        <v>3.0264471471955375E-2</v>
      </c>
      <c r="L92" s="188">
        <f t="shared" si="9"/>
        <v>1083822064190.552</v>
      </c>
      <c r="M92" s="188">
        <f t="shared" si="10"/>
        <v>-484891.59881772846</v>
      </c>
      <c r="N92" s="188">
        <f t="shared" si="8"/>
        <v>235119862604.01291</v>
      </c>
      <c r="O92" s="11"/>
      <c r="P92" s="157"/>
      <c r="Q92"/>
    </row>
    <row r="93" spans="1:17" x14ac:dyDescent="0.2">
      <c r="A93" s="173">
        <v>44408</v>
      </c>
      <c r="B93" s="174">
        <f>Inputs!D114</f>
        <v>36416581.592046797</v>
      </c>
      <c r="C93" s="174">
        <v>6.6000000000000005</v>
      </c>
      <c r="D93" s="174">
        <v>71</v>
      </c>
      <c r="E93" s="174">
        <v>31</v>
      </c>
      <c r="F93" s="175">
        <v>0</v>
      </c>
      <c r="G93" s="174">
        <f>Inputs!G114+Inputs!I114+Inputs!L114+Inputs!X114</f>
        <v>24389</v>
      </c>
      <c r="H93" s="174">
        <f>$Q$18+$Q$19*C93+$Q$20*D93+$Q$21*E93+$Q$22*F93+$Q$23*G93</f>
        <v>35332102.327165321</v>
      </c>
      <c r="I93" s="9">
        <f>H93-B93</f>
        <v>-1084479.2648814768</v>
      </c>
      <c r="J93" s="187">
        <f>I93/B93</f>
        <v>-2.9779820550710934E-2</v>
      </c>
      <c r="K93" s="187">
        <f t="shared" si="7"/>
        <v>2.9779820550710934E-2</v>
      </c>
      <c r="L93" s="188">
        <f t="shared" si="9"/>
        <v>1176095275957.8682</v>
      </c>
      <c r="M93" s="188">
        <f t="shared" si="10"/>
        <v>-2125547.016850844</v>
      </c>
      <c r="N93" s="188">
        <f t="shared" si="8"/>
        <v>4517950120843.5225</v>
      </c>
      <c r="O93" s="11"/>
      <c r="P93" s="157"/>
      <c r="Q93"/>
    </row>
    <row r="94" spans="1:17" x14ac:dyDescent="0.2">
      <c r="A94" s="173">
        <v>44439</v>
      </c>
      <c r="B94" s="174">
        <f>Inputs!D115</f>
        <v>41970614.616817705</v>
      </c>
      <c r="C94" s="174">
        <v>1.8</v>
      </c>
      <c r="D94" s="174">
        <v>137.00000000000003</v>
      </c>
      <c r="E94" s="174">
        <v>31</v>
      </c>
      <c r="F94" s="175">
        <v>0</v>
      </c>
      <c r="G94" s="174">
        <f>Inputs!G115+Inputs!I115+Inputs!L115+Inputs!X115</f>
        <v>24447</v>
      </c>
      <c r="H94" s="174">
        <f>$Q$18+$Q$19*C94+$Q$20*D94+$Q$21*E94+$Q$22*F94+$Q$23*G94</f>
        <v>41313625.055755638</v>
      </c>
      <c r="I94" s="9">
        <f>H94-B94</f>
        <v>-656989.56106206775</v>
      </c>
      <c r="J94" s="187">
        <f>I94/B94</f>
        <v>-1.5653560641421028E-2</v>
      </c>
      <c r="K94" s="187">
        <f t="shared" si="7"/>
        <v>1.5653560641421028E-2</v>
      </c>
      <c r="L94" s="188">
        <f t="shared" si="9"/>
        <v>431635283344.52844</v>
      </c>
      <c r="M94" s="188">
        <f t="shared" si="10"/>
        <v>427489.70381940901</v>
      </c>
      <c r="N94" s="188">
        <f t="shared" si="8"/>
        <v>182747446871.60605</v>
      </c>
      <c r="O94" s="11"/>
      <c r="P94" s="157"/>
      <c r="Q94"/>
    </row>
    <row r="95" spans="1:17" x14ac:dyDescent="0.2">
      <c r="A95" s="173">
        <v>44469</v>
      </c>
      <c r="B95" s="174">
        <f>Inputs!D116</f>
        <v>30974506.587737001</v>
      </c>
      <c r="C95" s="174">
        <v>39.6</v>
      </c>
      <c r="D95" s="174">
        <v>18.399999999999999</v>
      </c>
      <c r="E95" s="174">
        <v>30</v>
      </c>
      <c r="F95" s="175">
        <v>0</v>
      </c>
      <c r="G95" s="174">
        <f>Inputs!G116+Inputs!I116+Inputs!L116+Inputs!X116</f>
        <v>24480</v>
      </c>
      <c r="H95" s="174">
        <f>$Q$18+$Q$19*C95+$Q$20*D95+$Q$21*E95+$Q$22*F95+$Q$23*G95</f>
        <v>29673012.709170949</v>
      </c>
      <c r="I95" s="9">
        <f>H95-B95</f>
        <v>-1301493.8785660528</v>
      </c>
      <c r="J95" s="187">
        <f>I95/B95</f>
        <v>-4.2018227953994985E-2</v>
      </c>
      <c r="K95" s="187">
        <f t="shared" si="7"/>
        <v>4.2018227953994985E-2</v>
      </c>
      <c r="L95" s="188">
        <f t="shared" si="9"/>
        <v>1693886315944.9072</v>
      </c>
      <c r="M95" s="188">
        <f t="shared" si="10"/>
        <v>-644504.31750398502</v>
      </c>
      <c r="N95" s="188">
        <f t="shared" si="8"/>
        <v>415385815281.27753</v>
      </c>
      <c r="O95" s="11"/>
      <c r="P95" s="157"/>
      <c r="Q95"/>
    </row>
    <row r="96" spans="1:17" x14ac:dyDescent="0.2">
      <c r="A96" s="173">
        <v>44500</v>
      </c>
      <c r="B96" s="174">
        <f>Inputs!D117</f>
        <v>28889124.189985599</v>
      </c>
      <c r="C96" s="174">
        <v>142.30000000000001</v>
      </c>
      <c r="D96" s="174">
        <v>10.5</v>
      </c>
      <c r="E96" s="174">
        <v>31</v>
      </c>
      <c r="F96" s="175">
        <v>1</v>
      </c>
      <c r="G96" s="174">
        <f>Inputs!G117+Inputs!I117+Inputs!L117+Inputs!X117</f>
        <v>24539</v>
      </c>
      <c r="H96" s="174">
        <f>$Q$18+$Q$19*C96+$Q$20*D96+$Q$21*E96+$Q$22*F96+$Q$23*G96</f>
        <v>28934468.819647603</v>
      </c>
      <c r="I96" s="9">
        <f>H96-B96</f>
        <v>45344.629662003368</v>
      </c>
      <c r="J96" s="187">
        <f>I96/B96</f>
        <v>1.5696090114674388E-3</v>
      </c>
      <c r="K96" s="187">
        <f t="shared" si="7"/>
        <v>1.5696090114674388E-3</v>
      </c>
      <c r="L96" s="188">
        <f t="shared" si="9"/>
        <v>2056135439.1842356</v>
      </c>
      <c r="M96" s="188">
        <f t="shared" si="10"/>
        <v>1346838.5082280561</v>
      </c>
      <c r="N96" s="188">
        <f t="shared" si="8"/>
        <v>1813973967245.9756</v>
      </c>
      <c r="O96" s="11"/>
      <c r="P96" s="157"/>
      <c r="Q96"/>
    </row>
    <row r="97" spans="1:17" x14ac:dyDescent="0.2">
      <c r="A97" s="173">
        <v>44530</v>
      </c>
      <c r="B97" s="174">
        <f>Inputs!D118</f>
        <v>29524971.059174798</v>
      </c>
      <c r="C97" s="174">
        <v>418.6</v>
      </c>
      <c r="D97" s="174">
        <v>0</v>
      </c>
      <c r="E97" s="174">
        <v>30</v>
      </c>
      <c r="F97" s="175">
        <v>1</v>
      </c>
      <c r="G97" s="174">
        <f>Inputs!G118+Inputs!I118+Inputs!L118+Inputs!X118</f>
        <v>24577</v>
      </c>
      <c r="H97" s="174">
        <f>$Q$18+$Q$19*C97+$Q$20*D97+$Q$21*E97+$Q$22*F97+$Q$23*G97</f>
        <v>29623168.263917156</v>
      </c>
      <c r="I97" s="9">
        <f>H97-B97</f>
        <v>98197.204742357135</v>
      </c>
      <c r="J97" s="187">
        <f>I97/B97</f>
        <v>3.3259035053937042E-3</v>
      </c>
      <c r="K97" s="187">
        <f t="shared" si="7"/>
        <v>3.3259035053937042E-3</v>
      </c>
      <c r="L97" s="188">
        <f t="shared" si="9"/>
        <v>9642691019.2124062</v>
      </c>
      <c r="M97" s="188">
        <f t="shared" si="10"/>
        <v>52852.575080353767</v>
      </c>
      <c r="N97" s="188">
        <f t="shared" si="8"/>
        <v>2793394692.6244321</v>
      </c>
      <c r="O97" s="11"/>
      <c r="P97" s="157"/>
      <c r="Q97"/>
    </row>
    <row r="98" spans="1:17" x14ac:dyDescent="0.2">
      <c r="A98" s="173">
        <v>44561</v>
      </c>
      <c r="B98" s="174">
        <f>Inputs!D119</f>
        <v>32565823.594668198</v>
      </c>
      <c r="C98" s="174">
        <v>489.69999999999987</v>
      </c>
      <c r="D98" s="174">
        <v>0</v>
      </c>
      <c r="E98" s="174">
        <v>31</v>
      </c>
      <c r="F98" s="175">
        <v>1</v>
      </c>
      <c r="G98" s="174">
        <f>Inputs!G119+Inputs!I119+Inputs!L119+Inputs!X119</f>
        <v>24627</v>
      </c>
      <c r="H98" s="174">
        <f>$Q$18+$Q$19*C98+$Q$20*D98+$Q$21*E98+$Q$22*F98+$Q$23*G98</f>
        <v>31643562.133236028</v>
      </c>
      <c r="I98" s="9">
        <f>H98-B98</f>
        <v>-922261.46143217012</v>
      </c>
      <c r="J98" s="187">
        <f>I98/B98</f>
        <v>-2.831991823425483E-2</v>
      </c>
      <c r="K98" s="187">
        <f t="shared" si="7"/>
        <v>2.831991823425483E-2</v>
      </c>
      <c r="L98" s="188">
        <f t="shared" si="9"/>
        <v>850566203243.0022</v>
      </c>
      <c r="M98" s="188">
        <f t="shared" si="10"/>
        <v>-1020458.6661745273</v>
      </c>
      <c r="N98" s="188">
        <f t="shared" si="8"/>
        <v>1041335889370.6953</v>
      </c>
      <c r="O98" s="11"/>
      <c r="P98" s="157"/>
      <c r="Q98"/>
    </row>
    <row r="99" spans="1:17" x14ac:dyDescent="0.2">
      <c r="A99" s="173">
        <v>44592</v>
      </c>
      <c r="B99" s="174">
        <f>Inputs!D120</f>
        <v>35465006.471801899</v>
      </c>
      <c r="C99" s="176">
        <v>792.89999999999964</v>
      </c>
      <c r="D99" s="176">
        <v>0</v>
      </c>
      <c r="E99" s="174">
        <v>31</v>
      </c>
      <c r="F99" s="175">
        <v>0</v>
      </c>
      <c r="G99" s="174">
        <f>Inputs!G120+Inputs!I120+Inputs!L120+Inputs!X120</f>
        <v>24639</v>
      </c>
      <c r="H99" s="174">
        <f t="shared" ref="H99:H146" si="11">$Q$18+$Q$19*C99+$Q$20*D99+$Q$21*E99+$Q$22*F99+$Q$23*G99</f>
        <v>37187443.729974352</v>
      </c>
      <c r="I99" s="9">
        <f>H99-B99</f>
        <v>1722437.2581724524</v>
      </c>
      <c r="J99" s="187">
        <f>I99/B99</f>
        <v>4.8567233719298941E-2</v>
      </c>
      <c r="K99" s="187">
        <f t="shared" si="7"/>
        <v>4.8567233719298941E-2</v>
      </c>
      <c r="L99" s="188">
        <f t="shared" si="9"/>
        <v>2966790108340.6357</v>
      </c>
      <c r="M99" s="188">
        <f t="shared" si="10"/>
        <v>2644698.7196046226</v>
      </c>
      <c r="N99" s="188">
        <f t="shared" si="8"/>
        <v>6994431317478.3301</v>
      </c>
      <c r="O99" s="11"/>
      <c r="P99" s="157"/>
      <c r="Q99"/>
    </row>
    <row r="100" spans="1:17" x14ac:dyDescent="0.2">
      <c r="A100" s="173">
        <v>44620</v>
      </c>
      <c r="B100" s="174">
        <f>Inputs!D121</f>
        <v>31523310.542636499</v>
      </c>
      <c r="C100" s="176">
        <v>617.19999999999993</v>
      </c>
      <c r="D100" s="176">
        <v>0</v>
      </c>
      <c r="E100" s="174">
        <v>28</v>
      </c>
      <c r="F100" s="175">
        <v>0</v>
      </c>
      <c r="G100" s="174">
        <f>Inputs!G121+Inputs!I121+Inputs!L121+Inputs!X121</f>
        <v>24652</v>
      </c>
      <c r="H100" s="174">
        <f t="shared" si="11"/>
        <v>31589875.963689376</v>
      </c>
      <c r="I100" s="9">
        <f>H100-B100</f>
        <v>66565.42105287686</v>
      </c>
      <c r="J100" s="187">
        <f>I100/B100</f>
        <v>2.1116253308117671E-3</v>
      </c>
      <c r="K100" s="187">
        <f t="shared" si="7"/>
        <v>2.1116253308117671E-3</v>
      </c>
      <c r="L100" s="188">
        <f t="shared" si="9"/>
        <v>4430955279.9467821</v>
      </c>
      <c r="M100" s="188">
        <f t="shared" si="10"/>
        <v>-1655871.8371195756</v>
      </c>
      <c r="N100" s="188">
        <f t="shared" si="8"/>
        <v>2741911540965.7583</v>
      </c>
      <c r="O100" s="11"/>
      <c r="P100" s="157"/>
      <c r="Q100"/>
    </row>
    <row r="101" spans="1:17" x14ac:dyDescent="0.2">
      <c r="A101" s="173">
        <v>44651</v>
      </c>
      <c r="B101" s="174">
        <f>Inputs!D122</f>
        <v>32353240.0566434</v>
      </c>
      <c r="C101" s="176">
        <v>498.9</v>
      </c>
      <c r="D101" s="176">
        <v>0</v>
      </c>
      <c r="E101" s="174">
        <v>31</v>
      </c>
      <c r="F101" s="175">
        <v>1</v>
      </c>
      <c r="G101" s="174">
        <f>Inputs!G122+Inputs!I122+Inputs!L122+Inputs!X122</f>
        <v>24687</v>
      </c>
      <c r="H101" s="174">
        <f t="shared" si="11"/>
        <v>31765779.064533938</v>
      </c>
      <c r="I101" s="9">
        <f>H101-B101</f>
        <v>-587460.99210946262</v>
      </c>
      <c r="J101" s="187">
        <f>I101/B101</f>
        <v>-1.8157717467584322E-2</v>
      </c>
      <c r="K101" s="187">
        <f t="shared" si="7"/>
        <v>1.8157717467584322E-2</v>
      </c>
      <c r="L101" s="188">
        <f t="shared" si="9"/>
        <v>345110417250.23413</v>
      </c>
      <c r="M101" s="188">
        <f t="shared" si="10"/>
        <v>-654026.41316233948</v>
      </c>
      <c r="N101" s="188">
        <f t="shared" si="8"/>
        <v>427750549113.99518</v>
      </c>
      <c r="O101" s="11"/>
      <c r="P101" s="157"/>
      <c r="Q101"/>
    </row>
    <row r="102" spans="1:17" x14ac:dyDescent="0.2">
      <c r="A102" s="173">
        <v>44681</v>
      </c>
      <c r="B102" s="174">
        <f>Inputs!D123</f>
        <v>27915177.2162803</v>
      </c>
      <c r="C102" s="176">
        <v>336.8</v>
      </c>
      <c r="D102" s="176">
        <v>0</v>
      </c>
      <c r="E102" s="174">
        <v>30</v>
      </c>
      <c r="F102" s="175">
        <v>1</v>
      </c>
      <c r="G102" s="174">
        <f>Inputs!G123+Inputs!I123+Inputs!L123+Inputs!X123</f>
        <v>24739</v>
      </c>
      <c r="H102" s="174">
        <f t="shared" si="11"/>
        <v>28840022.043845229</v>
      </c>
      <c r="I102" s="9">
        <f>H102-B102</f>
        <v>924844.82756492868</v>
      </c>
      <c r="J102" s="187">
        <f>I102/B102</f>
        <v>3.3130537570993948E-2</v>
      </c>
      <c r="K102" s="187">
        <f t="shared" si="7"/>
        <v>3.3130537570993948E-2</v>
      </c>
      <c r="L102" s="188">
        <f t="shared" si="9"/>
        <v>855337955073.60266</v>
      </c>
      <c r="M102" s="188">
        <f t="shared" si="10"/>
        <v>1512305.8196743913</v>
      </c>
      <c r="N102" s="188">
        <f t="shared" si="8"/>
        <v>2287068892221.0327</v>
      </c>
      <c r="O102" s="11"/>
      <c r="P102" s="157"/>
      <c r="Q102"/>
    </row>
    <row r="103" spans="1:17" x14ac:dyDescent="0.2">
      <c r="A103" s="173">
        <v>44712</v>
      </c>
      <c r="B103" s="174">
        <f>Inputs!D124</f>
        <v>29942359.493953399</v>
      </c>
      <c r="C103" s="176">
        <v>112.50000000000001</v>
      </c>
      <c r="D103" s="176">
        <v>24.3</v>
      </c>
      <c r="E103" s="174">
        <v>31</v>
      </c>
      <c r="F103" s="175">
        <v>1</v>
      </c>
      <c r="G103" s="174">
        <f>Inputs!G124+Inputs!I124+Inputs!L124+Inputs!X124</f>
        <v>24766</v>
      </c>
      <c r="H103" s="174">
        <f t="shared" si="11"/>
        <v>29978343.116738103</v>
      </c>
      <c r="I103" s="9">
        <f>H103-B103</f>
        <v>35983.62278470397</v>
      </c>
      <c r="J103" s="187">
        <f>I103/B103</f>
        <v>1.2017631005990209E-3</v>
      </c>
      <c r="K103" s="187">
        <f t="shared" si="7"/>
        <v>1.2017631005990209E-3</v>
      </c>
      <c r="L103" s="188">
        <f t="shared" si="9"/>
        <v>1294821108.7118666</v>
      </c>
      <c r="M103" s="188">
        <f t="shared" si="10"/>
        <v>-888861.20478022471</v>
      </c>
      <c r="N103" s="188">
        <f t="shared" si="8"/>
        <v>790074241363.35254</v>
      </c>
      <c r="O103" s="11"/>
      <c r="P103" s="157"/>
      <c r="Q103"/>
    </row>
    <row r="104" spans="1:17" x14ac:dyDescent="0.2">
      <c r="A104" s="173">
        <v>44742</v>
      </c>
      <c r="B104" s="174">
        <f>Inputs!D125</f>
        <v>32984458.022498798</v>
      </c>
      <c r="C104" s="176">
        <v>29.599999999999998</v>
      </c>
      <c r="D104" s="176">
        <v>47.199999999999996</v>
      </c>
      <c r="E104" s="174">
        <v>30</v>
      </c>
      <c r="F104" s="175">
        <v>0</v>
      </c>
      <c r="G104" s="174">
        <f>Inputs!G125+Inputs!I125+Inputs!L125+Inputs!X125</f>
        <v>24790</v>
      </c>
      <c r="H104" s="174">
        <f t="shared" si="11"/>
        <v>32324858.085575283</v>
      </c>
      <c r="I104" s="9">
        <f>H104-B104</f>
        <v>-659599.93692351505</v>
      </c>
      <c r="J104" s="187">
        <f>I104/B104</f>
        <v>-1.9997294982794622E-2</v>
      </c>
      <c r="K104" s="187">
        <f t="shared" si="7"/>
        <v>1.9997294982794622E-2</v>
      </c>
      <c r="L104" s="188">
        <f t="shared" si="9"/>
        <v>435072076789.505</v>
      </c>
      <c r="M104" s="188">
        <f t="shared" si="10"/>
        <v>-695583.55970821902</v>
      </c>
      <c r="N104" s="188">
        <f t="shared" si="8"/>
        <v>483836488536.35748</v>
      </c>
      <c r="O104" s="11"/>
      <c r="P104" s="157"/>
      <c r="Q104"/>
    </row>
    <row r="105" spans="1:17" x14ac:dyDescent="0.2">
      <c r="A105" s="173">
        <v>44773</v>
      </c>
      <c r="B105" s="174">
        <f>Inputs!D126</f>
        <v>39133029.9268599</v>
      </c>
      <c r="C105" s="176">
        <v>0.5</v>
      </c>
      <c r="D105" s="176">
        <v>101.89999999999999</v>
      </c>
      <c r="E105" s="174">
        <v>31</v>
      </c>
      <c r="F105" s="175">
        <v>0</v>
      </c>
      <c r="G105" s="174">
        <f>Inputs!G126+Inputs!I126+Inputs!L126+Inputs!X126</f>
        <v>24818</v>
      </c>
      <c r="H105" s="174">
        <f t="shared" si="11"/>
        <v>38267700.91634503</v>
      </c>
      <c r="I105" s="9">
        <f>H105-B105</f>
        <v>-865329.01051487029</v>
      </c>
      <c r="J105" s="187">
        <f>I105/B105</f>
        <v>-2.2112497093431827E-2</v>
      </c>
      <c r="K105" s="187">
        <f t="shared" si="7"/>
        <v>2.2112497093431827E-2</v>
      </c>
      <c r="L105" s="188">
        <f t="shared" si="9"/>
        <v>748794296438.64453</v>
      </c>
      <c r="M105" s="188">
        <f t="shared" si="10"/>
        <v>-205729.07359135523</v>
      </c>
      <c r="N105" s="188">
        <f t="shared" si="8"/>
        <v>42324451720.757256</v>
      </c>
      <c r="O105" s="11"/>
      <c r="P105" s="157"/>
      <c r="Q105"/>
    </row>
    <row r="106" spans="1:17" x14ac:dyDescent="0.2">
      <c r="A106" s="173">
        <v>44804</v>
      </c>
      <c r="B106" s="174">
        <f>Inputs!D127</f>
        <v>39821521.175825201</v>
      </c>
      <c r="C106" s="176">
        <v>0.2</v>
      </c>
      <c r="D106" s="176">
        <v>103.60000000000001</v>
      </c>
      <c r="E106" s="174">
        <v>31</v>
      </c>
      <c r="F106" s="175">
        <v>0</v>
      </c>
      <c r="G106" s="174">
        <f>Inputs!G127+Inputs!I127+Inputs!L127+Inputs!X127</f>
        <v>24861</v>
      </c>
      <c r="H106" s="174">
        <f t="shared" si="11"/>
        <v>38438043.658499248</v>
      </c>
      <c r="I106" s="9">
        <f>H106-B106</f>
        <v>-1383477.5173259526</v>
      </c>
      <c r="J106" s="187">
        <f>I106/B106</f>
        <v>-3.4741955517405811E-2</v>
      </c>
      <c r="K106" s="187">
        <f t="shared" si="7"/>
        <v>3.4741955517405811E-2</v>
      </c>
      <c r="L106" s="188">
        <f t="shared" si="9"/>
        <v>1914010040946.3816</v>
      </c>
      <c r="M106" s="188">
        <f t="shared" si="10"/>
        <v>-518148.50681108236</v>
      </c>
      <c r="N106" s="188">
        <f t="shared" si="8"/>
        <v>268477875110.55426</v>
      </c>
      <c r="O106" s="11"/>
      <c r="P106" s="157"/>
      <c r="Q106"/>
    </row>
    <row r="107" spans="1:17" x14ac:dyDescent="0.2">
      <c r="A107" s="173">
        <v>44834</v>
      </c>
      <c r="B107" s="174">
        <f>Inputs!D128</f>
        <v>31429525.786972698</v>
      </c>
      <c r="C107" s="176">
        <v>66.000000000000014</v>
      </c>
      <c r="D107" s="176">
        <v>25.3</v>
      </c>
      <c r="E107" s="174">
        <v>30</v>
      </c>
      <c r="F107" s="175">
        <v>0</v>
      </c>
      <c r="G107" s="174">
        <f>Inputs!G128+Inputs!I128+Inputs!L128+Inputs!X128</f>
        <v>24901</v>
      </c>
      <c r="H107" s="174">
        <f t="shared" si="11"/>
        <v>30760248.035182215</v>
      </c>
      <c r="I107" s="9">
        <f>H107-B107</f>
        <v>-669277.75179048255</v>
      </c>
      <c r="J107" s="187">
        <f>I107/B107</f>
        <v>-2.1294554563972872E-2</v>
      </c>
      <c r="K107" s="187">
        <f t="shared" si="7"/>
        <v>2.1294554563972872E-2</v>
      </c>
      <c r="L107" s="188">
        <f t="shared" si="9"/>
        <v>447932709041.72278</v>
      </c>
      <c r="M107" s="188">
        <f t="shared" si="10"/>
        <v>714199.7655354701</v>
      </c>
      <c r="N107" s="188">
        <f t="shared" si="8"/>
        <v>510081305090.92047</v>
      </c>
      <c r="O107" s="11"/>
      <c r="P107" s="157"/>
      <c r="Q107"/>
    </row>
    <row r="108" spans="1:17" x14ac:dyDescent="0.2">
      <c r="A108" s="173">
        <v>44865</v>
      </c>
      <c r="B108" s="174">
        <f>Inputs!D129</f>
        <v>28375439.900397301</v>
      </c>
      <c r="C108" s="176">
        <v>260.39999999999998</v>
      </c>
      <c r="D108" s="176">
        <v>0</v>
      </c>
      <c r="E108" s="174">
        <v>31</v>
      </c>
      <c r="F108" s="175">
        <v>1</v>
      </c>
      <c r="G108" s="174">
        <f>Inputs!G129+Inputs!I129+Inputs!L129+Inputs!X129</f>
        <v>24980</v>
      </c>
      <c r="H108" s="174">
        <f t="shared" si="11"/>
        <v>29404134.769800417</v>
      </c>
      <c r="I108" s="9">
        <f>H108-B108</f>
        <v>1028694.8694031164</v>
      </c>
      <c r="J108" s="187">
        <f>I108/B108</f>
        <v>3.6253001645578473E-2</v>
      </c>
      <c r="K108" s="187">
        <f t="shared" si="7"/>
        <v>3.6253001645578473E-2</v>
      </c>
      <c r="L108" s="188">
        <f t="shared" si="9"/>
        <v>1058213134336.2947</v>
      </c>
      <c r="M108" s="188">
        <f t="shared" si="10"/>
        <v>1697972.621193599</v>
      </c>
      <c r="N108" s="188">
        <f t="shared" si="8"/>
        <v>2883111022323.061</v>
      </c>
      <c r="O108" s="11"/>
      <c r="P108" s="157"/>
      <c r="Q108"/>
    </row>
    <row r="109" spans="1:17" x14ac:dyDescent="0.2">
      <c r="A109" s="173">
        <v>44895</v>
      </c>
      <c r="B109" s="174">
        <f>Inputs!D130</f>
        <v>29798652.173497498</v>
      </c>
      <c r="C109" s="176">
        <v>378</v>
      </c>
      <c r="D109" s="176">
        <v>2.2999999999999998</v>
      </c>
      <c r="E109" s="174">
        <v>30</v>
      </c>
      <c r="F109" s="175">
        <v>1</v>
      </c>
      <c r="G109" s="174">
        <f>Inputs!G130+Inputs!I130+Inputs!L130+Inputs!X130</f>
        <v>25014</v>
      </c>
      <c r="H109" s="174">
        <f t="shared" si="11"/>
        <v>29599403.63161844</v>
      </c>
      <c r="I109" s="9">
        <f>H109-B109</f>
        <v>-199248.54187905788</v>
      </c>
      <c r="J109" s="187">
        <f>I109/B109</f>
        <v>-6.6864951045090132E-3</v>
      </c>
      <c r="K109" s="187">
        <f t="shared" si="7"/>
        <v>6.6864951045090132E-3</v>
      </c>
      <c r="L109" s="188">
        <f t="shared" si="9"/>
        <v>39699981440.930687</v>
      </c>
      <c r="M109" s="188">
        <f t="shared" si="10"/>
        <v>-1227943.4112821743</v>
      </c>
      <c r="N109" s="188">
        <f t="shared" si="8"/>
        <v>1507845021311.303</v>
      </c>
      <c r="O109" s="11"/>
      <c r="P109" s="157"/>
      <c r="Q109"/>
    </row>
    <row r="110" spans="1:17" x14ac:dyDescent="0.2">
      <c r="A110" s="173">
        <v>44926</v>
      </c>
      <c r="B110" s="174">
        <f>Inputs!D131</f>
        <v>33870515.1064891</v>
      </c>
      <c r="C110" s="176">
        <v>550.09999999999991</v>
      </c>
      <c r="D110" s="176">
        <v>0</v>
      </c>
      <c r="E110" s="174">
        <v>31</v>
      </c>
      <c r="F110" s="175">
        <v>1</v>
      </c>
      <c r="G110" s="174">
        <f>Inputs!G131+Inputs!I131+Inputs!L131+Inputs!X131</f>
        <v>25063</v>
      </c>
      <c r="H110" s="174">
        <f t="shared" si="11"/>
        <v>32464310.511628386</v>
      </c>
      <c r="I110" s="9">
        <f>H110-B110</f>
        <v>-1406204.5948607139</v>
      </c>
      <c r="J110" s="187">
        <f>I110/B110</f>
        <v>-4.1517071424499993E-2</v>
      </c>
      <c r="K110" s="187">
        <f t="shared" si="7"/>
        <v>4.1517071424499993E-2</v>
      </c>
      <c r="L110" s="188">
        <f t="shared" si="9"/>
        <v>1977411362607.3845</v>
      </c>
      <c r="M110" s="188">
        <f t="shared" si="10"/>
        <v>-1206956.052981656</v>
      </c>
      <c r="N110" s="188">
        <f t="shared" si="8"/>
        <v>1456742913829.0581</v>
      </c>
      <c r="O110" s="11"/>
      <c r="P110" s="157"/>
      <c r="Q110"/>
    </row>
    <row r="111" spans="1:17" x14ac:dyDescent="0.2">
      <c r="A111" s="173">
        <v>44957</v>
      </c>
      <c r="B111" s="174">
        <f>Inputs!D132</f>
        <v>33991812.103445902</v>
      </c>
      <c r="C111" s="174">
        <v>566.30000000000007</v>
      </c>
      <c r="D111" s="174">
        <v>0</v>
      </c>
      <c r="E111" s="174">
        <v>31</v>
      </c>
      <c r="F111" s="175">
        <v>0</v>
      </c>
      <c r="G111" s="174">
        <f>Inputs!G132+Inputs!I132+Inputs!L132+Inputs!X132</f>
        <v>25081</v>
      </c>
      <c r="H111" s="174">
        <f t="shared" si="11"/>
        <v>35015041.083912075</v>
      </c>
      <c r="I111" s="9">
        <f>H111-B111</f>
        <v>1023228.9804661721</v>
      </c>
      <c r="J111" s="187">
        <f>I111/B111</f>
        <v>3.0102219244805804E-2</v>
      </c>
      <c r="K111" s="187">
        <f t="shared" si="7"/>
        <v>3.0102219244805804E-2</v>
      </c>
      <c r="L111" s="188">
        <f t="shared" si="9"/>
        <v>1046997546465.842</v>
      </c>
      <c r="M111" s="188">
        <f t="shared" si="10"/>
        <v>2429433.575326886</v>
      </c>
      <c r="N111" s="188">
        <f t="shared" si="8"/>
        <v>5902147496925.5762</v>
      </c>
      <c r="O111" s="11"/>
      <c r="P111" s="157"/>
      <c r="Q111"/>
    </row>
    <row r="112" spans="1:17" x14ac:dyDescent="0.2">
      <c r="A112" s="173">
        <v>44985</v>
      </c>
      <c r="B112" s="174">
        <f>Inputs!D133</f>
        <v>30665858.379131198</v>
      </c>
      <c r="C112" s="174">
        <v>478.7999999999999</v>
      </c>
      <c r="D112" s="174">
        <v>0</v>
      </c>
      <c r="E112" s="174">
        <v>28</v>
      </c>
      <c r="F112" s="175">
        <v>0</v>
      </c>
      <c r="G112" s="174">
        <f>Inputs!G133+Inputs!I133+Inputs!L133+Inputs!X133</f>
        <v>25093</v>
      </c>
      <c r="H112" s="174">
        <f t="shared" si="11"/>
        <v>30337688.027245466</v>
      </c>
      <c r="I112" s="9">
        <f>H112-B112</f>
        <v>-328170.35188573226</v>
      </c>
      <c r="J112" s="187">
        <f>I112/B112</f>
        <v>-1.0701489188023496E-2</v>
      </c>
      <c r="K112" s="187">
        <f t="shared" si="7"/>
        <v>1.0701489188023496E-2</v>
      </c>
      <c r="L112" s="188">
        <f t="shared" si="9"/>
        <v>107695779856.80534</v>
      </c>
      <c r="M112" s="188">
        <f t="shared" si="10"/>
        <v>-1351399.3323519044</v>
      </c>
      <c r="N112" s="188">
        <f t="shared" si="8"/>
        <v>1826280155481.1729</v>
      </c>
      <c r="O112" s="11"/>
      <c r="P112" s="157"/>
      <c r="Q112"/>
    </row>
    <row r="113" spans="1:17" x14ac:dyDescent="0.2">
      <c r="A113" s="173">
        <v>45016</v>
      </c>
      <c r="B113" s="174">
        <f>Inputs!D134</f>
        <v>32629381.9263977</v>
      </c>
      <c r="C113" s="174">
        <v>518.90000000000009</v>
      </c>
      <c r="D113" s="174">
        <v>0</v>
      </c>
      <c r="E113" s="174">
        <v>31</v>
      </c>
      <c r="F113" s="175">
        <v>1</v>
      </c>
      <c r="G113" s="174">
        <f>Inputs!G134+Inputs!I134+Inputs!L134+Inputs!X134</f>
        <v>25129</v>
      </c>
      <c r="H113" s="174">
        <f t="shared" si="11"/>
        <v>32167441.826072104</v>
      </c>
      <c r="I113" s="9">
        <f>H113-B113</f>
        <v>-461940.10032559559</v>
      </c>
      <c r="J113" s="187">
        <f>I113/B113</f>
        <v>-1.4157182056577006E-2</v>
      </c>
      <c r="K113" s="187">
        <f t="shared" si="7"/>
        <v>1.4157182056577006E-2</v>
      </c>
      <c r="L113" s="188">
        <f t="shared" si="9"/>
        <v>213388656288.82132</v>
      </c>
      <c r="M113" s="188">
        <f t="shared" si="10"/>
        <v>-133769.74843986332</v>
      </c>
      <c r="N113" s="188">
        <f t="shared" si="8"/>
        <v>17894345597.664318</v>
      </c>
      <c r="O113" s="11"/>
      <c r="P113" s="157"/>
      <c r="Q113"/>
    </row>
    <row r="114" spans="1:17" x14ac:dyDescent="0.2">
      <c r="A114" s="173">
        <v>45046</v>
      </c>
      <c r="B114" s="174">
        <f>Inputs!D135</f>
        <v>28070848.797054499</v>
      </c>
      <c r="C114" s="174">
        <v>281.3</v>
      </c>
      <c r="D114" s="174">
        <v>0</v>
      </c>
      <c r="E114" s="174">
        <v>30</v>
      </c>
      <c r="F114" s="175">
        <v>1</v>
      </c>
      <c r="G114" s="174">
        <f>Inputs!G135+Inputs!I135+Inputs!L135+Inputs!X135</f>
        <v>25213</v>
      </c>
      <c r="H114" s="174">
        <f t="shared" si="11"/>
        <v>28467564.576661475</v>
      </c>
      <c r="I114" s="9">
        <f>H114-B114</f>
        <v>396715.77960697562</v>
      </c>
      <c r="J114" s="187">
        <f>I114/B114</f>
        <v>1.4132660628652005E-2</v>
      </c>
      <c r="K114" s="187">
        <f t="shared" si="7"/>
        <v>1.4132660628652005E-2</v>
      </c>
      <c r="L114" s="188">
        <f t="shared" si="9"/>
        <v>157383409789.17044</v>
      </c>
      <c r="M114" s="188">
        <f t="shared" si="10"/>
        <v>858655.8799325712</v>
      </c>
      <c r="N114" s="188">
        <f t="shared" si="8"/>
        <v>737289920142.77808</v>
      </c>
      <c r="O114" s="11"/>
      <c r="P114" s="157"/>
      <c r="Q114"/>
    </row>
    <row r="115" spans="1:17" x14ac:dyDescent="0.2">
      <c r="A115" s="173">
        <v>45077</v>
      </c>
      <c r="B115" s="174">
        <f>Inputs!D136</f>
        <v>28924411.6335361</v>
      </c>
      <c r="C115" s="174">
        <v>172.1</v>
      </c>
      <c r="D115" s="174">
        <v>5.4</v>
      </c>
      <c r="E115" s="174">
        <v>31</v>
      </c>
      <c r="F115" s="175">
        <v>1</v>
      </c>
      <c r="G115" s="174">
        <f>Inputs!G136+Inputs!I136+Inputs!L136+Inputs!X136</f>
        <v>25301</v>
      </c>
      <c r="H115" s="174">
        <f t="shared" si="11"/>
        <v>29113956.809225269</v>
      </c>
      <c r="I115" s="9">
        <f>H115-B115</f>
        <v>189545.17568916827</v>
      </c>
      <c r="J115" s="187">
        <f>I115/B115</f>
        <v>6.553121221293993E-3</v>
      </c>
      <c r="K115" s="187">
        <f t="shared" si="7"/>
        <v>6.553121221293993E-3</v>
      </c>
      <c r="L115" s="188">
        <f t="shared" si="9"/>
        <v>35927373627.037666</v>
      </c>
      <c r="M115" s="188">
        <f t="shared" si="10"/>
        <v>-207170.60391780734</v>
      </c>
      <c r="N115" s="188">
        <f t="shared" si="8"/>
        <v>42919659127.669014</v>
      </c>
      <c r="O115" s="11"/>
      <c r="P115" s="157"/>
      <c r="Q115"/>
    </row>
    <row r="116" spans="1:17" x14ac:dyDescent="0.2">
      <c r="A116" s="173">
        <v>45107</v>
      </c>
      <c r="B116" s="174">
        <f>Inputs!D137</f>
        <v>32337605.014613099</v>
      </c>
      <c r="C116" s="174">
        <v>33.4</v>
      </c>
      <c r="D116" s="174">
        <v>41.800000000000004</v>
      </c>
      <c r="E116" s="174">
        <v>30</v>
      </c>
      <c r="F116" s="175">
        <v>0</v>
      </c>
      <c r="G116" s="174">
        <f>Inputs!G137+Inputs!I137+Inputs!L137+Inputs!X137</f>
        <v>25386</v>
      </c>
      <c r="H116" s="174">
        <f t="shared" si="11"/>
        <v>32133204.911413386</v>
      </c>
      <c r="I116" s="9">
        <f>H116-B116</f>
        <v>-204400.10319971293</v>
      </c>
      <c r="J116" s="187">
        <f>I116/B116</f>
        <v>-6.3208176087049799E-3</v>
      </c>
      <c r="K116" s="187">
        <f t="shared" si="7"/>
        <v>6.3208176087049799E-3</v>
      </c>
      <c r="L116" s="188">
        <f t="shared" si="9"/>
        <v>41779402188.053299</v>
      </c>
      <c r="M116" s="188">
        <f t="shared" si="10"/>
        <v>-393945.27888888121</v>
      </c>
      <c r="N116" s="188">
        <f t="shared" si="8"/>
        <v>155192882758.83838</v>
      </c>
      <c r="O116" s="11"/>
      <c r="P116" s="157"/>
      <c r="Q116"/>
    </row>
    <row r="117" spans="1:17" x14ac:dyDescent="0.2">
      <c r="A117" s="173">
        <v>45138</v>
      </c>
      <c r="B117" s="174">
        <f>Inputs!D138</f>
        <v>39594891.335779101</v>
      </c>
      <c r="C117" s="174">
        <v>0</v>
      </c>
      <c r="D117" s="174">
        <v>103.39999999999996</v>
      </c>
      <c r="E117" s="174">
        <v>31</v>
      </c>
      <c r="F117" s="175">
        <v>0</v>
      </c>
      <c r="G117" s="174">
        <f>Inputs!G138+Inputs!I138+Inputs!L138+Inputs!X138</f>
        <v>25423</v>
      </c>
      <c r="H117" s="174">
        <f t="shared" si="11"/>
        <v>38663023.984242387</v>
      </c>
      <c r="I117" s="9">
        <f>H117-B117</f>
        <v>-931867.35153671354</v>
      </c>
      <c r="J117" s="187">
        <f>I117/B117</f>
        <v>-2.3535040003876736E-2</v>
      </c>
      <c r="K117" s="187">
        <f t="shared" si="7"/>
        <v>2.3535040003876736E-2</v>
      </c>
      <c r="L117" s="188">
        <f t="shared" si="9"/>
        <v>868376760860.04883</v>
      </c>
      <c r="M117" s="188">
        <f t="shared" si="10"/>
        <v>-727467.24833700061</v>
      </c>
      <c r="N117" s="188">
        <f t="shared" si="8"/>
        <v>529208597403.00732</v>
      </c>
      <c r="O117" s="11"/>
      <c r="P117" s="157"/>
      <c r="Q117"/>
    </row>
    <row r="118" spans="1:17" x14ac:dyDescent="0.2">
      <c r="A118" s="173">
        <v>45169</v>
      </c>
      <c r="B118" s="174">
        <f>Inputs!D139</f>
        <v>35523357.586275995</v>
      </c>
      <c r="C118" s="174">
        <v>13.600000000000001</v>
      </c>
      <c r="D118" s="174">
        <v>49.099999999999994</v>
      </c>
      <c r="E118" s="174">
        <v>31</v>
      </c>
      <c r="F118" s="175">
        <v>0</v>
      </c>
      <c r="G118" s="174">
        <f>Inputs!G139+Inputs!I139+Inputs!L139+Inputs!X139</f>
        <v>25474</v>
      </c>
      <c r="H118" s="174">
        <f>$Q$18+$Q$19*C118+$Q$20*D118+$Q$21*E118+$Q$22*F118+$Q$23*G118</f>
        <v>33885683.172819957</v>
      </c>
      <c r="I118" s="9">
        <f>H118-B118</f>
        <v>-1637674.4134560376</v>
      </c>
      <c r="J118" s="187">
        <f>I118/B118</f>
        <v>-4.6101340772155296E-2</v>
      </c>
      <c r="K118" s="187">
        <f t="shared" si="7"/>
        <v>4.6101340772155296E-2</v>
      </c>
      <c r="L118" s="188">
        <f t="shared" si="9"/>
        <v>2681977484488.5771</v>
      </c>
      <c r="M118" s="188">
        <f t="shared" si="10"/>
        <v>-705807.0619193241</v>
      </c>
      <c r="N118" s="188">
        <f t="shared" si="8"/>
        <v>498163608655.1886</v>
      </c>
      <c r="O118" s="11"/>
      <c r="P118" s="157"/>
      <c r="Q118"/>
    </row>
    <row r="119" spans="1:17" x14ac:dyDescent="0.2">
      <c r="A119" s="173">
        <v>45199</v>
      </c>
      <c r="B119" s="174">
        <f>Inputs!D140</f>
        <v>31570923.270029802</v>
      </c>
      <c r="C119" s="174">
        <v>45.999999999999993</v>
      </c>
      <c r="D119" s="174">
        <v>29.400000000000002</v>
      </c>
      <c r="E119" s="174">
        <v>30</v>
      </c>
      <c r="F119" s="175">
        <v>0</v>
      </c>
      <c r="G119" s="174">
        <f>Inputs!G140+Inputs!I140+Inputs!L140+Inputs!X140</f>
        <v>25548</v>
      </c>
      <c r="H119" s="174">
        <f t="shared" si="11"/>
        <v>31206967.850261059</v>
      </c>
      <c r="I119" s="9">
        <f>H119-B119</f>
        <v>-363955.41976874322</v>
      </c>
      <c r="J119" s="187">
        <f>I119/B119</f>
        <v>-1.1528184230020449E-2</v>
      </c>
      <c r="K119" s="187">
        <f t="shared" si="7"/>
        <v>1.1528184230020449E-2</v>
      </c>
      <c r="L119" s="188">
        <f t="shared" si="9"/>
        <v>132463547579.04208</v>
      </c>
      <c r="M119" s="188">
        <f t="shared" si="10"/>
        <v>1273718.9936872944</v>
      </c>
      <c r="N119" s="188">
        <f t="shared" si="8"/>
        <v>1622360074879.7739</v>
      </c>
      <c r="O119" s="11"/>
      <c r="P119" s="157"/>
      <c r="Q119"/>
    </row>
    <row r="120" spans="1:17" x14ac:dyDescent="0.2">
      <c r="A120" s="173">
        <v>45230</v>
      </c>
      <c r="B120" s="174">
        <f>Inputs!D141</f>
        <v>29609700.8526466</v>
      </c>
      <c r="C120" s="174">
        <v>194.50000000000003</v>
      </c>
      <c r="D120" s="174">
        <v>10.6</v>
      </c>
      <c r="E120" s="174">
        <v>31</v>
      </c>
      <c r="F120" s="175">
        <v>1</v>
      </c>
      <c r="G120" s="174">
        <f>Inputs!G141+Inputs!I141+Inputs!L141+Inputs!X141</f>
        <v>25670</v>
      </c>
      <c r="H120" s="174">
        <f>$Q$18+$Q$19*C120+$Q$20*D120+$Q$21*E120+$Q$22*F120+$Q$23*G120</f>
        <v>29982037.246776946</v>
      </c>
      <c r="I120" s="9">
        <f>H120-B120</f>
        <v>372336.39413034543</v>
      </c>
      <c r="J120" s="187">
        <f>I120/B120</f>
        <v>1.2574811072333577E-2</v>
      </c>
      <c r="K120" s="187">
        <f t="shared" si="7"/>
        <v>1.2574811072333577E-2</v>
      </c>
      <c r="L120" s="188">
        <f t="shared" si="9"/>
        <v>138634390393.98795</v>
      </c>
      <c r="M120" s="188">
        <f t="shared" si="10"/>
        <v>736291.81389908865</v>
      </c>
      <c r="N120" s="188">
        <f t="shared" si="8"/>
        <v>542125635214.81018</v>
      </c>
      <c r="O120" s="11"/>
      <c r="P120" s="157"/>
      <c r="Q120"/>
    </row>
    <row r="121" spans="1:17" x14ac:dyDescent="0.2">
      <c r="A121" s="173">
        <v>45260</v>
      </c>
      <c r="B121" s="174">
        <f>Inputs!D142</f>
        <v>30895716.9335532</v>
      </c>
      <c r="C121" s="174">
        <v>423.09999999999985</v>
      </c>
      <c r="D121" s="174">
        <v>0</v>
      </c>
      <c r="E121" s="174">
        <v>30</v>
      </c>
      <c r="F121" s="175">
        <v>1</v>
      </c>
      <c r="G121" s="174">
        <f>Inputs!G142+Inputs!I142+Inputs!L142+Inputs!X142</f>
        <v>25701</v>
      </c>
      <c r="H121" s="174">
        <f t="shared" si="11"/>
        <v>30160678.101927571</v>
      </c>
      <c r="I121" s="9">
        <f>H121-B121</f>
        <v>-735038.83162562922</v>
      </c>
      <c r="J121" s="187">
        <f>I121/B121</f>
        <v>-2.3790962132597942E-2</v>
      </c>
      <c r="K121" s="187">
        <f t="shared" si="7"/>
        <v>2.3790962132597942E-2</v>
      </c>
      <c r="L121" s="188">
        <f t="shared" si="9"/>
        <v>540282083997.57007</v>
      </c>
      <c r="M121" s="188">
        <f t="shared" si="10"/>
        <v>-1107375.2257559747</v>
      </c>
      <c r="N121" s="188">
        <f t="shared" si="8"/>
        <v>1226279890618.0957</v>
      </c>
      <c r="O121" s="11"/>
      <c r="P121" s="157"/>
      <c r="Q121"/>
    </row>
    <row r="122" spans="1:17" x14ac:dyDescent="0.2">
      <c r="A122" s="173">
        <v>45291</v>
      </c>
      <c r="B122" s="174">
        <f>Inputs!D143</f>
        <v>32819279.789655898</v>
      </c>
      <c r="C122" s="174">
        <v>451.80000000000013</v>
      </c>
      <c r="D122" s="174">
        <v>0</v>
      </c>
      <c r="E122" s="174">
        <v>31</v>
      </c>
      <c r="F122" s="175">
        <v>1</v>
      </c>
      <c r="G122" s="174">
        <f>Inputs!G143+Inputs!I143+Inputs!L143+Inputs!X143</f>
        <v>25753</v>
      </c>
      <c r="H122" s="174">
        <f t="shared" si="11"/>
        <v>31739364.225239471</v>
      </c>
      <c r="I122" s="9">
        <f>H122-B122</f>
        <v>-1079915.5644164272</v>
      </c>
      <c r="J122" s="187">
        <f>I122/B122</f>
        <v>-3.2904913555013446E-2</v>
      </c>
      <c r="K122" s="187">
        <f t="shared" si="7"/>
        <v>3.2904913555013446E-2</v>
      </c>
      <c r="L122" s="188">
        <f t="shared" si="9"/>
        <v>1166217626268.8503</v>
      </c>
      <c r="M122" s="188">
        <f t="shared" si="10"/>
        <v>-344876.73279079795</v>
      </c>
      <c r="N122" s="188">
        <f t="shared" si="8"/>
        <v>118939960820.45544</v>
      </c>
      <c r="O122" s="11"/>
      <c r="P122" s="157"/>
      <c r="Q122"/>
    </row>
    <row r="123" spans="1:17" x14ac:dyDescent="0.2">
      <c r="A123" s="173">
        <v>45322</v>
      </c>
      <c r="B123" s="174"/>
      <c r="C123" s="177">
        <f>(C3+C15+C27+C39+C51+C63+C75+C87+C99+C111)/10</f>
        <v>678.22</v>
      </c>
      <c r="D123" s="177">
        <f>(D3+D15+D27+D39+D51+D63+D75+D87+D99+D111)/10</f>
        <v>0</v>
      </c>
      <c r="E123" s="174">
        <v>31</v>
      </c>
      <c r="F123" s="175">
        <v>0</v>
      </c>
      <c r="G123" s="178">
        <f>'Rate Class Customer Model'!P11</f>
        <v>25779.820378677985</v>
      </c>
      <c r="H123" s="174">
        <f t="shared" si="11"/>
        <v>36488267.112549022</v>
      </c>
      <c r="I123" s="9"/>
      <c r="J123" s="161" t="s">
        <v>54</v>
      </c>
      <c r="K123" s="187">
        <f>AVERAGE(K3:K122)</f>
        <v>2.8002982725527467E-2</v>
      </c>
      <c r="L123" s="33">
        <f>SUM(L3:L122)</f>
        <v>179079422576331.06</v>
      </c>
      <c r="M123" s="33"/>
      <c r="N123" s="33">
        <f>SUM(N3:N122)</f>
        <v>197126276531352.63</v>
      </c>
      <c r="O123" s="161"/>
      <c r="P123" s="157"/>
      <c r="Q123"/>
    </row>
    <row r="124" spans="1:17" x14ac:dyDescent="0.2">
      <c r="A124" s="173">
        <v>45351</v>
      </c>
      <c r="B124" s="174"/>
      <c r="C124" s="177">
        <f t="shared" ref="C124:D133" si="12">(C4+C16+C28+C40+C52+C64+C76+C88+C100+C112)/10</f>
        <v>616.86</v>
      </c>
      <c r="D124" s="177">
        <f t="shared" si="12"/>
        <v>0</v>
      </c>
      <c r="E124" s="174">
        <v>29</v>
      </c>
      <c r="F124" s="175">
        <v>0</v>
      </c>
      <c r="G124" s="178">
        <f>'Rate Class Customer Model'!P12</f>
        <v>25806.668689352726</v>
      </c>
      <c r="H124" s="174">
        <f t="shared" si="11"/>
        <v>33346664.533823669</v>
      </c>
      <c r="I124" s="9"/>
      <c r="J124" s="9"/>
      <c r="K124" s="9"/>
      <c r="P124" s="157"/>
      <c r="Q124"/>
    </row>
    <row r="125" spans="1:17" x14ac:dyDescent="0.2">
      <c r="A125" s="173">
        <v>45382</v>
      </c>
      <c r="B125" s="174"/>
      <c r="C125" s="177">
        <f t="shared" si="12"/>
        <v>539.83000000000015</v>
      </c>
      <c r="D125" s="177">
        <f t="shared" si="12"/>
        <v>0</v>
      </c>
      <c r="E125" s="174">
        <v>31</v>
      </c>
      <c r="F125" s="175">
        <v>1</v>
      </c>
      <c r="G125" s="178">
        <f>'Rate Class Customer Model'!P13</f>
        <v>25833.544961113908</v>
      </c>
      <c r="H125" s="174">
        <f t="shared" si="11"/>
        <v>32693392.416938461</v>
      </c>
      <c r="I125" s="9"/>
      <c r="J125" s="9"/>
      <c r="K125" s="9"/>
      <c r="P125" s="157"/>
      <c r="Q125" s="41"/>
    </row>
    <row r="126" spans="1:17" x14ac:dyDescent="0.2">
      <c r="A126" s="173">
        <v>45412</v>
      </c>
      <c r="B126" s="174"/>
      <c r="C126" s="177">
        <f>(C6+C18+C30+C42+C54+C66+C78+C90+C102+C114)/10</f>
        <v>333.62</v>
      </c>
      <c r="D126" s="177">
        <f>(D6+D18+D30+D42+D54+D66+D78+D90+D102+D114)/10</f>
        <v>0.05</v>
      </c>
      <c r="E126" s="174">
        <v>30</v>
      </c>
      <c r="F126" s="175">
        <v>1</v>
      </c>
      <c r="G126" s="178">
        <f>'Rate Class Customer Model'!P14</f>
        <v>25860.449223081519</v>
      </c>
      <c r="H126" s="174">
        <f t="shared" si="11"/>
        <v>29300803.364802957</v>
      </c>
      <c r="I126" s="9"/>
      <c r="J126" s="9"/>
      <c r="K126" s="9"/>
      <c r="P126" s="157"/>
      <c r="Q126"/>
    </row>
    <row r="127" spans="1:17" x14ac:dyDescent="0.2">
      <c r="A127" s="173">
        <v>45443</v>
      </c>
      <c r="B127" s="174"/>
      <c r="C127" s="177">
        <f t="shared" si="12"/>
        <v>147.99</v>
      </c>
      <c r="D127" s="177">
        <f t="shared" si="12"/>
        <v>17.32</v>
      </c>
      <c r="E127" s="174">
        <v>31</v>
      </c>
      <c r="F127" s="175">
        <v>1</v>
      </c>
      <c r="G127" s="178">
        <f>'Rate Class Customer Model'!P15</f>
        <v>25887.381504405865</v>
      </c>
      <c r="H127" s="174">
        <f t="shared" si="11"/>
        <v>30202977.488838784</v>
      </c>
      <c r="I127" s="9"/>
      <c r="J127" s="9"/>
      <c r="K127" s="9"/>
      <c r="P127" s="157"/>
      <c r="Q127"/>
    </row>
    <row r="128" spans="1:17" x14ac:dyDescent="0.2">
      <c r="A128" s="173">
        <v>45473</v>
      </c>
      <c r="B128" s="174"/>
      <c r="C128" s="177">
        <f t="shared" si="12"/>
        <v>28.179999999999996</v>
      </c>
      <c r="D128" s="177">
        <f t="shared" si="12"/>
        <v>52.879999999999995</v>
      </c>
      <c r="E128" s="174">
        <v>30</v>
      </c>
      <c r="F128" s="175">
        <v>0</v>
      </c>
      <c r="G128" s="178">
        <f>'Rate Class Customer Model'!P16</f>
        <v>25914.341834267616</v>
      </c>
      <c r="H128" s="174">
        <f>$Q$18+$Q$19*C128+$Q$20*D128+$Q$21*E128+$Q$22*F128+$Q$23*G128</f>
        <v>33317629.837203249</v>
      </c>
      <c r="I128" s="9"/>
      <c r="J128" s="9"/>
      <c r="K128" s="9"/>
      <c r="P128" s="157"/>
      <c r="Q128"/>
    </row>
    <row r="129" spans="1:17" x14ac:dyDescent="0.2">
      <c r="A129" s="173">
        <v>45504</v>
      </c>
      <c r="B129" s="174"/>
      <c r="C129" s="177">
        <f t="shared" si="12"/>
        <v>3.06</v>
      </c>
      <c r="D129" s="177">
        <f t="shared" si="12"/>
        <v>105.36999999999998</v>
      </c>
      <c r="E129" s="174">
        <v>31</v>
      </c>
      <c r="F129" s="175">
        <v>0</v>
      </c>
      <c r="G129" s="178">
        <f>'Rate Class Customer Model'!P17</f>
        <v>25941.330241877829</v>
      </c>
      <c r="H129" s="174">
        <f t="shared" si="11"/>
        <v>39100454.803019136</v>
      </c>
      <c r="I129" s="9"/>
      <c r="J129" s="9"/>
      <c r="K129" s="9"/>
      <c r="L129"/>
      <c r="M129"/>
      <c r="N129"/>
      <c r="O129"/>
      <c r="P129" s="157"/>
      <c r="Q129"/>
    </row>
    <row r="130" spans="1:17" x14ac:dyDescent="0.2">
      <c r="A130" s="173">
        <v>45535</v>
      </c>
      <c r="B130" s="174"/>
      <c r="C130" s="177">
        <f t="shared" si="12"/>
        <v>6.6700000000000017</v>
      </c>
      <c r="D130" s="177">
        <f t="shared" si="12"/>
        <v>88.690000000000012</v>
      </c>
      <c r="E130" s="174">
        <v>31</v>
      </c>
      <c r="F130" s="175">
        <v>0</v>
      </c>
      <c r="G130" s="178">
        <f>'Rate Class Customer Model'!P18</f>
        <v>25968.346756477986</v>
      </c>
      <c r="H130" s="174">
        <f t="shared" si="11"/>
        <v>37631968.08125665</v>
      </c>
      <c r="I130" s="9"/>
      <c r="J130" s="9"/>
      <c r="K130" s="9"/>
      <c r="L130"/>
      <c r="M130"/>
      <c r="N130"/>
      <c r="O130"/>
      <c r="P130" s="157"/>
      <c r="Q130"/>
    </row>
    <row r="131" spans="1:17" x14ac:dyDescent="0.2">
      <c r="A131" s="173">
        <v>45565</v>
      </c>
      <c r="B131" s="174"/>
      <c r="C131" s="177">
        <f t="shared" si="12"/>
        <v>53.92</v>
      </c>
      <c r="D131" s="177">
        <f t="shared" si="12"/>
        <v>34.25</v>
      </c>
      <c r="E131" s="174">
        <v>30</v>
      </c>
      <c r="F131" s="175">
        <v>0</v>
      </c>
      <c r="G131" s="178">
        <f>'Rate Class Customer Model'!P19</f>
        <v>25995.391407340019</v>
      </c>
      <c r="H131" s="174">
        <f t="shared" si="11"/>
        <v>31926262.87840195</v>
      </c>
      <c r="I131" s="9"/>
      <c r="J131" s="9"/>
      <c r="K131" s="9"/>
      <c r="L131"/>
      <c r="M131"/>
      <c r="N131"/>
      <c r="O131"/>
      <c r="P131" s="157"/>
      <c r="Q131"/>
    </row>
    <row r="132" spans="1:17" x14ac:dyDescent="0.2">
      <c r="A132" s="173">
        <v>45596</v>
      </c>
      <c r="B132" s="174"/>
      <c r="C132" s="177">
        <f t="shared" si="12"/>
        <v>212.45</v>
      </c>
      <c r="D132" s="177">
        <f t="shared" si="12"/>
        <v>5.3</v>
      </c>
      <c r="E132" s="174">
        <v>31</v>
      </c>
      <c r="F132" s="175">
        <v>1</v>
      </c>
      <c r="G132" s="178">
        <f>'Rate Class Customer Model'!P20</f>
        <v>26022.46422376635</v>
      </c>
      <c r="H132" s="174">
        <f t="shared" si="11"/>
        <v>29840901.116253428</v>
      </c>
      <c r="I132" s="9"/>
      <c r="J132" s="9"/>
      <c r="K132" s="9"/>
      <c r="L132"/>
      <c r="M132"/>
      <c r="N132"/>
      <c r="O132"/>
      <c r="P132" s="157"/>
      <c r="Q132"/>
    </row>
    <row r="133" spans="1:17" x14ac:dyDescent="0.2">
      <c r="A133" s="173">
        <v>45626</v>
      </c>
      <c r="B133" s="174"/>
      <c r="C133" s="177">
        <f t="shared" si="12"/>
        <v>408.5</v>
      </c>
      <c r="D133" s="177">
        <f t="shared" si="12"/>
        <v>0.22999999999999998</v>
      </c>
      <c r="E133" s="174">
        <v>30</v>
      </c>
      <c r="F133" s="175">
        <v>1</v>
      </c>
      <c r="G133" s="178">
        <f>'Rate Class Customer Model'!P21</f>
        <v>26049.565235089914</v>
      </c>
      <c r="H133" s="174">
        <f t="shared" si="11"/>
        <v>30181332.54837852</v>
      </c>
      <c r="I133" s="9"/>
      <c r="J133" s="9"/>
      <c r="K133" s="9"/>
      <c r="L133"/>
      <c r="M133"/>
      <c r="N133"/>
      <c r="O133"/>
      <c r="P133" s="157"/>
      <c r="Q133"/>
    </row>
    <row r="134" spans="1:17" x14ac:dyDescent="0.2">
      <c r="A134" s="173">
        <v>45657</v>
      </c>
      <c r="B134" s="174"/>
      <c r="C134" s="177">
        <f>(C14+C26+C38+C50+C62+C74+C86+C98+C110+C122)/10</f>
        <v>533.85000000000014</v>
      </c>
      <c r="D134" s="177">
        <f>(D14+D26+D38+D50+D62+D74+D86+D98+D110+D122)/10</f>
        <v>0</v>
      </c>
      <c r="E134" s="174">
        <v>31</v>
      </c>
      <c r="F134" s="175">
        <v>1</v>
      </c>
      <c r="G134" s="178">
        <f>'Rate Class Customer Model'!P22</f>
        <v>26076.694470674196</v>
      </c>
      <c r="H134" s="174">
        <f t="shared" si="11"/>
        <v>32737087.542738967</v>
      </c>
      <c r="I134" s="9"/>
      <c r="J134" s="9"/>
      <c r="K134" s="9"/>
      <c r="L134"/>
      <c r="M134"/>
      <c r="N134"/>
      <c r="O134"/>
      <c r="P134" s="157"/>
      <c r="Q134"/>
    </row>
    <row r="135" spans="1:17" x14ac:dyDescent="0.2">
      <c r="A135" s="173">
        <v>45688</v>
      </c>
      <c r="B135" s="174"/>
      <c r="C135" s="177">
        <f>+C123</f>
        <v>678.22</v>
      </c>
      <c r="D135" s="177">
        <f>+D123</f>
        <v>0</v>
      </c>
      <c r="E135" s="174">
        <v>31</v>
      </c>
      <c r="F135" s="175">
        <v>0</v>
      </c>
      <c r="G135" s="178">
        <f>'Rate Class Customer Model'!Q11</f>
        <v>26136.693899439641</v>
      </c>
      <c r="H135" s="174">
        <f t="shared" si="11"/>
        <v>36644014.413768366</v>
      </c>
      <c r="I135" s="9"/>
      <c r="J135" s="9"/>
      <c r="K135" s="9"/>
      <c r="L135"/>
      <c r="M135"/>
      <c r="N135"/>
      <c r="O135"/>
      <c r="P135" s="157"/>
      <c r="Q135"/>
    </row>
    <row r="136" spans="1:17" x14ac:dyDescent="0.2">
      <c r="A136" s="173">
        <v>45716</v>
      </c>
      <c r="B136" s="174"/>
      <c r="C136" s="177">
        <f t="shared" ref="C136:D136" si="13">+C124</f>
        <v>616.86</v>
      </c>
      <c r="D136" s="177">
        <f t="shared" si="13"/>
        <v>0</v>
      </c>
      <c r="E136" s="174">
        <v>28</v>
      </c>
      <c r="F136" s="175">
        <v>0</v>
      </c>
      <c r="G136" s="178">
        <f>'Rate Class Customer Model'!Q12</f>
        <v>26196.831379883995</v>
      </c>
      <c r="H136" s="174">
        <f t="shared" si="11"/>
        <v>32260524.700252078</v>
      </c>
      <c r="I136" s="9"/>
      <c r="J136" s="9"/>
      <c r="K136" s="9"/>
      <c r="L136"/>
      <c r="M136"/>
      <c r="N136"/>
      <c r="O136"/>
      <c r="P136" s="157"/>
      <c r="Q136"/>
    </row>
    <row r="137" spans="1:17" x14ac:dyDescent="0.2">
      <c r="A137" s="173">
        <v>45747</v>
      </c>
      <c r="B137" s="174"/>
      <c r="C137" s="177">
        <f t="shared" ref="C137:D137" si="14">+C125</f>
        <v>539.83000000000015</v>
      </c>
      <c r="D137" s="177">
        <f t="shared" si="14"/>
        <v>0</v>
      </c>
      <c r="E137" s="174">
        <v>31</v>
      </c>
      <c r="F137" s="175">
        <v>1</v>
      </c>
      <c r="G137" s="178">
        <f>'Rate Class Customer Model'!Q13</f>
        <v>26257.107229648056</v>
      </c>
      <c r="H137" s="174">
        <f t="shared" si="11"/>
        <v>32878244.125974614</v>
      </c>
      <c r="I137" s="9"/>
      <c r="J137" s="9"/>
      <c r="K137" s="9"/>
      <c r="L137"/>
      <c r="M137"/>
      <c r="N137"/>
      <c r="O137"/>
      <c r="P137" s="157"/>
      <c r="Q137"/>
    </row>
    <row r="138" spans="1:17" x14ac:dyDescent="0.2">
      <c r="A138" s="173">
        <v>45777</v>
      </c>
      <c r="B138" s="174"/>
      <c r="C138" s="177">
        <f t="shared" ref="C138:D138" si="15">+C126</f>
        <v>333.62</v>
      </c>
      <c r="D138" s="177">
        <f t="shared" si="15"/>
        <v>0.05</v>
      </c>
      <c r="E138" s="174">
        <v>30</v>
      </c>
      <c r="F138" s="175">
        <v>1</v>
      </c>
      <c r="G138" s="178">
        <f>'Rate Class Customer Model'!Q14</f>
        <v>26317.521767103466</v>
      </c>
      <c r="H138" s="174">
        <f t="shared" si="11"/>
        <v>29500279.680784456</v>
      </c>
      <c r="I138" s="9"/>
      <c r="J138" s="9"/>
      <c r="K138" s="9"/>
      <c r="L138"/>
      <c r="M138"/>
      <c r="N138"/>
      <c r="O138"/>
      <c r="P138" s="157"/>
      <c r="Q138"/>
    </row>
    <row r="139" spans="1:17" x14ac:dyDescent="0.2">
      <c r="A139" s="173">
        <v>45808</v>
      </c>
      <c r="B139" s="174"/>
      <c r="C139" s="177">
        <f t="shared" ref="C139:D139" si="16">+C127</f>
        <v>147.99</v>
      </c>
      <c r="D139" s="177">
        <f t="shared" si="16"/>
        <v>17.32</v>
      </c>
      <c r="E139" s="174">
        <v>31</v>
      </c>
      <c r="F139" s="175">
        <v>1</v>
      </c>
      <c r="G139" s="178">
        <f>'Rate Class Customer Model'!Q15</f>
        <v>26378.075311354409</v>
      </c>
      <c r="H139" s="174">
        <f t="shared" si="11"/>
        <v>30417126.849077608</v>
      </c>
      <c r="I139" s="9"/>
      <c r="J139" s="9"/>
      <c r="K139" s="9"/>
      <c r="L139"/>
      <c r="M139"/>
      <c r="N139"/>
      <c r="O139"/>
      <c r="P139" s="157"/>
      <c r="Q139"/>
    </row>
    <row r="140" spans="1:17" x14ac:dyDescent="0.2">
      <c r="A140" s="173">
        <v>45838</v>
      </c>
      <c r="B140" s="174"/>
      <c r="C140" s="177">
        <f t="shared" ref="C140:D140" si="17">+C128</f>
        <v>28.179999999999996</v>
      </c>
      <c r="D140" s="177">
        <f t="shared" si="17"/>
        <v>52.879999999999995</v>
      </c>
      <c r="E140" s="174">
        <v>30</v>
      </c>
      <c r="F140" s="175">
        <v>0</v>
      </c>
      <c r="G140" s="178">
        <f>'Rate Class Customer Model'!Q16</f>
        <v>26438.768182239288</v>
      </c>
      <c r="H140" s="174">
        <f t="shared" si="11"/>
        <v>33546500.805860683</v>
      </c>
      <c r="I140" s="9"/>
      <c r="J140" s="9"/>
      <c r="K140" s="9"/>
      <c r="L140"/>
      <c r="M140"/>
      <c r="N140"/>
      <c r="O140"/>
      <c r="P140" s="157"/>
      <c r="Q140"/>
    </row>
    <row r="141" spans="1:17" x14ac:dyDescent="0.2">
      <c r="A141" s="173">
        <v>45869</v>
      </c>
      <c r="B141" s="174"/>
      <c r="C141" s="177">
        <f t="shared" ref="C141:D141" si="18">+C129</f>
        <v>3.06</v>
      </c>
      <c r="D141" s="177">
        <f t="shared" si="18"/>
        <v>105.36999999999998</v>
      </c>
      <c r="E141" s="174">
        <v>31</v>
      </c>
      <c r="F141" s="175">
        <v>0</v>
      </c>
      <c r="G141" s="178">
        <f>'Rate Class Customer Model'!Q17</f>
        <v>26499.600700332419</v>
      </c>
      <c r="H141" s="174">
        <f t="shared" si="11"/>
        <v>39344096.071413673</v>
      </c>
      <c r="I141" s="9"/>
      <c r="J141" s="9"/>
      <c r="K141" s="9"/>
      <c r="L141"/>
      <c r="M141"/>
      <c r="N141"/>
      <c r="O141"/>
      <c r="P141" s="157"/>
      <c r="Q141"/>
    </row>
    <row r="142" spans="1:17" x14ac:dyDescent="0.2">
      <c r="A142" s="173">
        <v>45900</v>
      </c>
      <c r="B142" s="174"/>
      <c r="C142" s="177">
        <f t="shared" ref="C142:D142" si="19">+C130</f>
        <v>6.6700000000000017</v>
      </c>
      <c r="D142" s="177">
        <f t="shared" si="19"/>
        <v>88.690000000000012</v>
      </c>
      <c r="E142" s="174">
        <v>31</v>
      </c>
      <c r="F142" s="175">
        <v>0</v>
      </c>
      <c r="G142" s="178">
        <f>'Rate Class Customer Model'!Q18</f>
        <v>26560.573186945719</v>
      </c>
      <c r="H142" s="174">
        <f t="shared" si="11"/>
        <v>37890428.468172617</v>
      </c>
      <c r="I142" s="9"/>
      <c r="J142" s="9"/>
      <c r="K142" s="9"/>
      <c r="L142"/>
      <c r="M142"/>
      <c r="N142"/>
      <c r="O142"/>
      <c r="P142" s="157"/>
      <c r="Q142"/>
    </row>
    <row r="143" spans="1:17" x14ac:dyDescent="0.2">
      <c r="A143" s="173">
        <v>45930</v>
      </c>
      <c r="B143" s="174"/>
      <c r="C143" s="177">
        <f t="shared" ref="C143:D143" si="20">+C131</f>
        <v>53.92</v>
      </c>
      <c r="D143" s="177">
        <f t="shared" si="20"/>
        <v>34.25</v>
      </c>
      <c r="E143" s="174">
        <v>30</v>
      </c>
      <c r="F143" s="175">
        <v>0</v>
      </c>
      <c r="G143" s="178">
        <f>'Rate Class Customer Model'!Q19</f>
        <v>26621.685964130407</v>
      </c>
      <c r="H143" s="174">
        <f t="shared" si="11"/>
        <v>32199591.330398865</v>
      </c>
      <c r="I143" s="9"/>
      <c r="J143" s="9"/>
      <c r="K143" s="9"/>
      <c r="L143"/>
      <c r="M143"/>
      <c r="N143"/>
      <c r="O143"/>
      <c r="P143" s="157"/>
      <c r="Q143"/>
    </row>
    <row r="144" spans="1:17" x14ac:dyDescent="0.2">
      <c r="A144" s="173">
        <v>45961</v>
      </c>
      <c r="B144" s="174"/>
      <c r="C144" s="177">
        <f t="shared" ref="C144:D144" si="21">+C132</f>
        <v>212.45</v>
      </c>
      <c r="D144" s="177">
        <f t="shared" si="21"/>
        <v>5.3</v>
      </c>
      <c r="E144" s="174">
        <v>31</v>
      </c>
      <c r="F144" s="175">
        <v>1</v>
      </c>
      <c r="G144" s="178">
        <f>'Rate Class Customer Model'!Q20</f>
        <v>26682.939354678703</v>
      </c>
      <c r="H144" s="174">
        <f t="shared" si="11"/>
        <v>30129146.707976103</v>
      </c>
      <c r="I144" s="9"/>
      <c r="J144" s="9"/>
      <c r="K144" s="9"/>
      <c r="L144"/>
      <c r="M144"/>
      <c r="N144"/>
      <c r="O144"/>
      <c r="P144" s="157"/>
      <c r="Q144"/>
    </row>
    <row r="145" spans="1:18" x14ac:dyDescent="0.2">
      <c r="A145" s="173">
        <v>45991</v>
      </c>
      <c r="B145" s="174"/>
      <c r="C145" s="177">
        <f t="shared" ref="C145:D146" si="22">+C133</f>
        <v>408.5</v>
      </c>
      <c r="D145" s="177">
        <f t="shared" si="22"/>
        <v>0.22999999999999998</v>
      </c>
      <c r="E145" s="174">
        <v>30</v>
      </c>
      <c r="F145" s="175">
        <v>1</v>
      </c>
      <c r="G145" s="178">
        <f>'Rate Class Customer Model'!Q21</f>
        <v>26744.33368212554</v>
      </c>
      <c r="H145" s="174">
        <f t="shared" si="11"/>
        <v>30484544.482867848</v>
      </c>
      <c r="I145" s="9"/>
      <c r="J145" s="9"/>
      <c r="K145" s="9"/>
      <c r="P145" s="157"/>
      <c r="Q145"/>
    </row>
    <row r="146" spans="1:18" x14ac:dyDescent="0.2">
      <c r="A146" s="173">
        <v>46022</v>
      </c>
      <c r="B146" s="174"/>
      <c r="C146" s="177">
        <f t="shared" si="22"/>
        <v>533.85000000000014</v>
      </c>
      <c r="D146" s="177">
        <f t="shared" si="22"/>
        <v>0</v>
      </c>
      <c r="E146" s="174">
        <v>31</v>
      </c>
      <c r="F146" s="175">
        <v>1</v>
      </c>
      <c r="G146" s="178">
        <f>'Rate Class Customer Model'!Q22</f>
        <v>26805.86927075026</v>
      </c>
      <c r="H146" s="174">
        <f t="shared" si="11"/>
        <v>33055315.151743487</v>
      </c>
      <c r="I146" s="9"/>
      <c r="J146" s="9"/>
      <c r="K146" s="9"/>
      <c r="P146" s="157"/>
      <c r="Q146"/>
    </row>
    <row r="147" spans="1:18" x14ac:dyDescent="0.2">
      <c r="A147" s="31"/>
      <c r="E147" s="9"/>
      <c r="F147" s="55"/>
      <c r="Q147"/>
    </row>
    <row r="148" spans="1:18" x14ac:dyDescent="0.2">
      <c r="A148" s="31"/>
      <c r="E148" s="9"/>
      <c r="F148" s="55"/>
      <c r="Q148"/>
    </row>
    <row r="149" spans="1:18" x14ac:dyDescent="0.2">
      <c r="A149" s="31"/>
      <c r="C149" s="112" t="s">
        <v>91</v>
      </c>
      <c r="D149" s="109"/>
      <c r="E149" s="9"/>
      <c r="F149" s="55"/>
      <c r="Q149"/>
    </row>
    <row r="150" spans="1:18" x14ac:dyDescent="0.2">
      <c r="A150" s="31"/>
      <c r="C150" s="113" t="s">
        <v>92</v>
      </c>
      <c r="D150" s="111"/>
      <c r="E150" s="9"/>
      <c r="F150" s="55"/>
      <c r="H150" s="30">
        <f>SUM(H2:H146)</f>
        <v>4630054641.3934622</v>
      </c>
      <c r="I150" s="30"/>
      <c r="J150" s="30"/>
      <c r="K150" s="30"/>
      <c r="Q150"/>
    </row>
    <row r="151" spans="1:18" x14ac:dyDescent="0.2">
      <c r="A151" s="31"/>
      <c r="E151" s="9"/>
      <c r="F151" s="55"/>
      <c r="P151" s="40"/>
      <c r="Q151" s="25"/>
    </row>
    <row r="152" spans="1:18" x14ac:dyDescent="0.2">
      <c r="A152" s="25">
        <v>2014</v>
      </c>
      <c r="B152" s="6">
        <f>SUM(B3:B14)</f>
        <v>391741970.1024</v>
      </c>
      <c r="C152" s="181"/>
      <c r="H152" s="6">
        <f>SUM(H3:H14)</f>
        <v>373605408.52804506</v>
      </c>
      <c r="I152" s="6"/>
      <c r="J152" s="6"/>
      <c r="K152" s="6"/>
      <c r="L152" s="5"/>
      <c r="M152" s="5"/>
      <c r="N152" s="5"/>
      <c r="O152" s="32"/>
      <c r="P152" s="165"/>
      <c r="Q152"/>
      <c r="R152" s="166"/>
    </row>
    <row r="153" spans="1:18" x14ac:dyDescent="0.2">
      <c r="A153" s="25">
        <v>2015</v>
      </c>
      <c r="B153" s="6">
        <f>SUM(B15:B26)</f>
        <v>372659576.71719992</v>
      </c>
      <c r="C153" s="181"/>
      <c r="H153" s="6">
        <f>SUM(H15:H26)</f>
        <v>375680252.58074784</v>
      </c>
      <c r="I153" s="6"/>
      <c r="J153" s="6"/>
      <c r="K153" s="6"/>
      <c r="L153" s="5"/>
      <c r="M153" s="5"/>
      <c r="N153" s="5"/>
      <c r="O153" s="32"/>
      <c r="P153" s="165"/>
      <c r="Q153"/>
      <c r="R153" s="166"/>
    </row>
    <row r="154" spans="1:18" x14ac:dyDescent="0.2">
      <c r="A154" s="25">
        <v>2016</v>
      </c>
      <c r="B154" s="6">
        <f>SUM(B27:B38)</f>
        <v>380022205.18436003</v>
      </c>
      <c r="C154" s="181"/>
      <c r="H154" s="6">
        <f>SUM(H27:H38)</f>
        <v>389367971.22513556</v>
      </c>
      <c r="I154" s="6"/>
      <c r="J154" s="6"/>
      <c r="K154" s="6"/>
      <c r="L154" s="5"/>
      <c r="M154" s="5"/>
      <c r="N154" s="5"/>
      <c r="O154" s="32"/>
      <c r="P154" s="165"/>
      <c r="Q154"/>
      <c r="R154" s="166"/>
    </row>
    <row r="155" spans="1:18" x14ac:dyDescent="0.2">
      <c r="A155" s="25">
        <v>2017</v>
      </c>
      <c r="B155" s="6">
        <f>SUM(B39:B50)</f>
        <v>368596644.64483672</v>
      </c>
      <c r="C155" s="181"/>
      <c r="H155" s="6">
        <f>SUM(H39:H50)</f>
        <v>374426765.05070925</v>
      </c>
      <c r="I155" s="6"/>
      <c r="J155" s="6"/>
      <c r="K155" s="6"/>
      <c r="L155" s="5"/>
      <c r="M155" s="5"/>
      <c r="N155" s="5"/>
      <c r="O155" s="32"/>
      <c r="P155" s="165"/>
      <c r="Q155"/>
      <c r="R155" s="166"/>
    </row>
    <row r="156" spans="1:18" x14ac:dyDescent="0.2">
      <c r="A156" s="25">
        <v>2018</v>
      </c>
      <c r="B156" s="6">
        <f>SUM(B51:B62)</f>
        <v>393889926.42846549</v>
      </c>
      <c r="C156" s="181"/>
      <c r="H156" s="6">
        <f>SUM(H51:H62)</f>
        <v>390694843.61246467</v>
      </c>
      <c r="I156" s="6"/>
      <c r="J156" s="6"/>
      <c r="K156" s="6"/>
      <c r="L156" s="5"/>
      <c r="M156" s="5"/>
      <c r="N156" s="5"/>
      <c r="O156" s="32"/>
      <c r="P156" s="165"/>
      <c r="Q156"/>
      <c r="R156" s="166"/>
    </row>
    <row r="157" spans="1:18" x14ac:dyDescent="0.2">
      <c r="A157" s="25">
        <v>2019</v>
      </c>
      <c r="B157" s="6">
        <f>SUM(B63:B74)</f>
        <v>384791777.21642524</v>
      </c>
      <c r="C157" s="181"/>
      <c r="H157" s="6">
        <f>SUM(H63:H74)</f>
        <v>381803843.10498363</v>
      </c>
      <c r="I157" s="6"/>
      <c r="J157" s="6"/>
      <c r="K157" s="6"/>
      <c r="L157" s="5"/>
      <c r="M157" s="5"/>
      <c r="N157" s="5"/>
      <c r="O157" s="32"/>
      <c r="P157" s="165"/>
      <c r="Q157"/>
      <c r="R157" s="166"/>
    </row>
    <row r="158" spans="1:18" x14ac:dyDescent="0.2">
      <c r="A158" s="25">
        <v>2020</v>
      </c>
      <c r="B158" s="6">
        <f>SUM(B75:B86)</f>
        <v>380093690.36809278</v>
      </c>
      <c r="C158" s="181"/>
      <c r="H158" s="6">
        <f>SUM(H75:H86)</f>
        <v>387589449.03610957</v>
      </c>
      <c r="I158" s="6"/>
      <c r="J158" s="6"/>
      <c r="K158" s="6"/>
      <c r="L158" s="5"/>
      <c r="M158" s="5"/>
      <c r="N158" s="5"/>
      <c r="O158" s="32"/>
      <c r="P158" s="165"/>
      <c r="Q158"/>
      <c r="R158" s="166"/>
    </row>
    <row r="159" spans="1:18" x14ac:dyDescent="0.2">
      <c r="A159" s="25">
        <v>2021</v>
      </c>
      <c r="B159" s="6">
        <f>SUM(B87:B98)</f>
        <v>383895272.72321349</v>
      </c>
      <c r="C159" s="181"/>
      <c r="H159" s="6">
        <f>SUM(H87:H98)</f>
        <v>388275738.39954656</v>
      </c>
      <c r="I159" s="6"/>
      <c r="J159" s="6"/>
      <c r="K159" s="6"/>
      <c r="L159" s="5"/>
      <c r="M159" s="5"/>
      <c r="N159" s="5"/>
      <c r="O159" s="32"/>
      <c r="P159" s="165"/>
      <c r="Q159"/>
      <c r="R159" s="166"/>
    </row>
    <row r="160" spans="1:18" x14ac:dyDescent="0.2">
      <c r="A160" s="25">
        <v>2022</v>
      </c>
      <c r="B160" s="6">
        <f>SUM(B99:B110)</f>
        <v>392612235.87385601</v>
      </c>
      <c r="C160" s="181"/>
      <c r="H160" s="6">
        <f>SUM(H99:H110)</f>
        <v>390620163.52743006</v>
      </c>
      <c r="I160" s="203"/>
      <c r="J160" s="6"/>
      <c r="K160" s="6"/>
      <c r="L160" s="5"/>
      <c r="M160" s="5"/>
      <c r="N160" s="5"/>
      <c r="O160" s="32"/>
      <c r="P160" s="165"/>
      <c r="Q160"/>
      <c r="R160" s="166"/>
    </row>
    <row r="161" spans="1:19" x14ac:dyDescent="0.2">
      <c r="A161" s="25">
        <v>2023</v>
      </c>
      <c r="B161" s="6">
        <f>SUM(B111:B122)</f>
        <v>386633787.62211913</v>
      </c>
      <c r="C161" s="181"/>
      <c r="H161" s="6">
        <f>SUM(H111:H122)</f>
        <v>382872651.81579709</v>
      </c>
      <c r="I161" s="203"/>
      <c r="J161" s="6"/>
      <c r="K161" s="6"/>
      <c r="L161" s="5"/>
      <c r="M161" s="5"/>
      <c r="N161" s="5"/>
      <c r="O161" s="32"/>
      <c r="P161" s="165"/>
      <c r="Q161"/>
      <c r="R161" s="166"/>
    </row>
    <row r="162" spans="1:19" x14ac:dyDescent="0.2">
      <c r="A162" s="25">
        <v>2024</v>
      </c>
      <c r="H162" s="14">
        <f>SUM(H123:H134)</f>
        <v>396767741.72420484</v>
      </c>
      <c r="I162" s="203"/>
      <c r="J162" s="203"/>
      <c r="K162" s="203"/>
      <c r="L162" s="5"/>
      <c r="M162" s="5"/>
      <c r="N162" s="5"/>
      <c r="O162" s="32"/>
      <c r="P162" s="165"/>
      <c r="Q162"/>
      <c r="R162" s="166"/>
    </row>
    <row r="163" spans="1:19" x14ac:dyDescent="0.2">
      <c r="A163" s="25">
        <v>2025</v>
      </c>
      <c r="H163" s="14">
        <f>SUM(H135:H146)</f>
        <v>398349812.78829038</v>
      </c>
      <c r="I163" s="203"/>
      <c r="J163" s="203"/>
      <c r="K163" s="203"/>
      <c r="L163" s="5"/>
      <c r="M163" s="5"/>
      <c r="N163" s="5"/>
      <c r="O163" s="32"/>
      <c r="P163" s="165"/>
      <c r="Q163"/>
      <c r="R163" s="166"/>
      <c r="S163" s="34"/>
    </row>
    <row r="164" spans="1:19" x14ac:dyDescent="0.2">
      <c r="H164" s="6"/>
      <c r="I164" s="203"/>
      <c r="J164" s="6"/>
      <c r="K164" s="6"/>
      <c r="Q164"/>
      <c r="R164" s="166"/>
      <c r="S164" s="34"/>
    </row>
    <row r="165" spans="1:19" x14ac:dyDescent="0.2">
      <c r="A165" s="40" t="s">
        <v>7</v>
      </c>
      <c r="B165" s="6">
        <f>SUM(B152:B161)</f>
        <v>3834937086.880969</v>
      </c>
      <c r="H165" s="6">
        <f>SUM(H152:H161)</f>
        <v>3834937086.880969</v>
      </c>
      <c r="I165" s="203"/>
      <c r="J165" s="6"/>
      <c r="K165" s="6"/>
      <c r="Q165" s="5"/>
      <c r="R165" s="6"/>
      <c r="S165" s="34"/>
    </row>
    <row r="166" spans="1:19" x14ac:dyDescent="0.2">
      <c r="I166" s="204"/>
      <c r="P166" s="6"/>
      <c r="Q166" s="5"/>
      <c r="R166" s="6"/>
      <c r="S166" s="34"/>
    </row>
    <row r="167" spans="1:19" x14ac:dyDescent="0.2">
      <c r="H167" s="6">
        <f>SUM(H152:H163)</f>
        <v>4630054641.3934641</v>
      </c>
      <c r="I167" s="6"/>
      <c r="J167" s="6"/>
      <c r="K167" s="6"/>
      <c r="Q167" s="5"/>
      <c r="R167" s="6"/>
      <c r="S167" s="34"/>
    </row>
    <row r="168" spans="1:19" x14ac:dyDescent="0.2">
      <c r="H168" s="205"/>
      <c r="I168" s="205"/>
      <c r="J168" s="205"/>
      <c r="K168" s="205"/>
      <c r="L168"/>
      <c r="M168"/>
      <c r="N168"/>
      <c r="O168"/>
      <c r="P168"/>
      <c r="Q168" s="5"/>
      <c r="R168" s="6"/>
      <c r="S168" s="34"/>
    </row>
    <row r="169" spans="1:19" x14ac:dyDescent="0.2">
      <c r="Q169" s="6"/>
      <c r="R169" s="6"/>
      <c r="S169" s="34"/>
    </row>
    <row r="170" spans="1:19" x14ac:dyDescent="0.2">
      <c r="Q170" s="6"/>
      <c r="R170" s="6"/>
      <c r="S170" s="34"/>
    </row>
    <row r="171" spans="1:19" x14ac:dyDescent="0.2">
      <c r="A171"/>
      <c r="B171"/>
      <c r="C171"/>
      <c r="D171"/>
      <c r="E171"/>
      <c r="G171"/>
      <c r="H171"/>
      <c r="I171"/>
      <c r="J171"/>
      <c r="K171"/>
    </row>
    <row r="172" spans="1:19" x14ac:dyDescent="0.2">
      <c r="A172"/>
      <c r="B172"/>
      <c r="C172"/>
      <c r="D172"/>
      <c r="E172"/>
      <c r="G172"/>
      <c r="H172"/>
      <c r="I172"/>
      <c r="J172"/>
      <c r="K172"/>
    </row>
    <row r="173" spans="1:19" x14ac:dyDescent="0.2">
      <c r="A173"/>
      <c r="B173"/>
      <c r="C173"/>
      <c r="D173"/>
      <c r="E173"/>
      <c r="G173"/>
      <c r="H173"/>
      <c r="I173"/>
      <c r="J173"/>
      <c r="K173"/>
    </row>
    <row r="174" spans="1:19" x14ac:dyDescent="0.2">
      <c r="A174"/>
      <c r="C174" s="167"/>
      <c r="D174" s="167"/>
      <c r="F174" s="167"/>
      <c r="L174"/>
      <c r="M174"/>
      <c r="N174"/>
      <c r="O174"/>
      <c r="P174"/>
      <c r="Q174"/>
    </row>
  </sheetData>
  <mergeCells count="1">
    <mergeCell ref="H168:K168"/>
  </mergeCells>
  <phoneticPr fontId="17" type="noConversion"/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D0B05-EEC0-444D-9AB2-47B0DD60EFE0}">
  <sheetPr>
    <tabColor rgb="FF00B0F0"/>
  </sheetPr>
  <dimension ref="A2:U196"/>
  <sheetViews>
    <sheetView workbookViewId="0">
      <selection activeCell="H169" sqref="H169"/>
    </sheetView>
  </sheetViews>
  <sheetFormatPr defaultRowHeight="12.75" x14ac:dyDescent="0.2"/>
  <cols>
    <col min="1" max="1" width="11.85546875" style="25" customWidth="1"/>
    <col min="2" max="2" width="16.85546875" style="6" customWidth="1"/>
    <col min="3" max="3" width="11.5703125" style="1" customWidth="1"/>
    <col min="4" max="4" width="13.42578125" style="1" customWidth="1"/>
    <col min="5" max="5" width="10.140625" style="1" customWidth="1"/>
    <col min="6" max="6" width="10.28515625" style="54" customWidth="1"/>
    <col min="7" max="7" width="13" style="1" customWidth="1"/>
    <col min="8" max="8" width="16.28515625" style="1" bestFit="1" customWidth="1"/>
    <col min="9" max="9" width="16" style="1" customWidth="1"/>
    <col min="10" max="10" width="19.140625" style="1" bestFit="1" customWidth="1"/>
    <col min="11" max="11" width="15.28515625" style="1" bestFit="1" customWidth="1"/>
    <col min="12" max="12" width="9.28515625" style="1" customWidth="1"/>
    <col min="13" max="13" width="13.28515625" style="1" bestFit="1" customWidth="1"/>
    <col min="14" max="14" width="15.5703125" style="1" customWidth="1"/>
    <col min="15" max="15" width="31.7109375" customWidth="1"/>
    <col min="16" max="16" width="18.42578125" customWidth="1"/>
    <col min="17" max="21" width="12.5703125" customWidth="1"/>
    <col min="22" max="22" width="40.5703125" bestFit="1" customWidth="1"/>
    <col min="23" max="23" width="42.85546875" bestFit="1" customWidth="1"/>
  </cols>
  <sheetData>
    <row r="2" spans="1:18" ht="38.25" x14ac:dyDescent="0.2">
      <c r="A2" s="114"/>
      <c r="B2" s="115" t="s">
        <v>53</v>
      </c>
      <c r="C2" s="116" t="s">
        <v>2</v>
      </c>
      <c r="D2" s="116" t="s">
        <v>3</v>
      </c>
      <c r="E2" s="116" t="s">
        <v>93</v>
      </c>
      <c r="F2" s="206" t="s">
        <v>14</v>
      </c>
      <c r="G2" s="207" t="s">
        <v>109</v>
      </c>
      <c r="H2" s="116" t="s">
        <v>8</v>
      </c>
      <c r="I2" s="117" t="s">
        <v>9</v>
      </c>
      <c r="J2" s="116" t="s">
        <v>94</v>
      </c>
      <c r="K2" s="116" t="s">
        <v>95</v>
      </c>
      <c r="L2" s="156"/>
      <c r="M2" t="s">
        <v>15</v>
      </c>
      <c r="N2"/>
    </row>
    <row r="3" spans="1:18" ht="13.5" thickBot="1" x14ac:dyDescent="0.25">
      <c r="A3" s="44">
        <v>41670</v>
      </c>
      <c r="B3" s="45">
        <f>Inputs!D24</f>
        <v>40172298.198266663</v>
      </c>
      <c r="C3" s="45">
        <v>678.22</v>
      </c>
      <c r="D3" s="45">
        <v>0</v>
      </c>
      <c r="E3" s="45">
        <v>31</v>
      </c>
      <c r="F3" s="145">
        <v>0</v>
      </c>
      <c r="G3" s="45">
        <f>Inputs!G24+Inputs!I24+Inputs!L24+Inputs!X24</f>
        <v>22329</v>
      </c>
      <c r="H3" s="45">
        <f>$N$18+$N$19*C3+$N$20*D3+$N$21*E3+$N$22*F3+$N$23*G3</f>
        <v>34982254.674795792</v>
      </c>
      <c r="I3" s="30">
        <f>H3-B3</f>
        <v>-5190043.5234708712</v>
      </c>
      <c r="J3" s="39">
        <f>I3/B3</f>
        <v>-0.12919458821738034</v>
      </c>
      <c r="K3" s="11">
        <f>ABS(J3)</f>
        <v>0.12919458821738034</v>
      </c>
      <c r="L3" s="11"/>
      <c r="M3"/>
      <c r="N3"/>
    </row>
    <row r="4" spans="1:18" x14ac:dyDescent="0.2">
      <c r="A4" s="44">
        <v>41698</v>
      </c>
      <c r="B4" s="45">
        <f>Inputs!D25</f>
        <v>35904108.981466666</v>
      </c>
      <c r="C4" s="45">
        <v>616.86</v>
      </c>
      <c r="D4" s="45">
        <v>0</v>
      </c>
      <c r="E4" s="45">
        <v>28</v>
      </c>
      <c r="F4" s="145">
        <v>0</v>
      </c>
      <c r="G4" s="45">
        <f>Inputs!G25+Inputs!I25+Inputs!L25+Inputs!X25</f>
        <v>22326</v>
      </c>
      <c r="H4" s="45">
        <f>$N$18+$N$19*C4+$N$20*D4+$N$21*E4+$N$22*F4+$N$23*G4</f>
        <v>30571210.403115559</v>
      </c>
      <c r="I4" s="30">
        <f>H4-B4</f>
        <v>-5332898.5783511065</v>
      </c>
      <c r="J4" s="39">
        <f>I4/B4</f>
        <v>-0.14853170652706893</v>
      </c>
      <c r="K4" s="11">
        <f t="shared" ref="K4:K67" si="0">ABS(J4)</f>
        <v>0.14853170652706893</v>
      </c>
      <c r="L4" s="11"/>
      <c r="M4" s="160" t="s">
        <v>16</v>
      </c>
      <c r="N4" s="160"/>
    </row>
    <row r="5" spans="1:18" x14ac:dyDescent="0.2">
      <c r="A5" s="44">
        <v>41729</v>
      </c>
      <c r="B5" s="45">
        <f>Inputs!D26</f>
        <v>37359874.474666663</v>
      </c>
      <c r="C5" s="45">
        <v>539.83000000000015</v>
      </c>
      <c r="D5" s="45">
        <v>0</v>
      </c>
      <c r="E5" s="45">
        <v>31</v>
      </c>
      <c r="F5" s="145">
        <v>1</v>
      </c>
      <c r="G5" s="45">
        <f>Inputs!G26+Inputs!I26+Inputs!L26+Inputs!X26</f>
        <v>22340</v>
      </c>
      <c r="H5" s="45">
        <f>$N$18+$N$19*C5+$N$20*D5+$N$21*E5+$N$22*F5+$N$23*G5</f>
        <v>31168734.049961023</v>
      </c>
      <c r="I5" s="30">
        <f>H5-B5</f>
        <v>-6191140.4247056395</v>
      </c>
      <c r="J5" s="39">
        <f>I5/B5</f>
        <v>-0.16571630691381972</v>
      </c>
      <c r="K5" s="11">
        <f t="shared" si="0"/>
        <v>0.16571630691381972</v>
      </c>
      <c r="L5" s="11"/>
      <c r="M5" t="s">
        <v>17</v>
      </c>
      <c r="N5">
        <v>0.94298453474577371</v>
      </c>
    </row>
    <row r="6" spans="1:18" x14ac:dyDescent="0.2">
      <c r="A6" s="44">
        <v>41759</v>
      </c>
      <c r="B6" s="45">
        <f>Inputs!D27</f>
        <v>29870903.297066666</v>
      </c>
      <c r="C6" s="45">
        <v>333.62</v>
      </c>
      <c r="D6" s="45">
        <v>0.05</v>
      </c>
      <c r="E6" s="45">
        <v>30</v>
      </c>
      <c r="F6" s="145">
        <v>1</v>
      </c>
      <c r="G6" s="45">
        <f>Inputs!G27+Inputs!I27+Inputs!L27+Inputs!X27</f>
        <v>22334</v>
      </c>
      <c r="H6" s="45">
        <f>$N$18+$N$19*C6+$N$20*D6+$N$21*E6+$N$22*F6+$N$23*G6</f>
        <v>27761784.868250385</v>
      </c>
      <c r="I6" s="30">
        <f>H6-B6</f>
        <v>-2109118.4288162813</v>
      </c>
      <c r="J6" s="39">
        <f>I6/B6</f>
        <v>-7.0607788718039785E-2</v>
      </c>
      <c r="K6" s="11">
        <f t="shared" si="0"/>
        <v>7.0607788718039785E-2</v>
      </c>
      <c r="L6" s="11"/>
      <c r="M6" t="s">
        <v>18</v>
      </c>
      <c r="N6">
        <v>0.8892198327697034</v>
      </c>
    </row>
    <row r="7" spans="1:18" x14ac:dyDescent="0.2">
      <c r="A7" s="44">
        <v>41790</v>
      </c>
      <c r="B7" s="45">
        <f>Inputs!D28</f>
        <v>27607357.325866669</v>
      </c>
      <c r="C7" s="45">
        <v>147.99</v>
      </c>
      <c r="D7" s="45">
        <v>17.32</v>
      </c>
      <c r="E7" s="45">
        <v>31</v>
      </c>
      <c r="F7" s="145">
        <v>1</v>
      </c>
      <c r="G7" s="45">
        <f>Inputs!G28+Inputs!I28+Inputs!L28+Inputs!X28</f>
        <v>22336</v>
      </c>
      <c r="H7" s="45">
        <f>$N$18+$N$19*C7+$N$20*D7+$N$21*E7+$N$22*F7+$N$23*G7</f>
        <v>28653078.006997027</v>
      </c>
      <c r="I7" s="30">
        <f>H7-B7</f>
        <v>1045720.6811303571</v>
      </c>
      <c r="J7" s="39">
        <f>I7/B7</f>
        <v>3.7878333256858701E-2</v>
      </c>
      <c r="K7" s="11">
        <f t="shared" si="0"/>
        <v>3.7878333256858701E-2</v>
      </c>
      <c r="L7" s="11"/>
      <c r="M7" t="s">
        <v>19</v>
      </c>
      <c r="N7">
        <v>0.88436105350521665</v>
      </c>
    </row>
    <row r="8" spans="1:18" x14ac:dyDescent="0.2">
      <c r="A8" s="44">
        <v>41820</v>
      </c>
      <c r="B8" s="45">
        <f>Inputs!D29</f>
        <v>32169591.381466668</v>
      </c>
      <c r="C8" s="45">
        <v>28.179999999999996</v>
      </c>
      <c r="D8" s="45">
        <v>52.879999999999995</v>
      </c>
      <c r="E8" s="45">
        <v>30</v>
      </c>
      <c r="F8" s="145">
        <v>0</v>
      </c>
      <c r="G8" s="45">
        <f>Inputs!G29+Inputs!I29+Inputs!L29+Inputs!X29</f>
        <v>22351</v>
      </c>
      <c r="H8" s="45">
        <f>$N$18+$N$19*C8+$N$20*D8+$N$21*E8+$N$22*F8+$N$23*G8</f>
        <v>31762510.609459117</v>
      </c>
      <c r="I8" s="30">
        <f>H8-B8</f>
        <v>-407080.77200755104</v>
      </c>
      <c r="J8" s="39">
        <f>I8/B8</f>
        <v>-1.2654210219221987E-2</v>
      </c>
      <c r="K8" s="11">
        <f t="shared" si="0"/>
        <v>1.2654210219221987E-2</v>
      </c>
      <c r="L8" s="11"/>
      <c r="M8" t="s">
        <v>20</v>
      </c>
      <c r="N8">
        <v>1253344.3772014761</v>
      </c>
    </row>
    <row r="9" spans="1:18" ht="13.5" thickBot="1" x14ac:dyDescent="0.25">
      <c r="A9" s="44">
        <v>41851</v>
      </c>
      <c r="B9" s="45">
        <f>Inputs!D30</f>
        <v>33916845.750666663</v>
      </c>
      <c r="C9" s="45">
        <v>3.06</v>
      </c>
      <c r="D9" s="45">
        <v>105.36999999999998</v>
      </c>
      <c r="E9" s="45">
        <v>31</v>
      </c>
      <c r="F9" s="145">
        <v>0</v>
      </c>
      <c r="G9" s="45">
        <f>Inputs!G30+Inputs!I30+Inputs!L30+Inputs!X30</f>
        <v>22375</v>
      </c>
      <c r="H9" s="45">
        <f>$N$18+$N$19*C9+$N$20*D9+$N$21*E9+$N$22*F9+$N$23*G9</f>
        <v>37544031.369742356</v>
      </c>
      <c r="I9" s="30">
        <f>H9-B9</f>
        <v>3627185.6190756932</v>
      </c>
      <c r="J9" s="39">
        <f>I9/B9</f>
        <v>0.10694348306267241</v>
      </c>
      <c r="K9" s="11">
        <f t="shared" si="0"/>
        <v>0.10694348306267241</v>
      </c>
      <c r="L9" s="11"/>
      <c r="M9" s="158" t="s">
        <v>21</v>
      </c>
      <c r="N9" s="158">
        <v>120</v>
      </c>
    </row>
    <row r="10" spans="1:18" x14ac:dyDescent="0.2">
      <c r="A10" s="44">
        <v>41882</v>
      </c>
      <c r="B10" s="45">
        <f>Inputs!D31</f>
        <v>33253613.143466666</v>
      </c>
      <c r="C10" s="45">
        <v>6.6700000000000017</v>
      </c>
      <c r="D10" s="45">
        <v>88.690000000000012</v>
      </c>
      <c r="E10" s="45">
        <v>31</v>
      </c>
      <c r="F10" s="145">
        <v>0</v>
      </c>
      <c r="G10" s="45">
        <f>Inputs!G31+Inputs!I31+Inputs!L31+Inputs!X31</f>
        <v>22386</v>
      </c>
      <c r="H10" s="45">
        <f>$N$18+$N$19*C10+$N$20*D10+$N$21*E10+$N$22*F10+$N$23*G10</f>
        <v>36068554.695577145</v>
      </c>
      <c r="I10" s="30">
        <f>H10-B10</f>
        <v>2814941.5521104783</v>
      </c>
      <c r="J10" s="39">
        <f>I10/B10</f>
        <v>8.4650697653994009E-2</v>
      </c>
      <c r="K10" s="11">
        <f t="shared" si="0"/>
        <v>8.4650697653994009E-2</v>
      </c>
      <c r="L10" s="11"/>
      <c r="M10"/>
      <c r="N10"/>
    </row>
    <row r="11" spans="1:18" ht="13.5" thickBot="1" x14ac:dyDescent="0.25">
      <c r="A11" s="44">
        <v>41912</v>
      </c>
      <c r="B11" s="45">
        <f>Inputs!D32</f>
        <v>28705908.135466669</v>
      </c>
      <c r="C11" s="45">
        <v>53.92</v>
      </c>
      <c r="D11" s="45">
        <v>34.25</v>
      </c>
      <c r="E11" s="45">
        <v>30</v>
      </c>
      <c r="F11" s="145">
        <v>0</v>
      </c>
      <c r="G11" s="45">
        <f>Inputs!G32+Inputs!I32+Inputs!L32+Inputs!X32</f>
        <v>22411</v>
      </c>
      <c r="H11" s="45">
        <f>$N$18+$N$19*C11+$N$20*D11+$N$21*E11+$N$22*F11+$N$23*G11</f>
        <v>30361957.162988883</v>
      </c>
      <c r="I11" s="30">
        <f>H11-B11</f>
        <v>1656049.0275222138</v>
      </c>
      <c r="J11" s="39">
        <f>I11/B11</f>
        <v>5.769018070102911E-2</v>
      </c>
      <c r="K11" s="11">
        <f t="shared" si="0"/>
        <v>5.769018070102911E-2</v>
      </c>
      <c r="L11" s="11"/>
      <c r="M11" t="s">
        <v>22</v>
      </c>
      <c r="N11"/>
    </row>
    <row r="12" spans="1:18" x14ac:dyDescent="0.2">
      <c r="A12" s="44">
        <v>41943</v>
      </c>
      <c r="B12" s="45">
        <f>Inputs!D33</f>
        <v>29560489.815066669</v>
      </c>
      <c r="C12" s="45">
        <v>212.45</v>
      </c>
      <c r="D12" s="45">
        <v>5.3</v>
      </c>
      <c r="E12" s="45">
        <v>31</v>
      </c>
      <c r="F12" s="145">
        <v>1</v>
      </c>
      <c r="G12" s="45">
        <f>Inputs!G33+Inputs!I33+Inputs!L33+Inputs!X33</f>
        <v>22460</v>
      </c>
      <c r="H12" s="45">
        <f>$N$18+$N$19*C12+$N$20*D12+$N$21*E12+$N$22*F12+$N$23*G12</f>
        <v>28286164.896659642</v>
      </c>
      <c r="I12" s="30">
        <f>H12-B12</f>
        <v>-1274324.9184070267</v>
      </c>
      <c r="J12" s="39">
        <f>I12/B12</f>
        <v>-4.3109059639381102E-2</v>
      </c>
      <c r="K12" s="11">
        <f t="shared" si="0"/>
        <v>4.3109059639381102E-2</v>
      </c>
      <c r="L12" s="11"/>
      <c r="M12" s="159"/>
      <c r="N12" s="159" t="s">
        <v>26</v>
      </c>
      <c r="O12" s="159" t="s">
        <v>27</v>
      </c>
      <c r="P12" s="159" t="s">
        <v>28</v>
      </c>
      <c r="Q12" s="159" t="s">
        <v>29</v>
      </c>
      <c r="R12" s="159" t="s">
        <v>30</v>
      </c>
    </row>
    <row r="13" spans="1:18" x14ac:dyDescent="0.2">
      <c r="A13" s="44">
        <v>41973</v>
      </c>
      <c r="B13" s="45">
        <f>Inputs!D34</f>
        <v>30512368.479866669</v>
      </c>
      <c r="C13" s="45">
        <v>408.5</v>
      </c>
      <c r="D13" s="45">
        <v>0.22999999999999998</v>
      </c>
      <c r="E13" s="45">
        <v>30</v>
      </c>
      <c r="F13" s="145">
        <v>1</v>
      </c>
      <c r="G13" s="45">
        <f>Inputs!G34+Inputs!I34+Inputs!L34+Inputs!X34</f>
        <v>22458</v>
      </c>
      <c r="H13" s="45">
        <f>$N$18+$N$19*C13+$N$20*D13+$N$21*E13+$N$22*F13+$N$23*G13</f>
        <v>28613896.019816093</v>
      </c>
      <c r="I13" s="30">
        <f>H13-B13</f>
        <v>-1898472.4600505754</v>
      </c>
      <c r="J13" s="39">
        <f>I13/B13</f>
        <v>-6.2219767085707117E-2</v>
      </c>
      <c r="K13" s="11">
        <f t="shared" si="0"/>
        <v>6.2219767085707117E-2</v>
      </c>
      <c r="L13" s="11"/>
      <c r="M13" t="s">
        <v>23</v>
      </c>
      <c r="N13">
        <v>5</v>
      </c>
      <c r="O13">
        <v>1437450205908975.3</v>
      </c>
      <c r="P13">
        <v>287490041181795.06</v>
      </c>
      <c r="Q13">
        <v>183.01301301524467</v>
      </c>
      <c r="R13">
        <v>9.6281939353698485E-53</v>
      </c>
    </row>
    <row r="14" spans="1:18" x14ac:dyDescent="0.2">
      <c r="A14" s="44">
        <v>42004</v>
      </c>
      <c r="B14" s="45">
        <f>Inputs!D35</f>
        <v>32708611.119066667</v>
      </c>
      <c r="C14" s="45">
        <v>533.85000000000014</v>
      </c>
      <c r="D14" s="45">
        <v>0</v>
      </c>
      <c r="E14" s="45">
        <v>31</v>
      </c>
      <c r="F14" s="145">
        <v>1</v>
      </c>
      <c r="G14" s="45">
        <f>Inputs!G35+Inputs!I35+Inputs!L35+Inputs!X35</f>
        <v>22470</v>
      </c>
      <c r="H14" s="45">
        <f>$N$18+$N$19*C14+$N$20*D14+$N$21*E14+$N$22*F14+$N$23*G14</f>
        <v>31163048.289472461</v>
      </c>
      <c r="I14" s="30">
        <f>H14-B14</f>
        <v>-1545562.8295942061</v>
      </c>
      <c r="J14" s="39">
        <f>I14/B14</f>
        <v>-4.7252475012406099E-2</v>
      </c>
      <c r="K14" s="11">
        <f t="shared" si="0"/>
        <v>4.7252475012406099E-2</v>
      </c>
      <c r="L14" s="11"/>
      <c r="M14" t="s">
        <v>24</v>
      </c>
      <c r="N14">
        <v>114</v>
      </c>
      <c r="O14">
        <v>179079422576331.41</v>
      </c>
      <c r="P14">
        <v>1570872127862.5562</v>
      </c>
    </row>
    <row r="15" spans="1:18" ht="13.5" thickBot="1" x14ac:dyDescent="0.25">
      <c r="A15" s="44">
        <v>42035</v>
      </c>
      <c r="B15" s="45">
        <f>Inputs!D36</f>
        <v>35265002.026533335</v>
      </c>
      <c r="C15" s="45">
        <v>678.22</v>
      </c>
      <c r="D15" s="45">
        <v>0</v>
      </c>
      <c r="E15" s="45">
        <v>31</v>
      </c>
      <c r="F15" s="145">
        <v>0</v>
      </c>
      <c r="G15" s="45">
        <f>Inputs!G36+Inputs!I36+Inputs!L36+Inputs!X36</f>
        <v>22484</v>
      </c>
      <c r="H15" s="45">
        <f>$N$18+$N$19*C15+$N$20*D15+$N$21*E15+$N$22*F15+$N$23*G15</f>
        <v>35049900.017710216</v>
      </c>
      <c r="I15" s="30">
        <f>H15-B15</f>
        <v>-215102.0088231191</v>
      </c>
      <c r="J15" s="39">
        <f>I15/B15</f>
        <v>-6.099588727126023E-3</v>
      </c>
      <c r="K15" s="11">
        <f t="shared" si="0"/>
        <v>6.099588727126023E-3</v>
      </c>
      <c r="L15" s="11"/>
      <c r="M15" s="158" t="s">
        <v>7</v>
      </c>
      <c r="N15" s="158">
        <v>119</v>
      </c>
      <c r="O15" s="158">
        <v>1616529628485306.8</v>
      </c>
      <c r="P15" s="158"/>
      <c r="Q15" s="158"/>
      <c r="R15" s="158"/>
    </row>
    <row r="16" spans="1:18" ht="13.5" thickBot="1" x14ac:dyDescent="0.25">
      <c r="A16" s="44">
        <v>42063</v>
      </c>
      <c r="B16" s="45">
        <f>Inputs!D37</f>
        <v>32520528.185333334</v>
      </c>
      <c r="C16" s="45">
        <v>616.86</v>
      </c>
      <c r="D16" s="45">
        <v>0</v>
      </c>
      <c r="E16" s="45">
        <v>28</v>
      </c>
      <c r="F16" s="145">
        <v>0</v>
      </c>
      <c r="G16" s="45">
        <f>Inputs!G37+Inputs!I37+Inputs!L37+Inputs!X37</f>
        <v>22480</v>
      </c>
      <c r="H16" s="45">
        <f>$N$18+$N$19*C16+$N$20*D16+$N$21*E16+$N$22*F16+$N$23*G16</f>
        <v>30638419.324462794</v>
      </c>
      <c r="I16" s="30">
        <f>H16-B16</f>
        <v>-1882108.8608705401</v>
      </c>
      <c r="J16" s="39">
        <f>I16/B16</f>
        <v>-5.787448623664624E-2</v>
      </c>
      <c r="K16" s="11">
        <f t="shared" si="0"/>
        <v>5.787448623664624E-2</v>
      </c>
      <c r="L16" s="11"/>
      <c r="M16"/>
      <c r="N16"/>
    </row>
    <row r="17" spans="1:21" x14ac:dyDescent="0.2">
      <c r="A17" s="44">
        <v>42094</v>
      </c>
      <c r="B17" s="45">
        <f>Inputs!D38</f>
        <v>32214658.640933331</v>
      </c>
      <c r="C17" s="45">
        <v>539.83000000000015</v>
      </c>
      <c r="D17" s="45">
        <v>0</v>
      </c>
      <c r="E17" s="45">
        <v>31</v>
      </c>
      <c r="F17" s="145">
        <v>1</v>
      </c>
      <c r="G17" s="45">
        <f>Inputs!G38+Inputs!I38+Inputs!L38+Inputs!X38</f>
        <v>22502</v>
      </c>
      <c r="H17" s="45">
        <f>$N$18+$N$19*C17+$N$20*D17+$N$21*E17+$N$22*F17+$N$23*G17</f>
        <v>31239434.343845773</v>
      </c>
      <c r="I17" s="30">
        <f>H17-B17</f>
        <v>-975224.29708755761</v>
      </c>
      <c r="J17" s="39">
        <f>I17/B17</f>
        <v>-3.0272687597204449E-2</v>
      </c>
      <c r="K17" s="11">
        <f t="shared" si="0"/>
        <v>3.0272687597204449E-2</v>
      </c>
      <c r="L17" s="11"/>
      <c r="M17" s="159"/>
      <c r="N17" s="159" t="s">
        <v>122</v>
      </c>
      <c r="O17" s="159" t="s">
        <v>20</v>
      </c>
      <c r="P17" s="159" t="s">
        <v>123</v>
      </c>
      <c r="Q17" s="159" t="s">
        <v>124</v>
      </c>
      <c r="R17" s="159" t="s">
        <v>125</v>
      </c>
      <c r="S17" s="159" t="s">
        <v>126</v>
      </c>
      <c r="T17" s="159" t="s">
        <v>127</v>
      </c>
      <c r="U17" s="159" t="s">
        <v>128</v>
      </c>
    </row>
    <row r="18" spans="1:21" x14ac:dyDescent="0.2">
      <c r="A18" s="44">
        <v>42124</v>
      </c>
      <c r="B18" s="45">
        <f>Inputs!D39</f>
        <v>27411226.508933332</v>
      </c>
      <c r="C18" s="45">
        <v>333.62</v>
      </c>
      <c r="D18" s="45">
        <v>0.05</v>
      </c>
      <c r="E18" s="45">
        <v>30</v>
      </c>
      <c r="F18" s="145">
        <v>1</v>
      </c>
      <c r="G18" s="45">
        <f>Inputs!G39+Inputs!I39+Inputs!L39+Inputs!X39</f>
        <v>22537</v>
      </c>
      <c r="H18" s="45">
        <f>$N$18+$N$19*C18+$N$20*D18+$N$21*E18+$N$22*F18+$N$23*G18</f>
        <v>27850378.446389921</v>
      </c>
      <c r="I18" s="30">
        <f>H18-B18</f>
        <v>439151.93745658919</v>
      </c>
      <c r="J18" s="39">
        <f>I18/B18</f>
        <v>1.6020878792616936E-2</v>
      </c>
      <c r="K18" s="11">
        <f t="shared" si="0"/>
        <v>1.6020878792616936E-2</v>
      </c>
      <c r="L18" s="11"/>
      <c r="M18" t="s">
        <v>25</v>
      </c>
      <c r="N18">
        <v>-20790885.684787542</v>
      </c>
      <c r="O18">
        <v>5611298.4617465623</v>
      </c>
      <c r="P18">
        <v>-3.7051826464985806</v>
      </c>
      <c r="Q18">
        <v>3.2744877628005373E-4</v>
      </c>
      <c r="R18">
        <v>-31906824.71915127</v>
      </c>
      <c r="S18">
        <v>-9674946.6504238136</v>
      </c>
      <c r="T18">
        <v>-31906824.71915127</v>
      </c>
      <c r="U18">
        <v>-9674946.6504238136</v>
      </c>
    </row>
    <row r="19" spans="1:21" x14ac:dyDescent="0.2">
      <c r="A19" s="44">
        <v>42155</v>
      </c>
      <c r="B19" s="45">
        <f>Inputs!D40</f>
        <v>28734001.131733332</v>
      </c>
      <c r="C19" s="45">
        <v>147.99</v>
      </c>
      <c r="D19" s="45">
        <v>17.32</v>
      </c>
      <c r="E19" s="45">
        <v>31</v>
      </c>
      <c r="F19" s="145">
        <v>1</v>
      </c>
      <c r="G19" s="45">
        <f>Inputs!G40+Inputs!I40+Inputs!L40+Inputs!X40</f>
        <v>22526</v>
      </c>
      <c r="H19" s="45">
        <f>$N$18+$N$19*C19+$N$20*D19+$N$21*E19+$N$22*F19+$N$23*G19</f>
        <v>28735998.104763091</v>
      </c>
      <c r="I19" s="30">
        <f>H19-B19</f>
        <v>1996.9730297587812</v>
      </c>
      <c r="J19" s="39">
        <f>I19/B19</f>
        <v>6.9498606219283503E-5</v>
      </c>
      <c r="K19" s="11">
        <f t="shared" si="0"/>
        <v>6.9498606219283503E-5</v>
      </c>
      <c r="L19" s="11"/>
      <c r="M19" t="s">
        <v>2</v>
      </c>
      <c r="N19">
        <v>10438.221442013162</v>
      </c>
      <c r="O19">
        <v>654.13170895002645</v>
      </c>
      <c r="P19">
        <v>15.957369592689489</v>
      </c>
      <c r="Q19">
        <v>7.9178606525178238E-31</v>
      </c>
      <c r="R19">
        <v>9142.3915647213726</v>
      </c>
      <c r="S19">
        <v>11734.051319304952</v>
      </c>
      <c r="T19">
        <v>9142.3915647213726</v>
      </c>
      <c r="U19">
        <v>11734.051319304952</v>
      </c>
    </row>
    <row r="20" spans="1:21" x14ac:dyDescent="0.2">
      <c r="A20" s="44">
        <v>42185</v>
      </c>
      <c r="B20" s="45">
        <f>Inputs!D41</f>
        <v>29750992.611733332</v>
      </c>
      <c r="C20" s="45">
        <v>28.179999999999996</v>
      </c>
      <c r="D20" s="45">
        <v>52.879999999999995</v>
      </c>
      <c r="E20" s="45">
        <v>30</v>
      </c>
      <c r="F20" s="145">
        <v>0</v>
      </c>
      <c r="G20" s="45">
        <f>Inputs!G41+Inputs!I41+Inputs!L41+Inputs!X41</f>
        <v>22535</v>
      </c>
      <c r="H20" s="45">
        <f>$N$18+$N$19*C20+$N$20*D20+$N$21*E20+$N$22*F20+$N$23*G20</f>
        <v>31842812.177822046</v>
      </c>
      <c r="I20" s="30">
        <f>H20-B20</f>
        <v>2091819.5660887137</v>
      </c>
      <c r="J20" s="39">
        <f>I20/B20</f>
        <v>7.0310916794881398E-2</v>
      </c>
      <c r="K20" s="11">
        <f t="shared" si="0"/>
        <v>7.0310916794881398E-2</v>
      </c>
      <c r="L20" s="11"/>
      <c r="M20" t="s">
        <v>3</v>
      </c>
      <c r="N20">
        <v>91004.753645681325</v>
      </c>
      <c r="O20">
        <v>5017.5812949732754</v>
      </c>
      <c r="P20">
        <v>18.137175721866612</v>
      </c>
      <c r="Q20">
        <v>2.1717880111246917E-35</v>
      </c>
      <c r="R20">
        <v>81064.96374587153</v>
      </c>
      <c r="S20">
        <v>100944.54354549112</v>
      </c>
      <c r="T20">
        <v>81064.96374587153</v>
      </c>
      <c r="U20">
        <v>100944.54354549112</v>
      </c>
    </row>
    <row r="21" spans="1:21" x14ac:dyDescent="0.2">
      <c r="A21" s="44">
        <v>42216</v>
      </c>
      <c r="B21" s="45">
        <f>Inputs!D42</f>
        <v>35319999.557733327</v>
      </c>
      <c r="C21" s="45">
        <v>3.06</v>
      </c>
      <c r="D21" s="45">
        <v>105.36999999999998</v>
      </c>
      <c r="E21" s="45">
        <v>31</v>
      </c>
      <c r="F21" s="145">
        <v>0</v>
      </c>
      <c r="G21" s="45">
        <f>Inputs!G42+Inputs!I42+Inputs!L42+Inputs!X42</f>
        <v>22560</v>
      </c>
      <c r="H21" s="45">
        <f>$N$18+$N$19*C21+$N$20*D21+$N$21*E21+$N$22*F21+$N$23*G21</f>
        <v>37624769.359672472</v>
      </c>
      <c r="I21" s="30">
        <f>H21-B21</f>
        <v>2304769.8019391447</v>
      </c>
      <c r="J21" s="39">
        <f>I21/B21</f>
        <v>6.5253958969388334E-2</v>
      </c>
      <c r="K21" s="11">
        <f t="shared" si="0"/>
        <v>6.5253958969388334E-2</v>
      </c>
      <c r="L21" s="11"/>
      <c r="M21" t="s">
        <v>93</v>
      </c>
      <c r="N21">
        <v>1256415.2464322452</v>
      </c>
      <c r="O21">
        <v>162915.2443406026</v>
      </c>
      <c r="P21">
        <v>7.7120790722658894</v>
      </c>
      <c r="Q21">
        <v>5.0697299893666102E-12</v>
      </c>
      <c r="R21">
        <v>933681.40217065625</v>
      </c>
      <c r="S21">
        <v>1579149.0906938342</v>
      </c>
      <c r="T21">
        <v>933681.40217065625</v>
      </c>
      <c r="U21">
        <v>1579149.0906938342</v>
      </c>
    </row>
    <row r="22" spans="1:21" x14ac:dyDescent="0.2">
      <c r="A22" s="44">
        <v>42247</v>
      </c>
      <c r="B22" s="45">
        <f>Inputs!D43</f>
        <v>33778593.432533331</v>
      </c>
      <c r="C22" s="45">
        <v>6.6700000000000017</v>
      </c>
      <c r="D22" s="45">
        <v>88.690000000000012</v>
      </c>
      <c r="E22" s="45">
        <v>31</v>
      </c>
      <c r="F22" s="145">
        <v>0</v>
      </c>
      <c r="G22" s="45">
        <f>Inputs!G43+Inputs!I43+Inputs!L43+Inputs!X43</f>
        <v>22588</v>
      </c>
      <c r="H22" s="45">
        <f>$N$18+$N$19*C22+$N$20*D22+$N$21*E22+$N$22*F22+$N$23*G22</f>
        <v>36156711.852149494</v>
      </c>
      <c r="I22" s="30">
        <f>H22-B22</f>
        <v>2378118.4196161628</v>
      </c>
      <c r="J22" s="39">
        <f>I22/B22</f>
        <v>7.0403121561767423E-2</v>
      </c>
      <c r="K22" s="11">
        <f t="shared" si="0"/>
        <v>7.0403121561767423E-2</v>
      </c>
      <c r="L22" s="11"/>
      <c r="M22" t="s">
        <v>14</v>
      </c>
      <c r="N22">
        <v>-2373775.7967136591</v>
      </c>
      <c r="O22">
        <v>316216.30567026645</v>
      </c>
      <c r="P22">
        <v>-7.506810224988544</v>
      </c>
      <c r="Q22">
        <v>1.4528950096755838E-11</v>
      </c>
      <c r="R22">
        <v>-3000197.862740837</v>
      </c>
      <c r="S22">
        <v>-1747353.7306864811</v>
      </c>
      <c r="T22">
        <v>-3000197.862740837</v>
      </c>
      <c r="U22">
        <v>-1747353.7306864811</v>
      </c>
    </row>
    <row r="23" spans="1:21" ht="13.5" thickBot="1" x14ac:dyDescent="0.25">
      <c r="A23" s="44">
        <v>42277</v>
      </c>
      <c r="B23" s="45">
        <f>Inputs!D44</f>
        <v>32399240.260533333</v>
      </c>
      <c r="C23" s="45">
        <v>53.92</v>
      </c>
      <c r="D23" s="45">
        <v>34.25</v>
      </c>
      <c r="E23" s="45">
        <v>30</v>
      </c>
      <c r="F23" s="145">
        <v>0</v>
      </c>
      <c r="G23" s="45">
        <f>Inputs!G44+Inputs!I44+Inputs!L44+Inputs!X44</f>
        <v>22606</v>
      </c>
      <c r="H23" s="45">
        <f>$N$18+$N$19*C23+$N$20*D23+$N$21*E23+$N$22*F23+$N$23*G23</f>
        <v>30447059.368590899</v>
      </c>
      <c r="I23" s="30">
        <f>H23-B23</f>
        <v>-1952180.891942434</v>
      </c>
      <c r="J23" s="39">
        <f>I23/B23</f>
        <v>-6.0253909543689366E-2</v>
      </c>
      <c r="K23" s="11">
        <f t="shared" si="0"/>
        <v>6.0253909543689366E-2</v>
      </c>
      <c r="L23" s="11"/>
      <c r="M23" s="158" t="s">
        <v>109</v>
      </c>
      <c r="N23" s="158">
        <v>436.42156718982329</v>
      </c>
      <c r="O23" s="158">
        <v>118.60579345769628</v>
      </c>
      <c r="P23" s="158">
        <v>3.6795973827828568</v>
      </c>
      <c r="Q23" s="158">
        <v>3.5821771085983939E-4</v>
      </c>
      <c r="R23" s="158">
        <v>201.46440385481137</v>
      </c>
      <c r="S23" s="158">
        <v>671.37873052483519</v>
      </c>
      <c r="T23" s="158">
        <v>201.46440385481137</v>
      </c>
      <c r="U23" s="158">
        <v>671.37873052483519</v>
      </c>
    </row>
    <row r="24" spans="1:21" x14ac:dyDescent="0.2">
      <c r="A24" s="44">
        <v>42308</v>
      </c>
      <c r="B24" s="45">
        <f>Inputs!D45</f>
        <v>27207724.193333331</v>
      </c>
      <c r="C24" s="45">
        <v>212.45</v>
      </c>
      <c r="D24" s="45">
        <v>5.3</v>
      </c>
      <c r="E24" s="45">
        <v>31</v>
      </c>
      <c r="F24" s="145">
        <v>1</v>
      </c>
      <c r="G24" s="45">
        <f>Inputs!G45+Inputs!I45+Inputs!L45+Inputs!X45</f>
        <v>22626</v>
      </c>
      <c r="H24" s="45">
        <f>$N$18+$N$19*C24+$N$20*D24+$N$21*E24+$N$22*F24+$N$23*G24</f>
        <v>28358610.876813151</v>
      </c>
      <c r="I24" s="30">
        <f>H24-B24</f>
        <v>1150886.6834798194</v>
      </c>
      <c r="J24" s="39">
        <f>I24/B24</f>
        <v>4.2299998166028877E-2</v>
      </c>
      <c r="K24" s="11">
        <f t="shared" si="0"/>
        <v>4.2299998166028877E-2</v>
      </c>
      <c r="L24" s="11"/>
      <c r="M24"/>
      <c r="N24"/>
    </row>
    <row r="25" spans="1:21" x14ac:dyDescent="0.2">
      <c r="A25" s="44">
        <v>42338</v>
      </c>
      <c r="B25" s="45">
        <f>Inputs!D46</f>
        <v>27907416.640533332</v>
      </c>
      <c r="C25" s="45">
        <v>408.5</v>
      </c>
      <c r="D25" s="45">
        <v>0.22999999999999998</v>
      </c>
      <c r="E25" s="45">
        <v>30</v>
      </c>
      <c r="F25" s="145">
        <v>1</v>
      </c>
      <c r="G25" s="45">
        <f>Inputs!G46+Inputs!I46+Inputs!L46+Inputs!X46</f>
        <v>22650</v>
      </c>
      <c r="H25" s="45">
        <f>$N$18+$N$19*C25+$N$20*D25+$N$21*E25+$N$22*F25+$N$23*G25</f>
        <v>28697688.960716538</v>
      </c>
      <c r="I25" s="30">
        <f>H25-B25</f>
        <v>790272.32018320635</v>
      </c>
      <c r="J25" s="39">
        <f>I25/B25</f>
        <v>2.8317645103538458E-2</v>
      </c>
      <c r="K25" s="11">
        <f t="shared" si="0"/>
        <v>2.8317645103538458E-2</v>
      </c>
      <c r="L25" s="11"/>
      <c r="M25"/>
      <c r="N25"/>
    </row>
    <row r="26" spans="1:21" x14ac:dyDescent="0.2">
      <c r="A26" s="44">
        <v>42369</v>
      </c>
      <c r="B26" s="45">
        <f>Inputs!D47</f>
        <v>30150193.52733333</v>
      </c>
      <c r="C26" s="45">
        <v>533.85000000000014</v>
      </c>
      <c r="D26" s="45">
        <v>0</v>
      </c>
      <c r="E26" s="45">
        <v>31</v>
      </c>
      <c r="F26" s="145">
        <v>1</v>
      </c>
      <c r="G26" s="45">
        <f>Inputs!G47+Inputs!I47+Inputs!L47+Inputs!X47</f>
        <v>22667</v>
      </c>
      <c r="H26" s="45">
        <f>$N$18+$N$19*C26+$N$20*D26+$N$21*E26+$N$22*F26+$N$23*G26</f>
        <v>31249023.338208854</v>
      </c>
      <c r="I26" s="30">
        <f>H26-B26</f>
        <v>1098829.8108755238</v>
      </c>
      <c r="J26" s="39">
        <f>I26/B26</f>
        <v>3.6445199261469254E-2</v>
      </c>
      <c r="K26" s="11">
        <f t="shared" si="0"/>
        <v>3.6445199261469254E-2</v>
      </c>
      <c r="L26" s="11"/>
      <c r="M26"/>
      <c r="N26"/>
    </row>
    <row r="27" spans="1:21" x14ac:dyDescent="0.2">
      <c r="A27" s="44">
        <v>42400</v>
      </c>
      <c r="B27" s="45">
        <f>Inputs!D48</f>
        <v>33030100.046666667</v>
      </c>
      <c r="C27" s="45">
        <v>678.22</v>
      </c>
      <c r="D27" s="45">
        <v>0</v>
      </c>
      <c r="E27" s="45">
        <v>31</v>
      </c>
      <c r="F27" s="145">
        <v>0</v>
      </c>
      <c r="G27" s="45">
        <f>Inputs!G48+Inputs!I48+Inputs!L48+Inputs!X48</f>
        <v>22670</v>
      </c>
      <c r="H27" s="45">
        <f>$N$18+$N$19*C27+$N$20*D27+$N$21*E27+$N$22*F27+$N$23*G27</f>
        <v>35131074.429207519</v>
      </c>
      <c r="I27" s="30">
        <f>H27-B27</f>
        <v>2100974.3825408518</v>
      </c>
      <c r="J27" s="39">
        <f>I27/B27</f>
        <v>6.360787220058324E-2</v>
      </c>
      <c r="K27" s="11">
        <f t="shared" si="0"/>
        <v>6.360787220058324E-2</v>
      </c>
      <c r="L27" s="11"/>
      <c r="M27"/>
      <c r="N27"/>
    </row>
    <row r="28" spans="1:21" x14ac:dyDescent="0.2">
      <c r="A28" s="44">
        <v>42429</v>
      </c>
      <c r="B28" s="45">
        <f>Inputs!D49</f>
        <v>30335368.476666667</v>
      </c>
      <c r="C28" s="45">
        <v>616.86</v>
      </c>
      <c r="D28" s="45">
        <v>0</v>
      </c>
      <c r="E28" s="45">
        <v>29</v>
      </c>
      <c r="F28" s="145">
        <v>0</v>
      </c>
      <c r="G28" s="45">
        <f>Inputs!G49+Inputs!I49+Inputs!L49+Inputs!X49</f>
        <v>22695</v>
      </c>
      <c r="H28" s="45">
        <f>$N$18+$N$19*C28+$N$20*D28+$N$21*E28+$N$22*F28+$N$23*G28</f>
        <v>31988665.207840849</v>
      </c>
      <c r="I28" s="30">
        <f>H28-B28</f>
        <v>1653296.7311741821</v>
      </c>
      <c r="J28" s="39">
        <f>I28/B28</f>
        <v>5.4500631249818625E-2</v>
      </c>
      <c r="K28" s="11">
        <f t="shared" si="0"/>
        <v>5.4500631249818625E-2</v>
      </c>
      <c r="L28" s="11"/>
      <c r="M28"/>
      <c r="N28"/>
    </row>
    <row r="29" spans="1:21" x14ac:dyDescent="0.2">
      <c r="A29" s="44">
        <v>42460</v>
      </c>
      <c r="B29" s="45">
        <f>Inputs!D50</f>
        <v>29470505.726666667</v>
      </c>
      <c r="C29" s="45">
        <v>539.83000000000015</v>
      </c>
      <c r="D29" s="45">
        <v>0</v>
      </c>
      <c r="E29" s="45">
        <v>31</v>
      </c>
      <c r="F29" s="145">
        <v>1</v>
      </c>
      <c r="G29" s="45">
        <f>Inputs!G50+Inputs!I50+Inputs!L50+Inputs!X50</f>
        <v>22699</v>
      </c>
      <c r="H29" s="45">
        <f>$N$18+$N$19*C29+$N$20*D29+$N$21*E29+$N$22*F29+$N$23*G29</f>
        <v>31325409.392582171</v>
      </c>
      <c r="I29" s="30">
        <f>H29-B29</f>
        <v>1854903.6659155041</v>
      </c>
      <c r="J29" s="39">
        <f>I29/B29</f>
        <v>6.2941019170806994E-2</v>
      </c>
      <c r="K29" s="11">
        <f t="shared" si="0"/>
        <v>6.2941019170806994E-2</v>
      </c>
      <c r="L29" s="11"/>
      <c r="M29"/>
      <c r="N29"/>
    </row>
    <row r="30" spans="1:21" x14ac:dyDescent="0.2">
      <c r="A30" s="44">
        <v>42490</v>
      </c>
      <c r="B30" s="45">
        <f>Inputs!D51</f>
        <v>27500006.806666669</v>
      </c>
      <c r="C30" s="45">
        <v>333.62</v>
      </c>
      <c r="D30" s="45">
        <v>0.05</v>
      </c>
      <c r="E30" s="45">
        <v>30</v>
      </c>
      <c r="F30" s="145">
        <v>1</v>
      </c>
      <c r="G30" s="45">
        <f>Inputs!G51+Inputs!I51+Inputs!L51+Inputs!X51</f>
        <v>22717</v>
      </c>
      <c r="H30" s="45">
        <f>$N$18+$N$19*C30+$N$20*D30+$N$21*E30+$N$22*F30+$N$23*G30</f>
        <v>27928934.328484088</v>
      </c>
      <c r="I30" s="30">
        <f>H30-B30</f>
        <v>428927.52181741968</v>
      </c>
      <c r="J30" s="39">
        <f>I30/B30</f>
        <v>1.5597360569141286E-2</v>
      </c>
      <c r="K30" s="11">
        <f t="shared" si="0"/>
        <v>1.5597360569141286E-2</v>
      </c>
      <c r="L30" s="11"/>
      <c r="M30" s="157"/>
      <c r="N30"/>
    </row>
    <row r="31" spans="1:21" x14ac:dyDescent="0.2">
      <c r="A31" s="44">
        <v>42521</v>
      </c>
      <c r="B31" s="45">
        <f>Inputs!D52</f>
        <v>28052824.666666668</v>
      </c>
      <c r="C31" s="45">
        <v>147.99</v>
      </c>
      <c r="D31" s="45">
        <v>17.32</v>
      </c>
      <c r="E31" s="45">
        <v>31</v>
      </c>
      <c r="F31" s="145">
        <v>1</v>
      </c>
      <c r="G31" s="45">
        <f>Inputs!G52+Inputs!I52+Inputs!L52+Inputs!X52</f>
        <v>22722</v>
      </c>
      <c r="H31" s="45">
        <f>$N$18+$N$19*C31+$N$20*D31+$N$21*E31+$N$22*F31+$N$23*G31</f>
        <v>28821536.731932297</v>
      </c>
      <c r="I31" s="30">
        <f>H31-B31</f>
        <v>768712.06526562944</v>
      </c>
      <c r="J31" s="39">
        <f>I31/B31</f>
        <v>2.7402305272275829E-2</v>
      </c>
      <c r="K31" s="11">
        <f t="shared" si="0"/>
        <v>2.7402305272275829E-2</v>
      </c>
      <c r="L31" s="11"/>
      <c r="M31" s="157"/>
      <c r="P31" s="41"/>
    </row>
    <row r="32" spans="1:21" x14ac:dyDescent="0.2">
      <c r="A32" s="44">
        <v>42551</v>
      </c>
      <c r="B32" s="45">
        <f>Inputs!D53</f>
        <v>31979033.996666666</v>
      </c>
      <c r="C32" s="45">
        <v>28.179999999999996</v>
      </c>
      <c r="D32" s="45">
        <v>52.879999999999995</v>
      </c>
      <c r="E32" s="45">
        <v>30</v>
      </c>
      <c r="F32" s="145">
        <v>0</v>
      </c>
      <c r="G32" s="45">
        <f>Inputs!G53+Inputs!I53+Inputs!L53+Inputs!X53</f>
        <v>22733</v>
      </c>
      <c r="H32" s="45">
        <f>$N$18+$N$19*C32+$N$20*D32+$N$21*E32+$N$22*F32+$N$23*G32</f>
        <v>31929223.648125626</v>
      </c>
      <c r="I32" s="30">
        <f>H32-B32</f>
        <v>-49810.348541039973</v>
      </c>
      <c r="J32" s="39">
        <f>I32/B32</f>
        <v>-1.5575939081284304E-3</v>
      </c>
      <c r="K32" s="11">
        <f t="shared" si="0"/>
        <v>1.5575939081284304E-3</v>
      </c>
      <c r="L32" s="11"/>
      <c r="M32" s="157"/>
      <c r="P32" s="41"/>
    </row>
    <row r="33" spans="1:16" x14ac:dyDescent="0.2">
      <c r="A33" s="44">
        <v>42582</v>
      </c>
      <c r="B33" s="45">
        <f>Inputs!D54</f>
        <v>38582728.506666668</v>
      </c>
      <c r="C33" s="45">
        <v>3.06</v>
      </c>
      <c r="D33" s="45">
        <v>105.36999999999998</v>
      </c>
      <c r="E33" s="45">
        <v>31</v>
      </c>
      <c r="F33" s="145">
        <v>0</v>
      </c>
      <c r="G33" s="45">
        <f>Inputs!G54+Inputs!I54+Inputs!L54+Inputs!X54</f>
        <v>22761</v>
      </c>
      <c r="H33" s="45">
        <f>$N$18+$N$19*C33+$N$20*D33+$N$21*E33+$N$22*F33+$N$23*G33</f>
        <v>37712490.094677627</v>
      </c>
      <c r="I33" s="30">
        <f>H33-B33</f>
        <v>-870238.41198904067</v>
      </c>
      <c r="J33" s="39">
        <f>I33/B33</f>
        <v>-2.2555128827622263E-2</v>
      </c>
      <c r="K33" s="11">
        <f t="shared" si="0"/>
        <v>2.2555128827622263E-2</v>
      </c>
      <c r="L33" s="11"/>
      <c r="M33" s="157"/>
      <c r="N33"/>
      <c r="P33" s="41"/>
    </row>
    <row r="34" spans="1:16" x14ac:dyDescent="0.2">
      <c r="A34" s="44">
        <v>42613</v>
      </c>
      <c r="B34" s="45">
        <f>Inputs!D55</f>
        <v>41437079.986666664</v>
      </c>
      <c r="C34" s="45">
        <v>6.6700000000000017</v>
      </c>
      <c r="D34" s="45">
        <v>88.690000000000012</v>
      </c>
      <c r="E34" s="45">
        <v>31</v>
      </c>
      <c r="F34" s="145">
        <v>0</v>
      </c>
      <c r="G34" s="45">
        <f>Inputs!G55+Inputs!I55+Inputs!L55+Inputs!X55</f>
        <v>22775</v>
      </c>
      <c r="H34" s="45">
        <f>$N$18+$N$19*C34+$N$20*D34+$N$21*E34+$N$22*F34+$N$23*G34</f>
        <v>36238322.685213991</v>
      </c>
      <c r="I34" s="30">
        <f>H34-B34</f>
        <v>-5198757.301452674</v>
      </c>
      <c r="J34" s="39">
        <f>I34/B34</f>
        <v>-0.12546147805601876</v>
      </c>
      <c r="K34" s="11">
        <f t="shared" si="0"/>
        <v>0.12546147805601876</v>
      </c>
      <c r="L34" s="11"/>
      <c r="M34" s="157"/>
      <c r="N34"/>
      <c r="P34" s="41"/>
    </row>
    <row r="35" spans="1:16" x14ac:dyDescent="0.2">
      <c r="A35" s="44">
        <v>42643</v>
      </c>
      <c r="B35" s="45">
        <f>Inputs!D56</f>
        <v>31887811.926666666</v>
      </c>
      <c r="C35" s="45">
        <v>53.92</v>
      </c>
      <c r="D35" s="45">
        <v>34.25</v>
      </c>
      <c r="E35" s="45">
        <v>30</v>
      </c>
      <c r="F35" s="145">
        <v>0</v>
      </c>
      <c r="G35" s="45">
        <f>Inputs!G56+Inputs!I56+Inputs!L56+Inputs!X56</f>
        <v>22784</v>
      </c>
      <c r="H35" s="45">
        <f>$N$18+$N$19*C35+$N$20*D35+$N$21*E35+$N$22*F35+$N$23*G35</f>
        <v>30524742.407550685</v>
      </c>
      <c r="I35" s="30">
        <f>H35-B35</f>
        <v>-1363069.5191159807</v>
      </c>
      <c r="J35" s="39">
        <f>I35/B35</f>
        <v>-4.2745783945623853E-2</v>
      </c>
      <c r="K35" s="11">
        <f t="shared" si="0"/>
        <v>4.2745783945623853E-2</v>
      </c>
      <c r="L35" s="11"/>
      <c r="M35" s="157"/>
      <c r="N35"/>
      <c r="P35" s="41"/>
    </row>
    <row r="36" spans="1:16" x14ac:dyDescent="0.2">
      <c r="A36" s="44">
        <v>42674</v>
      </c>
      <c r="B36" s="45">
        <f>Inputs!D57</f>
        <v>27632019.866666667</v>
      </c>
      <c r="C36" s="45">
        <v>212.45</v>
      </c>
      <c r="D36" s="45">
        <v>5.3</v>
      </c>
      <c r="E36" s="45">
        <v>31</v>
      </c>
      <c r="F36" s="145">
        <v>1</v>
      </c>
      <c r="G36" s="45">
        <f>Inputs!G57+Inputs!I57+Inputs!L57+Inputs!X57</f>
        <v>22793</v>
      </c>
      <c r="H36" s="45">
        <f>$N$18+$N$19*C36+$N$20*D36+$N$21*E36+$N$22*F36+$N$23*G36</f>
        <v>28431493.278533854</v>
      </c>
      <c r="I36" s="30">
        <f>H36-B36</f>
        <v>799473.41186718643</v>
      </c>
      <c r="J36" s="39">
        <f>I36/B36</f>
        <v>2.8932861793126284E-2</v>
      </c>
      <c r="K36" s="11">
        <f t="shared" si="0"/>
        <v>2.8932861793126284E-2</v>
      </c>
      <c r="L36" s="11"/>
      <c r="M36" s="157"/>
      <c r="N36"/>
      <c r="P36" s="41"/>
    </row>
    <row r="37" spans="1:16" x14ac:dyDescent="0.2">
      <c r="A37" s="44">
        <v>42704</v>
      </c>
      <c r="B37" s="45">
        <f>Inputs!D58</f>
        <v>28072689.79275357</v>
      </c>
      <c r="C37" s="45">
        <v>408.5</v>
      </c>
      <c r="D37" s="45">
        <v>0.22999999999999998</v>
      </c>
      <c r="E37" s="45">
        <v>30</v>
      </c>
      <c r="F37" s="145">
        <v>1</v>
      </c>
      <c r="G37" s="45">
        <f>Inputs!G58+Inputs!I58+Inputs!L58+Inputs!X58</f>
        <v>22824</v>
      </c>
      <c r="H37" s="45">
        <f>$N$18+$N$19*C37+$N$20*D37+$N$21*E37+$N$22*F37+$N$23*G37</f>
        <v>28773626.31340757</v>
      </c>
      <c r="I37" s="30">
        <f>H37-B37</f>
        <v>700936.52065400034</v>
      </c>
      <c r="J37" s="39">
        <f>I37/B37</f>
        <v>2.496862701182748E-2</v>
      </c>
      <c r="K37" s="11">
        <f t="shared" si="0"/>
        <v>2.496862701182748E-2</v>
      </c>
      <c r="L37" s="11"/>
      <c r="M37" s="157"/>
      <c r="N37"/>
      <c r="P37" s="41"/>
    </row>
    <row r="38" spans="1:16" x14ac:dyDescent="0.2">
      <c r="A38" s="44">
        <v>42735</v>
      </c>
      <c r="B38" s="45">
        <f>Inputs!D59</f>
        <v>32042035.384939767</v>
      </c>
      <c r="C38" s="45">
        <v>533.85000000000014</v>
      </c>
      <c r="D38" s="45">
        <v>0</v>
      </c>
      <c r="E38" s="45">
        <v>31</v>
      </c>
      <c r="F38" s="145">
        <v>1</v>
      </c>
      <c r="G38" s="45">
        <f>Inputs!G59+Inputs!I59+Inputs!L59+Inputs!X59</f>
        <v>22852</v>
      </c>
      <c r="H38" s="45">
        <f>$N$18+$N$19*C38+$N$20*D38+$N$21*E38+$N$22*F38+$N$23*G38</f>
        <v>31329761.328138974</v>
      </c>
      <c r="I38" s="30">
        <f>H38-B38</f>
        <v>-712274.05680079386</v>
      </c>
      <c r="J38" s="39">
        <f>I38/B38</f>
        <v>-2.2229363654456647E-2</v>
      </c>
      <c r="K38" s="11">
        <f t="shared" si="0"/>
        <v>2.2229363654456647E-2</v>
      </c>
      <c r="L38" s="11"/>
      <c r="M38" s="157"/>
      <c r="N38"/>
      <c r="P38" s="41"/>
    </row>
    <row r="39" spans="1:16" x14ac:dyDescent="0.2">
      <c r="A39" s="44">
        <v>42766</v>
      </c>
      <c r="B39" s="45">
        <f>Inputs!D60</f>
        <v>32603243.687800001</v>
      </c>
      <c r="C39" s="45">
        <v>678.22</v>
      </c>
      <c r="D39" s="45">
        <v>0</v>
      </c>
      <c r="E39" s="45">
        <v>31</v>
      </c>
      <c r="F39" s="145">
        <v>0</v>
      </c>
      <c r="G39" s="45">
        <f>Inputs!G60+Inputs!I60+Inputs!L60+Inputs!X60</f>
        <v>22862</v>
      </c>
      <c r="H39" s="45">
        <f>$N$18+$N$19*C39+$N$20*D39+$N$21*E39+$N$22*F39+$N$23*G39</f>
        <v>35214867.370107971</v>
      </c>
      <c r="I39" s="30">
        <f>H39-B39</f>
        <v>2611623.6823079698</v>
      </c>
      <c r="J39" s="39">
        <f>I39/B39</f>
        <v>8.0103185662021376E-2</v>
      </c>
      <c r="K39" s="11">
        <f t="shared" si="0"/>
        <v>8.0103185662021376E-2</v>
      </c>
      <c r="L39" s="11"/>
      <c r="M39" s="157"/>
      <c r="N39"/>
      <c r="P39" s="41"/>
    </row>
    <row r="40" spans="1:16" x14ac:dyDescent="0.2">
      <c r="A40" s="44">
        <v>42794</v>
      </c>
      <c r="B40" s="45">
        <f>Inputs!D61</f>
        <v>28442344.894508798</v>
      </c>
      <c r="C40" s="45">
        <v>616.86</v>
      </c>
      <c r="D40" s="45">
        <v>0</v>
      </c>
      <c r="E40" s="45">
        <v>28</v>
      </c>
      <c r="F40" s="145">
        <v>0</v>
      </c>
      <c r="G40" s="45">
        <f>Inputs!G61+Inputs!I61+Inputs!L61+Inputs!X61</f>
        <v>22870</v>
      </c>
      <c r="H40" s="45">
        <f>$N$18+$N$19*C40+$N$20*D40+$N$21*E40+$N$22*F40+$N$23*G40</f>
        <v>30808623.735666823</v>
      </c>
      <c r="I40" s="30">
        <f>H40-B40</f>
        <v>2366278.841158025</v>
      </c>
      <c r="J40" s="39">
        <f>I40/B40</f>
        <v>8.3195631370564987E-2</v>
      </c>
      <c r="K40" s="11">
        <f t="shared" si="0"/>
        <v>8.3195631370564987E-2</v>
      </c>
      <c r="L40" s="11"/>
      <c r="M40" s="157"/>
      <c r="N40"/>
    </row>
    <row r="41" spans="1:16" x14ac:dyDescent="0.2">
      <c r="A41" s="44">
        <v>42825</v>
      </c>
      <c r="B41" s="45">
        <f>Inputs!D62</f>
        <v>31091148.4114093</v>
      </c>
      <c r="C41" s="45">
        <v>539.83000000000015</v>
      </c>
      <c r="D41" s="45">
        <v>0</v>
      </c>
      <c r="E41" s="45">
        <v>31</v>
      </c>
      <c r="F41" s="145">
        <v>1</v>
      </c>
      <c r="G41" s="45">
        <f>Inputs!G62+Inputs!I62+Inputs!L62+Inputs!X62</f>
        <v>22881</v>
      </c>
      <c r="H41" s="45">
        <f>$N$18+$N$19*C41+$N$20*D41+$N$21*E41+$N$22*F41+$N$23*G41</f>
        <v>31404838.117810719</v>
      </c>
      <c r="I41" s="30">
        <f>H41-B41</f>
        <v>313689.70640141889</v>
      </c>
      <c r="J41" s="39">
        <f>I41/B41</f>
        <v>1.0089357338962313E-2</v>
      </c>
      <c r="K41" s="11">
        <f t="shared" si="0"/>
        <v>1.0089357338962313E-2</v>
      </c>
      <c r="L41" s="11"/>
      <c r="M41" s="157"/>
      <c r="N41"/>
    </row>
    <row r="42" spans="1:16" x14ac:dyDescent="0.2">
      <c r="A42" s="44">
        <v>42855</v>
      </c>
      <c r="B42" s="45">
        <f>Inputs!D63</f>
        <v>26726381.985407598</v>
      </c>
      <c r="C42" s="45">
        <v>333.62</v>
      </c>
      <c r="D42" s="45">
        <v>0.05</v>
      </c>
      <c r="E42" s="45">
        <v>30</v>
      </c>
      <c r="F42" s="145">
        <v>1</v>
      </c>
      <c r="G42" s="45">
        <f>Inputs!G63+Inputs!I63+Inputs!L63+Inputs!X63</f>
        <v>22886</v>
      </c>
      <c r="H42" s="45">
        <f>$N$18+$N$19*C42+$N$20*D42+$N$21*E42+$N$22*F42+$N$23*G42</f>
        <v>28002689.573339172</v>
      </c>
      <c r="I42" s="30">
        <f>H42-B42</f>
        <v>1276307.5879315734</v>
      </c>
      <c r="J42" s="39">
        <f>I42/B42</f>
        <v>4.7754596511732403E-2</v>
      </c>
      <c r="K42" s="11">
        <f t="shared" si="0"/>
        <v>4.7754596511732403E-2</v>
      </c>
      <c r="L42" s="11"/>
      <c r="M42" s="157"/>
      <c r="N42"/>
    </row>
    <row r="43" spans="1:16" x14ac:dyDescent="0.2">
      <c r="A43" s="44">
        <v>42886</v>
      </c>
      <c r="B43" s="45">
        <f>Inputs!D64</f>
        <v>27100631.439999998</v>
      </c>
      <c r="C43" s="45">
        <v>147.99</v>
      </c>
      <c r="D43" s="45">
        <v>17.32</v>
      </c>
      <c r="E43" s="45">
        <v>31</v>
      </c>
      <c r="F43" s="145">
        <v>1</v>
      </c>
      <c r="G43" s="45">
        <f>Inputs!G64+Inputs!I64+Inputs!L64+Inputs!X64</f>
        <v>22907</v>
      </c>
      <c r="H43" s="45">
        <f>$N$18+$N$19*C43+$N$20*D43+$N$21*E43+$N$22*F43+$N$23*G43</f>
        <v>28902274.721862413</v>
      </c>
      <c r="I43" s="30">
        <f>H43-B43</f>
        <v>1801643.2818624154</v>
      </c>
      <c r="J43" s="39">
        <f>I43/B43</f>
        <v>6.6479752910968165E-2</v>
      </c>
      <c r="K43" s="11">
        <f t="shared" si="0"/>
        <v>6.6479752910968165E-2</v>
      </c>
      <c r="L43" s="11"/>
      <c r="M43" s="157"/>
      <c r="N43"/>
    </row>
    <row r="44" spans="1:16" x14ac:dyDescent="0.2">
      <c r="A44" s="44">
        <v>42916</v>
      </c>
      <c r="B44" s="45">
        <f>Inputs!D65</f>
        <v>31069771.245993197</v>
      </c>
      <c r="C44" s="45">
        <v>28.179999999999996</v>
      </c>
      <c r="D44" s="45">
        <v>52.879999999999995</v>
      </c>
      <c r="E44" s="45">
        <v>30</v>
      </c>
      <c r="F44" s="145">
        <v>0</v>
      </c>
      <c r="G44" s="45">
        <f>Inputs!G65+Inputs!I65+Inputs!L65+Inputs!X65</f>
        <v>22911</v>
      </c>
      <c r="H44" s="45">
        <f>$N$18+$N$19*C44+$N$20*D44+$N$21*E44+$N$22*F44+$N$23*G44</f>
        <v>32006906.68708542</v>
      </c>
      <c r="I44" s="30">
        <f>H44-B44</f>
        <v>937135.44109222293</v>
      </c>
      <c r="J44" s="39">
        <f>I44/B44</f>
        <v>3.0162289695424688E-2</v>
      </c>
      <c r="K44" s="11">
        <f t="shared" si="0"/>
        <v>3.0162289695424688E-2</v>
      </c>
      <c r="L44" s="11"/>
      <c r="M44" s="157"/>
      <c r="N44"/>
    </row>
    <row r="45" spans="1:16" x14ac:dyDescent="0.2">
      <c r="A45" s="44">
        <v>42947</v>
      </c>
      <c r="B45" s="45">
        <f>Inputs!D66</f>
        <v>35551342.793448403</v>
      </c>
      <c r="C45" s="45">
        <v>3.06</v>
      </c>
      <c r="D45" s="45">
        <v>105.36999999999998</v>
      </c>
      <c r="E45" s="45">
        <v>31</v>
      </c>
      <c r="F45" s="145">
        <v>0</v>
      </c>
      <c r="G45" s="45">
        <f>Inputs!G66+Inputs!I66+Inputs!L66+Inputs!X66</f>
        <v>22937</v>
      </c>
      <c r="H45" s="45">
        <f>$N$18+$N$19*C45+$N$20*D45+$N$21*E45+$N$22*F45+$N$23*G45</f>
        <v>37789300.29050304</v>
      </c>
      <c r="I45" s="30">
        <f>H45-B45</f>
        <v>2237957.4970546365</v>
      </c>
      <c r="J45" s="39">
        <f>I45/B45</f>
        <v>6.2950013169883967E-2</v>
      </c>
      <c r="K45" s="11">
        <f t="shared" si="0"/>
        <v>6.2950013169883967E-2</v>
      </c>
      <c r="L45" s="11"/>
      <c r="M45" s="157"/>
      <c r="N45"/>
    </row>
    <row r="46" spans="1:16" x14ac:dyDescent="0.2">
      <c r="A46" s="44">
        <v>42978</v>
      </c>
      <c r="B46" s="45">
        <f>Inputs!D67</f>
        <v>34125261.1615927</v>
      </c>
      <c r="C46" s="45">
        <v>6.6700000000000017</v>
      </c>
      <c r="D46" s="45">
        <v>88.690000000000012</v>
      </c>
      <c r="E46" s="45">
        <v>31</v>
      </c>
      <c r="F46" s="145">
        <v>0</v>
      </c>
      <c r="G46" s="45">
        <f>Inputs!G67+Inputs!I67+Inputs!L67+Inputs!X67</f>
        <v>22952</v>
      </c>
      <c r="H46" s="45">
        <f>$N$18+$N$19*C46+$N$20*D46+$N$21*E46+$N$22*F46+$N$23*G46</f>
        <v>36315569.30260659</v>
      </c>
      <c r="I46" s="30">
        <f>H46-B46</f>
        <v>2190308.1410138905</v>
      </c>
      <c r="J46" s="39">
        <f>I46/B46</f>
        <v>6.418436274061512E-2</v>
      </c>
      <c r="K46" s="11">
        <f t="shared" si="0"/>
        <v>6.418436274061512E-2</v>
      </c>
      <c r="L46" s="11"/>
      <c r="M46" s="157"/>
      <c r="N46"/>
    </row>
    <row r="47" spans="1:16" x14ac:dyDescent="0.2">
      <c r="A47" s="44">
        <v>43008</v>
      </c>
      <c r="B47" s="45">
        <f>Inputs!D68</f>
        <v>31037006.541170798</v>
      </c>
      <c r="C47" s="45">
        <v>53.92</v>
      </c>
      <c r="D47" s="45">
        <v>34.25</v>
      </c>
      <c r="E47" s="45">
        <v>30</v>
      </c>
      <c r="F47" s="145">
        <v>0</v>
      </c>
      <c r="G47" s="45">
        <f>Inputs!G68+Inputs!I68+Inputs!L68+Inputs!X68</f>
        <v>22968</v>
      </c>
      <c r="H47" s="45">
        <f>$N$18+$N$19*C47+$N$20*D47+$N$21*E47+$N$22*F47+$N$23*G47</f>
        <v>30605043.975913614</v>
      </c>
      <c r="I47" s="30">
        <f>H47-B47</f>
        <v>-431962.56525718421</v>
      </c>
      <c r="J47" s="39">
        <f>I47/B47</f>
        <v>-1.3917661958932249E-2</v>
      </c>
      <c r="K47" s="11">
        <f t="shared" si="0"/>
        <v>1.3917661958932249E-2</v>
      </c>
      <c r="L47" s="11"/>
      <c r="M47" s="157"/>
      <c r="N47"/>
    </row>
    <row r="48" spans="1:16" x14ac:dyDescent="0.2">
      <c r="A48" s="44">
        <v>43039</v>
      </c>
      <c r="B48" s="45">
        <f>Inputs!D69</f>
        <v>28262231.379913501</v>
      </c>
      <c r="C48" s="45">
        <v>212.45</v>
      </c>
      <c r="D48" s="45">
        <v>5.3</v>
      </c>
      <c r="E48" s="45">
        <v>31</v>
      </c>
      <c r="F48" s="145">
        <v>1</v>
      </c>
      <c r="G48" s="45">
        <f>Inputs!G69+Inputs!I69+Inputs!L69+Inputs!X69</f>
        <v>22997</v>
      </c>
      <c r="H48" s="45">
        <f>$N$18+$N$19*C48+$N$20*D48+$N$21*E48+$N$22*F48+$N$23*G48</f>
        <v>28520523.278240576</v>
      </c>
      <c r="I48" s="30">
        <f>H48-B48</f>
        <v>258291.89832707494</v>
      </c>
      <c r="J48" s="39">
        <f>I48/B48</f>
        <v>9.1391190898906811E-3</v>
      </c>
      <c r="K48" s="11">
        <f t="shared" si="0"/>
        <v>9.1391190898906811E-3</v>
      </c>
      <c r="L48" s="11"/>
      <c r="M48" s="157"/>
      <c r="N48"/>
    </row>
    <row r="49" spans="1:14" x14ac:dyDescent="0.2">
      <c r="A49" s="44">
        <v>43069</v>
      </c>
      <c r="B49" s="45">
        <f>Inputs!D70</f>
        <v>29451606.664241601</v>
      </c>
      <c r="C49" s="45">
        <v>408.5</v>
      </c>
      <c r="D49" s="45">
        <v>0.22999999999999998</v>
      </c>
      <c r="E49" s="45">
        <v>30</v>
      </c>
      <c r="F49" s="145">
        <v>1</v>
      </c>
      <c r="G49" s="45">
        <f>Inputs!G70+Inputs!I70+Inputs!L70+Inputs!X70</f>
        <v>23027</v>
      </c>
      <c r="H49" s="45">
        <f>$N$18+$N$19*C49+$N$20*D49+$N$21*E49+$N$22*F49+$N$23*G49</f>
        <v>28862219.891547102</v>
      </c>
      <c r="I49" s="30">
        <f>H49-B49</f>
        <v>-589386.7726944983</v>
      </c>
      <c r="J49" s="39">
        <f>I49/B49</f>
        <v>-2.001204142828978E-2</v>
      </c>
      <c r="K49" s="11">
        <f t="shared" si="0"/>
        <v>2.001204142828978E-2</v>
      </c>
      <c r="L49" s="11"/>
      <c r="M49" s="157"/>
      <c r="N49"/>
    </row>
    <row r="50" spans="1:14" x14ac:dyDescent="0.2">
      <c r="A50" s="44">
        <v>43100</v>
      </c>
      <c r="B50" s="45">
        <f>Inputs!D71</f>
        <v>33135674.439350799</v>
      </c>
      <c r="C50" s="45">
        <v>533.85000000000014</v>
      </c>
      <c r="D50" s="45">
        <v>0</v>
      </c>
      <c r="E50" s="45">
        <v>31</v>
      </c>
      <c r="F50" s="145">
        <v>1</v>
      </c>
      <c r="G50" s="45">
        <f>Inputs!G71+Inputs!I71+Inputs!L71+Inputs!X71</f>
        <v>23048</v>
      </c>
      <c r="H50" s="45">
        <f>$N$18+$N$19*C50+$N$20*D50+$N$21*E50+$N$22*F50+$N$23*G50</f>
        <v>31415299.955308177</v>
      </c>
      <c r="I50" s="30">
        <f>H50-B50</f>
        <v>-1720374.4840426221</v>
      </c>
      <c r="J50" s="39">
        <f>I50/B50</f>
        <v>-5.1919102693728909E-2</v>
      </c>
      <c r="K50" s="11">
        <f t="shared" si="0"/>
        <v>5.1919102693728909E-2</v>
      </c>
      <c r="L50" s="11"/>
      <c r="M50" s="157"/>
      <c r="N50"/>
    </row>
    <row r="51" spans="1:14" x14ac:dyDescent="0.2">
      <c r="A51" s="44">
        <v>43131</v>
      </c>
      <c r="B51" s="45">
        <f>Inputs!D72</f>
        <v>34633272.560236096</v>
      </c>
      <c r="C51" s="45">
        <v>678.22</v>
      </c>
      <c r="D51" s="45">
        <v>0</v>
      </c>
      <c r="E51" s="45">
        <v>31</v>
      </c>
      <c r="F51" s="145">
        <v>0</v>
      </c>
      <c r="G51" s="45">
        <f>Inputs!G72+Inputs!I72+Inputs!L72+Inputs!X72</f>
        <v>23089</v>
      </c>
      <c r="H51" s="45">
        <f>$N$18+$N$19*C51+$N$20*D51+$N$21*E51+$N$22*F51+$N$23*G51</f>
        <v>35313935.065860063</v>
      </c>
      <c r="I51" s="30">
        <f>H51-B51</f>
        <v>680662.50562396646</v>
      </c>
      <c r="J51" s="39">
        <f>I51/B51</f>
        <v>1.965342733465689E-2</v>
      </c>
      <c r="K51" s="11">
        <f t="shared" si="0"/>
        <v>1.965342733465689E-2</v>
      </c>
      <c r="L51" s="11"/>
      <c r="M51" s="157"/>
      <c r="N51"/>
    </row>
    <row r="52" spans="1:14" x14ac:dyDescent="0.2">
      <c r="A52" s="44">
        <v>43159</v>
      </c>
      <c r="B52" s="45">
        <f>Inputs!D73</f>
        <v>29707123.119004901</v>
      </c>
      <c r="C52" s="45">
        <v>616.86</v>
      </c>
      <c r="D52" s="45">
        <v>0</v>
      </c>
      <c r="E52" s="45">
        <v>28</v>
      </c>
      <c r="F52" s="145">
        <v>0</v>
      </c>
      <c r="G52" s="45">
        <f>Inputs!G73+Inputs!I73+Inputs!L73+Inputs!X73</f>
        <v>23082</v>
      </c>
      <c r="H52" s="45">
        <f>$N$18+$N$19*C52+$N$20*D52+$N$21*E52+$N$22*F52+$N$23*G52</f>
        <v>30901145.107911065</v>
      </c>
      <c r="I52" s="30">
        <f>H52-B52</f>
        <v>1194021.9889061637</v>
      </c>
      <c r="J52" s="39">
        <f>I52/B52</f>
        <v>4.0193120825701811E-2</v>
      </c>
      <c r="K52" s="11">
        <f t="shared" si="0"/>
        <v>4.0193120825701811E-2</v>
      </c>
      <c r="L52" s="11"/>
      <c r="M52" s="157"/>
      <c r="N52"/>
    </row>
    <row r="53" spans="1:14" x14ac:dyDescent="0.2">
      <c r="A53" s="44">
        <v>43190</v>
      </c>
      <c r="B53" s="45">
        <f>Inputs!D74</f>
        <v>31571358.704649799</v>
      </c>
      <c r="C53" s="45">
        <v>539.83000000000015</v>
      </c>
      <c r="D53" s="45">
        <v>0</v>
      </c>
      <c r="E53" s="45">
        <v>31</v>
      </c>
      <c r="F53" s="145">
        <v>1</v>
      </c>
      <c r="G53" s="45">
        <f>Inputs!G74+Inputs!I74+Inputs!L74+Inputs!X74</f>
        <v>23104</v>
      </c>
      <c r="H53" s="45">
        <f>$N$18+$N$19*C53+$N$20*D53+$N$21*E53+$N$22*F53+$N$23*G53</f>
        <v>31502160.127294049</v>
      </c>
      <c r="I53" s="30">
        <f>H53-B53</f>
        <v>-69198.577355749905</v>
      </c>
      <c r="J53" s="39">
        <f>I53/B53</f>
        <v>-2.191814992921366E-3</v>
      </c>
      <c r="K53" s="11">
        <f t="shared" si="0"/>
        <v>2.191814992921366E-3</v>
      </c>
      <c r="L53" s="11"/>
      <c r="M53" s="157"/>
      <c r="N53"/>
    </row>
    <row r="54" spans="1:14" x14ac:dyDescent="0.2">
      <c r="A54" s="44">
        <v>43220</v>
      </c>
      <c r="B54" s="45">
        <f>Inputs!D75</f>
        <v>29502213.161825802</v>
      </c>
      <c r="C54" s="45">
        <v>333.62</v>
      </c>
      <c r="D54" s="45">
        <v>0.05</v>
      </c>
      <c r="E54" s="45">
        <v>30</v>
      </c>
      <c r="F54" s="145">
        <v>1</v>
      </c>
      <c r="G54" s="45">
        <f>Inputs!G75+Inputs!I75+Inputs!L75+Inputs!X75</f>
        <v>23133</v>
      </c>
      <c r="H54" s="45">
        <f>$N$18+$N$19*C54+$N$20*D54+$N$21*E54+$N$22*F54+$N$23*G54</f>
        <v>28110485.700435057</v>
      </c>
      <c r="I54" s="30">
        <f>H54-B54</f>
        <v>-1391727.4613907449</v>
      </c>
      <c r="J54" s="39">
        <f>I54/B54</f>
        <v>-4.7173662997986934E-2</v>
      </c>
      <c r="K54" s="11">
        <f t="shared" si="0"/>
        <v>4.7173662997986934E-2</v>
      </c>
      <c r="L54" s="11"/>
      <c r="M54" s="157"/>
      <c r="N54"/>
    </row>
    <row r="55" spans="1:14" x14ac:dyDescent="0.2">
      <c r="A55" s="44">
        <v>43251</v>
      </c>
      <c r="B55" s="45">
        <f>Inputs!D76</f>
        <v>29818036.360710699</v>
      </c>
      <c r="C55" s="45">
        <v>147.99</v>
      </c>
      <c r="D55" s="45">
        <v>17.32</v>
      </c>
      <c r="E55" s="45">
        <v>31</v>
      </c>
      <c r="F55" s="145">
        <v>1</v>
      </c>
      <c r="G55" s="45">
        <f>Inputs!G76+Inputs!I76+Inputs!L76+Inputs!X76</f>
        <v>23168</v>
      </c>
      <c r="H55" s="45">
        <f>$N$18+$N$19*C55+$N$20*D55+$N$21*E55+$N$22*F55+$N$23*G55</f>
        <v>29016180.750898957</v>
      </c>
      <c r="I55" s="30">
        <f>H55-B55</f>
        <v>-801855.60981174186</v>
      </c>
      <c r="J55" s="39">
        <f>I55/B55</f>
        <v>-2.689163029086299E-2</v>
      </c>
      <c r="K55" s="11">
        <f t="shared" si="0"/>
        <v>2.689163029086299E-2</v>
      </c>
      <c r="L55" s="11"/>
      <c r="M55" s="157"/>
      <c r="N55"/>
    </row>
    <row r="56" spans="1:14" x14ac:dyDescent="0.2">
      <c r="A56" s="44">
        <v>43281</v>
      </c>
      <c r="B56" s="45">
        <f>Inputs!D77</f>
        <v>32564167.646594502</v>
      </c>
      <c r="C56" s="45">
        <v>28.179999999999996</v>
      </c>
      <c r="D56" s="45">
        <v>52.879999999999995</v>
      </c>
      <c r="E56" s="45">
        <v>30</v>
      </c>
      <c r="F56" s="145">
        <v>0</v>
      </c>
      <c r="G56" s="45">
        <f>Inputs!G77+Inputs!I77+Inputs!L77+Inputs!X77</f>
        <v>23182</v>
      </c>
      <c r="H56" s="45">
        <f>$N$18+$N$19*C56+$N$20*D56+$N$21*E56+$N$22*F56+$N$23*G56</f>
        <v>32125176.931793861</v>
      </c>
      <c r="I56" s="30">
        <f>H56-B56</f>
        <v>-438990.71480064094</v>
      </c>
      <c r="J56" s="39">
        <f>I56/B56</f>
        <v>-1.3480790283505057E-2</v>
      </c>
      <c r="K56" s="11">
        <f t="shared" si="0"/>
        <v>1.3480790283505057E-2</v>
      </c>
      <c r="L56" s="11"/>
      <c r="M56" s="157"/>
      <c r="N56"/>
    </row>
    <row r="57" spans="1:14" x14ac:dyDescent="0.2">
      <c r="A57" s="44">
        <v>43312</v>
      </c>
      <c r="B57" s="45">
        <f>Inputs!D78</f>
        <v>41016276.892574996</v>
      </c>
      <c r="C57" s="45">
        <v>3.06</v>
      </c>
      <c r="D57" s="45">
        <v>105.36999999999998</v>
      </c>
      <c r="E57" s="45">
        <v>31</v>
      </c>
      <c r="F57" s="145">
        <v>0</v>
      </c>
      <c r="G57" s="45">
        <f>Inputs!G78+Inputs!I78+Inputs!L78+Inputs!X78</f>
        <v>23194</v>
      </c>
      <c r="H57" s="45">
        <f>$N$18+$N$19*C57+$N$20*D57+$N$21*E57+$N$22*F57+$N$23*G57</f>
        <v>37901460.633270822</v>
      </c>
      <c r="I57" s="30">
        <f>H57-B57</f>
        <v>-3114816.2593041733</v>
      </c>
      <c r="J57" s="39">
        <f>I57/B57</f>
        <v>-7.5940979905663633E-2</v>
      </c>
      <c r="K57" s="11">
        <f t="shared" si="0"/>
        <v>7.5940979905663633E-2</v>
      </c>
      <c r="L57" s="11"/>
      <c r="M57" s="157"/>
      <c r="N57"/>
    </row>
    <row r="58" spans="1:14" x14ac:dyDescent="0.2">
      <c r="A58" s="44">
        <v>43343</v>
      </c>
      <c r="B58" s="45">
        <f>Inputs!D79</f>
        <v>39071849.328965105</v>
      </c>
      <c r="C58" s="45">
        <v>6.6700000000000017</v>
      </c>
      <c r="D58" s="45">
        <v>88.690000000000012</v>
      </c>
      <c r="E58" s="45">
        <v>31</v>
      </c>
      <c r="F58" s="145">
        <v>0</v>
      </c>
      <c r="G58" s="45">
        <f>Inputs!G79+Inputs!I79+Inputs!L79+Inputs!X79</f>
        <v>23239</v>
      </c>
      <c r="H58" s="45">
        <f>$N$18+$N$19*C58+$N$20*D58+$N$21*E58+$N$22*F58+$N$23*G58</f>
        <v>36440822.292390063</v>
      </c>
      <c r="I58" s="30">
        <f>H58-B58</f>
        <v>-2631027.0365750417</v>
      </c>
      <c r="J58" s="39">
        <f>I58/B58</f>
        <v>-6.7338175227467018E-2</v>
      </c>
      <c r="K58" s="11">
        <f t="shared" si="0"/>
        <v>6.7338175227467018E-2</v>
      </c>
      <c r="L58" s="11"/>
      <c r="M58" s="157"/>
      <c r="N58"/>
    </row>
    <row r="59" spans="1:14" x14ac:dyDescent="0.2">
      <c r="A59" s="44">
        <v>43373</v>
      </c>
      <c r="B59" s="45">
        <f>Inputs!D80</f>
        <v>33330014.256383102</v>
      </c>
      <c r="C59" s="45">
        <v>53.92</v>
      </c>
      <c r="D59" s="45">
        <v>34.25</v>
      </c>
      <c r="E59" s="45">
        <v>30</v>
      </c>
      <c r="F59" s="145">
        <v>0</v>
      </c>
      <c r="G59" s="45">
        <f>Inputs!G80+Inputs!I80+Inputs!L80+Inputs!X80</f>
        <v>23272</v>
      </c>
      <c r="H59" s="45">
        <f>$N$18+$N$19*C59+$N$20*D59+$N$21*E59+$N$22*F59+$N$23*G59</f>
        <v>30737716.132339321</v>
      </c>
      <c r="I59" s="30">
        <f>H59-B59</f>
        <v>-2592298.1240437813</v>
      </c>
      <c r="J59" s="39">
        <f>I59/B59</f>
        <v>-7.7776688125698143E-2</v>
      </c>
      <c r="K59" s="11">
        <f t="shared" si="0"/>
        <v>7.7776688125698143E-2</v>
      </c>
      <c r="L59" s="11"/>
      <c r="M59" s="157"/>
      <c r="N59"/>
    </row>
    <row r="60" spans="1:14" x14ac:dyDescent="0.2">
      <c r="A60" s="44">
        <v>43404</v>
      </c>
      <c r="B60" s="45">
        <f>Inputs!D81</f>
        <v>29522757.314444497</v>
      </c>
      <c r="C60" s="45">
        <v>212.45</v>
      </c>
      <c r="D60" s="45">
        <v>5.3</v>
      </c>
      <c r="E60" s="45">
        <v>31</v>
      </c>
      <c r="F60" s="145">
        <v>1</v>
      </c>
      <c r="G60" s="45">
        <f>Inputs!G81+Inputs!I81+Inputs!L81+Inputs!X81</f>
        <v>23305</v>
      </c>
      <c r="H60" s="45">
        <f>$N$18+$N$19*C60+$N$20*D60+$N$21*E60+$N$22*F60+$N$23*G60</f>
        <v>28654941.120935045</v>
      </c>
      <c r="I60" s="30">
        <f>H60-B60</f>
        <v>-867816.19350945204</v>
      </c>
      <c r="J60" s="39">
        <f>I60/B60</f>
        <v>-2.9394821908618224E-2</v>
      </c>
      <c r="K60" s="11">
        <f t="shared" si="0"/>
        <v>2.9394821908618224E-2</v>
      </c>
      <c r="L60" s="11"/>
      <c r="M60" s="157"/>
      <c r="N60"/>
    </row>
    <row r="61" spans="1:14" x14ac:dyDescent="0.2">
      <c r="A61" s="44">
        <v>43434</v>
      </c>
      <c r="B61" s="45">
        <f>Inputs!D82</f>
        <v>30788860.462713901</v>
      </c>
      <c r="C61" s="45">
        <v>408.5</v>
      </c>
      <c r="D61" s="45">
        <v>0.22999999999999998</v>
      </c>
      <c r="E61" s="45">
        <v>30</v>
      </c>
      <c r="F61" s="145">
        <v>1</v>
      </c>
      <c r="G61" s="45">
        <f>Inputs!G82+Inputs!I82+Inputs!L82+Inputs!X82</f>
        <v>23321</v>
      </c>
      <c r="H61" s="45">
        <f>$N$18+$N$19*C61+$N$20*D61+$N$21*E61+$N$22*F61+$N$23*G61</f>
        <v>28990527.832300909</v>
      </c>
      <c r="I61" s="30">
        <f>H61-B61</f>
        <v>-1798332.6304129921</v>
      </c>
      <c r="J61" s="39">
        <f>I61/B61</f>
        <v>-5.8408547876944619E-2</v>
      </c>
      <c r="K61" s="11">
        <f t="shared" si="0"/>
        <v>5.8408547876944619E-2</v>
      </c>
      <c r="L61" s="11"/>
      <c r="M61" s="157"/>
      <c r="N61"/>
    </row>
    <row r="62" spans="1:14" x14ac:dyDescent="0.2">
      <c r="A62" s="44">
        <v>43465</v>
      </c>
      <c r="B62" s="45">
        <f>Inputs!D83</f>
        <v>32363996.620362099</v>
      </c>
      <c r="C62" s="45">
        <v>533.85000000000014</v>
      </c>
      <c r="D62" s="45">
        <v>0</v>
      </c>
      <c r="E62" s="45">
        <v>31</v>
      </c>
      <c r="F62" s="145">
        <v>1</v>
      </c>
      <c r="G62" s="45">
        <f>Inputs!G83+Inputs!I83+Inputs!L83+Inputs!X83</f>
        <v>23366</v>
      </c>
      <c r="H62" s="45">
        <f>$N$18+$N$19*C62+$N$20*D62+$N$21*E62+$N$22*F62+$N$23*G62</f>
        <v>31554082.013674542</v>
      </c>
      <c r="I62" s="30">
        <f>H62-B62</f>
        <v>-809914.60668755695</v>
      </c>
      <c r="J62" s="39">
        <f>I62/B62</f>
        <v>-2.5025172761821136E-2</v>
      </c>
      <c r="K62" s="11">
        <f t="shared" si="0"/>
        <v>2.5025172761821136E-2</v>
      </c>
      <c r="L62" s="11"/>
      <c r="M62" s="157"/>
      <c r="N62"/>
    </row>
    <row r="63" spans="1:14" x14ac:dyDescent="0.2">
      <c r="A63" s="44">
        <v>43496</v>
      </c>
      <c r="B63" s="45">
        <f>Inputs!D84</f>
        <v>35287777.216221102</v>
      </c>
      <c r="C63" s="45">
        <v>678.22</v>
      </c>
      <c r="D63" s="45">
        <v>0</v>
      </c>
      <c r="E63" s="45">
        <v>31</v>
      </c>
      <c r="F63" s="145">
        <v>0</v>
      </c>
      <c r="G63" s="45">
        <f>Inputs!G84+Inputs!I84+Inputs!L84+Inputs!X84</f>
        <v>23414</v>
      </c>
      <c r="H63" s="45">
        <f>$N$18+$N$19*C63+$N$20*D63+$N$21*E63+$N$22*F63+$N$23*G63</f>
        <v>35455772.07519675</v>
      </c>
      <c r="I63" s="30">
        <f>H63-B63</f>
        <v>167994.85897564888</v>
      </c>
      <c r="J63" s="39">
        <f>I63/B63</f>
        <v>4.7607095778882018E-3</v>
      </c>
      <c r="K63" s="11">
        <f t="shared" si="0"/>
        <v>4.7607095778882018E-3</v>
      </c>
      <c r="L63" s="11"/>
      <c r="M63" s="157"/>
      <c r="N63"/>
    </row>
    <row r="64" spans="1:14" x14ac:dyDescent="0.2">
      <c r="A64" s="44">
        <v>43524</v>
      </c>
      <c r="B64" s="45">
        <f>Inputs!D85</f>
        <v>31413450.428820997</v>
      </c>
      <c r="C64" s="45">
        <v>616.86</v>
      </c>
      <c r="D64" s="45">
        <v>0</v>
      </c>
      <c r="E64" s="45">
        <v>28</v>
      </c>
      <c r="F64" s="145">
        <v>0</v>
      </c>
      <c r="G64" s="45">
        <f>Inputs!G85+Inputs!I85+Inputs!L85+Inputs!X85</f>
        <v>23414</v>
      </c>
      <c r="H64" s="45">
        <f>$N$18+$N$19*C64+$N$20*D64+$N$21*E64+$N$22*F64+$N$23*G64</f>
        <v>31046037.06821809</v>
      </c>
      <c r="I64" s="30">
        <f>H64-B64</f>
        <v>-367413.36060290784</v>
      </c>
      <c r="J64" s="39">
        <f>I64/B64</f>
        <v>-1.1696052346602969E-2</v>
      </c>
      <c r="K64" s="11">
        <f t="shared" si="0"/>
        <v>1.1696052346602969E-2</v>
      </c>
      <c r="L64" s="11"/>
      <c r="M64" s="157"/>
      <c r="N64"/>
    </row>
    <row r="65" spans="1:14" x14ac:dyDescent="0.2">
      <c r="A65" s="44">
        <v>43555</v>
      </c>
      <c r="B65" s="45">
        <f>Inputs!D86</f>
        <v>32753174.855792601</v>
      </c>
      <c r="C65" s="45">
        <v>539.83000000000015</v>
      </c>
      <c r="D65" s="45">
        <v>0</v>
      </c>
      <c r="E65" s="45">
        <v>31</v>
      </c>
      <c r="F65" s="145">
        <v>1</v>
      </c>
      <c r="G65" s="45">
        <f>Inputs!G86+Inputs!I86+Inputs!L86+Inputs!X86</f>
        <v>23448</v>
      </c>
      <c r="H65" s="45">
        <f>$N$18+$N$19*C65+$N$20*D65+$N$21*E65+$N$22*F65+$N$23*G65</f>
        <v>31652289.146407343</v>
      </c>
      <c r="I65" s="30">
        <f>H65-B65</f>
        <v>-1100885.7093852572</v>
      </c>
      <c r="J65" s="39">
        <f>I65/B65</f>
        <v>-3.3611572442436337E-2</v>
      </c>
      <c r="K65" s="11">
        <f t="shared" si="0"/>
        <v>3.3611572442436337E-2</v>
      </c>
      <c r="L65" s="11"/>
      <c r="M65" s="157"/>
    </row>
    <row r="66" spans="1:14" x14ac:dyDescent="0.2">
      <c r="A66" s="44">
        <v>43585</v>
      </c>
      <c r="B66" s="45">
        <f>Inputs!D87</f>
        <v>28598242.1384985</v>
      </c>
      <c r="C66" s="45">
        <v>333.62</v>
      </c>
      <c r="D66" s="45">
        <v>0.05</v>
      </c>
      <c r="E66" s="45">
        <v>30</v>
      </c>
      <c r="F66" s="145">
        <v>1</v>
      </c>
      <c r="G66" s="45">
        <f>Inputs!G87+Inputs!I87+Inputs!L87+Inputs!X87</f>
        <v>23474</v>
      </c>
      <c r="H66" s="45">
        <f>$N$18+$N$19*C66+$N$20*D66+$N$21*E66+$N$22*F66+$N$23*G66</f>
        <v>28259305.454846784</v>
      </c>
      <c r="I66" s="30">
        <f>H66-B66</f>
        <v>-338936.68365171552</v>
      </c>
      <c r="J66" s="39">
        <f>I66/B66</f>
        <v>-1.1851661441646594E-2</v>
      </c>
      <c r="K66" s="11">
        <f t="shared" si="0"/>
        <v>1.1851661441646594E-2</v>
      </c>
      <c r="L66" s="11"/>
      <c r="M66" s="157"/>
    </row>
    <row r="67" spans="1:14" x14ac:dyDescent="0.2">
      <c r="A67" s="44">
        <v>43616</v>
      </c>
      <c r="B67" s="45">
        <f>Inputs!D88</f>
        <v>27905719.018595401</v>
      </c>
      <c r="C67" s="45">
        <v>147.99</v>
      </c>
      <c r="D67" s="45">
        <v>17.32</v>
      </c>
      <c r="E67" s="45">
        <v>31</v>
      </c>
      <c r="F67" s="145">
        <v>1</v>
      </c>
      <c r="G67" s="45">
        <f>Inputs!G88+Inputs!I88+Inputs!L88+Inputs!X88</f>
        <v>23504</v>
      </c>
      <c r="H67" s="45">
        <f>$N$18+$N$19*C67+$N$20*D67+$N$21*E67+$N$22*F67+$N$23*G67</f>
        <v>29162818.397474736</v>
      </c>
      <c r="I67" s="30">
        <f>H67-B67</f>
        <v>1257099.3788793348</v>
      </c>
      <c r="J67" s="39">
        <f>I67/B67</f>
        <v>4.5048091326428376E-2</v>
      </c>
      <c r="K67" s="11">
        <f t="shared" si="0"/>
        <v>4.5048091326428376E-2</v>
      </c>
      <c r="L67" s="11"/>
      <c r="M67" s="157"/>
    </row>
    <row r="68" spans="1:14" x14ac:dyDescent="0.2">
      <c r="A68" s="44">
        <v>43646</v>
      </c>
      <c r="B68" s="45">
        <f>Inputs!D89</f>
        <v>30246126.597568698</v>
      </c>
      <c r="C68" s="45">
        <v>28.179999999999996</v>
      </c>
      <c r="D68" s="45">
        <v>52.879999999999995</v>
      </c>
      <c r="E68" s="45">
        <v>30</v>
      </c>
      <c r="F68" s="145">
        <v>0</v>
      </c>
      <c r="G68" s="45">
        <f>Inputs!G89+Inputs!I89+Inputs!L89+Inputs!X89</f>
        <v>23505</v>
      </c>
      <c r="H68" s="45">
        <f>$N$18+$N$19*C68+$N$20*D68+$N$21*E68+$N$22*F68+$N$23*G68</f>
        <v>32266141.097996172</v>
      </c>
      <c r="I68" s="30">
        <f>H68-B68</f>
        <v>2020014.5004274733</v>
      </c>
      <c r="J68" s="39">
        <f>I68/B68</f>
        <v>6.6785890547381696E-2</v>
      </c>
      <c r="K68" s="11">
        <f t="shared" ref="K68:K122" si="1">ABS(J68)</f>
        <v>6.6785890547381696E-2</v>
      </c>
      <c r="L68" s="11"/>
      <c r="M68" s="157"/>
    </row>
    <row r="69" spans="1:14" x14ac:dyDescent="0.2">
      <c r="A69" s="44">
        <v>43677</v>
      </c>
      <c r="B69" s="45">
        <f>Inputs!D90</f>
        <v>40514961.932033904</v>
      </c>
      <c r="C69" s="45">
        <v>3.06</v>
      </c>
      <c r="D69" s="45">
        <v>105.36999999999998</v>
      </c>
      <c r="E69" s="45">
        <v>31</v>
      </c>
      <c r="F69" s="145">
        <v>0</v>
      </c>
      <c r="G69" s="45">
        <f>Inputs!G90+Inputs!I90+Inputs!L90+Inputs!X90</f>
        <v>23545</v>
      </c>
      <c r="H69" s="45">
        <f>$N$18+$N$19*C69+$N$20*D69+$N$21*E69+$N$22*F69+$N$23*G69</f>
        <v>38054644.603354447</v>
      </c>
      <c r="I69" s="30">
        <f>H69-B69</f>
        <v>-2460317.3286794573</v>
      </c>
      <c r="J69" s="39">
        <f>I69/B69</f>
        <v>-6.0726141932621734E-2</v>
      </c>
      <c r="K69" s="11">
        <f t="shared" si="1"/>
        <v>6.0726141932621734E-2</v>
      </c>
      <c r="L69" s="11"/>
      <c r="M69" s="157"/>
    </row>
    <row r="70" spans="1:14" x14ac:dyDescent="0.2">
      <c r="A70" s="44">
        <v>43708</v>
      </c>
      <c r="B70" s="45">
        <f>Inputs!D91</f>
        <v>36599467.089364603</v>
      </c>
      <c r="C70" s="45">
        <v>6.6700000000000017</v>
      </c>
      <c r="D70" s="45">
        <v>88.690000000000012</v>
      </c>
      <c r="E70" s="45">
        <v>31</v>
      </c>
      <c r="F70" s="145">
        <v>0</v>
      </c>
      <c r="G70" s="45">
        <f>Inputs!G91+Inputs!I91+Inputs!L91+Inputs!X91</f>
        <v>23610</v>
      </c>
      <c r="H70" s="45">
        <f>$N$18+$N$19*C70+$N$20*D70+$N$21*E70+$N$22*F70+$N$23*G70</f>
        <v>36602734.693817496</v>
      </c>
      <c r="I70" s="30">
        <f>H70-B70</f>
        <v>3267.6044528931379</v>
      </c>
      <c r="J70" s="39">
        <f>I70/B70</f>
        <v>8.9280110142441594E-5</v>
      </c>
      <c r="K70" s="11">
        <f t="shared" si="1"/>
        <v>8.9280110142441594E-5</v>
      </c>
      <c r="L70" s="11"/>
      <c r="M70" s="157"/>
    </row>
    <row r="71" spans="1:14" x14ac:dyDescent="0.2">
      <c r="A71" s="44">
        <v>43738</v>
      </c>
      <c r="B71" s="45">
        <f>Inputs!D92</f>
        <v>30196024.2346556</v>
      </c>
      <c r="C71" s="45">
        <v>53.92</v>
      </c>
      <c r="D71" s="45">
        <v>34.25</v>
      </c>
      <c r="E71" s="45">
        <v>30</v>
      </c>
      <c r="F71" s="145">
        <v>0</v>
      </c>
      <c r="G71" s="45">
        <f>Inputs!G92+Inputs!I92+Inputs!L92+Inputs!X92</f>
        <v>23624</v>
      </c>
      <c r="H71" s="45">
        <f>$N$18+$N$19*C71+$N$20*D71+$N$21*E71+$N$22*F71+$N$23*G71</f>
        <v>30891336.523990139</v>
      </c>
      <c r="I71" s="30">
        <f>H71-B71</f>
        <v>695312.28933453932</v>
      </c>
      <c r="J71" s="39">
        <f>I71/B71</f>
        <v>2.3026617144403339E-2</v>
      </c>
      <c r="K71" s="11">
        <f t="shared" si="1"/>
        <v>2.3026617144403339E-2</v>
      </c>
      <c r="L71" s="11"/>
      <c r="M71" s="157"/>
    </row>
    <row r="72" spans="1:14" x14ac:dyDescent="0.2">
      <c r="A72" s="44">
        <v>43769</v>
      </c>
      <c r="B72" s="45">
        <f>Inputs!D93</f>
        <v>27971860.355314802</v>
      </c>
      <c r="C72" s="45">
        <v>212.45</v>
      </c>
      <c r="D72" s="45">
        <v>5.3</v>
      </c>
      <c r="E72" s="45">
        <v>31</v>
      </c>
      <c r="F72" s="145">
        <v>1</v>
      </c>
      <c r="G72" s="45">
        <f>Inputs!G93+Inputs!I93+Inputs!L93+Inputs!X93</f>
        <v>23662</v>
      </c>
      <c r="H72" s="45">
        <f>$N$18+$N$19*C72+$N$20*D72+$N$21*E72+$N$22*F72+$N$23*G72</f>
        <v>28810743.620421812</v>
      </c>
      <c r="I72" s="30">
        <f>H72-B72</f>
        <v>838883.26510700956</v>
      </c>
      <c r="J72" s="39">
        <f>I72/B72</f>
        <v>2.9990256438114146E-2</v>
      </c>
      <c r="K72" s="11">
        <f t="shared" si="1"/>
        <v>2.9990256438114146E-2</v>
      </c>
      <c r="L72" s="11"/>
      <c r="M72" s="157"/>
    </row>
    <row r="73" spans="1:14" x14ac:dyDescent="0.2">
      <c r="A73" s="44">
        <v>43799</v>
      </c>
      <c r="B73" s="45">
        <f>Inputs!D94</f>
        <v>30548760.205844</v>
      </c>
      <c r="C73" s="45">
        <v>408.5</v>
      </c>
      <c r="D73" s="45">
        <v>0.22999999999999998</v>
      </c>
      <c r="E73" s="45">
        <v>30</v>
      </c>
      <c r="F73" s="145">
        <v>1</v>
      </c>
      <c r="G73" s="45">
        <f>Inputs!G94+Inputs!I94+Inputs!L94+Inputs!X94</f>
        <v>23658</v>
      </c>
      <c r="H73" s="45">
        <f>$N$18+$N$19*C73+$N$20*D73+$N$21*E73+$N$22*F73+$N$23*G73</f>
        <v>29137601.900443882</v>
      </c>
      <c r="I73" s="30">
        <f>H73-B73</f>
        <v>-1411158.3054001182</v>
      </c>
      <c r="J73" s="39">
        <f>I73/B73</f>
        <v>-4.6193635875611171E-2</v>
      </c>
      <c r="K73" s="11">
        <f t="shared" si="1"/>
        <v>4.6193635875611171E-2</v>
      </c>
      <c r="L73" s="11"/>
      <c r="M73" s="157"/>
    </row>
    <row r="74" spans="1:14" x14ac:dyDescent="0.2">
      <c r="A74" s="44">
        <v>43830</v>
      </c>
      <c r="B74" s="45">
        <f>Inputs!D95</f>
        <v>32756213.143715002</v>
      </c>
      <c r="C74" s="45">
        <v>533.85000000000014</v>
      </c>
      <c r="D74" s="45">
        <v>0</v>
      </c>
      <c r="E74" s="45">
        <v>31</v>
      </c>
      <c r="F74" s="145">
        <v>1</v>
      </c>
      <c r="G74" s="45">
        <f>Inputs!G95+Inputs!I95+Inputs!L95+Inputs!X95</f>
        <v>23664</v>
      </c>
      <c r="H74" s="45">
        <f>$N$18+$N$19*C74+$N$20*D74+$N$21*E74+$N$22*F74+$N$23*G74</f>
        <v>31684135.64069711</v>
      </c>
      <c r="I74" s="30">
        <f>H74-B74</f>
        <v>-1072077.5030178912</v>
      </c>
      <c r="J74" s="39">
        <f>I74/B74</f>
        <v>-3.2728981775586988E-2</v>
      </c>
      <c r="K74" s="11">
        <f t="shared" si="1"/>
        <v>3.2728981775586988E-2</v>
      </c>
      <c r="L74" s="11"/>
      <c r="M74" s="157"/>
    </row>
    <row r="75" spans="1:14" x14ac:dyDescent="0.2">
      <c r="A75" s="44">
        <v>43861</v>
      </c>
      <c r="B75" s="45">
        <f>Inputs!D96</f>
        <v>32984745.984053601</v>
      </c>
      <c r="C75" s="45">
        <v>678.22</v>
      </c>
      <c r="D75" s="45">
        <v>0</v>
      </c>
      <c r="E75" s="45">
        <v>31</v>
      </c>
      <c r="F75" s="145">
        <v>0</v>
      </c>
      <c r="G75" s="45">
        <f>Inputs!G96+Inputs!I96+Inputs!L96+Inputs!X96</f>
        <v>23709</v>
      </c>
      <c r="H75" s="45">
        <f>$N$18+$N$19*C75+$N$20*D75+$N$21*E75+$N$22*F75+$N$23*G75</f>
        <v>35584516.437517747</v>
      </c>
      <c r="I75" s="30">
        <f>H75-B75</f>
        <v>2599770.4534641467</v>
      </c>
      <c r="J75" s="39">
        <f>I75/B75</f>
        <v>7.8817355595856328E-2</v>
      </c>
      <c r="K75" s="11">
        <f t="shared" si="1"/>
        <v>7.8817355595856328E-2</v>
      </c>
      <c r="L75" s="11"/>
      <c r="M75" s="157"/>
      <c r="N75" s="40"/>
    </row>
    <row r="76" spans="1:14" x14ac:dyDescent="0.2">
      <c r="A76" s="44">
        <v>43890</v>
      </c>
      <c r="B76" s="45">
        <f>Inputs!D97</f>
        <v>31066267.637283299</v>
      </c>
      <c r="C76" s="45">
        <v>616.86</v>
      </c>
      <c r="D76" s="45">
        <v>0</v>
      </c>
      <c r="E76" s="45">
        <v>29</v>
      </c>
      <c r="F76" s="145">
        <v>0</v>
      </c>
      <c r="G76" s="45">
        <f>Inputs!G97+Inputs!I97+Inputs!L97+Inputs!X97</f>
        <v>23738</v>
      </c>
      <c r="H76" s="45">
        <f>$N$18+$N$19*C76+$N$20*D76+$N$21*E76+$N$22*F76+$N$23*G76</f>
        <v>32443852.902419835</v>
      </c>
      <c r="I76" s="30">
        <f>H76-B76</f>
        <v>1377585.2651365362</v>
      </c>
      <c r="J76" s="39">
        <f>I76/B76</f>
        <v>4.4343442901498289E-2</v>
      </c>
      <c r="K76" s="11">
        <f t="shared" si="1"/>
        <v>4.4343442901498289E-2</v>
      </c>
      <c r="L76" s="11"/>
      <c r="M76" s="157"/>
    </row>
    <row r="77" spans="1:14" x14ac:dyDescent="0.2">
      <c r="A77" s="44">
        <v>43921</v>
      </c>
      <c r="B77" s="45">
        <f>Inputs!D98</f>
        <v>30079085.278391898</v>
      </c>
      <c r="C77" s="45">
        <v>539.83000000000015</v>
      </c>
      <c r="D77" s="45">
        <v>0</v>
      </c>
      <c r="E77" s="45">
        <v>31</v>
      </c>
      <c r="F77" s="145">
        <v>1</v>
      </c>
      <c r="G77" s="45">
        <f>Inputs!G98+Inputs!I98+Inputs!L98+Inputs!X98</f>
        <v>23774</v>
      </c>
      <c r="H77" s="45">
        <f>$N$18+$N$19*C77+$N$20*D77+$N$21*E77+$N$22*F77+$N$23*G77</f>
        <v>31794562.577311229</v>
      </c>
      <c r="I77" s="30">
        <f>H77-B77</f>
        <v>1715477.2989193313</v>
      </c>
      <c r="J77" s="39">
        <f>I77/B77</f>
        <v>5.7032229638701464E-2</v>
      </c>
      <c r="K77" s="11">
        <f t="shared" si="1"/>
        <v>5.7032229638701464E-2</v>
      </c>
      <c r="L77" s="11"/>
      <c r="M77" s="157"/>
    </row>
    <row r="78" spans="1:14" x14ac:dyDescent="0.2">
      <c r="A78" s="44">
        <v>43951</v>
      </c>
      <c r="B78" s="45">
        <f>Inputs!D99</f>
        <v>26605231.832859904</v>
      </c>
      <c r="C78" s="45">
        <v>333.62</v>
      </c>
      <c r="D78" s="45">
        <v>0.05</v>
      </c>
      <c r="E78" s="45">
        <v>30</v>
      </c>
      <c r="F78" s="145">
        <v>1</v>
      </c>
      <c r="G78" s="45">
        <f>Inputs!G99+Inputs!I99+Inputs!L99+Inputs!X99</f>
        <v>23805</v>
      </c>
      <c r="H78" s="45">
        <f>$N$18+$N$19*C78+$N$20*D78+$N$21*E78+$N$22*F78+$N$23*G78</f>
        <v>28403760.993586615</v>
      </c>
      <c r="I78" s="30">
        <f>H78-B78</f>
        <v>1798529.1607267112</v>
      </c>
      <c r="J78" s="39">
        <f>I78/B78</f>
        <v>6.7600582172163692E-2</v>
      </c>
      <c r="K78" s="11">
        <f t="shared" si="1"/>
        <v>6.7600582172163692E-2</v>
      </c>
      <c r="L78" s="11"/>
      <c r="M78" s="157"/>
    </row>
    <row r="79" spans="1:14" x14ac:dyDescent="0.2">
      <c r="A79" s="44">
        <v>43982</v>
      </c>
      <c r="B79" s="45">
        <f>Inputs!D100</f>
        <v>28255543.1817187</v>
      </c>
      <c r="C79" s="45">
        <v>147.99</v>
      </c>
      <c r="D79" s="45">
        <v>17.32</v>
      </c>
      <c r="E79" s="45">
        <v>31</v>
      </c>
      <c r="F79" s="145">
        <v>1</v>
      </c>
      <c r="G79" s="45">
        <f>Inputs!G100+Inputs!I100+Inputs!L100+Inputs!X100</f>
        <v>23829</v>
      </c>
      <c r="H79" s="45">
        <f>$N$18+$N$19*C79+$N$20*D79+$N$21*E79+$N$22*F79+$N$23*G79</f>
        <v>29304655.406811431</v>
      </c>
      <c r="I79" s="30">
        <f>H79-B79</f>
        <v>1049112.2250927314</v>
      </c>
      <c r="J79" s="39">
        <f>I79/B79</f>
        <v>3.7129430439387399E-2</v>
      </c>
      <c r="K79" s="11">
        <f t="shared" si="1"/>
        <v>3.7129430439387399E-2</v>
      </c>
      <c r="L79" s="11"/>
      <c r="M79" s="157"/>
    </row>
    <row r="80" spans="1:14" x14ac:dyDescent="0.2">
      <c r="A80" s="44">
        <v>44012</v>
      </c>
      <c r="B80" s="45">
        <f>Inputs!D101</f>
        <v>33406975.0200781</v>
      </c>
      <c r="C80" s="45">
        <v>28.179999999999996</v>
      </c>
      <c r="D80" s="45">
        <v>52.879999999999995</v>
      </c>
      <c r="E80" s="45">
        <v>30</v>
      </c>
      <c r="F80" s="145">
        <v>0</v>
      </c>
      <c r="G80" s="45">
        <f>Inputs!G101+Inputs!I101+Inputs!L101+Inputs!X101</f>
        <v>23871</v>
      </c>
      <c r="H80" s="45">
        <f>$N$18+$N$19*C80+$N$20*D80+$N$21*E80+$N$22*F80+$N$23*G80</f>
        <v>32425871.391587649</v>
      </c>
      <c r="I80" s="30">
        <f>H80-B80</f>
        <v>-981103.62849045172</v>
      </c>
      <c r="J80" s="39">
        <f>I80/B80</f>
        <v>-2.9368227081344345E-2</v>
      </c>
      <c r="K80" s="11">
        <f t="shared" si="1"/>
        <v>2.9368227081344345E-2</v>
      </c>
      <c r="L80" s="11"/>
      <c r="M80" s="157"/>
    </row>
    <row r="81" spans="1:14" x14ac:dyDescent="0.2">
      <c r="A81" s="44">
        <v>44043</v>
      </c>
      <c r="B81" s="45">
        <f>Inputs!D102</f>
        <v>42687999.775185399</v>
      </c>
      <c r="C81" s="45">
        <v>3.06</v>
      </c>
      <c r="D81" s="45">
        <v>105.36999999999998</v>
      </c>
      <c r="E81" s="45">
        <v>31</v>
      </c>
      <c r="F81" s="145">
        <v>0</v>
      </c>
      <c r="G81" s="45">
        <f>Inputs!G102+Inputs!I102+Inputs!L102+Inputs!X102</f>
        <v>23900</v>
      </c>
      <c r="H81" s="45">
        <f>$N$18+$N$19*C81+$N$20*D81+$N$21*E81+$N$22*F81+$N$23*G81</f>
        <v>38209574.25970684</v>
      </c>
      <c r="I81" s="30">
        <f>H81-B81</f>
        <v>-4478425.5154785588</v>
      </c>
      <c r="J81" s="39">
        <f>I81/B81</f>
        <v>-0.10491064325018748</v>
      </c>
      <c r="K81" s="11">
        <f t="shared" si="1"/>
        <v>0.10491064325018748</v>
      </c>
      <c r="L81" s="11"/>
      <c r="M81" s="157"/>
      <c r="N81"/>
    </row>
    <row r="82" spans="1:14" x14ac:dyDescent="0.2">
      <c r="A82" s="44">
        <v>44074</v>
      </c>
      <c r="B82" s="45">
        <f>Inputs!D103</f>
        <v>37930770.327769101</v>
      </c>
      <c r="C82" s="45">
        <v>6.6700000000000017</v>
      </c>
      <c r="D82" s="45">
        <v>88.690000000000012</v>
      </c>
      <c r="E82" s="45">
        <v>31</v>
      </c>
      <c r="F82" s="145">
        <v>0</v>
      </c>
      <c r="G82" s="45">
        <f>Inputs!G103+Inputs!I103+Inputs!L103+Inputs!X103</f>
        <v>23924</v>
      </c>
      <c r="H82" s="45">
        <f>$N$18+$N$19*C82+$N$20*D82+$N$21*E82+$N$22*F82+$N$23*G82</f>
        <v>36739771.065915093</v>
      </c>
      <c r="I82" s="30">
        <f>H82-B82</f>
        <v>-1190999.2618540078</v>
      </c>
      <c r="J82" s="39">
        <f>I82/B82</f>
        <v>-3.1399290116237842E-2</v>
      </c>
      <c r="K82" s="11">
        <f t="shared" si="1"/>
        <v>3.1399290116237842E-2</v>
      </c>
      <c r="L82" s="11"/>
      <c r="M82" s="157"/>
      <c r="N82"/>
    </row>
    <row r="83" spans="1:14" x14ac:dyDescent="0.2">
      <c r="A83" s="44">
        <v>44104</v>
      </c>
      <c r="B83" s="45">
        <f>Inputs!D104</f>
        <v>29216230.450019099</v>
      </c>
      <c r="C83" s="45">
        <v>53.92</v>
      </c>
      <c r="D83" s="45">
        <v>34.25</v>
      </c>
      <c r="E83" s="45">
        <v>30</v>
      </c>
      <c r="F83" s="145">
        <v>0</v>
      </c>
      <c r="G83" s="45">
        <f>Inputs!G104+Inputs!I104+Inputs!L104+Inputs!X104</f>
        <v>23945</v>
      </c>
      <c r="H83" s="45">
        <f>$N$18+$N$19*C83+$N$20*D83+$N$21*E83+$N$22*F83+$N$23*G83</f>
        <v>31031427.847058073</v>
      </c>
      <c r="I83" s="30">
        <f>H83-B83</f>
        <v>1815197.3970389739</v>
      </c>
      <c r="J83" s="39">
        <f>I83/B83</f>
        <v>6.2129760379056265E-2</v>
      </c>
      <c r="K83" s="11">
        <f t="shared" si="1"/>
        <v>6.2129760379056265E-2</v>
      </c>
      <c r="L83" s="11"/>
      <c r="M83" s="157"/>
      <c r="N83"/>
    </row>
    <row r="84" spans="1:14" x14ac:dyDescent="0.2">
      <c r="A84" s="44">
        <v>44135</v>
      </c>
      <c r="B84" s="45">
        <f>Inputs!D105</f>
        <v>27410041.627921898</v>
      </c>
      <c r="C84" s="45">
        <v>212.45</v>
      </c>
      <c r="D84" s="45">
        <v>5.3</v>
      </c>
      <c r="E84" s="45">
        <v>31</v>
      </c>
      <c r="F84" s="145">
        <v>1</v>
      </c>
      <c r="G84" s="45">
        <f>Inputs!G105+Inputs!I105+Inputs!L105+Inputs!X105</f>
        <v>23961</v>
      </c>
      <c r="H84" s="45">
        <f>$N$18+$N$19*C84+$N$20*D84+$N$21*E84+$N$22*F84+$N$23*G84</f>
        <v>28941233.669011567</v>
      </c>
      <c r="I84" s="30">
        <f>H84-B84</f>
        <v>1531192.0410896689</v>
      </c>
      <c r="J84" s="39">
        <f>I84/B84</f>
        <v>5.5862448582707849E-2</v>
      </c>
      <c r="K84" s="11">
        <f t="shared" si="1"/>
        <v>5.5862448582707849E-2</v>
      </c>
      <c r="L84" s="11"/>
      <c r="M84" s="157"/>
      <c r="N84"/>
    </row>
    <row r="85" spans="1:14" x14ac:dyDescent="0.2">
      <c r="A85" s="44">
        <v>44165</v>
      </c>
      <c r="B85" s="45">
        <f>Inputs!D106</f>
        <v>28047137.9106231</v>
      </c>
      <c r="C85" s="45">
        <v>408.5</v>
      </c>
      <c r="D85" s="45">
        <v>0.22999999999999998</v>
      </c>
      <c r="E85" s="45">
        <v>30</v>
      </c>
      <c r="F85" s="145">
        <v>1</v>
      </c>
      <c r="G85" s="45">
        <f>Inputs!G106+Inputs!I106+Inputs!L106+Inputs!X106</f>
        <v>23995</v>
      </c>
      <c r="H85" s="45">
        <f>$N$18+$N$19*C85+$N$20*D85+$N$21*E85+$N$22*F85+$N$23*G85</f>
        <v>29284675.968586855</v>
      </c>
      <c r="I85" s="30">
        <f>H85-B85</f>
        <v>1237538.057963755</v>
      </c>
      <c r="J85" s="39">
        <f>I85/B85</f>
        <v>4.4123506002907577E-2</v>
      </c>
      <c r="K85" s="11">
        <f t="shared" si="1"/>
        <v>4.4123506002907577E-2</v>
      </c>
      <c r="L85" s="11"/>
      <c r="M85" s="157"/>
      <c r="N85"/>
    </row>
    <row r="86" spans="1:14" x14ac:dyDescent="0.2">
      <c r="A86" s="44">
        <v>44196</v>
      </c>
      <c r="B86" s="45">
        <f>Inputs!D107</f>
        <v>32403661.342188701</v>
      </c>
      <c r="C86" s="45">
        <v>533.85000000000014</v>
      </c>
      <c r="D86" s="45">
        <v>0</v>
      </c>
      <c r="E86" s="45">
        <v>31</v>
      </c>
      <c r="F86" s="145">
        <v>1</v>
      </c>
      <c r="G86" s="45">
        <f>Inputs!G107+Inputs!I107+Inputs!L107+Inputs!X107</f>
        <v>24054</v>
      </c>
      <c r="H86" s="45">
        <f>$N$18+$N$19*C86+$N$20*D86+$N$21*E86+$N$22*F86+$N$23*G86</f>
        <v>31854340.051901139</v>
      </c>
      <c r="I86" s="30">
        <f>H86-B86</f>
        <v>-549321.29028756171</v>
      </c>
      <c r="J86" s="39">
        <f>I86/B86</f>
        <v>-1.6952445110650506E-2</v>
      </c>
      <c r="K86" s="11">
        <f t="shared" si="1"/>
        <v>1.6952445110650506E-2</v>
      </c>
      <c r="L86" s="11"/>
      <c r="M86" s="157"/>
      <c r="N86"/>
    </row>
    <row r="87" spans="1:14" x14ac:dyDescent="0.2">
      <c r="A87" s="44">
        <v>44227</v>
      </c>
      <c r="B87" s="45">
        <f>Inputs!D108</f>
        <v>32846157.776278503</v>
      </c>
      <c r="C87" s="45">
        <v>678.22</v>
      </c>
      <c r="D87" s="45">
        <v>0</v>
      </c>
      <c r="E87" s="45">
        <v>31</v>
      </c>
      <c r="F87" s="145">
        <v>0</v>
      </c>
      <c r="G87" s="45">
        <f>Inputs!G108+Inputs!I108+Inputs!L108+Inputs!X108</f>
        <v>24074</v>
      </c>
      <c r="H87" s="45">
        <f>$N$18+$N$19*C87+$N$20*D87+$N$21*E87+$N$22*F87+$N$23*G87</f>
        <v>35743810.309542038</v>
      </c>
      <c r="I87" s="30">
        <f>H87-B87</f>
        <v>2897652.5332635343</v>
      </c>
      <c r="J87" s="39">
        <f>I87/B87</f>
        <v>8.8218919028520873E-2</v>
      </c>
      <c r="K87" s="11">
        <f t="shared" si="1"/>
        <v>8.8218919028520873E-2</v>
      </c>
      <c r="L87" s="11"/>
      <c r="M87" s="157"/>
      <c r="N87"/>
    </row>
    <row r="88" spans="1:14" x14ac:dyDescent="0.2">
      <c r="A88" s="44">
        <v>44255</v>
      </c>
      <c r="B88" s="45">
        <f>Inputs!D109</f>
        <v>30819473.817396801</v>
      </c>
      <c r="C88" s="45">
        <v>616.86</v>
      </c>
      <c r="D88" s="45">
        <v>0</v>
      </c>
      <c r="E88" s="45">
        <v>28</v>
      </c>
      <c r="F88" s="145">
        <v>0</v>
      </c>
      <c r="G88" s="45">
        <f>Inputs!G109+Inputs!I109+Inputs!L109+Inputs!X109</f>
        <v>24154</v>
      </c>
      <c r="H88" s="45">
        <f>$N$18+$N$19*C88+$N$20*D88+$N$21*E88+$N$22*F88+$N$23*G88</f>
        <v>31368989.027938556</v>
      </c>
      <c r="I88" s="30">
        <f>H88-B88</f>
        <v>549515.21054175496</v>
      </c>
      <c r="J88" s="39">
        <f>I88/B88</f>
        <v>1.7830129540744064E-2</v>
      </c>
      <c r="K88" s="11">
        <f t="shared" si="1"/>
        <v>1.7830129540744064E-2</v>
      </c>
      <c r="L88" s="11"/>
      <c r="M88" s="157"/>
      <c r="N88"/>
    </row>
    <row r="89" spans="1:14" x14ac:dyDescent="0.2">
      <c r="A89" s="44">
        <v>44286</v>
      </c>
      <c r="B89" s="45">
        <f>Inputs!D110</f>
        <v>30429325.708896</v>
      </c>
      <c r="C89" s="45">
        <v>539.83000000000015</v>
      </c>
      <c r="D89" s="45">
        <v>0</v>
      </c>
      <c r="E89" s="45">
        <v>31</v>
      </c>
      <c r="F89" s="145">
        <v>1</v>
      </c>
      <c r="G89" s="45">
        <f>Inputs!G110+Inputs!I110+Inputs!L110+Inputs!X110</f>
        <v>24237</v>
      </c>
      <c r="H89" s="45">
        <f>$N$18+$N$19*C89+$N$20*D89+$N$21*E89+$N$22*F89+$N$23*G89</f>
        <v>31996625.762920119</v>
      </c>
      <c r="I89" s="30">
        <f>H89-B89</f>
        <v>1567300.0540241189</v>
      </c>
      <c r="J89" s="39">
        <f>I89/B89</f>
        <v>5.1506236747333491E-2</v>
      </c>
      <c r="K89" s="11">
        <f t="shared" si="1"/>
        <v>5.1506236747333491E-2</v>
      </c>
      <c r="L89" s="11"/>
      <c r="M89" s="157"/>
      <c r="N89"/>
    </row>
    <row r="90" spans="1:14" x14ac:dyDescent="0.2">
      <c r="A90" s="44">
        <v>44316</v>
      </c>
      <c r="B90" s="45">
        <f>Inputs!D111</f>
        <v>26763134.5519844</v>
      </c>
      <c r="C90" s="45">
        <v>333.62</v>
      </c>
      <c r="D90" s="45">
        <v>0.05</v>
      </c>
      <c r="E90" s="45">
        <v>30</v>
      </c>
      <c r="F90" s="145">
        <v>1</v>
      </c>
      <c r="G90" s="45">
        <f>Inputs!G111+Inputs!I111+Inputs!L111+Inputs!X111</f>
        <v>24275</v>
      </c>
      <c r="H90" s="45">
        <f>$N$18+$N$19*C90+$N$20*D90+$N$21*E90+$N$22*F90+$N$23*G90</f>
        <v>28608879.130165834</v>
      </c>
      <c r="I90" s="30">
        <f>H90-B90</f>
        <v>1845744.5781814344</v>
      </c>
      <c r="J90" s="39">
        <f>I90/B90</f>
        <v>6.8965934262904885E-2</v>
      </c>
      <c r="K90" s="11">
        <f t="shared" si="1"/>
        <v>6.8965934262904885E-2</v>
      </c>
      <c r="L90" s="11"/>
      <c r="M90" s="157"/>
      <c r="N90"/>
    </row>
    <row r="91" spans="1:14" x14ac:dyDescent="0.2">
      <c r="A91" s="44">
        <v>44347</v>
      </c>
      <c r="B91" s="45">
        <f>Inputs!D112</f>
        <v>28296552.692327201</v>
      </c>
      <c r="C91" s="45">
        <v>147.99</v>
      </c>
      <c r="D91" s="45">
        <v>17.32</v>
      </c>
      <c r="E91" s="45">
        <v>31</v>
      </c>
      <c r="F91" s="145">
        <v>1</v>
      </c>
      <c r="G91" s="45">
        <f>Inputs!G112+Inputs!I112+Inputs!L112+Inputs!X112</f>
        <v>24299</v>
      </c>
      <c r="H91" s="45">
        <f>$N$18+$N$19*C91+$N$20*D91+$N$21*E91+$N$22*F91+$N$23*G91</f>
        <v>29509773.543390647</v>
      </c>
      <c r="I91" s="30">
        <f>H91-B91</f>
        <v>1213220.8510634452</v>
      </c>
      <c r="J91" s="39">
        <f>I91/B91</f>
        <v>4.2875217495748803E-2</v>
      </c>
      <c r="K91" s="11">
        <f t="shared" si="1"/>
        <v>4.2875217495748803E-2</v>
      </c>
      <c r="L91" s="11"/>
      <c r="M91" s="157"/>
      <c r="N91"/>
    </row>
    <row r="92" spans="1:14" x14ac:dyDescent="0.2">
      <c r="A92" s="44">
        <v>44377</v>
      </c>
      <c r="B92" s="45">
        <f>Inputs!D113</f>
        <v>34399006.535900503</v>
      </c>
      <c r="C92" s="45">
        <v>28.179999999999996</v>
      </c>
      <c r="D92" s="45">
        <v>52.879999999999995</v>
      </c>
      <c r="E92" s="45">
        <v>30</v>
      </c>
      <c r="F92" s="145">
        <v>0</v>
      </c>
      <c r="G92" s="45">
        <f>Inputs!G113+Inputs!I113+Inputs!L113+Inputs!X113</f>
        <v>24365</v>
      </c>
      <c r="H92" s="45">
        <f>$N$18+$N$19*C92+$N$20*D92+$N$21*E92+$N$22*F92+$N$23*G92</f>
        <v>32641463.64577942</v>
      </c>
      <c r="I92" s="30">
        <f>H92-B92</f>
        <v>-1757542.8901210837</v>
      </c>
      <c r="J92" s="39">
        <f>I92/B92</f>
        <v>-5.1092838634360704E-2</v>
      </c>
      <c r="K92" s="11">
        <f t="shared" si="1"/>
        <v>5.1092838634360704E-2</v>
      </c>
      <c r="L92" s="11"/>
      <c r="M92" s="157"/>
      <c r="N92"/>
    </row>
    <row r="93" spans="1:14" x14ac:dyDescent="0.2">
      <c r="A93" s="44">
        <v>44408</v>
      </c>
      <c r="B93" s="45">
        <f>Inputs!D114</f>
        <v>36416581.592046797</v>
      </c>
      <c r="C93" s="45">
        <v>3.06</v>
      </c>
      <c r="D93" s="45">
        <v>105.36999999999998</v>
      </c>
      <c r="E93" s="45">
        <v>31</v>
      </c>
      <c r="F93" s="145">
        <v>0</v>
      </c>
      <c r="G93" s="45">
        <f>Inputs!G114+Inputs!I114+Inputs!L114+Inputs!X114</f>
        <v>24389</v>
      </c>
      <c r="H93" s="45">
        <f>$N$18+$N$19*C93+$N$20*D93+$N$21*E93+$N$22*F93+$N$23*G93</f>
        <v>38422984.406062663</v>
      </c>
      <c r="I93" s="30">
        <f>H93-B93</f>
        <v>2006402.8140158653</v>
      </c>
      <c r="J93" s="39">
        <f>I93/B93</f>
        <v>5.5095858158582735E-2</v>
      </c>
      <c r="K93" s="11">
        <f t="shared" si="1"/>
        <v>5.5095858158582735E-2</v>
      </c>
      <c r="L93" s="11"/>
      <c r="M93" s="157"/>
      <c r="N93"/>
    </row>
    <row r="94" spans="1:14" x14ac:dyDescent="0.2">
      <c r="A94" s="44">
        <v>44439</v>
      </c>
      <c r="B94" s="45">
        <f>Inputs!D115</f>
        <v>41970614.616817705</v>
      </c>
      <c r="C94" s="45">
        <v>6.6700000000000017</v>
      </c>
      <c r="D94" s="45">
        <v>88.690000000000012</v>
      </c>
      <c r="E94" s="45">
        <v>31</v>
      </c>
      <c r="F94" s="145">
        <v>0</v>
      </c>
      <c r="G94" s="45">
        <f>Inputs!G115+Inputs!I115+Inputs!L115+Inputs!X115</f>
        <v>24447</v>
      </c>
      <c r="H94" s="45">
        <f>$N$18+$N$19*C94+$N$20*D94+$N$21*E94+$N$22*F94+$N$23*G94</f>
        <v>36968019.545555376</v>
      </c>
      <c r="I94" s="30">
        <f>H94-B94</f>
        <v>-5002595.0712623298</v>
      </c>
      <c r="J94" s="39">
        <f>I94/B94</f>
        <v>-0.11919279993716796</v>
      </c>
      <c r="K94" s="11">
        <f t="shared" si="1"/>
        <v>0.11919279993716796</v>
      </c>
      <c r="L94" s="11"/>
      <c r="M94" s="157"/>
      <c r="N94"/>
    </row>
    <row r="95" spans="1:14" x14ac:dyDescent="0.2">
      <c r="A95" s="44">
        <v>44469</v>
      </c>
      <c r="B95" s="45">
        <f>Inputs!D116</f>
        <v>30974506.587737001</v>
      </c>
      <c r="C95" s="45">
        <v>53.92</v>
      </c>
      <c r="D95" s="45">
        <v>34.25</v>
      </c>
      <c r="E95" s="45">
        <v>30</v>
      </c>
      <c r="F95" s="145">
        <v>0</v>
      </c>
      <c r="G95" s="45">
        <f>Inputs!G116+Inputs!I116+Inputs!L116+Inputs!X116</f>
        <v>24480</v>
      </c>
      <c r="H95" s="45">
        <f>$N$18+$N$19*C95+$N$20*D95+$N$21*E95+$N$22*F95+$N$23*G95</f>
        <v>31264913.385504626</v>
      </c>
      <c r="I95" s="30">
        <f>H95-B95</f>
        <v>290406.79776762426</v>
      </c>
      <c r="J95" s="39">
        <f>I95/B95</f>
        <v>9.3756714717966837E-3</v>
      </c>
      <c r="K95" s="11">
        <f t="shared" si="1"/>
        <v>9.3756714717966837E-3</v>
      </c>
      <c r="L95" s="11"/>
      <c r="M95" s="157"/>
      <c r="N95"/>
    </row>
    <row r="96" spans="1:14" x14ac:dyDescent="0.2">
      <c r="A96" s="44">
        <v>44500</v>
      </c>
      <c r="B96" s="45">
        <f>Inputs!D117</f>
        <v>28889124.189985599</v>
      </c>
      <c r="C96" s="45">
        <v>212.45</v>
      </c>
      <c r="D96" s="45">
        <v>5.3</v>
      </c>
      <c r="E96" s="45">
        <v>31</v>
      </c>
      <c r="F96" s="145">
        <v>1</v>
      </c>
      <c r="G96" s="45">
        <f>Inputs!G117+Inputs!I117+Inputs!L117+Inputs!X117</f>
        <v>24539</v>
      </c>
      <c r="H96" s="45">
        <f>$N$18+$N$19*C96+$N$20*D96+$N$21*E96+$N$22*F96+$N$23*G96</f>
        <v>29193485.334847286</v>
      </c>
      <c r="I96" s="30">
        <f>H96-B96</f>
        <v>304361.14486168697</v>
      </c>
      <c r="J96" s="39">
        <f>I96/B96</f>
        <v>1.0535492279381513E-2</v>
      </c>
      <c r="K96" s="11">
        <f t="shared" si="1"/>
        <v>1.0535492279381513E-2</v>
      </c>
      <c r="L96" s="11"/>
      <c r="M96" s="157"/>
      <c r="N96"/>
    </row>
    <row r="97" spans="1:14" x14ac:dyDescent="0.2">
      <c r="A97" s="44">
        <v>44530</v>
      </c>
      <c r="B97" s="45">
        <f>Inputs!D118</f>
        <v>29524971.059174798</v>
      </c>
      <c r="C97" s="45">
        <v>408.5</v>
      </c>
      <c r="D97" s="45">
        <v>0.22999999999999998</v>
      </c>
      <c r="E97" s="45">
        <v>30</v>
      </c>
      <c r="F97" s="145">
        <v>1</v>
      </c>
      <c r="G97" s="45">
        <f>Inputs!G118+Inputs!I118+Inputs!L118+Inputs!X118</f>
        <v>24577</v>
      </c>
      <c r="H97" s="45">
        <f>$N$18+$N$19*C97+$N$20*D97+$N$21*E97+$N$22*F97+$N$23*G97</f>
        <v>29538673.320691328</v>
      </c>
      <c r="I97" s="30">
        <f>H97-B97</f>
        <v>13702.261516530067</v>
      </c>
      <c r="J97" s="39">
        <f>I97/B97</f>
        <v>4.6409059941388594E-4</v>
      </c>
      <c r="K97" s="11">
        <f t="shared" si="1"/>
        <v>4.6409059941388594E-4</v>
      </c>
      <c r="L97" s="11"/>
      <c r="M97" s="157"/>
      <c r="N97"/>
    </row>
    <row r="98" spans="1:14" x14ac:dyDescent="0.2">
      <c r="A98" s="44">
        <v>44561</v>
      </c>
      <c r="B98" s="45">
        <f>Inputs!D119</f>
        <v>32565823.594668198</v>
      </c>
      <c r="C98" s="45">
        <v>533.85000000000014</v>
      </c>
      <c r="D98" s="45">
        <v>0</v>
      </c>
      <c r="E98" s="45">
        <v>31</v>
      </c>
      <c r="F98" s="145">
        <v>1</v>
      </c>
      <c r="G98" s="45">
        <f>Inputs!G119+Inputs!I119+Inputs!L119+Inputs!X119</f>
        <v>24627</v>
      </c>
      <c r="H98" s="45">
        <f>$N$18+$N$19*C98+$N$20*D98+$N$21*E98+$N$22*F98+$N$23*G98</f>
        <v>32104409.60990091</v>
      </c>
      <c r="I98" s="30">
        <f>H98-B98</f>
        <v>-461413.98476728797</v>
      </c>
      <c r="J98" s="39">
        <f>I98/B98</f>
        <v>-1.4168657010192503E-2</v>
      </c>
      <c r="K98" s="11">
        <f t="shared" si="1"/>
        <v>1.4168657010192503E-2</v>
      </c>
      <c r="L98" s="11"/>
      <c r="M98" s="157"/>
      <c r="N98"/>
    </row>
    <row r="99" spans="1:14" x14ac:dyDescent="0.2">
      <c r="A99" s="44">
        <v>44592</v>
      </c>
      <c r="B99" s="45">
        <f>Inputs!D120</f>
        <v>35465006.471801899</v>
      </c>
      <c r="C99" s="45">
        <v>678.22</v>
      </c>
      <c r="D99" s="45">
        <v>0</v>
      </c>
      <c r="E99" s="45">
        <v>31</v>
      </c>
      <c r="F99" s="145">
        <v>0</v>
      </c>
      <c r="G99" s="45">
        <f>Inputs!G120+Inputs!I120+Inputs!L120+Inputs!X120</f>
        <v>24639</v>
      </c>
      <c r="H99" s="45">
        <f>$N$18+$N$19*C99+$N$20*D99+$N$21*E99+$N$22*F99+$N$23*G99</f>
        <v>35990388.495004281</v>
      </c>
      <c r="I99" s="30">
        <f>H99-B99</f>
        <v>525382.02320238203</v>
      </c>
      <c r="J99" s="39">
        <f>I99/B99</f>
        <v>1.481409635777485E-2</v>
      </c>
      <c r="K99" s="11">
        <f t="shared" si="1"/>
        <v>1.481409635777485E-2</v>
      </c>
      <c r="L99" s="11"/>
      <c r="M99" s="157"/>
      <c r="N99"/>
    </row>
    <row r="100" spans="1:14" x14ac:dyDescent="0.2">
      <c r="A100" s="44">
        <v>44620</v>
      </c>
      <c r="B100" s="45">
        <f>Inputs!D121</f>
        <v>31523310.542636499</v>
      </c>
      <c r="C100" s="45">
        <v>616.86</v>
      </c>
      <c r="D100" s="45">
        <v>0</v>
      </c>
      <c r="E100" s="45">
        <v>28</v>
      </c>
      <c r="F100" s="145">
        <v>0</v>
      </c>
      <c r="G100" s="45">
        <f>Inputs!G121+Inputs!I121+Inputs!L121+Inputs!X121</f>
        <v>24652</v>
      </c>
      <c r="H100" s="45">
        <f>$N$18+$N$19*C100+$N$20*D100+$N$21*E100+$N$22*F100+$N$23*G100</f>
        <v>31586326.968399089</v>
      </c>
      <c r="I100" s="30">
        <f>H100-B100</f>
        <v>63016.425762590021</v>
      </c>
      <c r="J100" s="39">
        <f>I100/B100</f>
        <v>1.9990421271699195E-3</v>
      </c>
      <c r="K100" s="11">
        <f t="shared" si="1"/>
        <v>1.9990421271699195E-3</v>
      </c>
      <c r="L100" s="11"/>
      <c r="M100" s="157"/>
      <c r="N100"/>
    </row>
    <row r="101" spans="1:14" x14ac:dyDescent="0.2">
      <c r="A101" s="44">
        <v>44651</v>
      </c>
      <c r="B101" s="45">
        <f>Inputs!D122</f>
        <v>32353240.0566434</v>
      </c>
      <c r="C101" s="45">
        <v>539.83000000000015</v>
      </c>
      <c r="D101" s="45">
        <v>0</v>
      </c>
      <c r="E101" s="45">
        <v>31</v>
      </c>
      <c r="F101" s="145">
        <v>1</v>
      </c>
      <c r="G101" s="45">
        <f>Inputs!G122+Inputs!I122+Inputs!L122+Inputs!X122</f>
        <v>24687</v>
      </c>
      <c r="H101" s="45">
        <f>$N$18+$N$19*C101+$N$20*D101+$N$21*E101+$N$22*F101+$N$23*G101</f>
        <v>32193015.468155537</v>
      </c>
      <c r="I101" s="30">
        <f>H101-B101</f>
        <v>-160224.58848786354</v>
      </c>
      <c r="J101" s="39">
        <f>I101/B101</f>
        <v>-4.9523506210613086E-3</v>
      </c>
      <c r="K101" s="11">
        <f t="shared" si="1"/>
        <v>4.9523506210613086E-3</v>
      </c>
      <c r="L101" s="11"/>
      <c r="M101" s="157"/>
      <c r="N101"/>
    </row>
    <row r="102" spans="1:14" x14ac:dyDescent="0.2">
      <c r="A102" s="44">
        <v>44681</v>
      </c>
      <c r="B102" s="45">
        <f>Inputs!D123</f>
        <v>27915177.2162803</v>
      </c>
      <c r="C102" s="45">
        <v>333.62</v>
      </c>
      <c r="D102" s="45">
        <v>0.05</v>
      </c>
      <c r="E102" s="45">
        <v>30</v>
      </c>
      <c r="F102" s="145">
        <v>1</v>
      </c>
      <c r="G102" s="45">
        <f>Inputs!G123+Inputs!I123+Inputs!L123+Inputs!X123</f>
        <v>24739</v>
      </c>
      <c r="H102" s="45">
        <f>$N$18+$N$19*C102+$N$20*D102+$N$21*E102+$N$22*F102+$N$23*G102</f>
        <v>28811378.737341911</v>
      </c>
      <c r="I102" s="30">
        <f>H102-B102</f>
        <v>896201.52106161043</v>
      </c>
      <c r="J102" s="39">
        <f>I102/B102</f>
        <v>3.2104453936224353E-2</v>
      </c>
      <c r="K102" s="11">
        <f t="shared" si="1"/>
        <v>3.2104453936224353E-2</v>
      </c>
      <c r="L102" s="11"/>
      <c r="M102" s="157"/>
      <c r="N102"/>
    </row>
    <row r="103" spans="1:14" x14ac:dyDescent="0.2">
      <c r="A103" s="44">
        <v>44712</v>
      </c>
      <c r="B103" s="45">
        <f>Inputs!D124</f>
        <v>29942359.493953399</v>
      </c>
      <c r="C103" s="45">
        <v>147.99</v>
      </c>
      <c r="D103" s="45">
        <v>17.32</v>
      </c>
      <c r="E103" s="45">
        <v>31</v>
      </c>
      <c r="F103" s="145">
        <v>1</v>
      </c>
      <c r="G103" s="45">
        <f>Inputs!G124+Inputs!I124+Inputs!L124+Inputs!X124</f>
        <v>24766</v>
      </c>
      <c r="H103" s="45">
        <f>$N$18+$N$19*C103+$N$20*D103+$N$21*E103+$N$22*F103+$N$23*G103</f>
        <v>29713582.415268295</v>
      </c>
      <c r="I103" s="30">
        <f>H103-B103</f>
        <v>-228777.07868510485</v>
      </c>
      <c r="J103" s="39">
        <f>I103/B103</f>
        <v>-7.6405828582515149E-3</v>
      </c>
      <c r="K103" s="11">
        <f t="shared" si="1"/>
        <v>7.6405828582515149E-3</v>
      </c>
      <c r="L103" s="11"/>
      <c r="M103" s="157"/>
      <c r="N103"/>
    </row>
    <row r="104" spans="1:14" x14ac:dyDescent="0.2">
      <c r="A104" s="44">
        <v>44742</v>
      </c>
      <c r="B104" s="45">
        <f>Inputs!D125</f>
        <v>32984458.022498798</v>
      </c>
      <c r="C104" s="45">
        <v>28.179999999999996</v>
      </c>
      <c r="D104" s="45">
        <v>52.879999999999995</v>
      </c>
      <c r="E104" s="45">
        <v>30</v>
      </c>
      <c r="F104" s="145">
        <v>0</v>
      </c>
      <c r="G104" s="45">
        <f>Inputs!G125+Inputs!I125+Inputs!L125+Inputs!X125</f>
        <v>24790</v>
      </c>
      <c r="H104" s="45">
        <f>$N$18+$N$19*C104+$N$20*D104+$N$21*E104+$N$22*F104+$N$23*G104</f>
        <v>32826942.811835095</v>
      </c>
      <c r="I104" s="30">
        <f>H104-B104</f>
        <v>-157515.21066370234</v>
      </c>
      <c r="J104" s="39">
        <f>I104/B104</f>
        <v>-4.7754372849255471E-3</v>
      </c>
      <c r="K104" s="11">
        <f t="shared" si="1"/>
        <v>4.7754372849255471E-3</v>
      </c>
      <c r="L104" s="11"/>
      <c r="M104" s="157"/>
      <c r="N104"/>
    </row>
    <row r="105" spans="1:14" x14ac:dyDescent="0.2">
      <c r="A105" s="44">
        <v>44773</v>
      </c>
      <c r="B105" s="45">
        <f>Inputs!D126</f>
        <v>39133029.9268599</v>
      </c>
      <c r="C105" s="45">
        <v>3.06</v>
      </c>
      <c r="D105" s="45">
        <v>105.36999999999998</v>
      </c>
      <c r="E105" s="45">
        <v>31</v>
      </c>
      <c r="F105" s="145">
        <v>0</v>
      </c>
      <c r="G105" s="45">
        <f>Inputs!G126+Inputs!I126+Inputs!L126+Inputs!X126</f>
        <v>24818</v>
      </c>
      <c r="H105" s="45">
        <f>$N$18+$N$19*C105+$N$20*D105+$N$21*E105+$N$22*F105+$N$23*G105</f>
        <v>38610209.258387096</v>
      </c>
      <c r="I105" s="30">
        <f>H105-B105</f>
        <v>-522820.66847280413</v>
      </c>
      <c r="J105" s="39">
        <f>I105/B105</f>
        <v>-1.3360086593089321E-2</v>
      </c>
      <c r="K105" s="11">
        <f t="shared" si="1"/>
        <v>1.3360086593089321E-2</v>
      </c>
      <c r="L105" s="11"/>
      <c r="M105" s="157"/>
      <c r="N105"/>
    </row>
    <row r="106" spans="1:14" x14ac:dyDescent="0.2">
      <c r="A106" s="44">
        <v>44804</v>
      </c>
      <c r="B106" s="45">
        <f>Inputs!D127</f>
        <v>39821521.175825201</v>
      </c>
      <c r="C106" s="45">
        <v>6.6700000000000017</v>
      </c>
      <c r="D106" s="45">
        <v>88.690000000000012</v>
      </c>
      <c r="E106" s="45">
        <v>31</v>
      </c>
      <c r="F106" s="145">
        <v>0</v>
      </c>
      <c r="G106" s="45">
        <f>Inputs!G127+Inputs!I127+Inputs!L127+Inputs!X127</f>
        <v>24861</v>
      </c>
      <c r="H106" s="45">
        <f>$N$18+$N$19*C106+$N$20*D106+$N$21*E106+$N$22*F106+$N$23*G106</f>
        <v>37148698.074371964</v>
      </c>
      <c r="I106" s="30">
        <f>H106-B106</f>
        <v>-2672823.1014532372</v>
      </c>
      <c r="J106" s="39">
        <f>I106/B106</f>
        <v>-6.7120065294639E-2</v>
      </c>
      <c r="K106" s="11">
        <f t="shared" si="1"/>
        <v>6.7120065294639E-2</v>
      </c>
      <c r="L106" s="11"/>
      <c r="M106" s="157"/>
      <c r="N106"/>
    </row>
    <row r="107" spans="1:14" x14ac:dyDescent="0.2">
      <c r="A107" s="44">
        <v>44834</v>
      </c>
      <c r="B107" s="45">
        <f>Inputs!D128</f>
        <v>31429525.786972698</v>
      </c>
      <c r="C107" s="45">
        <v>53.92</v>
      </c>
      <c r="D107" s="45">
        <v>34.25</v>
      </c>
      <c r="E107" s="45">
        <v>30</v>
      </c>
      <c r="F107" s="145">
        <v>0</v>
      </c>
      <c r="G107" s="45">
        <f>Inputs!G128+Inputs!I128+Inputs!L128+Inputs!X128</f>
        <v>24901</v>
      </c>
      <c r="H107" s="45">
        <f>$N$18+$N$19*C107+$N$20*D107+$N$21*E107+$N$22*F107+$N$23*G107</f>
        <v>31448646.865291543</v>
      </c>
      <c r="I107" s="30">
        <f>H107-B107</f>
        <v>19121.078318845481</v>
      </c>
      <c r="J107" s="39">
        <f>I107/B107</f>
        <v>6.0837947248860568E-4</v>
      </c>
      <c r="K107" s="11">
        <f t="shared" si="1"/>
        <v>6.0837947248860568E-4</v>
      </c>
      <c r="L107" s="11"/>
      <c r="M107" s="157"/>
      <c r="N107"/>
    </row>
    <row r="108" spans="1:14" x14ac:dyDescent="0.2">
      <c r="A108" s="44">
        <v>44865</v>
      </c>
      <c r="B108" s="45">
        <f>Inputs!D129</f>
        <v>28375439.900397301</v>
      </c>
      <c r="C108" s="45">
        <v>212.45</v>
      </c>
      <c r="D108" s="45">
        <v>5.3</v>
      </c>
      <c r="E108" s="45">
        <v>31</v>
      </c>
      <c r="F108" s="145">
        <v>1</v>
      </c>
      <c r="G108" s="45">
        <f>Inputs!G129+Inputs!I129+Inputs!L129+Inputs!X129</f>
        <v>24980</v>
      </c>
      <c r="H108" s="45">
        <f>$N$18+$N$19*C108+$N$20*D108+$N$21*E108+$N$22*F108+$N$23*G108</f>
        <v>29385947.245977998</v>
      </c>
      <c r="I108" s="30">
        <f>H108-B108</f>
        <v>1010507.3455806971</v>
      </c>
      <c r="J108" s="39">
        <f>I108/B108</f>
        <v>3.561204157989277E-2</v>
      </c>
      <c r="K108" s="11">
        <f t="shared" si="1"/>
        <v>3.561204157989277E-2</v>
      </c>
      <c r="L108" s="11"/>
      <c r="M108" s="157"/>
      <c r="N108"/>
    </row>
    <row r="109" spans="1:14" x14ac:dyDescent="0.2">
      <c r="A109" s="44">
        <v>44895</v>
      </c>
      <c r="B109" s="45">
        <f>Inputs!D130</f>
        <v>29798652.173497498</v>
      </c>
      <c r="C109" s="45">
        <v>408.5</v>
      </c>
      <c r="D109" s="45">
        <v>0.22999999999999998</v>
      </c>
      <c r="E109" s="45">
        <v>30</v>
      </c>
      <c r="F109" s="145">
        <v>1</v>
      </c>
      <c r="G109" s="45">
        <f>Inputs!G130+Inputs!I130+Inputs!L130+Inputs!X130</f>
        <v>25014</v>
      </c>
      <c r="H109" s="45">
        <f>$N$18+$N$19*C109+$N$20*D109+$N$21*E109+$N$22*F109+$N$23*G109</f>
        <v>29729389.545553282</v>
      </c>
      <c r="I109" s="30">
        <f>H109-B109</f>
        <v>-69262.627944216132</v>
      </c>
      <c r="J109" s="39">
        <f>I109/B109</f>
        <v>-2.3243543882772435E-3</v>
      </c>
      <c r="K109" s="11">
        <f t="shared" si="1"/>
        <v>2.3243543882772435E-3</v>
      </c>
      <c r="L109" s="11"/>
      <c r="M109" s="157"/>
      <c r="N109"/>
    </row>
    <row r="110" spans="1:14" x14ac:dyDescent="0.2">
      <c r="A110" s="44">
        <v>44926</v>
      </c>
      <c r="B110" s="45">
        <f>Inputs!D131</f>
        <v>33870515.1064891</v>
      </c>
      <c r="C110" s="45">
        <v>533.85000000000014</v>
      </c>
      <c r="D110" s="45">
        <v>0</v>
      </c>
      <c r="E110" s="45">
        <v>31</v>
      </c>
      <c r="F110" s="145">
        <v>1</v>
      </c>
      <c r="G110" s="45">
        <f>Inputs!G131+Inputs!I131+Inputs!L131+Inputs!X131</f>
        <v>25063</v>
      </c>
      <c r="H110" s="45">
        <f>$N$18+$N$19*C110+$N$20*D110+$N$21*E110+$N$22*F110+$N$23*G110</f>
        <v>32294689.413195673</v>
      </c>
      <c r="I110" s="30">
        <f>H110-B110</f>
        <v>-1575825.6932934262</v>
      </c>
      <c r="J110" s="39">
        <f>I110/B110</f>
        <v>-4.6524999349405252E-2</v>
      </c>
      <c r="K110" s="11">
        <f t="shared" si="1"/>
        <v>4.6524999349405252E-2</v>
      </c>
      <c r="L110" s="11"/>
      <c r="M110" s="157"/>
      <c r="N110"/>
    </row>
    <row r="111" spans="1:14" x14ac:dyDescent="0.2">
      <c r="A111" s="44">
        <v>44957</v>
      </c>
      <c r="B111" s="45">
        <f>Inputs!D132</f>
        <v>33991812.103445902</v>
      </c>
      <c r="C111" s="45">
        <v>678.22</v>
      </c>
      <c r="D111" s="45">
        <v>0</v>
      </c>
      <c r="E111" s="45">
        <v>31</v>
      </c>
      <c r="F111" s="145">
        <v>0</v>
      </c>
      <c r="G111" s="45">
        <f>Inputs!G132+Inputs!I132+Inputs!L132+Inputs!X132</f>
        <v>25081</v>
      </c>
      <c r="H111" s="45">
        <f>$N$18+$N$19*C111+$N$20*D111+$N$21*E111+$N$22*F111+$N$23*G111</f>
        <v>36183286.827702187</v>
      </c>
      <c r="I111" s="30">
        <f>H111-B111</f>
        <v>2191474.7242562845</v>
      </c>
      <c r="J111" s="39">
        <f>I111/B111</f>
        <v>6.4470664805602554E-2</v>
      </c>
      <c r="K111" s="11">
        <f t="shared" si="1"/>
        <v>6.4470664805602554E-2</v>
      </c>
      <c r="L111" s="11"/>
      <c r="M111" s="157"/>
      <c r="N111"/>
    </row>
    <row r="112" spans="1:14" x14ac:dyDescent="0.2">
      <c r="A112" s="44">
        <v>44985</v>
      </c>
      <c r="B112" s="45">
        <f>Inputs!D133</f>
        <v>30665858.379131198</v>
      </c>
      <c r="C112" s="45">
        <v>616.86</v>
      </c>
      <c r="D112" s="45">
        <v>0</v>
      </c>
      <c r="E112" s="45">
        <v>28</v>
      </c>
      <c r="F112" s="145">
        <v>0</v>
      </c>
      <c r="G112" s="45">
        <f>Inputs!G133+Inputs!I133+Inputs!L133+Inputs!X133</f>
        <v>25093</v>
      </c>
      <c r="H112" s="45">
        <f>$N$18+$N$19*C112+$N$20*D112+$N$21*E112+$N$22*F112+$N$23*G112</f>
        <v>31778788.8795298</v>
      </c>
      <c r="I112" s="30">
        <f>H112-B112</f>
        <v>1112930.5003986023</v>
      </c>
      <c r="J112" s="39">
        <f>I112/B112</f>
        <v>3.6292168529545435E-2</v>
      </c>
      <c r="K112" s="11">
        <f t="shared" si="1"/>
        <v>3.6292168529545435E-2</v>
      </c>
      <c r="L112" s="11"/>
      <c r="M112" s="157"/>
      <c r="N112"/>
    </row>
    <row r="113" spans="1:14" x14ac:dyDescent="0.2">
      <c r="A113" s="44">
        <v>45016</v>
      </c>
      <c r="B113" s="45">
        <f>Inputs!D134</f>
        <v>32629381.9263977</v>
      </c>
      <c r="C113" s="45">
        <v>539.83000000000015</v>
      </c>
      <c r="D113" s="45">
        <v>0</v>
      </c>
      <c r="E113" s="45">
        <v>31</v>
      </c>
      <c r="F113" s="145">
        <v>1</v>
      </c>
      <c r="G113" s="45">
        <f>Inputs!G134+Inputs!I134+Inputs!L134+Inputs!X134</f>
        <v>25129</v>
      </c>
      <c r="H113" s="45">
        <f>$N$18+$N$19*C113+$N$20*D113+$N$21*E113+$N$22*F113+$N$23*G113</f>
        <v>32385913.800853439</v>
      </c>
      <c r="I113" s="30">
        <f>H113-B113</f>
        <v>-243468.12554426119</v>
      </c>
      <c r="J113" s="39">
        <f>I113/B113</f>
        <v>-7.4616223529288339E-3</v>
      </c>
      <c r="K113" s="11">
        <f t="shared" si="1"/>
        <v>7.4616223529288339E-3</v>
      </c>
      <c r="L113" s="11"/>
      <c r="M113" s="157"/>
      <c r="N113"/>
    </row>
    <row r="114" spans="1:14" x14ac:dyDescent="0.2">
      <c r="A114" s="44">
        <v>45046</v>
      </c>
      <c r="B114" s="45">
        <f>Inputs!D135</f>
        <v>28070848.797054499</v>
      </c>
      <c r="C114" s="45">
        <v>333.62</v>
      </c>
      <c r="D114" s="45">
        <v>0.05</v>
      </c>
      <c r="E114" s="45">
        <v>30</v>
      </c>
      <c r="F114" s="145">
        <v>1</v>
      </c>
      <c r="G114" s="45">
        <f>Inputs!G135+Inputs!I135+Inputs!L135+Inputs!X135</f>
        <v>25213</v>
      </c>
      <c r="H114" s="45">
        <f>$N$18+$N$19*C114+$N$20*D114+$N$21*E114+$N$22*F114+$N$23*G114</f>
        <v>29018242.560189888</v>
      </c>
      <c r="I114" s="30">
        <f>H114-B114</f>
        <v>947393.76313538849</v>
      </c>
      <c r="J114" s="39">
        <f>I114/B114</f>
        <v>3.3750093201128976E-2</v>
      </c>
      <c r="K114" s="11">
        <f t="shared" si="1"/>
        <v>3.3750093201128976E-2</v>
      </c>
      <c r="L114" s="11"/>
      <c r="M114" s="157"/>
      <c r="N114"/>
    </row>
    <row r="115" spans="1:14" x14ac:dyDescent="0.2">
      <c r="A115" s="44">
        <v>45077</v>
      </c>
      <c r="B115" s="45">
        <f>Inputs!D136</f>
        <v>28924411.6335361</v>
      </c>
      <c r="C115" s="45">
        <v>147.99</v>
      </c>
      <c r="D115" s="45">
        <v>17.32</v>
      </c>
      <c r="E115" s="45">
        <v>31</v>
      </c>
      <c r="F115" s="145">
        <v>1</v>
      </c>
      <c r="G115" s="45">
        <f>Inputs!G136+Inputs!I136+Inputs!L136+Inputs!X136</f>
        <v>25301</v>
      </c>
      <c r="H115" s="45">
        <f>$N$18+$N$19*C115+$N$20*D115+$N$21*E115+$N$22*F115+$N$23*G115</f>
        <v>29947067.953714848</v>
      </c>
      <c r="I115" s="30">
        <f>H115-B115</f>
        <v>1022656.3201787472</v>
      </c>
      <c r="J115" s="39">
        <f>I115/B115</f>
        <v>3.5356166726414555E-2</v>
      </c>
      <c r="K115" s="11">
        <f t="shared" si="1"/>
        <v>3.5356166726414555E-2</v>
      </c>
      <c r="L115" s="11"/>
      <c r="M115" s="157"/>
      <c r="N115"/>
    </row>
    <row r="116" spans="1:14" x14ac:dyDescent="0.2">
      <c r="A116" s="44">
        <v>45107</v>
      </c>
      <c r="B116" s="45">
        <f>Inputs!D137</f>
        <v>32337605.014613099</v>
      </c>
      <c r="C116" s="45">
        <v>28.179999999999996</v>
      </c>
      <c r="D116" s="45">
        <v>52.879999999999995</v>
      </c>
      <c r="E116" s="45">
        <v>30</v>
      </c>
      <c r="F116" s="145">
        <v>0</v>
      </c>
      <c r="G116" s="45">
        <f>Inputs!G137+Inputs!I137+Inputs!L137+Inputs!X137</f>
        <v>25386</v>
      </c>
      <c r="H116" s="45">
        <f>$N$18+$N$19*C116+$N$20*D116+$N$21*E116+$N$22*F116+$N$23*G116</f>
        <v>33087050.065880232</v>
      </c>
      <c r="I116" s="30">
        <f>H116-B116</f>
        <v>749445.05126713216</v>
      </c>
      <c r="J116" s="39">
        <f>I116/B116</f>
        <v>2.3175651101201344E-2</v>
      </c>
      <c r="K116" s="11">
        <f t="shared" si="1"/>
        <v>2.3175651101201344E-2</v>
      </c>
      <c r="L116" s="11"/>
      <c r="M116" s="157"/>
      <c r="N116"/>
    </row>
    <row r="117" spans="1:14" x14ac:dyDescent="0.2">
      <c r="A117" s="44">
        <v>45138</v>
      </c>
      <c r="B117" s="45">
        <f>Inputs!D138</f>
        <v>39594891.335779101</v>
      </c>
      <c r="C117" s="45">
        <v>3.06</v>
      </c>
      <c r="D117" s="45">
        <v>105.36999999999998</v>
      </c>
      <c r="E117" s="45">
        <v>31</v>
      </c>
      <c r="F117" s="145">
        <v>0</v>
      </c>
      <c r="G117" s="45">
        <f>Inputs!G138+Inputs!I138+Inputs!L138+Inputs!X138</f>
        <v>25423</v>
      </c>
      <c r="H117" s="45">
        <f>$N$18+$N$19*C117+$N$20*D117+$N$21*E117+$N$22*F117+$N$23*G117</f>
        <v>38874244.306536935</v>
      </c>
      <c r="I117" s="30">
        <f>H117-B117</f>
        <v>-720647.02924216539</v>
      </c>
      <c r="J117" s="39">
        <f>I117/B117</f>
        <v>-1.8200505290715818E-2</v>
      </c>
      <c r="K117" s="11">
        <f t="shared" si="1"/>
        <v>1.8200505290715818E-2</v>
      </c>
      <c r="L117" s="11"/>
      <c r="M117" s="157"/>
      <c r="N117"/>
    </row>
    <row r="118" spans="1:14" x14ac:dyDescent="0.2">
      <c r="A118" s="44">
        <v>45169</v>
      </c>
      <c r="B118" s="45">
        <f>Inputs!D139</f>
        <v>35523357.586275995</v>
      </c>
      <c r="C118" s="45">
        <v>6.6700000000000017</v>
      </c>
      <c r="D118" s="45">
        <v>88.690000000000012</v>
      </c>
      <c r="E118" s="45">
        <v>31</v>
      </c>
      <c r="F118" s="145">
        <v>0</v>
      </c>
      <c r="G118" s="45">
        <f>Inputs!G139+Inputs!I139+Inputs!L139+Inputs!X139</f>
        <v>25474</v>
      </c>
      <c r="H118" s="45">
        <f>$N$18+$N$19*C118+$N$20*D118+$N$21*E118+$N$22*F118+$N$23*G118</f>
        <v>37416224.495059326</v>
      </c>
      <c r="I118" s="30">
        <f>H118-B118</f>
        <v>1892866.9087833315</v>
      </c>
      <c r="J118" s="39">
        <f>I118/B118</f>
        <v>5.3285135116693388E-2</v>
      </c>
      <c r="K118" s="11">
        <f t="shared" si="1"/>
        <v>5.3285135116693388E-2</v>
      </c>
      <c r="L118" s="11"/>
      <c r="M118" s="157"/>
      <c r="N118"/>
    </row>
    <row r="119" spans="1:14" x14ac:dyDescent="0.2">
      <c r="A119" s="44">
        <v>45199</v>
      </c>
      <c r="B119" s="45">
        <f>Inputs!D140</f>
        <v>31570923.270029802</v>
      </c>
      <c r="C119" s="45">
        <v>53.92</v>
      </c>
      <c r="D119" s="45">
        <v>34.25</v>
      </c>
      <c r="E119" s="45">
        <v>30</v>
      </c>
      <c r="F119" s="145">
        <v>0</v>
      </c>
      <c r="G119" s="45">
        <f>Inputs!G140+Inputs!I140+Inputs!L140+Inputs!X140</f>
        <v>25548</v>
      </c>
      <c r="H119" s="45">
        <f>$N$18+$N$19*C119+$N$20*D119+$N$21*E119+$N$22*F119+$N$23*G119</f>
        <v>31731011.619263358</v>
      </c>
      <c r="I119" s="30">
        <f>H119-B119</f>
        <v>160088.34923355654</v>
      </c>
      <c r="J119" s="39">
        <f>I119/B119</f>
        <v>5.0707528526898679E-3</v>
      </c>
      <c r="K119" s="11">
        <f t="shared" si="1"/>
        <v>5.0707528526898679E-3</v>
      </c>
      <c r="L119" s="11"/>
      <c r="M119" s="157"/>
      <c r="N119"/>
    </row>
    <row r="120" spans="1:14" x14ac:dyDescent="0.2">
      <c r="A120" s="44">
        <v>45230</v>
      </c>
      <c r="B120" s="45">
        <f>Inputs!D141</f>
        <v>29609700.8526466</v>
      </c>
      <c r="C120" s="45">
        <v>212.45</v>
      </c>
      <c r="D120" s="45">
        <v>5.3</v>
      </c>
      <c r="E120" s="45">
        <v>31</v>
      </c>
      <c r="F120" s="145">
        <v>1</v>
      </c>
      <c r="G120" s="45">
        <f>Inputs!G141+Inputs!I141+Inputs!L141+Inputs!X141</f>
        <v>25670</v>
      </c>
      <c r="H120" s="45">
        <f>$N$18+$N$19*C120+$N$20*D120+$N$21*E120+$N$22*F120+$N$23*G120</f>
        <v>29687078.127338976</v>
      </c>
      <c r="I120" s="30">
        <f>H120-B120</f>
        <v>77377.274692375213</v>
      </c>
      <c r="J120" s="39">
        <f>I120/B120</f>
        <v>2.6132406766770496E-3</v>
      </c>
      <c r="K120" s="11">
        <f t="shared" si="1"/>
        <v>2.6132406766770496E-3</v>
      </c>
      <c r="L120" s="11"/>
      <c r="M120" s="157"/>
      <c r="N120"/>
    </row>
    <row r="121" spans="1:14" x14ac:dyDescent="0.2">
      <c r="A121" s="44">
        <v>45260</v>
      </c>
      <c r="B121" s="45">
        <f>Inputs!D142</f>
        <v>30895716.9335532</v>
      </c>
      <c r="C121" s="45">
        <v>408.5</v>
      </c>
      <c r="D121" s="45">
        <v>0.22999999999999998</v>
      </c>
      <c r="E121" s="45">
        <v>30</v>
      </c>
      <c r="F121" s="145">
        <v>1</v>
      </c>
      <c r="G121" s="45">
        <f>Inputs!G142+Inputs!I142+Inputs!L142+Inputs!X142</f>
        <v>25701</v>
      </c>
      <c r="H121" s="45">
        <f>$N$18+$N$19*C121+$N$20*D121+$N$21*E121+$N$22*F121+$N$23*G121</f>
        <v>30029211.162212692</v>
      </c>
      <c r="I121" s="30">
        <f>H121-B121</f>
        <v>-866505.77134050801</v>
      </c>
      <c r="J121" s="39">
        <f>I121/B121</f>
        <v>-2.8046145464242975E-2</v>
      </c>
      <c r="K121" s="11">
        <f t="shared" si="1"/>
        <v>2.8046145464242975E-2</v>
      </c>
      <c r="L121" s="11"/>
      <c r="M121" s="157"/>
      <c r="N121"/>
    </row>
    <row r="122" spans="1:14" x14ac:dyDescent="0.2">
      <c r="A122" s="44">
        <v>45291</v>
      </c>
      <c r="B122" s="45">
        <f>Inputs!D143</f>
        <v>32819279.789655898</v>
      </c>
      <c r="C122" s="45">
        <v>533.85000000000014</v>
      </c>
      <c r="D122" s="45">
        <v>0</v>
      </c>
      <c r="E122" s="45">
        <v>31</v>
      </c>
      <c r="F122" s="145">
        <v>1</v>
      </c>
      <c r="G122" s="45">
        <f>Inputs!G143+Inputs!I143+Inputs!L143+Inputs!X143</f>
        <v>25753</v>
      </c>
      <c r="H122" s="45">
        <f>$N$18+$N$19*C122+$N$20*D122+$N$21*E122+$N$22*F122+$N$23*G122</f>
        <v>32595820.294556651</v>
      </c>
      <c r="I122" s="30">
        <f>H122-B122</f>
        <v>-223459.4950992465</v>
      </c>
      <c r="J122" s="39">
        <f>I122/B122</f>
        <v>-6.8087872900147338E-3</v>
      </c>
      <c r="K122" s="11">
        <f t="shared" si="1"/>
        <v>6.8087872900147338E-3</v>
      </c>
      <c r="L122" s="11"/>
      <c r="M122" s="157"/>
      <c r="N122"/>
    </row>
    <row r="123" spans="1:14" x14ac:dyDescent="0.2">
      <c r="A123" s="44">
        <v>45322</v>
      </c>
      <c r="B123" s="45"/>
      <c r="C123" s="53">
        <v>678.22</v>
      </c>
      <c r="D123" s="53">
        <v>0</v>
      </c>
      <c r="E123" s="45">
        <v>31</v>
      </c>
      <c r="F123" s="145">
        <v>0</v>
      </c>
      <c r="G123" s="110">
        <f>'Rate Class Customer Model'!P11</f>
        <v>25779.820378677985</v>
      </c>
      <c r="H123" s="45">
        <f>$N$18+$N$19*C123+$N$20*D123+$N$21*E123+$N$22*F123+$N$23*G123</f>
        <v>36488267.112549022</v>
      </c>
      <c r="I123" s="30"/>
      <c r="K123" s="5">
        <f>AVERAGE(K3:K122)</f>
        <v>4.19817781649768E-2</v>
      </c>
      <c r="L123" s="161" t="s">
        <v>54</v>
      </c>
      <c r="M123" s="157"/>
      <c r="N123"/>
    </row>
    <row r="124" spans="1:14" x14ac:dyDescent="0.2">
      <c r="A124" s="44">
        <v>45351</v>
      </c>
      <c r="B124" s="45"/>
      <c r="C124" s="53">
        <v>616.86</v>
      </c>
      <c r="D124" s="53">
        <v>0</v>
      </c>
      <c r="E124" s="45">
        <v>29</v>
      </c>
      <c r="F124" s="145">
        <v>0</v>
      </c>
      <c r="G124" s="110">
        <f>'Rate Class Customer Model'!P12</f>
        <v>25806.668689352726</v>
      </c>
      <c r="H124" s="45">
        <f>$N$18+$N$19*C124+$N$20*D124+$N$21*E124+$N$22*F124+$N$23*G124</f>
        <v>33346664.533823669</v>
      </c>
      <c r="I124" s="30"/>
      <c r="M124" s="157"/>
      <c r="N124"/>
    </row>
    <row r="125" spans="1:14" x14ac:dyDescent="0.2">
      <c r="A125" s="44">
        <v>45382</v>
      </c>
      <c r="B125" s="45"/>
      <c r="C125" s="53">
        <v>539.83000000000015</v>
      </c>
      <c r="D125" s="53">
        <v>0</v>
      </c>
      <c r="E125" s="45">
        <v>31</v>
      </c>
      <c r="F125" s="145">
        <v>1</v>
      </c>
      <c r="G125" s="110">
        <f>'Rate Class Customer Model'!P13</f>
        <v>25833.544961113908</v>
      </c>
      <c r="H125" s="45">
        <f>$N$18+$N$19*C125+$N$20*D125+$N$21*E125+$N$22*F125+$N$23*G125</f>
        <v>32693392.416938461</v>
      </c>
      <c r="I125" s="30"/>
      <c r="M125" s="157"/>
      <c r="N125"/>
    </row>
    <row r="126" spans="1:14" x14ac:dyDescent="0.2">
      <c r="A126" s="44">
        <v>45412</v>
      </c>
      <c r="B126" s="45"/>
      <c r="C126" s="53">
        <v>333.62</v>
      </c>
      <c r="D126" s="53">
        <v>0.05</v>
      </c>
      <c r="E126" s="45">
        <v>30</v>
      </c>
      <c r="F126" s="145">
        <v>1</v>
      </c>
      <c r="G126" s="110">
        <f>'Rate Class Customer Model'!P14</f>
        <v>25860.449223081519</v>
      </c>
      <c r="H126" s="45">
        <f>$N$18+$N$19*C126+$N$20*D126+$N$21*E126+$N$22*F126+$N$23*G126</f>
        <v>29300803.364802957</v>
      </c>
      <c r="I126" s="30"/>
      <c r="M126" s="157"/>
      <c r="N126"/>
    </row>
    <row r="127" spans="1:14" x14ac:dyDescent="0.2">
      <c r="A127" s="44">
        <v>45443</v>
      </c>
      <c r="B127" s="45"/>
      <c r="C127" s="53">
        <v>147.99</v>
      </c>
      <c r="D127" s="53">
        <v>17.32</v>
      </c>
      <c r="E127" s="45">
        <v>31</v>
      </c>
      <c r="F127" s="145">
        <v>1</v>
      </c>
      <c r="G127" s="110">
        <f>'Rate Class Customer Model'!P15</f>
        <v>25887.381504405865</v>
      </c>
      <c r="H127" s="45">
        <f>$N$18+$N$19*C127+$N$20*D127+$N$21*E127+$N$22*F127+$N$23*G127</f>
        <v>30202977.488838784</v>
      </c>
      <c r="I127" s="30"/>
      <c r="M127" s="157"/>
      <c r="N127"/>
    </row>
    <row r="128" spans="1:14" x14ac:dyDescent="0.2">
      <c r="A128" s="44">
        <v>45473</v>
      </c>
      <c r="B128" s="45"/>
      <c r="C128" s="53">
        <v>28.179999999999996</v>
      </c>
      <c r="D128" s="53">
        <v>52.879999999999995</v>
      </c>
      <c r="E128" s="45">
        <v>30</v>
      </c>
      <c r="F128" s="145">
        <v>0</v>
      </c>
      <c r="G128" s="110">
        <f>'Rate Class Customer Model'!P16</f>
        <v>25914.341834267616</v>
      </c>
      <c r="H128" s="45">
        <f>$N$18+$N$19*C128+$N$20*D128+$N$21*E128+$N$22*F128+$N$23*G128</f>
        <v>33317629.837203249</v>
      </c>
      <c r="I128" s="30"/>
      <c r="M128" s="157"/>
      <c r="N128"/>
    </row>
    <row r="129" spans="1:14" x14ac:dyDescent="0.2">
      <c r="A129" s="44">
        <v>45504</v>
      </c>
      <c r="B129" s="45"/>
      <c r="C129" s="53">
        <v>3.06</v>
      </c>
      <c r="D129" s="53">
        <v>105.36999999999998</v>
      </c>
      <c r="E129" s="45">
        <v>31</v>
      </c>
      <c r="F129" s="145">
        <v>0</v>
      </c>
      <c r="G129" s="110">
        <f>'Rate Class Customer Model'!P17</f>
        <v>25941.330241877829</v>
      </c>
      <c r="H129" s="45">
        <f>$N$18+$N$19*C129+$N$20*D129+$N$21*E129+$N$22*F129+$N$23*G129</f>
        <v>39100454.803019136</v>
      </c>
      <c r="I129" s="30"/>
      <c r="J129"/>
      <c r="K129"/>
      <c r="L129"/>
      <c r="M129" s="157"/>
      <c r="N129"/>
    </row>
    <row r="130" spans="1:14" x14ac:dyDescent="0.2">
      <c r="A130" s="44">
        <v>45535</v>
      </c>
      <c r="B130" s="45"/>
      <c r="C130" s="53">
        <v>6.6700000000000017</v>
      </c>
      <c r="D130" s="53">
        <v>88.690000000000012</v>
      </c>
      <c r="E130" s="45">
        <v>31</v>
      </c>
      <c r="F130" s="145">
        <v>0</v>
      </c>
      <c r="G130" s="110">
        <f>'Rate Class Customer Model'!P18</f>
        <v>25968.346756477986</v>
      </c>
      <c r="H130" s="45">
        <f>$N$18+$N$19*C130+$N$20*D130+$N$21*E130+$N$22*F130+$N$23*G130</f>
        <v>37631968.08125665</v>
      </c>
      <c r="I130" s="30"/>
      <c r="J130"/>
      <c r="K130"/>
      <c r="L130"/>
      <c r="M130" s="157"/>
      <c r="N130"/>
    </row>
    <row r="131" spans="1:14" x14ac:dyDescent="0.2">
      <c r="A131" s="44">
        <v>45565</v>
      </c>
      <c r="B131" s="45"/>
      <c r="C131" s="53">
        <v>53.92</v>
      </c>
      <c r="D131" s="53">
        <v>34.25</v>
      </c>
      <c r="E131" s="45">
        <v>30</v>
      </c>
      <c r="F131" s="145">
        <v>0</v>
      </c>
      <c r="G131" s="110">
        <f>'Rate Class Customer Model'!P19</f>
        <v>25995.391407340019</v>
      </c>
      <c r="H131" s="45">
        <f>$N$18+$N$19*C131+$N$20*D131+$N$21*E131+$N$22*F131+$N$23*G131</f>
        <v>31926262.87840195</v>
      </c>
      <c r="I131" s="30"/>
      <c r="J131"/>
      <c r="K131"/>
      <c r="L131"/>
      <c r="M131" s="157"/>
      <c r="N131"/>
    </row>
    <row r="132" spans="1:14" x14ac:dyDescent="0.2">
      <c r="A132" s="44">
        <v>45596</v>
      </c>
      <c r="B132" s="45"/>
      <c r="C132" s="53">
        <v>212.45</v>
      </c>
      <c r="D132" s="53">
        <v>5.3</v>
      </c>
      <c r="E132" s="45">
        <v>31</v>
      </c>
      <c r="F132" s="145">
        <v>1</v>
      </c>
      <c r="G132" s="110">
        <f>'Rate Class Customer Model'!P20</f>
        <v>26022.46422376635</v>
      </c>
      <c r="H132" s="45">
        <f>$N$18+$N$19*C132+$N$20*D132+$N$21*E132+$N$22*F132+$N$23*G132</f>
        <v>29840901.116253428</v>
      </c>
      <c r="I132" s="30"/>
      <c r="J132"/>
      <c r="K132"/>
      <c r="L132"/>
      <c r="M132" s="157"/>
      <c r="N132"/>
    </row>
    <row r="133" spans="1:14" x14ac:dyDescent="0.2">
      <c r="A133" s="44">
        <v>45626</v>
      </c>
      <c r="B133" s="45"/>
      <c r="C133" s="53">
        <v>408.5</v>
      </c>
      <c r="D133" s="53">
        <v>0.22999999999999998</v>
      </c>
      <c r="E133" s="45">
        <v>30</v>
      </c>
      <c r="F133" s="145">
        <v>1</v>
      </c>
      <c r="G133" s="110">
        <f>'Rate Class Customer Model'!P21</f>
        <v>26049.565235089914</v>
      </c>
      <c r="H133" s="45">
        <f>$N$18+$N$19*C133+$N$20*D133+$N$21*E133+$N$22*F133+$N$23*G133</f>
        <v>30181332.54837852</v>
      </c>
      <c r="I133" s="30"/>
      <c r="J133"/>
      <c r="K133"/>
      <c r="L133"/>
      <c r="M133" s="157"/>
      <c r="N133"/>
    </row>
    <row r="134" spans="1:14" x14ac:dyDescent="0.2">
      <c r="A134" s="44">
        <v>45657</v>
      </c>
      <c r="B134" s="45"/>
      <c r="C134" s="53">
        <v>533.85000000000014</v>
      </c>
      <c r="D134" s="53">
        <v>0</v>
      </c>
      <c r="E134" s="45">
        <v>31</v>
      </c>
      <c r="F134" s="145">
        <v>1</v>
      </c>
      <c r="G134" s="110">
        <f>'Rate Class Customer Model'!P22</f>
        <v>26076.694470674196</v>
      </c>
      <c r="H134" s="45">
        <f>$N$18+$N$19*C134+$N$20*D134+$N$21*E134+$N$22*F134+$N$23*G134</f>
        <v>32737087.542738967</v>
      </c>
      <c r="I134" s="30"/>
      <c r="J134"/>
      <c r="K134"/>
      <c r="L134"/>
      <c r="M134" s="157"/>
      <c r="N134"/>
    </row>
    <row r="135" spans="1:14" x14ac:dyDescent="0.2">
      <c r="A135" s="44">
        <v>45688</v>
      </c>
      <c r="B135" s="45"/>
      <c r="C135" s="53">
        <v>678.22</v>
      </c>
      <c r="D135" s="53">
        <v>0</v>
      </c>
      <c r="E135" s="45">
        <v>31</v>
      </c>
      <c r="F135" s="145">
        <v>0</v>
      </c>
      <c r="G135" s="110">
        <f>'Rate Class Customer Model'!Q11</f>
        <v>26136.693899439641</v>
      </c>
      <c r="H135" s="45">
        <f>$N$18+$N$19*C135+$N$20*D135+$N$21*E135+$N$22*F135+$N$23*G135</f>
        <v>36644014.413768366</v>
      </c>
      <c r="I135" s="30"/>
      <c r="J135"/>
      <c r="K135"/>
      <c r="L135"/>
      <c r="M135" s="157"/>
      <c r="N135"/>
    </row>
    <row r="136" spans="1:14" x14ac:dyDescent="0.2">
      <c r="A136" s="44">
        <v>45716</v>
      </c>
      <c r="B136" s="45"/>
      <c r="C136" s="53">
        <v>616.86</v>
      </c>
      <c r="D136" s="53">
        <v>0</v>
      </c>
      <c r="E136" s="45">
        <v>28</v>
      </c>
      <c r="F136" s="145">
        <v>0</v>
      </c>
      <c r="G136" s="110">
        <f>'Rate Class Customer Model'!Q12</f>
        <v>26196.831379883995</v>
      </c>
      <c r="H136" s="45">
        <f>$N$18+$N$19*C136+$N$20*D136+$N$21*E136+$N$22*F136+$N$23*G136</f>
        <v>32260524.700252078</v>
      </c>
      <c r="I136" s="30"/>
      <c r="J136"/>
      <c r="K136"/>
      <c r="L136"/>
      <c r="M136" s="157"/>
      <c r="N136"/>
    </row>
    <row r="137" spans="1:14" x14ac:dyDescent="0.2">
      <c r="A137" s="44">
        <v>45747</v>
      </c>
      <c r="B137" s="45"/>
      <c r="C137" s="53">
        <v>539.83000000000015</v>
      </c>
      <c r="D137" s="53">
        <v>0</v>
      </c>
      <c r="E137" s="45">
        <v>31</v>
      </c>
      <c r="F137" s="145">
        <v>1</v>
      </c>
      <c r="G137" s="110">
        <f>'Rate Class Customer Model'!Q13</f>
        <v>26257.107229648056</v>
      </c>
      <c r="H137" s="45">
        <f>$N$18+$N$19*C137+$N$20*D137+$N$21*E137+$N$22*F137+$N$23*G137</f>
        <v>32878244.125974614</v>
      </c>
      <c r="I137" s="30"/>
      <c r="J137"/>
      <c r="K137"/>
      <c r="L137"/>
      <c r="M137" s="157"/>
      <c r="N137"/>
    </row>
    <row r="138" spans="1:14" x14ac:dyDescent="0.2">
      <c r="A138" s="44">
        <v>45777</v>
      </c>
      <c r="B138" s="45"/>
      <c r="C138" s="53">
        <v>333.62</v>
      </c>
      <c r="D138" s="53">
        <v>0.05</v>
      </c>
      <c r="E138" s="45">
        <v>30</v>
      </c>
      <c r="F138" s="145">
        <v>1</v>
      </c>
      <c r="G138" s="110">
        <f>'Rate Class Customer Model'!Q14</f>
        <v>26317.521767103466</v>
      </c>
      <c r="H138" s="45">
        <f>$N$18+$N$19*C138+$N$20*D138+$N$21*E138+$N$22*F138+$N$23*G138</f>
        <v>29500279.680784456</v>
      </c>
      <c r="I138" s="30"/>
      <c r="J138"/>
      <c r="K138"/>
      <c r="L138"/>
      <c r="M138" s="157"/>
      <c r="N138"/>
    </row>
    <row r="139" spans="1:14" x14ac:dyDescent="0.2">
      <c r="A139" s="44">
        <v>45808</v>
      </c>
      <c r="B139" s="45"/>
      <c r="C139" s="53">
        <v>147.99</v>
      </c>
      <c r="D139" s="53">
        <v>17.32</v>
      </c>
      <c r="E139" s="45">
        <v>31</v>
      </c>
      <c r="F139" s="145">
        <v>1</v>
      </c>
      <c r="G139" s="110">
        <f>'Rate Class Customer Model'!Q15</f>
        <v>26378.075311354409</v>
      </c>
      <c r="H139" s="45">
        <f>$N$18+$N$19*C139+$N$20*D139+$N$21*E139+$N$22*F139+$N$23*G139</f>
        <v>30417126.849077608</v>
      </c>
      <c r="I139" s="30"/>
      <c r="J139"/>
      <c r="K139"/>
      <c r="L139"/>
      <c r="M139" s="157"/>
      <c r="N139"/>
    </row>
    <row r="140" spans="1:14" x14ac:dyDescent="0.2">
      <c r="A140" s="44">
        <v>45838</v>
      </c>
      <c r="B140" s="45"/>
      <c r="C140" s="53">
        <v>28.179999999999996</v>
      </c>
      <c r="D140" s="53">
        <v>52.879999999999995</v>
      </c>
      <c r="E140" s="45">
        <v>30</v>
      </c>
      <c r="F140" s="145">
        <v>0</v>
      </c>
      <c r="G140" s="110">
        <f>'Rate Class Customer Model'!Q16</f>
        <v>26438.768182239288</v>
      </c>
      <c r="H140" s="45">
        <f>$N$18+$N$19*C140+$N$20*D140+$N$21*E140+$N$22*F140+$N$23*G140</f>
        <v>33546500.805860683</v>
      </c>
      <c r="I140" s="30"/>
      <c r="J140"/>
      <c r="K140"/>
      <c r="L140"/>
      <c r="M140" s="157"/>
      <c r="N140"/>
    </row>
    <row r="141" spans="1:14" x14ac:dyDescent="0.2">
      <c r="A141" s="44">
        <v>45869</v>
      </c>
      <c r="B141" s="45"/>
      <c r="C141" s="53">
        <v>3.06</v>
      </c>
      <c r="D141" s="53">
        <v>105.36999999999998</v>
      </c>
      <c r="E141" s="45">
        <v>31</v>
      </c>
      <c r="F141" s="145">
        <v>0</v>
      </c>
      <c r="G141" s="110">
        <f>'Rate Class Customer Model'!Q17</f>
        <v>26499.600700332419</v>
      </c>
      <c r="H141" s="45">
        <f>$N$18+$N$19*C141+$N$20*D141+$N$21*E141+$N$22*F141+$N$23*G141</f>
        <v>39344096.071413673</v>
      </c>
      <c r="I141" s="30"/>
      <c r="J141"/>
      <c r="K141"/>
      <c r="L141"/>
      <c r="M141" s="157"/>
      <c r="N141"/>
    </row>
    <row r="142" spans="1:14" x14ac:dyDescent="0.2">
      <c r="A142" s="44">
        <v>45900</v>
      </c>
      <c r="B142" s="45"/>
      <c r="C142" s="53">
        <v>6.6700000000000017</v>
      </c>
      <c r="D142" s="53">
        <v>88.690000000000012</v>
      </c>
      <c r="E142" s="45">
        <v>31</v>
      </c>
      <c r="F142" s="145">
        <v>0</v>
      </c>
      <c r="G142" s="110">
        <f>'Rate Class Customer Model'!Q18</f>
        <v>26560.573186945719</v>
      </c>
      <c r="H142" s="45">
        <f>$N$18+$N$19*C142+$N$20*D142+$N$21*E142+$N$22*F142+$N$23*G142</f>
        <v>37890428.468172617</v>
      </c>
      <c r="I142" s="30"/>
      <c r="J142"/>
      <c r="K142"/>
      <c r="L142"/>
      <c r="M142" s="157"/>
      <c r="N142"/>
    </row>
    <row r="143" spans="1:14" x14ac:dyDescent="0.2">
      <c r="A143" s="44">
        <v>45930</v>
      </c>
      <c r="B143" s="45"/>
      <c r="C143" s="53">
        <v>53.92</v>
      </c>
      <c r="D143" s="53">
        <v>34.25</v>
      </c>
      <c r="E143" s="45">
        <v>30</v>
      </c>
      <c r="F143" s="145">
        <v>0</v>
      </c>
      <c r="G143" s="110">
        <f>'Rate Class Customer Model'!Q19</f>
        <v>26621.685964130407</v>
      </c>
      <c r="H143" s="45">
        <f>$N$18+$N$19*C143+$N$20*D143+$N$21*E143+$N$22*F143+$N$23*G143</f>
        <v>32199591.330398865</v>
      </c>
      <c r="I143" s="30"/>
      <c r="J143"/>
      <c r="K143"/>
      <c r="L143"/>
      <c r="M143" s="157"/>
      <c r="N143"/>
    </row>
    <row r="144" spans="1:14" x14ac:dyDescent="0.2">
      <c r="A144" s="44">
        <v>45961</v>
      </c>
      <c r="B144" s="45"/>
      <c r="C144" s="53">
        <v>212.45</v>
      </c>
      <c r="D144" s="53">
        <v>5.3</v>
      </c>
      <c r="E144" s="45">
        <v>31</v>
      </c>
      <c r="F144" s="145">
        <v>1</v>
      </c>
      <c r="G144" s="110">
        <f>'Rate Class Customer Model'!Q20</f>
        <v>26682.939354678703</v>
      </c>
      <c r="H144" s="45">
        <f>$N$18+$N$19*C144+$N$20*D144+$N$21*E144+$N$22*F144+$N$23*G144</f>
        <v>30129146.707976103</v>
      </c>
      <c r="I144" s="30"/>
      <c r="J144"/>
      <c r="K144"/>
      <c r="L144"/>
      <c r="M144" s="157"/>
      <c r="N144"/>
    </row>
    <row r="145" spans="1:14" x14ac:dyDescent="0.2">
      <c r="A145" s="44">
        <v>45991</v>
      </c>
      <c r="B145" s="45"/>
      <c r="C145" s="53">
        <v>408.5</v>
      </c>
      <c r="D145" s="53">
        <v>0.22999999999999998</v>
      </c>
      <c r="E145" s="45">
        <v>30</v>
      </c>
      <c r="F145" s="145">
        <v>1</v>
      </c>
      <c r="G145" s="110">
        <f>'Rate Class Customer Model'!Q21</f>
        <v>26744.33368212554</v>
      </c>
      <c r="H145" s="45">
        <f>$N$18+$N$19*C145+$N$20*D145+$N$21*E145+$N$22*F145+$N$23*G145</f>
        <v>30484544.482867848</v>
      </c>
      <c r="I145" s="30"/>
      <c r="M145" s="157"/>
      <c r="N145"/>
    </row>
    <row r="146" spans="1:14" x14ac:dyDescent="0.2">
      <c r="A146" s="44">
        <v>46022</v>
      </c>
      <c r="B146" s="45"/>
      <c r="C146" s="53">
        <v>533.85000000000014</v>
      </c>
      <c r="D146" s="53">
        <v>0</v>
      </c>
      <c r="E146" s="45">
        <v>31</v>
      </c>
      <c r="F146" s="145">
        <v>1</v>
      </c>
      <c r="G146" s="110">
        <f>'Rate Class Customer Model'!Q22</f>
        <v>26805.86927075026</v>
      </c>
      <c r="H146" s="45">
        <f>$N$18+$N$19*C146+$N$20*D146+$N$21*E146+$N$22*F146+$N$23*G146</f>
        <v>33055315.151743487</v>
      </c>
      <c r="I146" s="30"/>
      <c r="M146" s="157"/>
      <c r="N146"/>
    </row>
    <row r="147" spans="1:14" x14ac:dyDescent="0.2">
      <c r="A147" s="31"/>
      <c r="E147" s="9"/>
      <c r="F147" s="55"/>
      <c r="N147"/>
    </row>
    <row r="148" spans="1:14" x14ac:dyDescent="0.2">
      <c r="A148" s="31"/>
      <c r="E148" s="9"/>
      <c r="F148" s="55"/>
      <c r="N148"/>
    </row>
    <row r="149" spans="1:14" x14ac:dyDescent="0.2">
      <c r="A149" s="31"/>
      <c r="C149" s="112" t="s">
        <v>91</v>
      </c>
      <c r="D149" s="109"/>
      <c r="E149" s="9"/>
      <c r="F149" s="55"/>
      <c r="N149"/>
    </row>
    <row r="150" spans="1:14" x14ac:dyDescent="0.2">
      <c r="A150" s="31"/>
      <c r="C150" s="113" t="s">
        <v>92</v>
      </c>
      <c r="D150" s="111"/>
      <c r="E150" s="9"/>
      <c r="F150" s="55"/>
      <c r="H150" s="30">
        <f>SUM(H2:H146)</f>
        <v>4630054641.3934641</v>
      </c>
      <c r="N150"/>
    </row>
    <row r="151" spans="1:14" x14ac:dyDescent="0.2">
      <c r="A151" s="31"/>
      <c r="E151" s="9"/>
      <c r="F151" s="55"/>
      <c r="I151" s="49" t="s">
        <v>131</v>
      </c>
      <c r="J151" s="162" t="s">
        <v>129</v>
      </c>
      <c r="N151"/>
    </row>
    <row r="152" spans="1:14" x14ac:dyDescent="0.2">
      <c r="A152" s="25">
        <v>2014</v>
      </c>
      <c r="B152" s="6">
        <f>SUM(B3:B14)</f>
        <v>391741970.1024</v>
      </c>
      <c r="H152" s="6">
        <f>SUM(H3:H14)</f>
        <v>376937225.04683548</v>
      </c>
      <c r="I152" s="34">
        <f>'Power Purchased Model'!H152</f>
        <v>373605408.52804506</v>
      </c>
      <c r="J152" s="163">
        <f>H152/I152</f>
        <v>1.0089180093294616</v>
      </c>
      <c r="K152" s="5"/>
      <c r="L152" s="181"/>
      <c r="M152" s="181"/>
      <c r="N152" s="184"/>
    </row>
    <row r="153" spans="1:14" x14ac:dyDescent="0.2">
      <c r="A153" s="25">
        <v>2015</v>
      </c>
      <c r="B153" s="6">
        <f>SUM(B15:B26)</f>
        <v>372659576.71719992</v>
      </c>
      <c r="H153" s="6">
        <f>SUM(H15:H26)</f>
        <v>377890806.17114526</v>
      </c>
      <c r="I153" s="34">
        <f>'Power Purchased Model'!H153</f>
        <v>375680252.58074784</v>
      </c>
      <c r="J153" s="163">
        <f t="shared" ref="J153:J163" si="2">H153/I153</f>
        <v>1.0058841357117174</v>
      </c>
      <c r="K153" s="5"/>
      <c r="L153" s="181"/>
      <c r="M153" s="181"/>
      <c r="N153" s="184"/>
    </row>
    <row r="154" spans="1:14" x14ac:dyDescent="0.2">
      <c r="A154" s="25">
        <v>2016</v>
      </c>
      <c r="B154" s="6">
        <f>SUM(B27:B38)</f>
        <v>380022205.18436003</v>
      </c>
      <c r="H154" s="6">
        <f>SUM(H27:H38)</f>
        <v>380135279.84569526</v>
      </c>
      <c r="I154" s="34">
        <f>'Power Purchased Model'!H154</f>
        <v>389367971.22513556</v>
      </c>
      <c r="J154" s="163">
        <f t="shared" si="2"/>
        <v>0.97628800501903146</v>
      </c>
      <c r="K154" s="5"/>
      <c r="L154" s="181"/>
      <c r="M154" s="181"/>
      <c r="N154" s="184"/>
    </row>
    <row r="155" spans="1:14" x14ac:dyDescent="0.2">
      <c r="A155" s="25">
        <v>2017</v>
      </c>
      <c r="B155" s="6">
        <f>SUM(B39:B50)</f>
        <v>368596644.64483672</v>
      </c>
      <c r="H155" s="6">
        <f>SUM(H39:H50)</f>
        <v>379848156.89999163</v>
      </c>
      <c r="I155" s="34">
        <f>'Power Purchased Model'!H155</f>
        <v>374426765.05070925</v>
      </c>
      <c r="J155" s="163">
        <f t="shared" si="2"/>
        <v>1.0144791781873503</v>
      </c>
      <c r="K155" s="5"/>
      <c r="L155" s="181"/>
      <c r="M155" s="181"/>
      <c r="N155" s="184"/>
    </row>
    <row r="156" spans="1:14" x14ac:dyDescent="0.2">
      <c r="A156" s="25">
        <v>2018</v>
      </c>
      <c r="B156" s="6">
        <f>SUM(B51:B62)</f>
        <v>393889926.42846549</v>
      </c>
      <c r="H156" s="6">
        <f>SUM(H51:H62)</f>
        <v>381248633.70910376</v>
      </c>
      <c r="I156" s="34">
        <f>'Power Purchased Model'!H156</f>
        <v>390694843.61246467</v>
      </c>
      <c r="J156" s="163">
        <f t="shared" si="2"/>
        <v>0.97582202566069509</v>
      </c>
      <c r="K156" s="5"/>
      <c r="L156" s="181"/>
      <c r="M156" s="181"/>
      <c r="N156" s="184"/>
    </row>
    <row r="157" spans="1:14" x14ac:dyDescent="0.2">
      <c r="A157" s="25">
        <v>2019</v>
      </c>
      <c r="B157" s="6">
        <f>SUM(B63:B74)</f>
        <v>384791777.21642524</v>
      </c>
      <c r="H157" s="6">
        <f>SUM(H63:H74)</f>
        <v>383023560.22286487</v>
      </c>
      <c r="I157" s="34">
        <f>'Power Purchased Model'!H157</f>
        <v>381803843.10498363</v>
      </c>
      <c r="J157" s="163">
        <f t="shared" si="2"/>
        <v>1.0031946171834258</v>
      </c>
      <c r="K157" s="5"/>
      <c r="L157" s="181"/>
      <c r="M157" s="181"/>
      <c r="N157" s="184"/>
    </row>
    <row r="158" spans="1:14" x14ac:dyDescent="0.2">
      <c r="A158" s="25">
        <v>2020</v>
      </c>
      <c r="B158" s="6">
        <f>SUM(B75:B86)</f>
        <v>380093690.36809278</v>
      </c>
      <c r="H158" s="6">
        <f>SUM(H75:H86)</f>
        <v>386018242.57141411</v>
      </c>
      <c r="I158" s="34">
        <f>'Power Purchased Model'!H158</f>
        <v>387589449.03610957</v>
      </c>
      <c r="J158" s="163">
        <f t="shared" si="2"/>
        <v>0.99594620940120304</v>
      </c>
      <c r="K158" s="5"/>
      <c r="L158" s="181"/>
      <c r="M158" s="181"/>
      <c r="N158" s="184"/>
    </row>
    <row r="159" spans="1:14" x14ac:dyDescent="0.2">
      <c r="A159" s="25">
        <v>2021</v>
      </c>
      <c r="B159" s="6">
        <f>SUM(B87:B98)</f>
        <v>383895272.72321349</v>
      </c>
      <c r="H159" s="6">
        <f>SUM(H87:H98)</f>
        <v>387362027.02229881</v>
      </c>
      <c r="I159" s="34">
        <f>'Power Purchased Model'!H159</f>
        <v>388275738.39954656</v>
      </c>
      <c r="J159" s="163">
        <f t="shared" si="2"/>
        <v>0.9976467461474311</v>
      </c>
      <c r="K159" s="5"/>
      <c r="L159" s="181"/>
      <c r="M159" s="181"/>
      <c r="N159" s="184"/>
    </row>
    <row r="160" spans="1:14" x14ac:dyDescent="0.2">
      <c r="A160" s="25">
        <v>2022</v>
      </c>
      <c r="B160" s="6">
        <f>SUM(B99:B110)</f>
        <v>392612235.87385601</v>
      </c>
      <c r="H160" s="6">
        <f>SUM(H99:H110)</f>
        <v>389739215.29878175</v>
      </c>
      <c r="I160" s="34">
        <f>'Power Purchased Model'!H160</f>
        <v>390620163.52743006</v>
      </c>
      <c r="J160" s="163">
        <f t="shared" si="2"/>
        <v>0.99774474461150942</v>
      </c>
      <c r="K160" s="5"/>
      <c r="L160" s="181"/>
      <c r="M160" s="181"/>
      <c r="N160" s="184"/>
    </row>
    <row r="161" spans="1:16" x14ac:dyDescent="0.2">
      <c r="A161" s="25">
        <v>2023</v>
      </c>
      <c r="B161" s="6">
        <f>SUM(B111:B122)</f>
        <v>386633787.62211913</v>
      </c>
      <c r="H161" s="6">
        <f>SUM(H111:H122)</f>
        <v>392733940.09283841</v>
      </c>
      <c r="I161" s="34">
        <f>'Power Purchased Model'!H161</f>
        <v>382872651.81579709</v>
      </c>
      <c r="J161" s="163">
        <f t="shared" si="2"/>
        <v>1.0257560529076013</v>
      </c>
      <c r="K161" s="5"/>
      <c r="L161" s="181"/>
      <c r="M161" s="181"/>
      <c r="N161" s="184"/>
    </row>
    <row r="162" spans="1:16" x14ac:dyDescent="0.2">
      <c r="A162" s="25">
        <v>2024</v>
      </c>
      <c r="B162" s="6">
        <f>SUM(H123:H134)</f>
        <v>396767741.72420484</v>
      </c>
      <c r="H162" s="14">
        <f>SUM(H123:H134)</f>
        <v>396767741.72420484</v>
      </c>
      <c r="I162" s="34">
        <f>'Power Purchased Model'!H162</f>
        <v>396767741.72420484</v>
      </c>
      <c r="J162" s="163">
        <f t="shared" si="2"/>
        <v>1</v>
      </c>
      <c r="K162" s="5"/>
      <c r="L162" s="181"/>
      <c r="M162" s="181"/>
      <c r="N162" s="184"/>
    </row>
    <row r="163" spans="1:16" x14ac:dyDescent="0.2">
      <c r="A163" s="25">
        <v>2025</v>
      </c>
      <c r="B163" s="6">
        <f>SUM(H135:H146)</f>
        <v>398349812.78829038</v>
      </c>
      <c r="H163" s="14">
        <f>SUM(H135:H146)</f>
        <v>398349812.78829038</v>
      </c>
      <c r="I163" s="34">
        <f>'Power Purchased Model'!H163</f>
        <v>398349812.78829038</v>
      </c>
      <c r="J163" s="163">
        <f t="shared" si="2"/>
        <v>1</v>
      </c>
      <c r="K163" s="5"/>
      <c r="L163" s="181"/>
      <c r="M163" s="181"/>
      <c r="N163" s="184"/>
      <c r="O163" s="6"/>
      <c r="P163" s="34"/>
    </row>
    <row r="164" spans="1:16" x14ac:dyDescent="0.2">
      <c r="H164" s="6"/>
      <c r="N164"/>
      <c r="O164" s="6"/>
      <c r="P164" s="34"/>
    </row>
    <row r="165" spans="1:16" x14ac:dyDescent="0.2">
      <c r="A165" s="40" t="s">
        <v>7</v>
      </c>
      <c r="B165" s="6">
        <f>SUM(B152:B161)</f>
        <v>3834937086.880969</v>
      </c>
      <c r="H165" s="6">
        <f>SUM(H152:H161)</f>
        <v>3834937086.880969</v>
      </c>
      <c r="I165" s="30">
        <f>H165-B165</f>
        <v>0</v>
      </c>
      <c r="J165" s="1" t="s">
        <v>62</v>
      </c>
      <c r="N165" s="5"/>
      <c r="O165" s="6"/>
      <c r="P165" s="34"/>
    </row>
    <row r="166" spans="1:16" x14ac:dyDescent="0.2">
      <c r="N166" s="5"/>
      <c r="O166" s="6"/>
      <c r="P166" s="34"/>
    </row>
    <row r="167" spans="1:16" x14ac:dyDescent="0.2">
      <c r="H167" s="6">
        <f>SUM(H152:H163)</f>
        <v>4630054641.3934641</v>
      </c>
      <c r="I167" s="30">
        <f>H150-H167</f>
        <v>0</v>
      </c>
      <c r="N167" s="5"/>
      <c r="O167" s="6"/>
      <c r="P167" s="34"/>
    </row>
    <row r="168" spans="1:16" x14ac:dyDescent="0.2">
      <c r="H168" s="199"/>
      <c r="I168" s="199"/>
      <c r="J168"/>
      <c r="K168"/>
      <c r="L168"/>
      <c r="M168"/>
      <c r="N168" s="5"/>
      <c r="O168" s="6"/>
      <c r="P168" s="34"/>
    </row>
    <row r="169" spans="1:16" x14ac:dyDescent="0.2">
      <c r="N169" s="6"/>
      <c r="O169" s="6"/>
      <c r="P169" s="34"/>
    </row>
    <row r="170" spans="1:16" x14ac:dyDescent="0.2">
      <c r="N170" s="6"/>
      <c r="O170" s="6"/>
      <c r="P170" s="34"/>
    </row>
    <row r="171" spans="1:16" x14ac:dyDescent="0.2">
      <c r="A171"/>
      <c r="B171"/>
      <c r="C171"/>
      <c r="D171"/>
      <c r="E171"/>
      <c r="G171"/>
      <c r="H171"/>
      <c r="I171"/>
    </row>
    <row r="172" spans="1:16" x14ac:dyDescent="0.2">
      <c r="A172"/>
      <c r="B172"/>
      <c r="C172"/>
      <c r="D172"/>
      <c r="E172"/>
      <c r="G172"/>
      <c r="H172"/>
      <c r="I172"/>
    </row>
    <row r="173" spans="1:16" x14ac:dyDescent="0.2">
      <c r="A173"/>
      <c r="B173"/>
      <c r="C173"/>
      <c r="D173"/>
      <c r="E173"/>
      <c r="G173"/>
      <c r="H173"/>
      <c r="I173"/>
    </row>
    <row r="174" spans="1:16" x14ac:dyDescent="0.2">
      <c r="A174"/>
      <c r="B174"/>
      <c r="C174"/>
      <c r="D174"/>
      <c r="E174"/>
      <c r="G174"/>
      <c r="H174"/>
      <c r="I174"/>
    </row>
    <row r="175" spans="1:16" x14ac:dyDescent="0.2">
      <c r="A175"/>
      <c r="B175"/>
      <c r="C175"/>
      <c r="D175"/>
      <c r="E175"/>
      <c r="G175"/>
      <c r="H175"/>
      <c r="I175"/>
    </row>
    <row r="176" spans="1:16" x14ac:dyDescent="0.2">
      <c r="A176"/>
      <c r="B176"/>
      <c r="C176"/>
      <c r="D176"/>
      <c r="E176"/>
      <c r="G176"/>
      <c r="H176"/>
      <c r="I176"/>
    </row>
    <row r="177" spans="1:14" x14ac:dyDescent="0.2">
      <c r="A177"/>
      <c r="B177"/>
      <c r="C177"/>
      <c r="D177"/>
      <c r="E177"/>
      <c r="G177"/>
      <c r="H177"/>
      <c r="I177"/>
    </row>
    <row r="178" spans="1:14" x14ac:dyDescent="0.2">
      <c r="A178"/>
      <c r="B178"/>
      <c r="C178"/>
      <c r="D178"/>
      <c r="E178"/>
      <c r="G178"/>
      <c r="H178"/>
      <c r="I178"/>
    </row>
    <row r="179" spans="1:14" x14ac:dyDescent="0.2">
      <c r="A179"/>
      <c r="B179"/>
      <c r="C179"/>
      <c r="D179"/>
      <c r="E179"/>
      <c r="G179"/>
      <c r="H179"/>
      <c r="I179"/>
      <c r="J179"/>
      <c r="K179"/>
      <c r="L179"/>
      <c r="M179"/>
      <c r="N179"/>
    </row>
    <row r="180" spans="1:14" x14ac:dyDescent="0.2">
      <c r="A180"/>
      <c r="B180"/>
      <c r="C180"/>
      <c r="D180"/>
      <c r="E180"/>
      <c r="G180"/>
      <c r="H180"/>
      <c r="I180"/>
      <c r="J180"/>
      <c r="K180"/>
      <c r="L180"/>
      <c r="M180"/>
      <c r="N180"/>
    </row>
    <row r="181" spans="1:14" x14ac:dyDescent="0.2">
      <c r="A181"/>
      <c r="B181"/>
      <c r="C181"/>
      <c r="D181"/>
      <c r="E181"/>
      <c r="G181"/>
      <c r="H181"/>
      <c r="I181"/>
      <c r="J181"/>
      <c r="K181"/>
      <c r="L181"/>
      <c r="M181"/>
      <c r="N181"/>
    </row>
    <row r="182" spans="1:14" x14ac:dyDescent="0.2">
      <c r="A182"/>
      <c r="B182"/>
      <c r="C182"/>
      <c r="D182"/>
      <c r="E182"/>
      <c r="G182"/>
      <c r="H182"/>
      <c r="I182"/>
      <c r="J182"/>
      <c r="K182"/>
      <c r="L182"/>
      <c r="M182"/>
      <c r="N182"/>
    </row>
    <row r="183" spans="1:14" x14ac:dyDescent="0.2">
      <c r="A183"/>
      <c r="B183"/>
      <c r="C183"/>
      <c r="D183"/>
      <c r="E183"/>
      <c r="G183"/>
      <c r="H183"/>
      <c r="I183"/>
      <c r="J183"/>
      <c r="K183"/>
      <c r="L183"/>
      <c r="M183"/>
      <c r="N183"/>
    </row>
    <row r="184" spans="1:14" x14ac:dyDescent="0.2">
      <c r="A184"/>
      <c r="J184"/>
      <c r="K184"/>
      <c r="L184"/>
      <c r="M184"/>
      <c r="N184"/>
    </row>
    <row r="185" spans="1:14" x14ac:dyDescent="0.2">
      <c r="A185"/>
      <c r="J185"/>
      <c r="K185"/>
      <c r="L185"/>
      <c r="M185"/>
      <c r="N185"/>
    </row>
    <row r="186" spans="1:14" x14ac:dyDescent="0.2">
      <c r="A186"/>
      <c r="J186"/>
      <c r="K186"/>
      <c r="L186"/>
      <c r="M186"/>
      <c r="N186"/>
    </row>
    <row r="187" spans="1:14" x14ac:dyDescent="0.2">
      <c r="A187"/>
      <c r="J187"/>
      <c r="K187"/>
      <c r="L187"/>
      <c r="M187"/>
      <c r="N187"/>
    </row>
    <row r="188" spans="1:14" x14ac:dyDescent="0.2">
      <c r="A188"/>
      <c r="J188"/>
      <c r="K188"/>
      <c r="L188"/>
      <c r="M188"/>
      <c r="N188"/>
    </row>
    <row r="189" spans="1:14" x14ac:dyDescent="0.2">
      <c r="A189"/>
      <c r="J189"/>
      <c r="K189"/>
      <c r="L189"/>
      <c r="M189"/>
      <c r="N189"/>
    </row>
    <row r="190" spans="1:14" x14ac:dyDescent="0.2">
      <c r="A190"/>
      <c r="J190"/>
      <c r="K190"/>
      <c r="L190"/>
      <c r="M190"/>
      <c r="N190"/>
    </row>
    <row r="191" spans="1:14" x14ac:dyDescent="0.2">
      <c r="A191"/>
      <c r="J191"/>
      <c r="K191"/>
      <c r="L191"/>
      <c r="M191"/>
      <c r="N191"/>
    </row>
    <row r="192" spans="1:14" x14ac:dyDescent="0.2">
      <c r="A192"/>
      <c r="J192"/>
      <c r="K192"/>
      <c r="L192"/>
      <c r="M192"/>
      <c r="N192"/>
    </row>
    <row r="193" spans="1:14" x14ac:dyDescent="0.2">
      <c r="A193"/>
      <c r="J193"/>
      <c r="K193"/>
      <c r="L193"/>
      <c r="M193"/>
      <c r="N193"/>
    </row>
    <row r="194" spans="1:14" x14ac:dyDescent="0.2">
      <c r="A194"/>
      <c r="J194"/>
      <c r="K194"/>
      <c r="L194"/>
      <c r="M194"/>
      <c r="N194"/>
    </row>
    <row r="195" spans="1:14" x14ac:dyDescent="0.2">
      <c r="A195"/>
      <c r="B195"/>
      <c r="C195"/>
      <c r="D195"/>
      <c r="E195"/>
      <c r="G195"/>
      <c r="H195"/>
      <c r="I195"/>
      <c r="J195"/>
      <c r="K195"/>
      <c r="L195"/>
      <c r="M195"/>
      <c r="N195"/>
    </row>
    <row r="196" spans="1:14" x14ac:dyDescent="0.2">
      <c r="A196"/>
      <c r="B196"/>
      <c r="C196"/>
      <c r="D196"/>
      <c r="E196"/>
      <c r="G196"/>
      <c r="H196"/>
      <c r="I196"/>
      <c r="J196"/>
      <c r="K196"/>
      <c r="L196"/>
      <c r="M196"/>
      <c r="N196"/>
    </row>
  </sheetData>
  <mergeCells count="1">
    <mergeCell ref="H168:I168"/>
  </mergeCells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V63"/>
  <sheetViews>
    <sheetView workbookViewId="0">
      <selection activeCell="N41" sqref="A1:N41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6" customWidth="1"/>
    <col min="8" max="8" width="15" style="6" customWidth="1"/>
    <col min="9" max="9" width="14.140625" style="6" bestFit="1" customWidth="1"/>
    <col min="10" max="10" width="15.42578125" style="6" customWidth="1"/>
    <col min="11" max="11" width="11.42578125" style="6" customWidth="1"/>
    <col min="12" max="12" width="12.42578125" style="6" customWidth="1"/>
    <col min="13" max="13" width="16.85546875" style="6" bestFit="1" customWidth="1"/>
    <col min="14" max="14" width="16.85546875" style="6" customWidth="1"/>
    <col min="15" max="16" width="16.85546875" customWidth="1"/>
    <col min="17" max="17" width="14.42578125" customWidth="1"/>
    <col min="18" max="18" width="12.5703125" bestFit="1" customWidth="1"/>
    <col min="19" max="19" width="11.5703125" bestFit="1" customWidth="1"/>
    <col min="20" max="20" width="14" customWidth="1"/>
    <col min="21" max="21" width="10.140625" bestFit="1" customWidth="1"/>
    <col min="22" max="22" width="12.5703125" style="6" bestFit="1" customWidth="1"/>
  </cols>
  <sheetData>
    <row r="2" spans="1:22" s="153" customFormat="1" ht="25.5" x14ac:dyDescent="0.2">
      <c r="B2" s="154" t="s">
        <v>4</v>
      </c>
      <c r="C2" s="154" t="s">
        <v>5</v>
      </c>
      <c r="D2" s="154" t="s">
        <v>31</v>
      </c>
      <c r="E2" s="154" t="s">
        <v>6</v>
      </c>
      <c r="F2" s="154" t="s">
        <v>0</v>
      </c>
      <c r="G2" s="8" t="s">
        <v>1</v>
      </c>
      <c r="H2" s="155" t="str">
        <f>Inputs!B4</f>
        <v>Residential</v>
      </c>
      <c r="I2" s="155" t="str">
        <f>Inputs!C4</f>
        <v>General Service &lt; 50 kW</v>
      </c>
      <c r="J2" s="155" t="str">
        <f>Inputs!D4</f>
        <v>General Service &gt; 50 to 4999 kW</v>
      </c>
      <c r="K2" s="155" t="str">
        <f>Inputs!E4</f>
        <v xml:space="preserve">Sentinel </v>
      </c>
      <c r="L2" s="155" t="str">
        <f>Inputs!F4</f>
        <v xml:space="preserve">Street Lighting </v>
      </c>
      <c r="M2" s="155" t="str">
        <f>Inputs!G4</f>
        <v>USL</v>
      </c>
      <c r="N2" s="155" t="str">
        <f>Inputs!H4</f>
        <v>Large User</v>
      </c>
      <c r="V2" s="20"/>
    </row>
    <row r="3" spans="1:22" x14ac:dyDescent="0.2">
      <c r="A3">
        <v>2014</v>
      </c>
      <c r="B3" s="56">
        <f>+'Power Purchased Model'!B152</f>
        <v>391741970.1024</v>
      </c>
      <c r="C3" s="56">
        <f>+'Power Purchased Model'!H152</f>
        <v>373605408.52804506</v>
      </c>
      <c r="D3" s="22">
        <f>C3-B3</f>
        <v>-18136561.574354947</v>
      </c>
      <c r="E3" s="5">
        <f>D3/B3</f>
        <v>-4.6297213366272988E-2</v>
      </c>
      <c r="F3" s="16">
        <f>1 +(B3-G3)/G3</f>
        <v>1.0285028897805961</v>
      </c>
      <c r="G3" s="6">
        <f>SUM(H3:N3)</f>
        <v>380885629</v>
      </c>
      <c r="H3" s="36">
        <f>SUMIF(Inputs!A$24:A$143,'Rate Class Energy Model'!A3,Inputs!F$24:F$143)</f>
        <v>158185053</v>
      </c>
      <c r="I3" s="36">
        <f>SUMIF(Inputs!A$24:A$143,'Rate Class Energy Model'!A3,Inputs!H$24:H$143)</f>
        <v>53903009</v>
      </c>
      <c r="J3" s="36">
        <f>SUMIF(Inputs!A$24:A$143,'Rate Class Energy Model'!A3,Inputs!J$24:J$143)</f>
        <v>144192534</v>
      </c>
      <c r="K3" s="36">
        <f>SUMIF(Inputs!A$24:A$143,'Rate Class Energy Model'!A3,Inputs!M$24:M$143)</f>
        <v>767199</v>
      </c>
      <c r="L3" s="36">
        <f>SUMIF(Inputs!A$24:A$143,'Rate Class Energy Model'!A3,Inputs!P$24:P$143)</f>
        <v>2503378</v>
      </c>
      <c r="M3" s="36">
        <f>SUMIF(Inputs!A$24:A$143,'Rate Class Energy Model'!A3,Inputs!S$24:S$143)</f>
        <v>966945</v>
      </c>
      <c r="N3" s="36">
        <f>SUMIF(Inputs!A$24:A$143,'Rate Class Energy Model'!A3,Inputs!V$24:V$143)</f>
        <v>20367511</v>
      </c>
    </row>
    <row r="4" spans="1:22" x14ac:dyDescent="0.2">
      <c r="A4">
        <v>2015</v>
      </c>
      <c r="B4" s="56">
        <f>+'Power Purchased Model'!B153</f>
        <v>372659576.71719992</v>
      </c>
      <c r="C4" s="56">
        <f>+'Power Purchased Model'!H153</f>
        <v>375680252.58074784</v>
      </c>
      <c r="D4" s="22">
        <f t="shared" ref="D4:D11" si="0">C4-B4</f>
        <v>3020675.8635479212</v>
      </c>
      <c r="E4" s="5">
        <f t="shared" ref="E4:E12" si="1">D4/B4</f>
        <v>8.1057245064178798E-3</v>
      </c>
      <c r="F4" s="16">
        <f>1 +(B4-G4)/G4</f>
        <v>1.0457125006869281</v>
      </c>
      <c r="G4" s="6">
        <f t="shared" ref="G4:G10" si="2">SUM(H4:N4)</f>
        <v>356369056</v>
      </c>
      <c r="H4" s="36">
        <f>SUMIF(Inputs!A$24:A$143,'Rate Class Energy Model'!A4,Inputs!F$24:F$143)</f>
        <v>157973719</v>
      </c>
      <c r="I4" s="36">
        <f>SUMIF(Inputs!A$24:A$143,'Rate Class Energy Model'!A4,Inputs!H$24:H$143)</f>
        <v>54312604</v>
      </c>
      <c r="J4" s="36">
        <f>SUMIF(Inputs!A$24:A$143,'Rate Class Energy Model'!A4,Inputs!J$24:J$143)</f>
        <v>139796962</v>
      </c>
      <c r="K4" s="36">
        <f>SUMIF(Inputs!A$24:A$143,'Rate Class Energy Model'!A4,Inputs!M$24:M$143)</f>
        <v>753964</v>
      </c>
      <c r="L4" s="36">
        <f>SUMIF(Inputs!A$24:A$143,'Rate Class Energy Model'!A4,Inputs!P$24:P$143)</f>
        <v>2284687</v>
      </c>
      <c r="M4" s="36">
        <f>SUMIF(Inputs!A$24:A$143,'Rate Class Energy Model'!A4,Inputs!S$24:S$143)</f>
        <v>970041</v>
      </c>
      <c r="N4" s="36">
        <f>SUMIF(Inputs!A$24:A$143,'Rate Class Energy Model'!A4,Inputs!V$24:V$143)</f>
        <v>277079</v>
      </c>
    </row>
    <row r="5" spans="1:22" x14ac:dyDescent="0.2">
      <c r="A5">
        <v>2016</v>
      </c>
      <c r="B5" s="56">
        <f>+'Power Purchased Model'!B154</f>
        <v>380022205.18436003</v>
      </c>
      <c r="C5" s="56">
        <f>+'Power Purchased Model'!H154</f>
        <v>389367971.22513556</v>
      </c>
      <c r="D5" s="22">
        <f t="shared" si="0"/>
        <v>9345766.0407755375</v>
      </c>
      <c r="E5" s="5">
        <f t="shared" si="1"/>
        <v>2.4592684093924538E-2</v>
      </c>
      <c r="F5" s="16">
        <f>1 +(B5-G5)/G5</f>
        <v>1.0457738179386926</v>
      </c>
      <c r="G5" s="6">
        <f t="shared" si="2"/>
        <v>363388525</v>
      </c>
      <c r="H5" s="36">
        <f>SUMIF(Inputs!A$24:A$143,'Rate Class Energy Model'!A5,Inputs!F$24:F$143)</f>
        <v>163109690</v>
      </c>
      <c r="I5" s="36">
        <f>SUMIF(Inputs!A$24:A$143,'Rate Class Energy Model'!A5,Inputs!H$24:H$143)</f>
        <v>53545593</v>
      </c>
      <c r="J5" s="36">
        <f>SUMIF(Inputs!A$24:A$143,'Rate Class Energy Model'!A5,Inputs!J$24:J$143)</f>
        <v>143431671</v>
      </c>
      <c r="K5" s="36">
        <f>SUMIF(Inputs!A$24:A$143,'Rate Class Energy Model'!A5,Inputs!M$24:M$143)</f>
        <v>749437</v>
      </c>
      <c r="L5" s="36">
        <f>SUMIF(Inputs!A$24:A$143,'Rate Class Energy Model'!A5,Inputs!P$24:P$143)</f>
        <v>1575426</v>
      </c>
      <c r="M5" s="36">
        <f>SUMIF(Inputs!A$24:A$143,'Rate Class Energy Model'!A5,Inputs!S$24:S$143)</f>
        <v>976708</v>
      </c>
      <c r="N5" s="36">
        <f>SUMIF(Inputs!A$24:A$143,'Rate Class Energy Model'!A5,Inputs!V$24:V$143)</f>
        <v>0</v>
      </c>
    </row>
    <row r="6" spans="1:22" x14ac:dyDescent="0.2">
      <c r="A6">
        <v>2017</v>
      </c>
      <c r="B6" s="56">
        <f>+'Power Purchased Model'!B155</f>
        <v>368596644.64483672</v>
      </c>
      <c r="C6" s="56">
        <f>+'Power Purchased Model'!H155</f>
        <v>374426765.05070925</v>
      </c>
      <c r="D6" s="22">
        <f t="shared" si="0"/>
        <v>5830120.4058725238</v>
      </c>
      <c r="E6" s="5">
        <f t="shared" si="1"/>
        <v>1.5817074003726127E-2</v>
      </c>
      <c r="F6" s="16">
        <f t="shared" ref="F6:F10" si="3">1 +(B6-G6)/G6</f>
        <v>1.0420671072471042</v>
      </c>
      <c r="G6" s="6">
        <f>SUM(H6:N6)</f>
        <v>353716802</v>
      </c>
      <c r="H6" s="36">
        <f>SUMIF(Inputs!A$24:A$143,'Rate Class Energy Model'!A6,Inputs!F$24:F$143)</f>
        <v>153825741</v>
      </c>
      <c r="I6" s="36">
        <f>SUMIF(Inputs!A$24:A$143,'Rate Class Energy Model'!A6,Inputs!H$24:H$143)</f>
        <v>52319962</v>
      </c>
      <c r="J6" s="36">
        <f>SUMIF(Inputs!A$24:A$143,'Rate Class Energy Model'!A6,Inputs!J$24:J$143)</f>
        <v>144490127</v>
      </c>
      <c r="K6" s="36">
        <f>SUMIF(Inputs!A$24:A$143,'Rate Class Energy Model'!A6,Inputs!M$24:M$143)</f>
        <v>729133</v>
      </c>
      <c r="L6" s="36">
        <f>SUMIF(Inputs!A$24:A$143,'Rate Class Energy Model'!A6,Inputs!P$24:P$143)</f>
        <v>1393112</v>
      </c>
      <c r="M6" s="36">
        <f>SUMIF(Inputs!A$24:A$143,'Rate Class Energy Model'!A6,Inputs!S$24:S$143)</f>
        <v>958727</v>
      </c>
      <c r="N6" s="36">
        <f>SUMIF(Inputs!A$24:A$143,'Rate Class Energy Model'!A6,Inputs!V$24:V$143)</f>
        <v>0</v>
      </c>
    </row>
    <row r="7" spans="1:22" x14ac:dyDescent="0.2">
      <c r="A7">
        <v>2018</v>
      </c>
      <c r="B7" s="56">
        <f>+'Power Purchased Model'!B156</f>
        <v>393889926.42846549</v>
      </c>
      <c r="C7" s="56">
        <f>+'Power Purchased Model'!H156</f>
        <v>390694843.61246467</v>
      </c>
      <c r="D7" s="22">
        <f t="shared" si="0"/>
        <v>-3195082.8160008192</v>
      </c>
      <c r="E7" s="5">
        <f t="shared" si="1"/>
        <v>-8.1116134270600073E-3</v>
      </c>
      <c r="F7" s="16">
        <f t="shared" si="3"/>
        <v>1.0390383828816636</v>
      </c>
      <c r="G7" s="6">
        <f t="shared" si="2"/>
        <v>379090833.32999998</v>
      </c>
      <c r="H7" s="36">
        <f>SUMIF(Inputs!A$24:A$143,'Rate Class Energy Model'!A7,Inputs!F$24:F$143)</f>
        <v>170461439</v>
      </c>
      <c r="I7" s="36">
        <f>SUMIF(Inputs!A$24:A$143,'Rate Class Energy Model'!A7,Inputs!H$24:H$143)</f>
        <v>52983336.789999999</v>
      </c>
      <c r="J7" s="36">
        <f>SUMIF(Inputs!A$24:A$143,'Rate Class Energy Model'!A7,Inputs!J$24:J$143)</f>
        <v>152610120.72999999</v>
      </c>
      <c r="K7" s="36">
        <f>SUMIF(Inputs!A$24:A$143,'Rate Class Energy Model'!A7,Inputs!M$24:M$143)</f>
        <v>675874</v>
      </c>
      <c r="L7" s="36">
        <f>SUMIF(Inputs!A$24:A$143,'Rate Class Energy Model'!A7,Inputs!P$24:P$143)</f>
        <v>1403955.81</v>
      </c>
      <c r="M7" s="36">
        <f>SUMIF(Inputs!A$24:A$143,'Rate Class Energy Model'!A7,Inputs!S$24:S$143)</f>
        <v>956107</v>
      </c>
      <c r="N7" s="36">
        <f>SUMIF(Inputs!A$24:A$143,'Rate Class Energy Model'!A7,Inputs!V$24:V$143)</f>
        <v>0</v>
      </c>
    </row>
    <row r="8" spans="1:22" x14ac:dyDescent="0.2">
      <c r="A8">
        <v>2019</v>
      </c>
      <c r="B8" s="56">
        <f>+'Power Purchased Model'!B157</f>
        <v>384791777.21642524</v>
      </c>
      <c r="C8" s="56">
        <f>+'Power Purchased Model'!H157</f>
        <v>381803843.10498363</v>
      </c>
      <c r="D8" s="22">
        <f t="shared" si="0"/>
        <v>-2987934.1114416122</v>
      </c>
      <c r="E8" s="5">
        <f t="shared" si="1"/>
        <v>-7.7650674685832899E-3</v>
      </c>
      <c r="F8" s="16">
        <f t="shared" si="3"/>
        <v>1.0382710375661437</v>
      </c>
      <c r="G8" s="6">
        <f t="shared" si="2"/>
        <v>370608216.25</v>
      </c>
      <c r="H8" s="36">
        <f>SUMIF(Inputs!A$24:A$143,'Rate Class Energy Model'!A8,Inputs!F$24:F$143)</f>
        <v>165806296.44</v>
      </c>
      <c r="I8" s="36">
        <f>SUMIF(Inputs!A$24:A$143,'Rate Class Energy Model'!A8,Inputs!H$24:H$143)</f>
        <v>50506434.530000001</v>
      </c>
      <c r="J8" s="36">
        <f>SUMIF(Inputs!A$24:A$143,'Rate Class Energy Model'!A8,Inputs!J$24:J$143)</f>
        <v>151352403.78</v>
      </c>
      <c r="K8" s="36">
        <f>SUMIF(Inputs!A$24:A$143,'Rate Class Energy Model'!A8,Inputs!M$24:M$143)</f>
        <v>583837.25</v>
      </c>
      <c r="L8" s="36">
        <f>SUMIF(Inputs!A$24:A$143,'Rate Class Energy Model'!A8,Inputs!P$24:P$143)</f>
        <v>1406314.25</v>
      </c>
      <c r="M8" s="36">
        <f>SUMIF(Inputs!A$24:A$143,'Rate Class Energy Model'!A8,Inputs!S$24:S$143)</f>
        <v>952930</v>
      </c>
      <c r="N8" s="36">
        <f>SUMIF(Inputs!A$24:A$143,'Rate Class Energy Model'!A8,Inputs!V$24:V$143)</f>
        <v>0</v>
      </c>
    </row>
    <row r="9" spans="1:22" x14ac:dyDescent="0.2">
      <c r="A9">
        <v>2020</v>
      </c>
      <c r="B9" s="56">
        <f>+'Power Purchased Model'!B158</f>
        <v>380093690.36809278</v>
      </c>
      <c r="C9" s="56">
        <f>+'Power Purchased Model'!H158</f>
        <v>387589449.03610957</v>
      </c>
      <c r="D9" s="22">
        <f t="shared" si="0"/>
        <v>7495758.6680167913</v>
      </c>
      <c r="E9" s="5">
        <f t="shared" si="1"/>
        <v>1.9720818466514665E-2</v>
      </c>
      <c r="F9" s="16">
        <f t="shared" si="3"/>
        <v>1.0423889478015345</v>
      </c>
      <c r="G9" s="6">
        <f t="shared" si="2"/>
        <v>364637107.06999999</v>
      </c>
      <c r="H9" s="36">
        <f>SUMIF(Inputs!A$24:A$143,'Rate Class Energy Model'!A9,Inputs!F$24:F$143)</f>
        <v>179914470.27000001</v>
      </c>
      <c r="I9" s="36">
        <f>SUMIF(Inputs!A$24:A$143,'Rate Class Energy Model'!A9,Inputs!H$24:H$143)</f>
        <v>48537507.109999992</v>
      </c>
      <c r="J9" s="36">
        <f>SUMIF(Inputs!A$24:A$143,'Rate Class Energy Model'!A9,Inputs!J$24:J$143)</f>
        <v>133284408.77</v>
      </c>
      <c r="K9" s="36">
        <f>SUMIF(Inputs!A$24:A$143,'Rate Class Energy Model'!A9,Inputs!M$24:M$143)</f>
        <v>535934.71999999997</v>
      </c>
      <c r="L9" s="36">
        <f>SUMIF(Inputs!A$24:A$143,'Rate Class Energy Model'!A9,Inputs!P$24:P$143)</f>
        <v>1423807.2000000002</v>
      </c>
      <c r="M9" s="36">
        <f>SUMIF(Inputs!A$24:A$143,'Rate Class Energy Model'!A9,Inputs!S$24:S$143)</f>
        <v>940979</v>
      </c>
      <c r="N9" s="36">
        <f>SUMIF(Inputs!A$24:A$143,'Rate Class Energy Model'!A9,Inputs!V$24:V$143)</f>
        <v>0</v>
      </c>
    </row>
    <row r="10" spans="1:22" x14ac:dyDescent="0.2">
      <c r="A10">
        <v>2021</v>
      </c>
      <c r="B10" s="56">
        <f>+'Power Purchased Model'!B159</f>
        <v>383895272.72321349</v>
      </c>
      <c r="C10" s="56">
        <f>+'Power Purchased Model'!H159</f>
        <v>388275738.39954656</v>
      </c>
      <c r="D10" s="22">
        <f t="shared" si="0"/>
        <v>4380465.6763330698</v>
      </c>
      <c r="E10" s="5">
        <f t="shared" si="1"/>
        <v>1.1410574673815697E-2</v>
      </c>
      <c r="F10" s="16">
        <f t="shared" si="3"/>
        <v>1.0418268930704253</v>
      </c>
      <c r="G10" s="6">
        <f t="shared" si="2"/>
        <v>368482782.76999998</v>
      </c>
      <c r="H10" s="36">
        <f>SUMIF(Inputs!A$24:A$143,'Rate Class Energy Model'!A10,Inputs!F$24:F$143)</f>
        <v>182892381.72999999</v>
      </c>
      <c r="I10" s="36">
        <f>SUMIF(Inputs!A$24:A$143,'Rate Class Energy Model'!A10,Inputs!H$24:H$143)</f>
        <v>54230049.899999999</v>
      </c>
      <c r="J10" s="36">
        <f>SUMIF(Inputs!A$24:A$143,'Rate Class Energy Model'!A10,Inputs!J$24:J$143)</f>
        <v>128548463.13</v>
      </c>
      <c r="K10" s="36">
        <f>SUMIF(Inputs!A$24:A$143,'Rate Class Energy Model'!A10,Inputs!M$24:M$143)</f>
        <v>481895.06</v>
      </c>
      <c r="L10" s="36">
        <f>SUMIF(Inputs!A$24:A$143,'Rate Class Energy Model'!A10,Inputs!P$24:P$143)</f>
        <v>1410627.9499999997</v>
      </c>
      <c r="M10" s="36">
        <f>SUMIF(Inputs!A$24:A$143,'Rate Class Energy Model'!A10,Inputs!S$24:S$143)</f>
        <v>919365</v>
      </c>
      <c r="N10" s="36">
        <f>SUMIF(Inputs!A$24:A$143,'Rate Class Energy Model'!A10,Inputs!V$24:V$143)</f>
        <v>0</v>
      </c>
    </row>
    <row r="11" spans="1:22" x14ac:dyDescent="0.2">
      <c r="A11">
        <v>2022</v>
      </c>
      <c r="B11" s="56">
        <f>+'Power Purchased Model'!B160</f>
        <v>392612235.87385601</v>
      </c>
      <c r="C11" s="56">
        <f>+'Power Purchased Model'!H160</f>
        <v>390620163.52743006</v>
      </c>
      <c r="D11" s="22">
        <f t="shared" si="0"/>
        <v>-1992072.3464259505</v>
      </c>
      <c r="E11" s="5">
        <f t="shared" si="1"/>
        <v>-5.0738926717148764E-3</v>
      </c>
      <c r="F11" s="16">
        <f>1 +(B11-G11)/G11</f>
        <v>1.0410509308665783</v>
      </c>
      <c r="G11" s="6">
        <f>SUM(H11:N11)</f>
        <v>377130670.77999997</v>
      </c>
      <c r="H11" s="36">
        <f>SUMIF(Inputs!A$24:A$143,'Rate Class Energy Model'!A11,Inputs!F$24:F$143)</f>
        <v>182644896.51999998</v>
      </c>
      <c r="I11" s="36">
        <f>SUMIF(Inputs!A$24:A$143,'Rate Class Energy Model'!A11,Inputs!H$24:H$143)</f>
        <v>55719441.800000004</v>
      </c>
      <c r="J11" s="36">
        <f>SUMIF(Inputs!A$24:A$143,'Rate Class Energy Model'!A11,Inputs!J$24:J$143)</f>
        <v>136029471.30000001</v>
      </c>
      <c r="K11" s="36">
        <f>SUMIF(Inputs!A$24:A$143,'Rate Class Energy Model'!A11,Inputs!M$24:M$143)</f>
        <v>422907.26</v>
      </c>
      <c r="L11" s="36">
        <f>SUMIF(Inputs!A$24:A$143,'Rate Class Energy Model'!A11,Inputs!P$24:P$143)</f>
        <v>1418459.9</v>
      </c>
      <c r="M11" s="36">
        <f>SUMIF(Inputs!A$24:A$143,'Rate Class Energy Model'!A11,Inputs!S$24:S$143)</f>
        <v>895494</v>
      </c>
      <c r="N11" s="36">
        <f>SUMIF(Inputs!A$24:A$143,'Rate Class Energy Model'!A11,Inputs!V$24:V$143)</f>
        <v>0</v>
      </c>
    </row>
    <row r="12" spans="1:22" x14ac:dyDescent="0.2">
      <c r="A12">
        <v>2023</v>
      </c>
      <c r="B12" s="56">
        <f>+'Power Purchased Model'!B161</f>
        <v>386633787.62211913</v>
      </c>
      <c r="C12" s="56">
        <f>+'Power Purchased Model'!H161</f>
        <v>382872651.81579709</v>
      </c>
      <c r="D12" s="22">
        <f>C12-B12</f>
        <v>-3761135.8063220382</v>
      </c>
      <c r="E12" s="5">
        <f t="shared" si="1"/>
        <v>-9.7279025443012413E-3</v>
      </c>
      <c r="F12" s="16">
        <f>1 +(B12-G12)/G12</f>
        <v>1.0426232075593322</v>
      </c>
      <c r="G12" s="6">
        <f t="shared" ref="G12" si="4">SUM(H12:N12)</f>
        <v>370827912.53724998</v>
      </c>
      <c r="H12" s="36">
        <f>SUMIF(Inputs!A$24:A$143,'Rate Class Energy Model'!A12,Inputs!F$24:F$143)</f>
        <v>177391636.47999999</v>
      </c>
      <c r="I12" s="36">
        <f>SUMIF(Inputs!A$24:A$143,'Rate Class Energy Model'!A12,Inputs!H$24:H$143)</f>
        <v>54279424.499999993</v>
      </c>
      <c r="J12" s="36">
        <f>SUMIF(Inputs!A$24:A$143,'Rate Class Energy Model'!A12,Inputs!J$24:J$143)</f>
        <v>136432089.50725001</v>
      </c>
      <c r="K12" s="36">
        <f>SUMIF(Inputs!A$24:A$143,'Rate Class Energy Model'!A12,Inputs!M$24:M$143)</f>
        <v>419670.93999999994</v>
      </c>
      <c r="L12" s="36">
        <f>SUMIF(Inputs!A$24:A$143,'Rate Class Energy Model'!A12,Inputs!P$24:P$143)</f>
        <v>1453176.11</v>
      </c>
      <c r="M12" s="36">
        <f>SUMIF(Inputs!A$24:A$143,'Rate Class Energy Model'!A12,Inputs!S$24:S$143)</f>
        <v>851915</v>
      </c>
      <c r="N12" s="36">
        <f>SUMIF(Inputs!A$24:A$143,'Rate Class Energy Model'!A12,Inputs!V$24:V$143)</f>
        <v>0</v>
      </c>
    </row>
    <row r="13" spans="1:22" x14ac:dyDescent="0.2">
      <c r="A13" s="43">
        <v>2024</v>
      </c>
      <c r="B13" s="6"/>
      <c r="C13" s="142">
        <f>+'Power Purchased Model'!H162</f>
        <v>396767741.72420484</v>
      </c>
      <c r="D13" s="181"/>
      <c r="G13" s="14">
        <f>C13/$F$16</f>
        <v>381241465.1608215</v>
      </c>
      <c r="H13" s="33"/>
      <c r="I13" s="33"/>
      <c r="J13" s="33"/>
      <c r="K13" s="33"/>
      <c r="L13" s="33"/>
      <c r="M13" s="33"/>
      <c r="N13" s="33"/>
    </row>
    <row r="14" spans="1:22" x14ac:dyDescent="0.2">
      <c r="A14" s="43">
        <v>2025</v>
      </c>
      <c r="B14" s="6"/>
      <c r="C14" s="14">
        <f>+'Power Purchased Model'!H163</f>
        <v>398349812.78829038</v>
      </c>
      <c r="D14" s="181"/>
      <c r="G14" s="14">
        <f>C14/$F$16</f>
        <v>382761626.77436256</v>
      </c>
      <c r="H14" s="33"/>
      <c r="I14" s="33"/>
      <c r="J14" s="33"/>
      <c r="K14" s="33"/>
      <c r="L14" s="33"/>
      <c r="M14" s="33"/>
      <c r="N14" s="33"/>
    </row>
    <row r="15" spans="1:22" x14ac:dyDescent="0.2">
      <c r="H15" s="33"/>
      <c r="I15" s="33"/>
      <c r="J15" s="33"/>
      <c r="K15" s="33"/>
      <c r="L15" s="33"/>
      <c r="M15" s="33"/>
      <c r="N15" s="33"/>
    </row>
    <row r="16" spans="1:22" x14ac:dyDescent="0.2">
      <c r="A16" s="13" t="s">
        <v>10</v>
      </c>
      <c r="C16" s="33"/>
      <c r="D16" s="35"/>
      <c r="E16" s="49" t="s">
        <v>63</v>
      </c>
      <c r="F16" s="16">
        <f>AVERAGE(F3:F12)</f>
        <v>1.0407255715399</v>
      </c>
      <c r="G16" s="139"/>
      <c r="H16" s="33"/>
      <c r="I16" s="33"/>
      <c r="J16" s="33"/>
      <c r="K16" s="33"/>
      <c r="L16" s="33"/>
      <c r="M16" s="33"/>
      <c r="N16" s="33"/>
    </row>
    <row r="17" spans="1:17" x14ac:dyDescent="0.2">
      <c r="C17" s="33"/>
      <c r="D17" s="35"/>
      <c r="E17" s="49"/>
      <c r="F17" s="16"/>
      <c r="G17" s="139"/>
      <c r="H17" s="33"/>
      <c r="I17" s="33"/>
      <c r="J17" s="33"/>
      <c r="K17" s="33"/>
      <c r="L17" s="33"/>
      <c r="M17" s="33"/>
      <c r="N17" s="33"/>
    </row>
    <row r="18" spans="1:17" x14ac:dyDescent="0.2">
      <c r="C18" s="139"/>
      <c r="D18" s="185"/>
      <c r="G18" s="139"/>
      <c r="H18" s="33"/>
      <c r="I18" s="33"/>
      <c r="J18" s="33"/>
      <c r="K18" s="33"/>
      <c r="L18" s="33"/>
      <c r="M18" s="33"/>
      <c r="N18" s="33"/>
    </row>
    <row r="19" spans="1:17" x14ac:dyDescent="0.2">
      <c r="A19" s="15" t="s">
        <v>12</v>
      </c>
      <c r="B19" s="10"/>
      <c r="C19" s="139"/>
      <c r="D19" s="185"/>
      <c r="G19" s="139"/>
      <c r="H19" s="33"/>
      <c r="I19" s="33"/>
      <c r="J19" s="33"/>
      <c r="K19" s="33"/>
      <c r="L19" s="33"/>
      <c r="M19" s="33"/>
      <c r="N19" s="33"/>
    </row>
    <row r="21" spans="1:17" x14ac:dyDescent="0.2">
      <c r="A21">
        <v>2023</v>
      </c>
      <c r="H21" s="6">
        <f>H12/'Rate Class Customer Model'!B20</f>
        <v>7577.4929794535174</v>
      </c>
      <c r="I21" s="6">
        <f>I12/'Rate Class Customer Model'!C20</f>
        <v>29414.428016618494</v>
      </c>
      <c r="J21" s="6">
        <f>J12/'Rate Class Customer Model'!D20</f>
        <v>960789.36272711272</v>
      </c>
      <c r="K21" s="6">
        <f>K12/'Rate Class Customer Model'!E20</f>
        <v>1228.0056766642281</v>
      </c>
      <c r="L21" s="6">
        <f>L12/'Rate Class Customer Model'!F20</f>
        <v>198.09059672160944</v>
      </c>
      <c r="M21" s="6">
        <f>M12/'Rate Class Customer Model'!G20</f>
        <v>4256.0283097418824</v>
      </c>
      <c r="N21" s="6">
        <f>IFERROR(N11/'Rate Class Customer Model'!H20,0)</f>
        <v>0</v>
      </c>
    </row>
    <row r="22" spans="1:17" x14ac:dyDescent="0.2">
      <c r="A22">
        <v>2024</v>
      </c>
      <c r="H22" s="14">
        <f>H21</f>
        <v>7577.4929794535174</v>
      </c>
      <c r="I22" s="14">
        <f t="shared" ref="I22:N22" si="5">I21</f>
        <v>29414.428016618494</v>
      </c>
      <c r="J22" s="14">
        <f t="shared" si="5"/>
        <v>960789.36272711272</v>
      </c>
      <c r="K22" s="14">
        <f t="shared" si="5"/>
        <v>1228.0056766642281</v>
      </c>
      <c r="L22" s="14">
        <f t="shared" si="5"/>
        <v>198.09059672160944</v>
      </c>
      <c r="M22" s="14">
        <f t="shared" si="5"/>
        <v>4256.0283097418824</v>
      </c>
      <c r="N22" s="14">
        <f t="shared" si="5"/>
        <v>0</v>
      </c>
    </row>
    <row r="23" spans="1:17" x14ac:dyDescent="0.2">
      <c r="A23">
        <v>2025</v>
      </c>
      <c r="H23" s="14">
        <f t="shared" ref="H23:N23" si="6">H21</f>
        <v>7577.4929794535174</v>
      </c>
      <c r="I23" s="14">
        <f t="shared" si="6"/>
        <v>29414.428016618494</v>
      </c>
      <c r="J23" s="14">
        <f t="shared" si="6"/>
        <v>960789.36272711272</v>
      </c>
      <c r="K23" s="14">
        <f>K21</f>
        <v>1228.0056766642281</v>
      </c>
      <c r="L23" s="14">
        <f t="shared" si="6"/>
        <v>198.09059672160944</v>
      </c>
      <c r="M23" s="14">
        <f t="shared" si="6"/>
        <v>4256.0283097418824</v>
      </c>
      <c r="N23" s="14">
        <f t="shared" si="6"/>
        <v>0</v>
      </c>
    </row>
    <row r="24" spans="1:17" x14ac:dyDescent="0.2">
      <c r="H24"/>
      <c r="I24"/>
      <c r="J24"/>
      <c r="K24"/>
      <c r="L24"/>
      <c r="M24"/>
      <c r="N24"/>
    </row>
    <row r="25" spans="1:17" x14ac:dyDescent="0.2">
      <c r="D25" s="6"/>
      <c r="G25" s="139"/>
      <c r="H25" s="139"/>
      <c r="I25" s="139"/>
      <c r="J25" s="139"/>
      <c r="K25" s="139"/>
      <c r="L25" s="139"/>
      <c r="M25" s="139"/>
      <c r="N25" s="139"/>
    </row>
    <row r="26" spans="1:17" x14ac:dyDescent="0.2">
      <c r="A26" s="13" t="s">
        <v>34</v>
      </c>
      <c r="G26" s="139"/>
      <c r="H26" s="139"/>
      <c r="I26" s="139"/>
      <c r="J26" s="139"/>
      <c r="K26" s="139"/>
      <c r="L26" s="139"/>
      <c r="M26" s="139"/>
      <c r="N26" s="139"/>
    </row>
    <row r="27" spans="1:17" x14ac:dyDescent="0.2">
      <c r="A27" s="41">
        <f>A22</f>
        <v>2024</v>
      </c>
      <c r="F27" s="181"/>
      <c r="G27" s="6">
        <f>SUM(H27:N27)</f>
        <v>369674555.73662293</v>
      </c>
      <c r="H27" s="6">
        <f>H22*'Rate Class Customer Model'!B21</f>
        <v>181305244.7967687</v>
      </c>
      <c r="I27" s="6">
        <f>I22*'Rate Class Customer Model'!C21</f>
        <v>54858613.430451259</v>
      </c>
      <c r="J27" s="6">
        <f>J22*'Rate Class Customer Model'!D21</f>
        <v>130816475.09181689</v>
      </c>
      <c r="K27" s="6">
        <f>K22*'Rate Class Customer Model'!E21</f>
        <v>400618.78664901335</v>
      </c>
      <c r="L27" s="6">
        <f>L22*'Rate Class Customer Model'!F21</f>
        <v>1465852.1282159998</v>
      </c>
      <c r="M27" s="6">
        <f>M22*'Rate Class Customer Model'!G21</f>
        <v>827751.50272109872</v>
      </c>
      <c r="N27" s="6">
        <f>N22*'Rate Class Customer Model'!H20</f>
        <v>0</v>
      </c>
    </row>
    <row r="28" spans="1:17" x14ac:dyDescent="0.2">
      <c r="A28" s="41">
        <f>A23</f>
        <v>2025</v>
      </c>
      <c r="F28" s="181"/>
      <c r="G28" s="6">
        <f>SUM(H28:N28)</f>
        <v>368846523.49098414</v>
      </c>
      <c r="H28" s="6">
        <f>H23*'Rate Class Customer Model'!B22</f>
        <v>185305195.00857264</v>
      </c>
      <c r="I28" s="6">
        <f>I23*'Rate Class Customer Model'!C22</f>
        <v>55443982.59992031</v>
      </c>
      <c r="J28" s="6">
        <f>J23*'Rate Class Customer Model'!D22</f>
        <v>125432002.23096023</v>
      </c>
      <c r="K28" s="6">
        <f>K23*'Rate Class Customer Model'!E22</f>
        <v>382431.55986956751</v>
      </c>
      <c r="L28" s="6">
        <f>L23*'Rate Class Customer Model'!F22</f>
        <v>1478638.7190162211</v>
      </c>
      <c r="M28" s="6">
        <f>M23*'Rate Class Customer Model'!G22</f>
        <v>804273.37264520174</v>
      </c>
      <c r="N28" s="6">
        <f>N23*'Rate Class Customer Model'!H21</f>
        <v>0</v>
      </c>
    </row>
    <row r="30" spans="1:17" x14ac:dyDescent="0.2">
      <c r="A30" s="13" t="s">
        <v>33</v>
      </c>
      <c r="P30" s="6"/>
    </row>
    <row r="31" spans="1:17" x14ac:dyDescent="0.2">
      <c r="A31" s="41">
        <f>A27</f>
        <v>2024</v>
      </c>
      <c r="G31" s="14">
        <f>G13</f>
        <v>381241465.1608215</v>
      </c>
      <c r="H31" s="6">
        <f>H27+H39</f>
        <v>187506112.07001334</v>
      </c>
      <c r="I31" s="6">
        <f t="shared" ref="H31:N32" si="7">I27+I39</f>
        <v>56734846.967201807</v>
      </c>
      <c r="J31" s="6">
        <f>J27+J39</f>
        <v>134306283.70602027</v>
      </c>
      <c r="K31" s="6">
        <f t="shared" si="7"/>
        <v>400618.78664901335</v>
      </c>
      <c r="L31" s="6">
        <f t="shared" si="7"/>
        <v>1465852.1282159998</v>
      </c>
      <c r="M31" s="6">
        <f t="shared" si="7"/>
        <v>827751.50272109872</v>
      </c>
      <c r="N31" s="6">
        <f t="shared" si="7"/>
        <v>0</v>
      </c>
      <c r="O31" s="6">
        <f>SUM(H31:N31)</f>
        <v>381241465.1608215</v>
      </c>
      <c r="P31" s="6">
        <f>O31-G31</f>
        <v>0</v>
      </c>
      <c r="Q31" s="6"/>
    </row>
    <row r="32" spans="1:17" x14ac:dyDescent="0.2">
      <c r="A32" s="41">
        <f>A28</f>
        <v>2025</v>
      </c>
      <c r="G32" s="14">
        <f>G14</f>
        <v>382761626.77436256</v>
      </c>
      <c r="H32" s="6">
        <f t="shared" si="7"/>
        <v>192920795.12934858</v>
      </c>
      <c r="I32" s="6">
        <f t="shared" si="7"/>
        <v>57722597.619670399</v>
      </c>
      <c r="J32" s="6">
        <f t="shared" si="7"/>
        <v>129452890.37381263</v>
      </c>
      <c r="K32" s="6">
        <f t="shared" si="7"/>
        <v>382431.55986956751</v>
      </c>
      <c r="L32" s="6">
        <f t="shared" si="7"/>
        <v>1478638.7190162211</v>
      </c>
      <c r="M32" s="6">
        <f t="shared" si="7"/>
        <v>804273.37264520174</v>
      </c>
      <c r="N32" s="6">
        <f t="shared" si="7"/>
        <v>0</v>
      </c>
      <c r="O32" s="6">
        <f t="shared" ref="O32" si="8">SUM(H32:N32)</f>
        <v>382761626.77436256</v>
      </c>
      <c r="P32" s="6"/>
      <c r="Q32" s="6"/>
    </row>
    <row r="33" spans="1:22" x14ac:dyDescent="0.2">
      <c r="P33" s="6"/>
    </row>
    <row r="34" spans="1:22" x14ac:dyDescent="0.2">
      <c r="A34" t="s">
        <v>35</v>
      </c>
      <c r="H34" s="47">
        <f>(100%+J34)/2</f>
        <v>0.81967514412601028</v>
      </c>
      <c r="I34" s="48">
        <f>H34</f>
        <v>0.81967514412601028</v>
      </c>
      <c r="J34" s="57">
        <v>0.63935028825202056</v>
      </c>
      <c r="K34" s="48">
        <v>0</v>
      </c>
      <c r="L34" s="48">
        <v>0</v>
      </c>
      <c r="M34" s="48">
        <v>0</v>
      </c>
      <c r="N34" s="48">
        <v>0</v>
      </c>
    </row>
    <row r="35" spans="1:22" x14ac:dyDescent="0.2">
      <c r="A35" s="41">
        <f>+A31</f>
        <v>2024</v>
      </c>
      <c r="G35" s="6">
        <f>G31-G27</f>
        <v>11566909.424198568</v>
      </c>
      <c r="H35" s="6">
        <f t="shared" ref="H35:J36" si="9">H27*H$34</f>
        <v>148611402.65959296</v>
      </c>
      <c r="I35" s="6">
        <f t="shared" si="9"/>
        <v>44966241.870158218</v>
      </c>
      <c r="J35" s="6">
        <f t="shared" si="9"/>
        <v>83637551.058066398</v>
      </c>
      <c r="K35" s="6">
        <f t="shared" ref="K35:N36" si="10">K27*K$34</f>
        <v>0</v>
      </c>
      <c r="L35" s="6">
        <f t="shared" si="10"/>
        <v>0</v>
      </c>
      <c r="M35" s="6">
        <f t="shared" si="10"/>
        <v>0</v>
      </c>
      <c r="N35" s="6">
        <f t="shared" si="10"/>
        <v>0</v>
      </c>
      <c r="O35" s="6">
        <f>SUM(H35:N35)</f>
        <v>277215195.58781755</v>
      </c>
    </row>
    <row r="36" spans="1:22" x14ac:dyDescent="0.2">
      <c r="A36" s="41">
        <f>+A32</f>
        <v>2025</v>
      </c>
      <c r="G36" s="6">
        <f>G32-G28</f>
        <v>13915103.283378422</v>
      </c>
      <c r="H36" s="6">
        <f t="shared" si="9"/>
        <v>151890062.42595023</v>
      </c>
      <c r="I36" s="6">
        <f t="shared" si="9"/>
        <v>45446054.42850969</v>
      </c>
      <c r="J36" s="6">
        <f t="shared" si="9"/>
        <v>80194986.782392517</v>
      </c>
      <c r="K36" s="6">
        <f t="shared" si="10"/>
        <v>0</v>
      </c>
      <c r="L36" s="6">
        <f t="shared" si="10"/>
        <v>0</v>
      </c>
      <c r="M36" s="6">
        <f t="shared" si="10"/>
        <v>0</v>
      </c>
      <c r="N36" s="6">
        <f t="shared" si="10"/>
        <v>0</v>
      </c>
      <c r="O36" s="6">
        <f>SUM(H36:N36)</f>
        <v>277531103.63685244</v>
      </c>
    </row>
    <row r="37" spans="1:22" ht="12" customHeight="1" x14ac:dyDescent="0.2"/>
    <row r="38" spans="1:22" x14ac:dyDescent="0.2">
      <c r="A38" t="s">
        <v>36</v>
      </c>
    </row>
    <row r="39" spans="1:22" x14ac:dyDescent="0.2">
      <c r="A39" s="41">
        <f>+A35</f>
        <v>2024</v>
      </c>
      <c r="G39" s="6">
        <f>SUM(H39:N39)</f>
        <v>11566909.424198568</v>
      </c>
      <c r="H39" s="6">
        <f>H35/$O35*$G35</f>
        <v>6200867.2732446548</v>
      </c>
      <c r="I39" s="6">
        <f t="shared" ref="I39:N39" si="11">I35/$O35*$G35</f>
        <v>1876233.5367505462</v>
      </c>
      <c r="J39" s="6">
        <f t="shared" si="11"/>
        <v>3489808.6142033674</v>
      </c>
      <c r="K39" s="6">
        <f t="shared" si="11"/>
        <v>0</v>
      </c>
      <c r="L39" s="6">
        <f t="shared" si="11"/>
        <v>0</v>
      </c>
      <c r="M39" s="6">
        <f t="shared" si="11"/>
        <v>0</v>
      </c>
      <c r="N39" s="6">
        <f t="shared" si="11"/>
        <v>0</v>
      </c>
    </row>
    <row r="40" spans="1:22" x14ac:dyDescent="0.2">
      <c r="A40" s="41">
        <f>+A36</f>
        <v>2025</v>
      </c>
      <c r="G40" s="6">
        <f t="shared" ref="G40" si="12">SUM(H40:N40)</f>
        <v>13915103.283378422</v>
      </c>
      <c r="H40" s="6">
        <f>H36/$O36*$G36</f>
        <v>7615600.1207759399</v>
      </c>
      <c r="I40" s="6">
        <f>I36/$O36*$G36</f>
        <v>2278615.0197500857</v>
      </c>
      <c r="J40" s="6">
        <f>J36/$O36*$G36</f>
        <v>4020888.1428523953</v>
      </c>
      <c r="K40" s="6">
        <f t="shared" ref="K40:N40" si="13">K36/$O36*$G36</f>
        <v>0</v>
      </c>
      <c r="L40" s="6">
        <f t="shared" si="13"/>
        <v>0</v>
      </c>
      <c r="M40" s="6">
        <f t="shared" si="13"/>
        <v>0</v>
      </c>
      <c r="N40" s="6">
        <f t="shared" si="13"/>
        <v>0</v>
      </c>
    </row>
    <row r="41" spans="1:22" x14ac:dyDescent="0.2">
      <c r="A41" s="41"/>
      <c r="G41" s="18"/>
    </row>
    <row r="42" spans="1:22" x14ac:dyDescent="0.2">
      <c r="A42" s="13"/>
    </row>
    <row r="43" spans="1:22" x14ac:dyDescent="0.2">
      <c r="A43" s="13"/>
    </row>
    <row r="44" spans="1:22" x14ac:dyDescent="0.2">
      <c r="A44" s="13"/>
    </row>
    <row r="46" spans="1:22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V46"/>
    </row>
    <row r="47" spans="1:22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V47"/>
    </row>
    <row r="48" spans="1:22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V48"/>
    </row>
    <row r="49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Q90"/>
  <sheetViews>
    <sheetView workbookViewId="0">
      <selection activeCell="C22" sqref="C22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2.5703125" style="6" customWidth="1"/>
    <col min="6" max="8" width="11.42578125" style="6" customWidth="1"/>
    <col min="9" max="9" width="11.5703125" customWidth="1"/>
    <col min="10" max="10" width="12.5703125" bestFit="1" customWidth="1"/>
    <col min="11" max="11" width="12.5703125" customWidth="1"/>
    <col min="12" max="12" width="12.5703125" bestFit="1" customWidth="1"/>
    <col min="13" max="13" width="11.5703125" bestFit="1" customWidth="1"/>
    <col min="14" max="14" width="14.140625" customWidth="1"/>
    <col min="15" max="15" width="11.5703125" customWidth="1"/>
    <col min="16" max="16" width="10.5703125" bestFit="1" customWidth="1"/>
    <col min="17" max="17" width="9.140625" customWidth="1"/>
  </cols>
  <sheetData>
    <row r="1" spans="1:17" x14ac:dyDescent="0.2">
      <c r="B1" s="200" t="s">
        <v>55</v>
      </c>
      <c r="C1" s="201"/>
      <c r="D1" s="201"/>
      <c r="E1" s="201"/>
      <c r="F1" s="201"/>
      <c r="G1" s="201"/>
      <c r="Q1" s="34"/>
    </row>
    <row r="2" spans="1:17" ht="25.5" x14ac:dyDescent="0.2">
      <c r="B2" s="8" t="str">
        <f>Inputs!B4</f>
        <v>Residential</v>
      </c>
      <c r="C2" s="8" t="str">
        <f>Inputs!C4</f>
        <v>General Service &lt; 50 kW</v>
      </c>
      <c r="D2" s="8" t="str">
        <f>Inputs!D4</f>
        <v>General Service &gt; 50 to 4999 kW</v>
      </c>
      <c r="E2" s="8" t="str">
        <f>Inputs!E4</f>
        <v xml:space="preserve">Sentinel </v>
      </c>
      <c r="F2" s="8" t="str">
        <f>Inputs!F4</f>
        <v xml:space="preserve">Street Lighting </v>
      </c>
      <c r="G2" s="8" t="str">
        <f>Inputs!G4</f>
        <v>USL</v>
      </c>
      <c r="H2" s="8" t="str">
        <f>Inputs!H4</f>
        <v>Large User</v>
      </c>
      <c r="I2" s="1" t="s">
        <v>7</v>
      </c>
      <c r="K2" s="107" t="s">
        <v>109</v>
      </c>
      <c r="P2" s="119">
        <v>2024</v>
      </c>
      <c r="Q2" s="119">
        <v>2025</v>
      </c>
    </row>
    <row r="3" spans="1:17" hidden="1" x14ac:dyDescent="0.2">
      <c r="A3" s="4"/>
      <c r="B3" s="24"/>
      <c r="C3" s="24"/>
      <c r="D3" s="24"/>
      <c r="E3" s="24"/>
      <c r="F3" s="24"/>
      <c r="G3" s="24"/>
      <c r="H3" s="24"/>
    </row>
    <row r="4" spans="1:17" hidden="1" x14ac:dyDescent="0.2">
      <c r="A4" s="4">
        <v>2000</v>
      </c>
      <c r="B4" s="23"/>
      <c r="C4" s="23"/>
      <c r="D4" s="23"/>
      <c r="E4" s="23"/>
      <c r="F4" s="23"/>
      <c r="G4" s="23"/>
      <c r="H4" s="23"/>
    </row>
    <row r="5" spans="1:17" hidden="1" x14ac:dyDescent="0.2">
      <c r="A5" s="4">
        <v>2001</v>
      </c>
      <c r="B5" s="24" t="e">
        <f>(#REF!+#REF!)/2</f>
        <v>#REF!</v>
      </c>
      <c r="C5" s="24" t="e">
        <f>(#REF!+#REF!)/2</f>
        <v>#REF!</v>
      </c>
      <c r="D5" s="24" t="e">
        <f>(#REF!+#REF!)/2</f>
        <v>#REF!</v>
      </c>
      <c r="E5" s="24" t="e">
        <f>(#REF!+#REF!)/2</f>
        <v>#REF!</v>
      </c>
      <c r="F5" s="24" t="e">
        <f>(#REF!+#REF!)/2</f>
        <v>#REF!</v>
      </c>
      <c r="G5" s="24"/>
      <c r="H5" s="24"/>
    </row>
    <row r="6" spans="1:17" hidden="1" x14ac:dyDescent="0.2">
      <c r="A6" s="4">
        <v>2002</v>
      </c>
      <c r="B6" s="24" t="e">
        <f>(#REF!+#REF!)/2</f>
        <v>#REF!</v>
      </c>
      <c r="C6" s="24" t="e">
        <f>(#REF!+#REF!)/2</f>
        <v>#REF!</v>
      </c>
      <c r="D6" s="24" t="e">
        <f>(#REF!+#REF!)/2</f>
        <v>#REF!</v>
      </c>
      <c r="E6" s="24" t="e">
        <f>(#REF!+#REF!)/2</f>
        <v>#REF!</v>
      </c>
      <c r="F6" s="24">
        <v>0</v>
      </c>
      <c r="G6" s="24"/>
      <c r="H6" s="24"/>
    </row>
    <row r="7" spans="1:17" hidden="1" x14ac:dyDescent="0.2">
      <c r="A7" s="4">
        <v>2003</v>
      </c>
      <c r="B7" s="24" t="e">
        <f>(#REF!+#REF!)/2</f>
        <v>#REF!</v>
      </c>
      <c r="C7" s="24" t="e">
        <f>(#REF!+#REF!)/2</f>
        <v>#REF!</v>
      </c>
      <c r="D7" s="24" t="e">
        <f>(#REF!+#REF!)/2</f>
        <v>#REF!</v>
      </c>
      <c r="E7" s="24" t="e">
        <f>(#REF!+#REF!)/2</f>
        <v>#REF!</v>
      </c>
      <c r="F7" s="24" t="e">
        <f>(#REF!+#REF!)/2</f>
        <v>#REF!</v>
      </c>
      <c r="G7" s="24"/>
      <c r="H7" s="24"/>
    </row>
    <row r="8" spans="1:17" hidden="1" x14ac:dyDescent="0.2">
      <c r="A8" s="4">
        <v>2004</v>
      </c>
      <c r="B8" s="24" t="e">
        <f>(#REF!+#REF!)/2</f>
        <v>#REF!</v>
      </c>
      <c r="C8" s="24" t="e">
        <f>(#REF!+#REF!)/2</f>
        <v>#REF!</v>
      </c>
      <c r="D8" s="24" t="e">
        <f>(#REF!+#REF!)/2</f>
        <v>#REF!</v>
      </c>
      <c r="E8" s="24" t="e">
        <f>(#REF!+#REF!)/2</f>
        <v>#REF!</v>
      </c>
      <c r="F8" s="24" t="e">
        <f>(#REF!+#REF!)/2</f>
        <v>#REF!</v>
      </c>
      <c r="G8" s="24"/>
      <c r="H8" s="24"/>
    </row>
    <row r="9" spans="1:17" hidden="1" x14ac:dyDescent="0.2">
      <c r="A9" s="4">
        <v>2005</v>
      </c>
      <c r="B9" s="24" t="e">
        <f>(#REF!+#REF!)/2</f>
        <v>#REF!</v>
      </c>
      <c r="C9" s="24" t="e">
        <f>(#REF!+#REF!)/2</f>
        <v>#REF!</v>
      </c>
      <c r="D9" s="24" t="e">
        <f>(#REF!+#REF!)/2</f>
        <v>#REF!</v>
      </c>
      <c r="E9" s="24" t="e">
        <f>(#REF!+#REF!)/2</f>
        <v>#REF!</v>
      </c>
      <c r="F9" s="24" t="e">
        <f>(#REF!+#REF!)/2</f>
        <v>#REF!</v>
      </c>
      <c r="G9" s="24"/>
      <c r="H9" s="24"/>
    </row>
    <row r="10" spans="1:17" hidden="1" x14ac:dyDescent="0.2">
      <c r="A10" s="4">
        <v>2006</v>
      </c>
      <c r="B10" s="24" t="e">
        <f>(#REF!+#REF!)/2</f>
        <v>#REF!</v>
      </c>
      <c r="C10" s="24" t="e">
        <f>(#REF!+#REF!)/2</f>
        <v>#REF!</v>
      </c>
      <c r="D10" s="24" t="e">
        <f>(#REF!+#REF!)/2</f>
        <v>#REF!</v>
      </c>
      <c r="E10" s="24">
        <v>1</v>
      </c>
      <c r="F10" s="24" t="e">
        <f>(#REF!+#REF!)/2</f>
        <v>#REF!</v>
      </c>
      <c r="G10" s="24"/>
      <c r="H10" s="24"/>
    </row>
    <row r="11" spans="1:17" x14ac:dyDescent="0.2">
      <c r="A11" s="4">
        <v>2014</v>
      </c>
      <c r="B11" s="37">
        <f>Inputs!B5</f>
        <v>20472.166666666668</v>
      </c>
      <c r="C11" s="37">
        <f>Inputs!C5</f>
        <v>1742.8333333333333</v>
      </c>
      <c r="D11" s="37">
        <f>Inputs!D5</f>
        <v>165.33333333333334</v>
      </c>
      <c r="E11" s="37">
        <f>Inputs!E5</f>
        <v>519.16666666666663</v>
      </c>
      <c r="F11" s="37">
        <f>Inputs!F5</f>
        <v>6784.333333333333</v>
      </c>
      <c r="G11" s="37">
        <f>Inputs!G5</f>
        <v>259.33333333333331</v>
      </c>
      <c r="H11" s="37">
        <f>Inputs!H5</f>
        <v>1</v>
      </c>
      <c r="I11" s="46">
        <f>SUM(B11:H11)</f>
        <v>29944.166666666664</v>
      </c>
      <c r="K11" s="6">
        <f>B11+C11+D11+H11</f>
        <v>22381.333333333332</v>
      </c>
      <c r="L11" s="6"/>
      <c r="O11" s="120" t="s">
        <v>96</v>
      </c>
      <c r="P11" s="118">
        <f>(Inputs!$G$143+Inputs!I143+Inputs!L143)+(Inputs!$G$143+Inputs!I143+Inputs!L143)*N21</f>
        <v>25779.820378677985</v>
      </c>
      <c r="Q11" s="118">
        <f>P22+(P22*$N$22)</f>
        <v>26136.693899439641</v>
      </c>
    </row>
    <row r="12" spans="1:17" x14ac:dyDescent="0.2">
      <c r="A12" s="4">
        <v>2015</v>
      </c>
      <c r="B12" s="37">
        <f>Inputs!B6</f>
        <v>20635.5</v>
      </c>
      <c r="C12" s="37">
        <f>Inputs!C6</f>
        <v>1769.0833333333333</v>
      </c>
      <c r="D12" s="37">
        <f>Inputs!D6</f>
        <v>158.83333333333334</v>
      </c>
      <c r="E12" s="37">
        <f>Inputs!E6</f>
        <v>515.08333333333337</v>
      </c>
      <c r="F12" s="37">
        <f>Inputs!F6</f>
        <v>6792.583333333333</v>
      </c>
      <c r="G12" s="37">
        <f>Inputs!G6</f>
        <v>256.66666666666669</v>
      </c>
      <c r="H12" s="37">
        <f>Inputs!H6</f>
        <v>0</v>
      </c>
      <c r="I12" s="46">
        <f>SUM(B12:H12)</f>
        <v>30127.749999999996</v>
      </c>
      <c r="K12" s="6">
        <f t="shared" ref="K12:K20" si="0">B12+C12+D12+H12</f>
        <v>22563.416666666664</v>
      </c>
      <c r="L12" s="6"/>
      <c r="O12" s="120" t="s">
        <v>97</v>
      </c>
      <c r="P12" s="118">
        <f>P11+(P11*$N$21)</f>
        <v>25806.668689352726</v>
      </c>
      <c r="Q12" s="118">
        <f>Q11+(Q11*$N$22)</f>
        <v>26196.831379883995</v>
      </c>
    </row>
    <row r="13" spans="1:17" x14ac:dyDescent="0.2">
      <c r="A13" s="4">
        <v>2016</v>
      </c>
      <c r="B13" s="37">
        <f>Inputs!B7</f>
        <v>20822.5</v>
      </c>
      <c r="C13" s="37">
        <f>Inputs!C7</f>
        <v>1770.5833333333333</v>
      </c>
      <c r="D13" s="37">
        <f>Inputs!D7</f>
        <v>159</v>
      </c>
      <c r="E13" s="37">
        <f>Inputs!E7</f>
        <v>508.75</v>
      </c>
      <c r="F13" s="37">
        <f>Inputs!F7</f>
        <v>6825</v>
      </c>
      <c r="G13" s="37">
        <f>Inputs!G7</f>
        <v>261.33333333333331</v>
      </c>
      <c r="H13" s="37">
        <f>Inputs!H7</f>
        <v>0</v>
      </c>
      <c r="I13" s="46">
        <f t="shared" ref="I13:I20" si="1">SUM(B13:H13)</f>
        <v>30347.166666666664</v>
      </c>
      <c r="K13" s="6">
        <f t="shared" si="0"/>
        <v>22752.083333333332</v>
      </c>
      <c r="L13" s="6"/>
      <c r="O13" s="120" t="s">
        <v>98</v>
      </c>
      <c r="P13" s="118">
        <f t="shared" ref="P13:P21" si="2">P12+(P12*$N$21)</f>
        <v>25833.544961113908</v>
      </c>
      <c r="Q13" s="118">
        <f t="shared" ref="Q13:Q22" si="3">Q12+(Q12*$N$22)</f>
        <v>26257.107229648056</v>
      </c>
    </row>
    <row r="14" spans="1:17" x14ac:dyDescent="0.2">
      <c r="A14" s="4">
        <v>2017</v>
      </c>
      <c r="B14" s="37">
        <f>Inputs!B8</f>
        <v>20986.583333333332</v>
      </c>
      <c r="C14" s="37">
        <f>Inputs!C8</f>
        <v>1791.4166666666667</v>
      </c>
      <c r="D14" s="37">
        <f>Inputs!D8</f>
        <v>159.16666666666666</v>
      </c>
      <c r="E14" s="37">
        <f>Inputs!E8</f>
        <v>500.08333333333331</v>
      </c>
      <c r="F14" s="37">
        <f>Inputs!F8</f>
        <v>6865.333333333333</v>
      </c>
      <c r="G14" s="37">
        <f>Inputs!G8</f>
        <v>261.91666666666669</v>
      </c>
      <c r="H14" s="37">
        <f>Inputs!H8</f>
        <v>0</v>
      </c>
      <c r="I14" s="46">
        <f t="shared" si="1"/>
        <v>30564.5</v>
      </c>
      <c r="K14" s="6">
        <f t="shared" si="0"/>
        <v>22937.166666666668</v>
      </c>
      <c r="L14" s="6"/>
      <c r="O14" s="120" t="s">
        <v>99</v>
      </c>
      <c r="P14" s="118">
        <f t="shared" si="2"/>
        <v>25860.449223081519</v>
      </c>
      <c r="Q14" s="118">
        <f t="shared" si="3"/>
        <v>26317.521767103466</v>
      </c>
    </row>
    <row r="15" spans="1:17" x14ac:dyDescent="0.2">
      <c r="A15" s="4">
        <v>2018</v>
      </c>
      <c r="B15" s="37">
        <f>Inputs!B9</f>
        <v>21242.333333333332</v>
      </c>
      <c r="C15" s="37">
        <f>Inputs!C9</f>
        <v>1798.25</v>
      </c>
      <c r="D15" s="37">
        <f>Inputs!D9</f>
        <v>164</v>
      </c>
      <c r="E15" s="37">
        <f>Inputs!E9</f>
        <v>486.5</v>
      </c>
      <c r="F15" s="37">
        <f>Inputs!F9</f>
        <v>6956.25</v>
      </c>
      <c r="G15" s="37">
        <f>Inputs!G9</f>
        <v>262.83333333333331</v>
      </c>
      <c r="H15" s="37">
        <f>Inputs!H9</f>
        <v>0</v>
      </c>
      <c r="I15" s="46">
        <f t="shared" si="1"/>
        <v>30910.166666666664</v>
      </c>
      <c r="K15" s="6">
        <f t="shared" si="0"/>
        <v>23204.583333333332</v>
      </c>
      <c r="L15" s="6"/>
      <c r="O15" s="120" t="s">
        <v>48</v>
      </c>
      <c r="P15" s="118">
        <f t="shared" si="2"/>
        <v>25887.381504405865</v>
      </c>
      <c r="Q15" s="118">
        <f t="shared" si="3"/>
        <v>26378.075311354409</v>
      </c>
    </row>
    <row r="16" spans="1:17" x14ac:dyDescent="0.2">
      <c r="A16" s="4">
        <v>2019</v>
      </c>
      <c r="B16" s="37">
        <f>Inputs!B10</f>
        <v>21580</v>
      </c>
      <c r="C16" s="37">
        <f>Inputs!C10</f>
        <v>1797.3333333333333</v>
      </c>
      <c r="D16" s="37">
        <f>Inputs!D10</f>
        <v>166.16666666666666</v>
      </c>
      <c r="E16" s="37">
        <f>Inputs!E10</f>
        <v>453.58333333333331</v>
      </c>
      <c r="F16" s="37">
        <f>Inputs!F10</f>
        <v>7006.75</v>
      </c>
      <c r="G16" s="37">
        <f>Inputs!G10</f>
        <v>261.83333333333331</v>
      </c>
      <c r="H16" s="37">
        <f>Inputs!H10</f>
        <v>0</v>
      </c>
      <c r="I16" s="46">
        <f t="shared" si="1"/>
        <v>31265.666666666664</v>
      </c>
      <c r="K16" s="6">
        <f t="shared" si="0"/>
        <v>23543.5</v>
      </c>
      <c r="L16" s="6"/>
      <c r="O16" s="120" t="s">
        <v>100</v>
      </c>
      <c r="P16" s="118">
        <f t="shared" si="2"/>
        <v>25914.341834267616</v>
      </c>
      <c r="Q16" s="118">
        <f t="shared" si="3"/>
        <v>26438.768182239288</v>
      </c>
    </row>
    <row r="17" spans="1:17" x14ac:dyDescent="0.2">
      <c r="A17" s="4">
        <v>2020</v>
      </c>
      <c r="B17" s="37">
        <f>Inputs!B11</f>
        <v>21926.833333333332</v>
      </c>
      <c r="C17" s="37">
        <f>Inputs!C11</f>
        <v>1787.5</v>
      </c>
      <c r="D17" s="37">
        <f>Inputs!D11</f>
        <v>161.08333333333334</v>
      </c>
      <c r="E17" s="37">
        <f>Inputs!E11</f>
        <v>405.75</v>
      </c>
      <c r="F17" s="37">
        <f>Inputs!F11</f>
        <v>7066.75</v>
      </c>
      <c r="G17" s="37">
        <f>Inputs!G11</f>
        <v>258.25</v>
      </c>
      <c r="H17" s="37">
        <f>Inputs!H11</f>
        <v>0</v>
      </c>
      <c r="I17" s="46">
        <f t="shared" si="1"/>
        <v>31606.166666666664</v>
      </c>
      <c r="K17" s="6">
        <f t="shared" si="0"/>
        <v>23875.416666666664</v>
      </c>
      <c r="L17" s="6"/>
      <c r="O17" s="120" t="s">
        <v>101</v>
      </c>
      <c r="P17" s="118">
        <f t="shared" si="2"/>
        <v>25941.330241877829</v>
      </c>
      <c r="Q17" s="118">
        <f t="shared" si="3"/>
        <v>26499.600700332419</v>
      </c>
    </row>
    <row r="18" spans="1:17" x14ac:dyDescent="0.2">
      <c r="A18" s="4">
        <v>2021</v>
      </c>
      <c r="B18" s="37">
        <f>Inputs!B12</f>
        <v>22395.666666666668</v>
      </c>
      <c r="C18" s="37">
        <f>Inputs!C12</f>
        <v>1836.5</v>
      </c>
      <c r="D18" s="37">
        <f>Inputs!D12</f>
        <v>139.75</v>
      </c>
      <c r="E18" s="37">
        <f>Inputs!E12</f>
        <v>377.66666666666669</v>
      </c>
      <c r="F18" s="37">
        <f>Inputs!F12</f>
        <v>7115.166666666667</v>
      </c>
      <c r="G18" s="37">
        <f>Inputs!G12</f>
        <v>255.83333333333334</v>
      </c>
      <c r="H18" s="37">
        <f>Inputs!H12</f>
        <v>0</v>
      </c>
      <c r="I18" s="46">
        <f t="shared" si="1"/>
        <v>32120.583333333336</v>
      </c>
      <c r="K18" s="6">
        <f t="shared" si="0"/>
        <v>24371.916666666668</v>
      </c>
      <c r="L18" s="6"/>
      <c r="M18" s="202" t="s">
        <v>112</v>
      </c>
      <c r="N18" s="202"/>
      <c r="O18" s="120" t="s">
        <v>102</v>
      </c>
      <c r="P18" s="118">
        <f t="shared" si="2"/>
        <v>25968.346756477986</v>
      </c>
      <c r="Q18" s="118">
        <f>Q17+(Q17*$N$22)</f>
        <v>26560.573186945719</v>
      </c>
    </row>
    <row r="19" spans="1:17" x14ac:dyDescent="0.2">
      <c r="A19" s="4">
        <v>2022</v>
      </c>
      <c r="B19" s="37">
        <f>Inputs!B13</f>
        <v>22849</v>
      </c>
      <c r="C19" s="37">
        <f>Inputs!C13</f>
        <v>1838.0833333333333</v>
      </c>
      <c r="D19" s="37">
        <f>Inputs!D13</f>
        <v>138.75</v>
      </c>
      <c r="E19" s="37">
        <f>Inputs!E13</f>
        <v>344.91666666666669</v>
      </c>
      <c r="F19" s="37">
        <f>Inputs!F13</f>
        <v>7186.166666666667</v>
      </c>
      <c r="G19" s="37">
        <f>Inputs!G13</f>
        <v>252.08333333333334</v>
      </c>
      <c r="H19" s="37">
        <f>Inputs!H13</f>
        <v>0</v>
      </c>
      <c r="I19" s="46">
        <f t="shared" si="1"/>
        <v>32609</v>
      </c>
      <c r="J19" s="34"/>
      <c r="K19" s="6">
        <f t="shared" si="0"/>
        <v>24825.833333333332</v>
      </c>
      <c r="L19" s="6"/>
      <c r="M19" s="2" t="s">
        <v>113</v>
      </c>
      <c r="N19" s="2" t="s">
        <v>114</v>
      </c>
      <c r="O19" s="120" t="s">
        <v>103</v>
      </c>
      <c r="P19" s="118">
        <f t="shared" si="2"/>
        <v>25995.391407340019</v>
      </c>
      <c r="Q19" s="118">
        <f t="shared" si="3"/>
        <v>26621.685964130407</v>
      </c>
    </row>
    <row r="20" spans="1:17" x14ac:dyDescent="0.2">
      <c r="A20" s="4">
        <v>2023</v>
      </c>
      <c r="B20" s="37">
        <f>Inputs!B14</f>
        <v>23410.333333333332</v>
      </c>
      <c r="C20" s="37">
        <f>Inputs!C14</f>
        <v>1845.3333333333333</v>
      </c>
      <c r="D20" s="37">
        <f>Inputs!D14</f>
        <v>142</v>
      </c>
      <c r="E20" s="37">
        <f>Inputs!E14</f>
        <v>341.75</v>
      </c>
      <c r="F20" s="37">
        <f>Inputs!F14</f>
        <v>7335.916666666667</v>
      </c>
      <c r="G20" s="37">
        <f>Inputs!G14</f>
        <v>200.16666666666666</v>
      </c>
      <c r="H20" s="37">
        <f>Inputs!H14</f>
        <v>0</v>
      </c>
      <c r="I20" s="46">
        <f t="shared" si="1"/>
        <v>33275.499999999993</v>
      </c>
      <c r="J20" s="34"/>
      <c r="K20" s="6">
        <f t="shared" si="0"/>
        <v>25397.666666666664</v>
      </c>
      <c r="L20" s="6"/>
      <c r="M20" s="121"/>
      <c r="N20" s="121"/>
      <c r="O20" s="120" t="s">
        <v>104</v>
      </c>
      <c r="P20" s="118">
        <f t="shared" si="2"/>
        <v>26022.46422376635</v>
      </c>
      <c r="Q20" s="118">
        <f t="shared" si="3"/>
        <v>26682.939354678703</v>
      </c>
    </row>
    <row r="21" spans="1:17" x14ac:dyDescent="0.2">
      <c r="A21" s="4">
        <v>2024</v>
      </c>
      <c r="B21" s="51">
        <f>B20*B39</f>
        <v>23926.811319836324</v>
      </c>
      <c r="C21" s="51">
        <f>C20*C39</f>
        <v>1865.0239739306633</v>
      </c>
      <c r="D21" s="51">
        <f>D20*D39</f>
        <v>136.15520754778788</v>
      </c>
      <c r="E21" s="51">
        <f t="shared" ref="E21:G21" si="4">E20*E39</f>
        <v>326.23528886060188</v>
      </c>
      <c r="F21" s="51">
        <f t="shared" si="4"/>
        <v>7399.9076810095339</v>
      </c>
      <c r="G21" s="51">
        <f t="shared" si="4"/>
        <v>194.48919097328556</v>
      </c>
      <c r="H21" s="51">
        <v>0</v>
      </c>
      <c r="I21" s="46">
        <f>SUM(B21:H21)</f>
        <v>33848.622662158195</v>
      </c>
      <c r="J21" s="34"/>
      <c r="K21" s="6">
        <f>B21+C21+D21+H21</f>
        <v>25927.990501314776</v>
      </c>
      <c r="L21" s="6"/>
      <c r="M21" s="121">
        <v>1.2497361244741568E-2</v>
      </c>
      <c r="N21" s="121">
        <f>M21/12</f>
        <v>1.0414467703951306E-3</v>
      </c>
      <c r="O21" s="120" t="s">
        <v>105</v>
      </c>
      <c r="P21" s="118">
        <f t="shared" si="2"/>
        <v>26049.565235089914</v>
      </c>
      <c r="Q21" s="118">
        <f>Q20+(Q20*$N$22)</f>
        <v>26744.33368212554</v>
      </c>
    </row>
    <row r="22" spans="1:17" x14ac:dyDescent="0.2">
      <c r="A22" s="4">
        <v>2025</v>
      </c>
      <c r="B22" s="51">
        <f>B21*B39</f>
        <v>24454.683826303815</v>
      </c>
      <c r="C22" s="51">
        <f t="shared" ref="C22:G22" si="5">C21*C39</f>
        <v>1884.9247236286797</v>
      </c>
      <c r="D22" s="51">
        <f t="shared" si="5"/>
        <v>130.55098973507884</v>
      </c>
      <c r="E22" s="51">
        <f t="shared" si="5"/>
        <v>311.42491206425854</v>
      </c>
      <c r="F22" s="51">
        <f t="shared" si="5"/>
        <v>7464.456887341581</v>
      </c>
      <c r="G22" s="51">
        <f t="shared" si="5"/>
        <v>188.97274973576924</v>
      </c>
      <c r="H22" s="51">
        <v>0</v>
      </c>
      <c r="I22" s="46">
        <f>SUM(B22:H22)</f>
        <v>34435.014088809185</v>
      </c>
      <c r="J22" s="34"/>
      <c r="K22" s="6">
        <f>B22+C22+D22+H22</f>
        <v>26470.159539667573</v>
      </c>
      <c r="L22" s="6"/>
      <c r="M22" s="121">
        <v>2.761059865141325E-2</v>
      </c>
      <c r="N22" s="121">
        <f>M22/12</f>
        <v>2.3008832209511043E-3</v>
      </c>
      <c r="O22" s="122" t="s">
        <v>106</v>
      </c>
      <c r="P22" s="123">
        <f>P21+(P21*$N$21)</f>
        <v>26076.694470674196</v>
      </c>
      <c r="Q22" s="123">
        <f t="shared" si="3"/>
        <v>26805.86927075026</v>
      </c>
    </row>
    <row r="23" spans="1:17" x14ac:dyDescent="0.2">
      <c r="A23" s="13"/>
      <c r="J23" s="34"/>
      <c r="O23" s="120" t="s">
        <v>10</v>
      </c>
      <c r="P23" s="118">
        <f>AVERAGE(P11:P22)</f>
        <v>25927.999910510491</v>
      </c>
      <c r="Q23" s="118">
        <f>AVERAGE(Q11:Q22)</f>
        <v>26469.999994052665</v>
      </c>
    </row>
    <row r="24" spans="1:17" x14ac:dyDescent="0.2">
      <c r="A24" s="13" t="s">
        <v>32</v>
      </c>
      <c r="B24" s="5"/>
      <c r="C24" s="5"/>
      <c r="D24" s="5"/>
      <c r="E24" s="5"/>
      <c r="F24" s="16"/>
      <c r="G24" s="16"/>
      <c r="H24" s="16"/>
      <c r="P24" s="34">
        <f>P23-K21</f>
        <v>9.4091957143973559E-3</v>
      </c>
      <c r="Q24" s="34">
        <f>Q23-K22</f>
        <v>-0.15954561490798369</v>
      </c>
    </row>
    <row r="25" spans="1:17" x14ac:dyDescent="0.2">
      <c r="A25" s="4"/>
      <c r="B25" s="16"/>
      <c r="C25" s="16"/>
      <c r="D25" s="16"/>
      <c r="E25" s="16"/>
      <c r="F25" s="16"/>
      <c r="G25" s="16"/>
      <c r="H25" s="16"/>
      <c r="P25" s="34"/>
      <c r="Q25" s="34"/>
    </row>
    <row r="26" spans="1:17" x14ac:dyDescent="0.2">
      <c r="A26" s="4">
        <f>+A12</f>
        <v>2015</v>
      </c>
      <c r="B26" s="16">
        <f>B12/B11</f>
        <v>1.0079783120171288</v>
      </c>
      <c r="C26" s="16">
        <f t="shared" ref="C26:G26" si="6">C12/C11</f>
        <v>1.0150616811705078</v>
      </c>
      <c r="D26" s="16">
        <f t="shared" si="6"/>
        <v>0.96068548387096775</v>
      </c>
      <c r="E26" s="16">
        <f t="shared" si="6"/>
        <v>0.99213483146067427</v>
      </c>
      <c r="F26" s="16">
        <f t="shared" si="6"/>
        <v>1.0012160369478702</v>
      </c>
      <c r="G26" s="16">
        <f t="shared" si="6"/>
        <v>0.98971722365038572</v>
      </c>
      <c r="H26" s="16">
        <f t="shared" ref="H26" si="7">H12/H11</f>
        <v>0</v>
      </c>
      <c r="K26" s="16">
        <f>K12/K11</f>
        <v>1.0081354998212795</v>
      </c>
      <c r="M26" s="34"/>
      <c r="N26" s="34"/>
      <c r="O26" s="34"/>
      <c r="Q26" s="141"/>
    </row>
    <row r="27" spans="1:17" x14ac:dyDescent="0.2">
      <c r="A27" s="4">
        <f t="shared" ref="A27:A33" si="8">+A13</f>
        <v>2016</v>
      </c>
      <c r="B27" s="16">
        <f t="shared" ref="B27:G34" si="9">B13/B12</f>
        <v>1.0090620532577355</v>
      </c>
      <c r="C27" s="16">
        <f t="shared" si="9"/>
        <v>1.0008478967450185</v>
      </c>
      <c r="D27" s="16">
        <f t="shared" si="9"/>
        <v>1.0010493179433368</v>
      </c>
      <c r="E27" s="16">
        <f t="shared" si="9"/>
        <v>0.98770425497492309</v>
      </c>
      <c r="F27" s="16">
        <f t="shared" si="9"/>
        <v>1.0047723620124891</v>
      </c>
      <c r="G27" s="16">
        <f t="shared" si="9"/>
        <v>1.0181818181818181</v>
      </c>
      <c r="H27" s="16">
        <v>0</v>
      </c>
      <c r="K27" s="16">
        <f t="shared" ref="K27:K32" si="10">K13/K12</f>
        <v>1.0083616178105415</v>
      </c>
      <c r="M27" s="34"/>
      <c r="N27" s="34"/>
      <c r="O27" s="34"/>
    </row>
    <row r="28" spans="1:17" x14ac:dyDescent="0.2">
      <c r="A28" s="4">
        <f t="shared" si="8"/>
        <v>2017</v>
      </c>
      <c r="B28" s="16">
        <f t="shared" si="9"/>
        <v>1.0078800976507782</v>
      </c>
      <c r="C28" s="16">
        <f t="shared" si="9"/>
        <v>1.01176636701652</v>
      </c>
      <c r="D28" s="16">
        <f t="shared" si="9"/>
        <v>1.0010482180293501</v>
      </c>
      <c r="E28" s="16">
        <f t="shared" si="9"/>
        <v>0.98296478296478296</v>
      </c>
      <c r="F28" s="16">
        <f t="shared" si="9"/>
        <v>1.0059096459096459</v>
      </c>
      <c r="G28" s="16">
        <f t="shared" si="9"/>
        <v>1.002232142857143</v>
      </c>
      <c r="H28" s="16">
        <v>0</v>
      </c>
      <c r="K28" s="16">
        <f t="shared" si="10"/>
        <v>1.0081347861917407</v>
      </c>
    </row>
    <row r="29" spans="1:17" x14ac:dyDescent="0.2">
      <c r="A29" s="4">
        <f t="shared" si="8"/>
        <v>2018</v>
      </c>
      <c r="B29" s="16">
        <f t="shared" si="9"/>
        <v>1.0121863571567549</v>
      </c>
      <c r="C29" s="16">
        <f t="shared" si="9"/>
        <v>1.0038144857421964</v>
      </c>
      <c r="D29" s="16">
        <f t="shared" si="9"/>
        <v>1.0303664921465969</v>
      </c>
      <c r="E29" s="16">
        <f t="shared" si="9"/>
        <v>0.97283786035660724</v>
      </c>
      <c r="F29" s="16">
        <f t="shared" si="9"/>
        <v>1.0132428626917849</v>
      </c>
      <c r="G29" s="16">
        <f t="shared" si="9"/>
        <v>1.0034998409163218</v>
      </c>
      <c r="H29" s="16">
        <v>0</v>
      </c>
      <c r="K29" s="16">
        <f t="shared" si="10"/>
        <v>1.0116586617062553</v>
      </c>
      <c r="O29" s="164"/>
      <c r="P29" s="164"/>
    </row>
    <row r="30" spans="1:17" x14ac:dyDescent="0.2">
      <c r="A30" s="4">
        <f t="shared" si="8"/>
        <v>2019</v>
      </c>
      <c r="B30" s="16">
        <f t="shared" si="9"/>
        <v>1.0158959310810176</v>
      </c>
      <c r="C30" s="16">
        <f t="shared" si="9"/>
        <v>0.99949024514574347</v>
      </c>
      <c r="D30" s="16">
        <f t="shared" si="9"/>
        <v>1.0132113821138211</v>
      </c>
      <c r="E30" s="16">
        <f t="shared" si="9"/>
        <v>0.9323398424117848</v>
      </c>
      <c r="F30" s="16">
        <f t="shared" si="9"/>
        <v>1.0072596585804132</v>
      </c>
      <c r="G30" s="16">
        <f t="shared" si="9"/>
        <v>0.99619530754597341</v>
      </c>
      <c r="H30" s="16">
        <v>0</v>
      </c>
      <c r="K30" s="16">
        <f t="shared" si="10"/>
        <v>1.0146055915677579</v>
      </c>
      <c r="O30" s="164"/>
      <c r="P30" s="164"/>
    </row>
    <row r="31" spans="1:17" x14ac:dyDescent="0.2">
      <c r="A31" s="4">
        <f t="shared" si="8"/>
        <v>2020</v>
      </c>
      <c r="B31" s="16">
        <f t="shared" si="9"/>
        <v>1.0160719802286067</v>
      </c>
      <c r="C31" s="16">
        <f t="shared" si="9"/>
        <v>0.99452893175074186</v>
      </c>
      <c r="D31" s="16">
        <f t="shared" si="9"/>
        <v>0.96940822467402221</v>
      </c>
      <c r="E31" s="16">
        <f t="shared" si="9"/>
        <v>0.89454345030314164</v>
      </c>
      <c r="F31" s="16">
        <f t="shared" si="9"/>
        <v>1.0085631712277447</v>
      </c>
      <c r="G31" s="16">
        <f t="shared" si="9"/>
        <v>0.98631444939528967</v>
      </c>
      <c r="H31" s="16">
        <v>0</v>
      </c>
      <c r="K31" s="16">
        <f t="shared" si="10"/>
        <v>1.0140980171455674</v>
      </c>
      <c r="O31" s="164"/>
      <c r="P31" s="164"/>
      <c r="Q31" s="164"/>
    </row>
    <row r="32" spans="1:17" x14ac:dyDescent="0.2">
      <c r="A32" s="4">
        <f t="shared" si="8"/>
        <v>2021</v>
      </c>
      <c r="B32" s="16">
        <f t="shared" si="9"/>
        <v>1.0213817164661261</v>
      </c>
      <c r="C32" s="16">
        <f t="shared" si="9"/>
        <v>1.0274125874125875</v>
      </c>
      <c r="D32" s="16">
        <f t="shared" si="9"/>
        <v>0.86756337299534403</v>
      </c>
      <c r="E32" s="16">
        <f t="shared" si="9"/>
        <v>0.93078660915999178</v>
      </c>
      <c r="F32" s="16">
        <f t="shared" si="9"/>
        <v>1.0068513343003032</v>
      </c>
      <c r="G32" s="16">
        <f t="shared" si="9"/>
        <v>0.99064214262665384</v>
      </c>
      <c r="H32" s="16">
        <v>0</v>
      </c>
      <c r="K32" s="16">
        <f t="shared" si="10"/>
        <v>1.0207954485960107</v>
      </c>
      <c r="O32" s="164"/>
      <c r="P32" s="164"/>
      <c r="Q32" s="164"/>
    </row>
    <row r="33" spans="1:17" x14ac:dyDescent="0.2">
      <c r="A33" s="4">
        <f t="shared" si="8"/>
        <v>2022</v>
      </c>
      <c r="B33" s="16">
        <f t="shared" si="9"/>
        <v>1.0202420111033383</v>
      </c>
      <c r="C33" s="16">
        <f t="shared" si="9"/>
        <v>1.0008621472002903</v>
      </c>
      <c r="D33" s="16">
        <f t="shared" si="9"/>
        <v>0.99284436493738815</v>
      </c>
      <c r="E33" s="16">
        <f t="shared" si="9"/>
        <v>0.91328331862312451</v>
      </c>
      <c r="F33" s="16">
        <f t="shared" si="9"/>
        <v>1.0099786840317631</v>
      </c>
      <c r="G33" s="16">
        <f t="shared" si="9"/>
        <v>0.98534201954397393</v>
      </c>
      <c r="H33" s="16">
        <v>0</v>
      </c>
      <c r="K33" s="16">
        <f>K19/K18</f>
        <v>1.0186245781517662</v>
      </c>
      <c r="Q33" s="164"/>
    </row>
    <row r="34" spans="1:17" x14ac:dyDescent="0.2">
      <c r="A34" s="4">
        <v>2023</v>
      </c>
      <c r="B34" s="16">
        <f t="shared" si="9"/>
        <v>1.024567085357492</v>
      </c>
      <c r="C34" s="16">
        <f t="shared" si="9"/>
        <v>1.003944326064288</v>
      </c>
      <c r="D34" s="16">
        <f t="shared" si="9"/>
        <v>1.0234234234234234</v>
      </c>
      <c r="E34" s="16">
        <f t="shared" si="9"/>
        <v>0.99081903841507601</v>
      </c>
      <c r="F34" s="16">
        <f t="shared" si="9"/>
        <v>1.0208386483289653</v>
      </c>
      <c r="G34" s="16">
        <f t="shared" si="9"/>
        <v>0.79404958677685944</v>
      </c>
      <c r="H34" s="16">
        <v>0</v>
      </c>
      <c r="K34" s="16">
        <f>K20/K19</f>
        <v>1.0230338021550132</v>
      </c>
      <c r="Q34" s="164"/>
    </row>
    <row r="35" spans="1:17" x14ac:dyDescent="0.2">
      <c r="A35" s="4"/>
      <c r="B35" s="16"/>
      <c r="C35" s="16"/>
      <c r="D35" s="16"/>
      <c r="E35" s="16"/>
      <c r="F35" s="16"/>
      <c r="G35" s="16"/>
      <c r="H35" s="16"/>
      <c r="K35" s="16"/>
      <c r="O35" s="164"/>
      <c r="P35" s="164"/>
      <c r="Q35" s="164"/>
    </row>
    <row r="36" spans="1:17" x14ac:dyDescent="0.2">
      <c r="A36" s="4"/>
      <c r="B36" s="16"/>
      <c r="C36" s="16"/>
      <c r="D36" s="16"/>
      <c r="E36" s="16"/>
      <c r="F36" s="16"/>
      <c r="G36" s="16"/>
      <c r="H36" s="16"/>
      <c r="K36" s="16"/>
      <c r="O36" s="164"/>
      <c r="P36" s="164"/>
      <c r="Q36" s="164"/>
    </row>
    <row r="37" spans="1:17" x14ac:dyDescent="0.2">
      <c r="A37" s="4"/>
      <c r="B37" s="16"/>
      <c r="C37" s="16"/>
      <c r="D37" s="16"/>
      <c r="E37" s="16"/>
      <c r="F37" s="16"/>
      <c r="G37" s="16"/>
      <c r="H37" s="16"/>
      <c r="K37" s="16"/>
    </row>
    <row r="38" spans="1:17" x14ac:dyDescent="0.2">
      <c r="K38" s="6"/>
    </row>
    <row r="39" spans="1:17" x14ac:dyDescent="0.2">
      <c r="A39" t="s">
        <v>46</v>
      </c>
      <c r="B39" s="52">
        <f>B41</f>
        <v>1.0220619663611366</v>
      </c>
      <c r="C39" s="52">
        <f>C41</f>
        <v>1.0106705061040444</v>
      </c>
      <c r="D39" s="52">
        <f>D41</f>
        <v>0.95883948977315414</v>
      </c>
      <c r="E39" s="52">
        <f>E41</f>
        <v>0.95460216199151982</v>
      </c>
      <c r="F39" s="52">
        <f>+F41</f>
        <v>1.0087229745443582</v>
      </c>
      <c r="G39" s="52">
        <f>+G41</f>
        <v>0.97163625798477393</v>
      </c>
      <c r="H39" s="52">
        <v>0</v>
      </c>
      <c r="I39" s="41" t="s">
        <v>59</v>
      </c>
      <c r="K39" s="52">
        <f>K41</f>
        <v>1.0141469146416535</v>
      </c>
    </row>
    <row r="40" spans="1:17" x14ac:dyDescent="0.2">
      <c r="B40" s="17"/>
      <c r="C40" s="17"/>
      <c r="D40" s="17"/>
      <c r="E40" s="17"/>
      <c r="F40" s="17"/>
      <c r="G40" s="17"/>
      <c r="H40" s="17"/>
      <c r="K40" s="17"/>
    </row>
    <row r="41" spans="1:17" x14ac:dyDescent="0.2">
      <c r="A41" t="s">
        <v>11</v>
      </c>
      <c r="B41" s="186">
        <f>IF(B20="",0,GEOMEAN(B32:B34))</f>
        <v>1.0220619663611366</v>
      </c>
      <c r="C41" s="186">
        <f>IF(C20="",0,GEOMEAN(C32:C34))</f>
        <v>1.0106705061040444</v>
      </c>
      <c r="D41" s="186">
        <f>IF(D20="",0,GEOMEAN(D32:D34))</f>
        <v>0.95883948977315414</v>
      </c>
      <c r="E41" s="17">
        <f>IF(E20="",0,GEOMEAN(E26:E34))</f>
        <v>0.95460216199151982</v>
      </c>
      <c r="F41" s="17">
        <f>IF(F20="",0,GEOMEAN(F26:F34))</f>
        <v>1.0087229745443582</v>
      </c>
      <c r="G41" s="17">
        <f t="shared" ref="E41:G41" si="11">IF(G20="",0,GEOMEAN(G26:G34))</f>
        <v>0.97163625798477393</v>
      </c>
      <c r="H41" s="17">
        <v>0</v>
      </c>
      <c r="K41" s="17">
        <f>IF(K20="",0,GEOMEAN(K26:K34))</f>
        <v>1.0141469146416535</v>
      </c>
    </row>
    <row r="42" spans="1:17" x14ac:dyDescent="0.2">
      <c r="A42" s="4"/>
      <c r="B42" s="17"/>
      <c r="C42" s="17"/>
      <c r="D42" s="17"/>
      <c r="E42" s="17"/>
      <c r="F42" s="17"/>
      <c r="G42" s="17"/>
      <c r="H42" s="17"/>
    </row>
    <row r="43" spans="1:17" x14ac:dyDescent="0.2">
      <c r="A43" s="3"/>
      <c r="B43"/>
      <c r="C43"/>
      <c r="D43"/>
      <c r="E43"/>
      <c r="F43"/>
      <c r="G43"/>
      <c r="H43"/>
    </row>
    <row r="44" spans="1:17" x14ac:dyDescent="0.2">
      <c r="A44" s="3"/>
      <c r="B44"/>
      <c r="C44"/>
      <c r="D44"/>
      <c r="E44"/>
      <c r="F44"/>
      <c r="G44"/>
      <c r="H44"/>
    </row>
    <row r="45" spans="1:17" x14ac:dyDescent="0.2">
      <c r="A45" s="3"/>
      <c r="B45"/>
      <c r="C45"/>
      <c r="D45"/>
      <c r="E45"/>
      <c r="F45"/>
      <c r="G45"/>
      <c r="H45"/>
    </row>
    <row r="46" spans="1:17" x14ac:dyDescent="0.2">
      <c r="A46" s="3"/>
      <c r="B46"/>
      <c r="C46"/>
      <c r="D46"/>
      <c r="E46"/>
      <c r="F46"/>
      <c r="G46"/>
      <c r="H46"/>
    </row>
    <row r="47" spans="1:17" x14ac:dyDescent="0.2">
      <c r="A47" s="3"/>
      <c r="B47"/>
      <c r="C47"/>
      <c r="D47"/>
      <c r="E47"/>
      <c r="F47"/>
      <c r="G47"/>
      <c r="H47"/>
    </row>
    <row r="48" spans="1:17" x14ac:dyDescent="0.2">
      <c r="A48" s="3"/>
      <c r="B48"/>
      <c r="C48"/>
      <c r="D48"/>
      <c r="E48"/>
      <c r="F48"/>
      <c r="G48"/>
      <c r="H48"/>
    </row>
    <row r="49" spans="1:8" x14ac:dyDescent="0.2">
      <c r="A49" s="3"/>
      <c r="B49"/>
      <c r="C49"/>
      <c r="D49"/>
      <c r="E49"/>
      <c r="F49"/>
      <c r="G49"/>
      <c r="H49"/>
    </row>
    <row r="50" spans="1:8" x14ac:dyDescent="0.2">
      <c r="A50" s="3"/>
      <c r="B50"/>
      <c r="C50"/>
      <c r="D50"/>
      <c r="E50"/>
      <c r="F50"/>
      <c r="G50"/>
      <c r="H50"/>
    </row>
    <row r="51" spans="1:8" x14ac:dyDescent="0.2">
      <c r="A51" s="3"/>
      <c r="B51"/>
      <c r="C51"/>
      <c r="D51"/>
      <c r="E51"/>
      <c r="F51"/>
      <c r="G51"/>
      <c r="H51"/>
    </row>
    <row r="52" spans="1:8" x14ac:dyDescent="0.2">
      <c r="A52" s="3"/>
      <c r="B52"/>
      <c r="C52"/>
      <c r="D52"/>
      <c r="E52"/>
      <c r="F52"/>
      <c r="G52"/>
      <c r="H52"/>
    </row>
    <row r="53" spans="1:8" x14ac:dyDescent="0.2">
      <c r="A53" s="3"/>
      <c r="B53"/>
      <c r="C53"/>
      <c r="D53"/>
      <c r="E53"/>
      <c r="F53"/>
      <c r="G53"/>
      <c r="H53"/>
    </row>
    <row r="54" spans="1:8" x14ac:dyDescent="0.2">
      <c r="A54" s="3"/>
      <c r="B54"/>
      <c r="C54"/>
      <c r="D54"/>
      <c r="E54"/>
      <c r="F54"/>
      <c r="G54"/>
      <c r="H54"/>
    </row>
    <row r="55" spans="1:8" x14ac:dyDescent="0.2">
      <c r="A55" s="3"/>
      <c r="B55"/>
      <c r="C55"/>
      <c r="D55"/>
      <c r="E55"/>
      <c r="F55"/>
      <c r="G55"/>
      <c r="H55"/>
    </row>
    <row r="56" spans="1:8" x14ac:dyDescent="0.2">
      <c r="A56" s="3"/>
      <c r="B56"/>
      <c r="C56"/>
      <c r="D56"/>
      <c r="E56"/>
      <c r="F56"/>
      <c r="G56"/>
      <c r="H56"/>
    </row>
    <row r="57" spans="1:8" x14ac:dyDescent="0.2">
      <c r="A57" s="3"/>
      <c r="B57"/>
      <c r="C57"/>
      <c r="D57"/>
      <c r="E57"/>
      <c r="F57"/>
      <c r="G57"/>
      <c r="H57"/>
    </row>
    <row r="58" spans="1:8" x14ac:dyDescent="0.2">
      <c r="A58" s="3"/>
      <c r="B58"/>
      <c r="C58"/>
      <c r="D58"/>
      <c r="E58"/>
      <c r="F58"/>
      <c r="G58"/>
      <c r="H58"/>
    </row>
    <row r="59" spans="1:8" x14ac:dyDescent="0.2">
      <c r="A59" s="3"/>
      <c r="B59"/>
      <c r="C59"/>
      <c r="D59"/>
      <c r="E59"/>
      <c r="F59"/>
      <c r="G59"/>
      <c r="H59"/>
    </row>
    <row r="60" spans="1:8" x14ac:dyDescent="0.2">
      <c r="A60" s="3"/>
      <c r="B60"/>
      <c r="C60"/>
      <c r="D60"/>
      <c r="E60"/>
      <c r="F60"/>
      <c r="G60"/>
      <c r="H60"/>
    </row>
    <row r="61" spans="1:8" x14ac:dyDescent="0.2">
      <c r="A61" s="3"/>
      <c r="B61"/>
      <c r="C61"/>
      <c r="D61"/>
      <c r="E61"/>
      <c r="F61"/>
      <c r="G61"/>
      <c r="H61"/>
    </row>
    <row r="62" spans="1:8" x14ac:dyDescent="0.2">
      <c r="A62" s="3"/>
      <c r="B62"/>
      <c r="C62"/>
      <c r="D62"/>
      <c r="E62"/>
      <c r="F62"/>
      <c r="G62"/>
      <c r="H62"/>
    </row>
    <row r="63" spans="1:8" x14ac:dyDescent="0.2">
      <c r="A63" s="3"/>
      <c r="B63"/>
      <c r="C63"/>
      <c r="D63"/>
      <c r="E63"/>
      <c r="F63"/>
      <c r="G63"/>
      <c r="H63"/>
    </row>
    <row r="64" spans="1:8" x14ac:dyDescent="0.2">
      <c r="A64" s="3"/>
      <c r="B64"/>
      <c r="C64"/>
      <c r="D64"/>
      <c r="E64"/>
      <c r="F64"/>
      <c r="G64"/>
      <c r="H64"/>
    </row>
    <row r="65" spans="1:8" x14ac:dyDescent="0.2">
      <c r="A65" s="3"/>
      <c r="B65"/>
      <c r="C65"/>
      <c r="D65"/>
      <c r="E65"/>
      <c r="F65"/>
      <c r="G65"/>
      <c r="H65"/>
    </row>
    <row r="66" spans="1:8" x14ac:dyDescent="0.2">
      <c r="A66" s="3"/>
      <c r="B66"/>
      <c r="C66"/>
      <c r="D66"/>
      <c r="E66"/>
      <c r="F66"/>
      <c r="G66"/>
      <c r="H66"/>
    </row>
    <row r="67" spans="1:8" x14ac:dyDescent="0.2">
      <c r="B67"/>
      <c r="C67"/>
      <c r="D67"/>
      <c r="E67"/>
      <c r="F67"/>
      <c r="G67"/>
      <c r="H67"/>
    </row>
    <row r="68" spans="1:8" x14ac:dyDescent="0.2">
      <c r="B68"/>
      <c r="C68"/>
      <c r="D68"/>
      <c r="E68"/>
      <c r="F68"/>
      <c r="G68"/>
      <c r="H68"/>
    </row>
    <row r="69" spans="1:8" x14ac:dyDescent="0.2">
      <c r="B69"/>
      <c r="C69"/>
      <c r="D69"/>
      <c r="E69"/>
      <c r="F69"/>
      <c r="G69"/>
      <c r="H69"/>
    </row>
    <row r="70" spans="1:8" x14ac:dyDescent="0.2">
      <c r="B70"/>
      <c r="C70"/>
      <c r="D70"/>
      <c r="E70"/>
      <c r="F70"/>
      <c r="G70"/>
      <c r="H70"/>
    </row>
    <row r="71" spans="1:8" x14ac:dyDescent="0.2">
      <c r="B71"/>
      <c r="C71"/>
      <c r="D71"/>
      <c r="E71"/>
      <c r="F71"/>
      <c r="G71"/>
      <c r="H71"/>
    </row>
    <row r="72" spans="1:8" x14ac:dyDescent="0.2">
      <c r="B72"/>
      <c r="C72"/>
      <c r="D72"/>
      <c r="E72"/>
      <c r="F72"/>
      <c r="G72"/>
      <c r="H72"/>
    </row>
    <row r="73" spans="1:8" x14ac:dyDescent="0.2">
      <c r="B73"/>
      <c r="C73"/>
      <c r="D73"/>
      <c r="E73"/>
      <c r="F73"/>
      <c r="G73"/>
      <c r="H73"/>
    </row>
    <row r="74" spans="1:8" x14ac:dyDescent="0.2">
      <c r="B74"/>
      <c r="C74"/>
      <c r="D74"/>
      <c r="E74"/>
      <c r="F74"/>
      <c r="G74"/>
      <c r="H74"/>
    </row>
    <row r="75" spans="1:8" x14ac:dyDescent="0.2">
      <c r="B75"/>
      <c r="C75"/>
      <c r="D75"/>
      <c r="E75"/>
      <c r="F75"/>
      <c r="G75"/>
      <c r="H75"/>
    </row>
    <row r="76" spans="1:8" x14ac:dyDescent="0.2">
      <c r="B76"/>
      <c r="C76"/>
      <c r="D76"/>
      <c r="E76"/>
      <c r="F76"/>
      <c r="G76"/>
      <c r="H76"/>
    </row>
    <row r="77" spans="1:8" x14ac:dyDescent="0.2">
      <c r="B77"/>
      <c r="C77"/>
      <c r="D77"/>
      <c r="E77"/>
      <c r="F77"/>
      <c r="G77"/>
      <c r="H77"/>
    </row>
    <row r="78" spans="1:8" x14ac:dyDescent="0.2">
      <c r="B78"/>
      <c r="C78"/>
      <c r="D78"/>
      <c r="E78"/>
      <c r="F78"/>
      <c r="G78"/>
      <c r="H78"/>
    </row>
    <row r="79" spans="1:8" x14ac:dyDescent="0.2">
      <c r="B79"/>
      <c r="C79"/>
      <c r="D79"/>
      <c r="E79"/>
      <c r="F79"/>
      <c r="G79"/>
      <c r="H79"/>
    </row>
    <row r="80" spans="1:8" x14ac:dyDescent="0.2">
      <c r="B80"/>
      <c r="C80"/>
      <c r="D80"/>
      <c r="E80"/>
      <c r="F80"/>
      <c r="G80"/>
      <c r="H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</sheetData>
  <mergeCells count="2">
    <mergeCell ref="B1:G1"/>
    <mergeCell ref="M18:N18"/>
  </mergeCells>
  <phoneticPr fontId="0" type="noConversion"/>
  <pageMargins left="0.38" right="0.75" top="0.73" bottom="0.74" header="0.5" footer="0.5"/>
  <pageSetup scale="83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N55"/>
  <sheetViews>
    <sheetView workbookViewId="0">
      <selection activeCell="B27" sqref="B27"/>
    </sheetView>
  </sheetViews>
  <sheetFormatPr defaultRowHeight="12.75" x14ac:dyDescent="0.2"/>
  <cols>
    <col min="1" max="1" width="11" customWidth="1"/>
    <col min="2" max="2" width="14.140625" style="6" bestFit="1" customWidth="1"/>
    <col min="3" max="5" width="12.5703125" style="6" customWidth="1"/>
    <col min="6" max="6" width="13.42578125" customWidth="1"/>
    <col min="7" max="7" width="13" customWidth="1"/>
    <col min="8" max="8" width="13.42578125" customWidth="1"/>
    <col min="9" max="9" width="12.5703125" bestFit="1" customWidth="1"/>
    <col min="11" max="11" width="12.42578125" style="6" bestFit="1" customWidth="1"/>
    <col min="12" max="12" width="13.42578125" bestFit="1" customWidth="1"/>
    <col min="13" max="14" width="9.140625" style="6" customWidth="1"/>
  </cols>
  <sheetData>
    <row r="1" spans="1:11" ht="38.25" x14ac:dyDescent="0.2">
      <c r="B1" s="7" t="str">
        <f>'Rate Class Customer Model'!D2</f>
        <v>General Service &gt; 50 to 4999 kW</v>
      </c>
      <c r="C1" s="7" t="str">
        <f>'Rate Class Customer Model'!E2</f>
        <v xml:space="preserve">Sentinel </v>
      </c>
      <c r="D1" s="7" t="str">
        <f>'Rate Class Customer Model'!F2</f>
        <v xml:space="preserve">Street Lighting </v>
      </c>
      <c r="E1" s="108" t="str">
        <f>'Rate Class Energy Model'!N2</f>
        <v>Large User</v>
      </c>
      <c r="F1" s="49" t="s">
        <v>7</v>
      </c>
      <c r="K1" s="7"/>
    </row>
    <row r="2" spans="1:11" x14ac:dyDescent="0.2">
      <c r="A2" s="21">
        <f>+'Rate Class Customer Model'!A11</f>
        <v>2014</v>
      </c>
      <c r="B2" s="37">
        <f>SUMIF(Inputs!$A:$A,'Rate Class Load Model'!$A2,Inputs!$K:$K)</f>
        <v>402375</v>
      </c>
      <c r="C2" s="37">
        <f>SUMIF(Inputs!$A:$A,'Rate Class Load Model'!$A2,Inputs!$N:$N)</f>
        <v>2120</v>
      </c>
      <c r="D2" s="37">
        <f>SUMIF(Inputs!$A:$A,'Rate Class Load Model'!$A2,Inputs!$Q:$Q)</f>
        <v>6992</v>
      </c>
      <c r="E2" s="37">
        <f>SUMIF(Inputs!$A:$A,'Rate Class Load Model'!$A2,Inputs!$W:$W)</f>
        <v>59144</v>
      </c>
      <c r="F2" s="46">
        <f>SUM(B2:E2)</f>
        <v>470631</v>
      </c>
      <c r="G2" s="41" t="s">
        <v>64</v>
      </c>
    </row>
    <row r="3" spans="1:11" x14ac:dyDescent="0.2">
      <c r="A3" s="21">
        <f>+'Rate Class Customer Model'!A12</f>
        <v>2015</v>
      </c>
      <c r="B3" s="37">
        <f>SUMIF(Inputs!$A:$A,'Rate Class Load Model'!$A3,Inputs!$K:$K)</f>
        <v>402768</v>
      </c>
      <c r="C3" s="37">
        <f>SUMIF(Inputs!$A:$A,'Rate Class Load Model'!$A3,Inputs!$N:$N)</f>
        <v>2077</v>
      </c>
      <c r="D3" s="37">
        <f>SUMIF(Inputs!$A:$A,'Rate Class Load Model'!$A3,Inputs!$Q:$Q)</f>
        <v>6476</v>
      </c>
      <c r="E3" s="37">
        <f>SUMIF(Inputs!$A:$A,'Rate Class Load Model'!$A3,Inputs!$W:$W)</f>
        <v>479</v>
      </c>
      <c r="F3" s="46">
        <f t="shared" ref="F3:F12" si="0">SUM(B3:E3)</f>
        <v>411800</v>
      </c>
    </row>
    <row r="4" spans="1:11" x14ac:dyDescent="0.2">
      <c r="A4" s="21">
        <f>+'Rate Class Customer Model'!A13</f>
        <v>2016</v>
      </c>
      <c r="B4" s="37">
        <f>SUMIF(Inputs!$A:$A,'Rate Class Load Model'!$A4,Inputs!$K:$K)</f>
        <v>396528</v>
      </c>
      <c r="C4" s="37">
        <f>SUMIF(Inputs!$A:$A,'Rate Class Load Model'!$A4,Inputs!$N:$N)</f>
        <v>2061</v>
      </c>
      <c r="D4" s="37">
        <f>SUMIF(Inputs!$A:$A,'Rate Class Load Model'!$A4,Inputs!$Q:$Q)</f>
        <v>4561</v>
      </c>
      <c r="E4" s="37">
        <f>SUMIF(Inputs!$A:$A,'Rate Class Load Model'!$A4,Inputs!$W:$W)</f>
        <v>0</v>
      </c>
      <c r="F4" s="46">
        <f t="shared" si="0"/>
        <v>403150</v>
      </c>
      <c r="K4" s="38"/>
    </row>
    <row r="5" spans="1:11" x14ac:dyDescent="0.2">
      <c r="A5" s="21">
        <f>+'Rate Class Customer Model'!A14</f>
        <v>2017</v>
      </c>
      <c r="B5" s="37">
        <f>SUMIF(Inputs!$A:$A,'Rate Class Load Model'!$A5,Inputs!$K:$K)</f>
        <v>397736</v>
      </c>
      <c r="C5" s="37">
        <f>SUMIF(Inputs!$A:$A,'Rate Class Load Model'!$A5,Inputs!$N:$N)</f>
        <v>2012</v>
      </c>
      <c r="D5" s="37">
        <f>SUMIF(Inputs!$A:$A,'Rate Class Load Model'!$A5,Inputs!$Q:$Q)</f>
        <v>3890</v>
      </c>
      <c r="E5" s="37">
        <f>SUMIF(Inputs!$A:$A,'Rate Class Load Model'!$A5,Inputs!$W:$W)</f>
        <v>0</v>
      </c>
      <c r="F5" s="46">
        <f t="shared" si="0"/>
        <v>403638</v>
      </c>
      <c r="K5" s="38"/>
    </row>
    <row r="6" spans="1:11" x14ac:dyDescent="0.2">
      <c r="A6" s="21">
        <f>+'Rate Class Customer Model'!A15</f>
        <v>2018</v>
      </c>
      <c r="B6" s="37">
        <f>SUMIF(Inputs!$A:$A,'Rate Class Load Model'!$A6,Inputs!$K:$K)</f>
        <v>413412</v>
      </c>
      <c r="C6" s="37">
        <f>SUMIF(Inputs!$A:$A,'Rate Class Load Model'!$A6,Inputs!$N:$N)</f>
        <v>1898</v>
      </c>
      <c r="D6" s="37">
        <f>SUMIF(Inputs!$A:$A,'Rate Class Load Model'!$A6,Inputs!$Q:$Q)</f>
        <v>3915</v>
      </c>
      <c r="E6" s="37">
        <f>SUMIF(Inputs!$A:$A,'Rate Class Load Model'!$A6,Inputs!$W:$W)</f>
        <v>0</v>
      </c>
      <c r="F6" s="46">
        <f t="shared" si="0"/>
        <v>419225</v>
      </c>
      <c r="K6" s="38"/>
    </row>
    <row r="7" spans="1:11" x14ac:dyDescent="0.2">
      <c r="A7" s="21">
        <f>+'Rate Class Customer Model'!A16</f>
        <v>2019</v>
      </c>
      <c r="B7" s="37">
        <f>SUMIF(Inputs!$A:$A,'Rate Class Load Model'!$A7,Inputs!$K:$K)</f>
        <v>415535.11</v>
      </c>
      <c r="C7" s="37">
        <f>SUMIF(Inputs!$A:$A,'Rate Class Load Model'!$A7,Inputs!$N:$N)</f>
        <v>1605</v>
      </c>
      <c r="D7" s="37">
        <f>SUMIF(Inputs!$A:$A,'Rate Class Load Model'!$A7,Inputs!$Q:$Q)</f>
        <v>3924.2</v>
      </c>
      <c r="E7" s="37">
        <f>SUMIF(Inputs!$A:$A,'Rate Class Load Model'!$A7,Inputs!$W:$W)</f>
        <v>0</v>
      </c>
      <c r="F7" s="46">
        <f t="shared" si="0"/>
        <v>421064.31</v>
      </c>
      <c r="K7" s="38"/>
    </row>
    <row r="8" spans="1:11" x14ac:dyDescent="0.2">
      <c r="A8" s="21">
        <f>+'Rate Class Customer Model'!A17</f>
        <v>2020</v>
      </c>
      <c r="B8" s="37">
        <f>SUMIF(Inputs!$A:$A,'Rate Class Load Model'!$A8,Inputs!$K:$K)</f>
        <v>381720.89</v>
      </c>
      <c r="C8" s="37">
        <f>SUMIF(Inputs!$A:$A,'Rate Class Load Model'!$A8,Inputs!$N:$N)</f>
        <v>1473.6</v>
      </c>
      <c r="D8" s="37">
        <f>SUMIF(Inputs!$A:$A,'Rate Class Load Model'!$A8,Inputs!$Q:$Q)</f>
        <v>3960</v>
      </c>
      <c r="E8" s="37">
        <f>SUMIF(Inputs!$A:$A,'Rate Class Load Model'!$A8,Inputs!$W:$W)</f>
        <v>0</v>
      </c>
      <c r="F8" s="46">
        <f t="shared" si="0"/>
        <v>387154.49</v>
      </c>
      <c r="K8" s="38"/>
    </row>
    <row r="9" spans="1:11" x14ac:dyDescent="0.2">
      <c r="A9" s="21">
        <f>+'Rate Class Customer Model'!A18</f>
        <v>2021</v>
      </c>
      <c r="B9" s="37">
        <f>SUMIF(Inputs!$A:$A,'Rate Class Load Model'!$A9,Inputs!$K:$K)</f>
        <v>349225.27</v>
      </c>
      <c r="C9" s="37">
        <f>SUMIF(Inputs!$A:$A,'Rate Class Load Model'!$A9,Inputs!$N:$N)</f>
        <v>1327.5</v>
      </c>
      <c r="D9" s="37">
        <f>SUMIF(Inputs!$A:$A,'Rate Class Load Model'!$A9,Inputs!$Q:$Q)</f>
        <v>3933.6000000000008</v>
      </c>
      <c r="E9" s="37">
        <f>SUMIF(Inputs!$A:$A,'Rate Class Load Model'!$A9,Inputs!$W:$W)</f>
        <v>0</v>
      </c>
      <c r="F9" s="46">
        <f t="shared" si="0"/>
        <v>354486.37</v>
      </c>
    </row>
    <row r="10" spans="1:11" x14ac:dyDescent="0.2">
      <c r="A10" s="21">
        <f>+'Rate Class Customer Model'!A19</f>
        <v>2022</v>
      </c>
      <c r="B10" s="37">
        <f>SUMIF(Inputs!$A:$A,'Rate Class Load Model'!$A10,Inputs!$K:$K)</f>
        <v>357213.14999999997</v>
      </c>
      <c r="C10" s="37">
        <f>SUMIF(Inputs!$A:$A,'Rate Class Load Model'!$A10,Inputs!$N:$N)</f>
        <v>1162.21</v>
      </c>
      <c r="D10" s="37">
        <f>SUMIF(Inputs!$A:$A,'Rate Class Load Model'!$A10,Inputs!$Q:$Q)</f>
        <v>3955.4399999999991</v>
      </c>
      <c r="E10" s="37">
        <f>SUMIF(Inputs!$A:$A,'Rate Class Load Model'!$A10,Inputs!$W:$W)</f>
        <v>0</v>
      </c>
      <c r="F10" s="46">
        <f t="shared" si="0"/>
        <v>362330.8</v>
      </c>
    </row>
    <row r="11" spans="1:11" x14ac:dyDescent="0.2">
      <c r="A11" s="21">
        <f>+'Rate Class Customer Model'!A20</f>
        <v>2023</v>
      </c>
      <c r="B11" s="37">
        <f>SUMIF(Inputs!$A:$A,'Rate Class Load Model'!$A11,Inputs!$K:$K)</f>
        <v>353804.11000000004</v>
      </c>
      <c r="C11" s="37">
        <f>SUMIF(Inputs!$A:$A,'Rate Class Load Model'!$A11,Inputs!$N:$N)</f>
        <v>1153.1099999999999</v>
      </c>
      <c r="D11" s="37">
        <f>SUMIF(Inputs!$A:$A,'Rate Class Load Model'!$A11,Inputs!$Q:$Q)</f>
        <v>4056.9600000000009</v>
      </c>
      <c r="E11" s="37">
        <f>SUMIF(Inputs!$A:$A,'Rate Class Load Model'!$A11,Inputs!$W:$W)</f>
        <v>0</v>
      </c>
      <c r="F11" s="46">
        <f t="shared" si="0"/>
        <v>359014.18000000005</v>
      </c>
    </row>
    <row r="12" spans="1:11" x14ac:dyDescent="0.2">
      <c r="A12" s="21">
        <f>+'Rate Class Customer Model'!A21</f>
        <v>2024</v>
      </c>
      <c r="B12" s="143">
        <f>B$27*'Rate Class Energy Model'!J31</f>
        <v>368579.67169734783</v>
      </c>
      <c r="C12" s="143">
        <f>C$27*'Rate Class Energy Model'!K31</f>
        <v>1105.1062048152135</v>
      </c>
      <c r="D12" s="143">
        <f>D$27*'Rate Class Energy Model'!L31</f>
        <v>4110.8456995557044</v>
      </c>
      <c r="E12" s="143">
        <f>E$27*'Rate Class Energy Model'!N31</f>
        <v>0</v>
      </c>
      <c r="F12" s="46">
        <f t="shared" si="0"/>
        <v>373795.62360171875</v>
      </c>
    </row>
    <row r="13" spans="1:11" x14ac:dyDescent="0.2">
      <c r="A13" s="21">
        <f>+'Rate Class Customer Model'!A22</f>
        <v>2025</v>
      </c>
      <c r="B13" s="143">
        <f>B$27*'Rate Class Energy Model'!J32</f>
        <v>355260.39823045046</v>
      </c>
      <c r="C13" s="143">
        <f>C$27*'Rate Class Energy Model'!K32</f>
        <v>1054.9367723468461</v>
      </c>
      <c r="D13" s="143">
        <f>D$27*'Rate Class Energy Model'!L32</f>
        <v>4146.7045019487132</v>
      </c>
      <c r="E13" s="143">
        <f>E$27*'Rate Class Energy Model'!N32</f>
        <v>0</v>
      </c>
      <c r="F13" s="46">
        <f>SUM(B13:E13)</f>
        <v>360462.03950474603</v>
      </c>
    </row>
    <row r="14" spans="1:11" x14ac:dyDescent="0.2">
      <c r="A14" s="13"/>
    </row>
    <row r="15" spans="1:11" x14ac:dyDescent="0.2">
      <c r="A15" s="13" t="s">
        <v>47</v>
      </c>
      <c r="B15" s="5"/>
      <c r="C15" s="5"/>
      <c r="D15" s="5"/>
      <c r="E15" s="5"/>
    </row>
    <row r="16" spans="1:11" x14ac:dyDescent="0.2">
      <c r="A16" s="21">
        <f>+A2</f>
        <v>2014</v>
      </c>
      <c r="B16" s="150">
        <f>B2/'Rate Class Energy Model'!J3</f>
        <v>2.7905397653945107E-3</v>
      </c>
      <c r="C16" s="150">
        <f>C2/'Rate Class Energy Model'!K3</f>
        <v>2.7632987008585777E-3</v>
      </c>
      <c r="D16" s="150">
        <f>D2/'Rate Class Energy Model'!L3</f>
        <v>2.7930260631834265E-3</v>
      </c>
      <c r="E16" s="150">
        <f>E2/'Rate Class Energy Model'!N3</f>
        <v>2.9038403367009353E-3</v>
      </c>
      <c r="K16" s="19"/>
    </row>
    <row r="17" spans="1:11" x14ac:dyDescent="0.2">
      <c r="A17" s="21">
        <f t="shared" ref="A17:A24" si="1">+A3</f>
        <v>2015</v>
      </c>
      <c r="B17" s="150">
        <f>B3/'Rate Class Energy Model'!J4</f>
        <v>2.881092652070651E-3</v>
      </c>
      <c r="C17" s="150">
        <f>C3/'Rate Class Energy Model'!K4</f>
        <v>2.7547734374585523E-3</v>
      </c>
      <c r="D17" s="150">
        <f>D3/'Rate Class Energy Model'!L4</f>
        <v>2.8345239413538922E-3</v>
      </c>
      <c r="E17" s="150">
        <f>E3/'Rate Class Energy Model'!N4</f>
        <v>1.7287488405833716E-3</v>
      </c>
      <c r="K17" s="19"/>
    </row>
    <row r="18" spans="1:11" x14ac:dyDescent="0.2">
      <c r="A18" s="21">
        <f t="shared" si="1"/>
        <v>2016</v>
      </c>
      <c r="B18" s="150">
        <f>B4/'Rate Class Energy Model'!J5</f>
        <v>2.7645777061329783E-3</v>
      </c>
      <c r="C18" s="150">
        <f>C4/'Rate Class Energy Model'!K5</f>
        <v>2.7500643816625015E-3</v>
      </c>
      <c r="D18" s="150">
        <f>D4/'Rate Class Energy Model'!L5</f>
        <v>2.8950899629687464E-3</v>
      </c>
      <c r="E18" s="150"/>
      <c r="K18" s="19"/>
    </row>
    <row r="19" spans="1:11" x14ac:dyDescent="0.2">
      <c r="A19" s="21">
        <f t="shared" si="1"/>
        <v>2017</v>
      </c>
      <c r="B19" s="150">
        <f>B5/'Rate Class Energy Model'!J6</f>
        <v>2.7526863479052795E-3</v>
      </c>
      <c r="C19" s="50">
        <f>C5/'Rate Class Energy Model'!K6</f>
        <v>2.7594416930793149E-3</v>
      </c>
      <c r="D19" s="50">
        <f>D5/'Rate Class Energy Model'!L6</f>
        <v>2.7923095917629019E-3</v>
      </c>
      <c r="E19" s="50"/>
      <c r="K19" s="19"/>
    </row>
    <row r="20" spans="1:11" x14ac:dyDescent="0.2">
      <c r="A20" s="21">
        <f t="shared" si="1"/>
        <v>2018</v>
      </c>
      <c r="B20" s="150">
        <f>B6/'Rate Class Energy Model'!J7</f>
        <v>2.708942224948596E-3</v>
      </c>
      <c r="C20" s="50">
        <f>C6/'Rate Class Energy Model'!K7</f>
        <v>2.8082157325181913E-3</v>
      </c>
      <c r="D20" s="50">
        <f>D6/'Rate Class Energy Model'!L7</f>
        <v>2.7885493062634213E-3</v>
      </c>
      <c r="E20" s="50"/>
      <c r="K20" s="19"/>
    </row>
    <row r="21" spans="1:11" x14ac:dyDescent="0.2">
      <c r="A21" s="21">
        <f t="shared" si="1"/>
        <v>2019</v>
      </c>
      <c r="B21" s="150">
        <f>B7/'Rate Class Energy Model'!J8</f>
        <v>2.7454807431007552E-3</v>
      </c>
      <c r="C21" s="50">
        <f>C7/'Rate Class Energy Model'!K8</f>
        <v>2.7490537816831661E-3</v>
      </c>
      <c r="D21" s="50">
        <f>D7/'Rate Class Energy Model'!L8</f>
        <v>2.7904147312736109E-3</v>
      </c>
      <c r="E21" s="50"/>
      <c r="K21" s="19"/>
    </row>
    <row r="22" spans="1:11" x14ac:dyDescent="0.2">
      <c r="A22" s="21">
        <f t="shared" si="1"/>
        <v>2020</v>
      </c>
      <c r="B22" s="150">
        <f>B8/'Rate Class Energy Model'!J9</f>
        <v>2.8639575590473621E-3</v>
      </c>
      <c r="C22" s="50">
        <f>C8/'Rate Class Energy Model'!K9</f>
        <v>2.7495886066123874E-3</v>
      </c>
      <c r="D22" s="50">
        <f>D8/'Rate Class Energy Model'!L9</f>
        <v>2.7812754423492164E-3</v>
      </c>
      <c r="E22" s="50"/>
      <c r="K22" s="19"/>
    </row>
    <row r="23" spans="1:11" x14ac:dyDescent="0.2">
      <c r="A23" s="21">
        <f t="shared" si="1"/>
        <v>2021</v>
      </c>
      <c r="B23" s="150">
        <f>B9/'Rate Class Energy Model'!J10</f>
        <v>2.7166817984189463E-3</v>
      </c>
      <c r="C23" s="50">
        <f>C9/'Rate Class Energy Model'!K10</f>
        <v>2.7547491356313138E-3</v>
      </c>
      <c r="D23" s="50">
        <f>D9/'Rate Class Energy Model'!L10</f>
        <v>2.7885453425192672E-3</v>
      </c>
      <c r="E23" s="50"/>
      <c r="K23" s="19"/>
    </row>
    <row r="24" spans="1:11" x14ac:dyDescent="0.2">
      <c r="A24" s="21">
        <f t="shared" si="1"/>
        <v>2022</v>
      </c>
      <c r="B24" s="150">
        <f>B10/'Rate Class Energy Model'!J11</f>
        <v>2.6259982236658146E-3</v>
      </c>
      <c r="C24" s="50">
        <f>C10/'Rate Class Energy Model'!K11</f>
        <v>2.7481438838387407E-3</v>
      </c>
      <c r="D24" s="50">
        <f>D10/'Rate Class Energy Model'!L11</f>
        <v>2.7885455203915171E-3</v>
      </c>
      <c r="E24" s="50"/>
      <c r="K24" s="19"/>
    </row>
    <row r="25" spans="1:11" x14ac:dyDescent="0.2">
      <c r="A25" s="21">
        <v>2023</v>
      </c>
      <c r="B25" s="150">
        <f>B11/'Rate Class Energy Model'!J12</f>
        <v>2.5932616826278166E-3</v>
      </c>
      <c r="C25" s="50">
        <f>C11/'Rate Class Energy Model'!K12</f>
        <v>2.7476527204861982E-3</v>
      </c>
      <c r="D25" s="50">
        <f>D11/'Rate Class Energy Model'!L12</f>
        <v>2.7917882575154642E-3</v>
      </c>
      <c r="E25" s="50"/>
      <c r="K25" s="19"/>
    </row>
    <row r="27" spans="1:11" x14ac:dyDescent="0.2">
      <c r="A27" s="41" t="s">
        <v>46</v>
      </c>
      <c r="B27" s="19">
        <f>B29</f>
        <v>2.7443218703312711E-3</v>
      </c>
      <c r="C27" s="19">
        <f>C29</f>
        <v>2.7584982073828941E-3</v>
      </c>
      <c r="D27" s="19">
        <f>D29</f>
        <v>2.8044068159581463E-3</v>
      </c>
      <c r="E27" s="19">
        <f>E29</f>
        <v>2.3162945886421532E-3</v>
      </c>
    </row>
    <row r="29" spans="1:11" x14ac:dyDescent="0.2">
      <c r="A29" t="s">
        <v>10</v>
      </c>
      <c r="B29" s="19">
        <f>AVERAGE(B16:B25)</f>
        <v>2.7443218703312711E-3</v>
      </c>
      <c r="C29" s="19">
        <f>AVERAGE(C16:C25)</f>
        <v>2.7584982073828941E-3</v>
      </c>
      <c r="D29" s="19">
        <f>AVERAGE(D16:D25)</f>
        <v>2.8044068159581463E-3</v>
      </c>
      <c r="E29" s="19">
        <f>AVERAGE(E16:E25)</f>
        <v>2.3162945886421532E-3</v>
      </c>
      <c r="J29" s="19"/>
      <c r="K29" s="19"/>
    </row>
    <row r="34" spans="2:5" x14ac:dyDescent="0.2">
      <c r="B34" s="18"/>
      <c r="C34" s="18"/>
      <c r="D34" s="18"/>
      <c r="E34" s="18"/>
    </row>
    <row r="35" spans="2:5" x14ac:dyDescent="0.2">
      <c r="B35" s="18"/>
      <c r="C35" s="18"/>
      <c r="D35" s="18"/>
      <c r="E35" s="18"/>
    </row>
    <row r="54" spans="2:5" x14ac:dyDescent="0.2">
      <c r="B54" s="12"/>
      <c r="C54" s="12"/>
      <c r="D54" s="12"/>
      <c r="E54" s="12"/>
    </row>
    <row r="55" spans="2:5" x14ac:dyDescent="0.2">
      <c r="B55" s="12"/>
      <c r="C55" s="12"/>
      <c r="D55" s="12"/>
      <c r="E55" s="12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Inputs</vt:lpstr>
      <vt:lpstr>Load Forecast Summary</vt:lpstr>
      <vt:lpstr>Power Purchased Model</vt:lpstr>
      <vt:lpstr>Power Purchased Model-WN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'Power Purchased Model-WN'!Print_Area</vt:lpstr>
      <vt:lpstr>'Rate Class Customer Model'!Print_Area</vt:lpstr>
      <vt:lpstr>'Rate Class Load Model'!Print_Area</vt:lpstr>
      <vt:lpstr>Inputs!Print_Titles</vt:lpstr>
      <vt:lpstr>'Power Purchased Model'!Print_Titles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2024-11-19T20:57:03Z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