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hydro.torontohydro.com/divisions/regulatorylegal/2025RateApp/Exhibits/DRO-Settlement Proposal Update/Schedules/"/>
    </mc:Choice>
  </mc:AlternateContent>
  <xr:revisionPtr revIDLastSave="0" documentId="13_ncr:1_{FB1BF646-6C50-48B4-BABC-E6E03B0C372F}" xr6:coauthVersionLast="47" xr6:coauthVersionMax="47" xr10:uidLastSave="{00000000-0000-0000-0000-000000000000}"/>
  <bookViews>
    <workbookView xWindow="-110" yWindow="-110" windowWidth="19420" windowHeight="10420" xr2:uid="{F5709B48-4D95-4E5B-962A-91AFF5309C62}"/>
  </bookViews>
  <sheets>
    <sheet name="2025 Rate Design" sheetId="1" r:id="rId1"/>
  </sheets>
  <definedNames>
    <definedName name="wrn.Appendixes._.for._.OEB." localSheetId="0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ppendixes._.for._.OEB.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backups._.for._.appendixes." localSheetId="0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ckups._.for._.appendixes.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6" i="1" l="1"/>
  <c r="H74" i="1"/>
  <c r="D74" i="1"/>
  <c r="B73" i="1"/>
  <c r="B72" i="1"/>
  <c r="B71" i="1"/>
  <c r="B70" i="1"/>
  <c r="B63" i="1"/>
  <c r="J49" i="1"/>
  <c r="G86" i="1"/>
  <c r="E86" i="1"/>
  <c r="K86" i="1" s="1"/>
  <c r="J35" i="1"/>
  <c r="I35" i="1"/>
  <c r="H35" i="1"/>
  <c r="G35" i="1"/>
  <c r="G37" i="1" s="1"/>
  <c r="G52" i="1" s="1"/>
  <c r="E35" i="1"/>
  <c r="D35" i="1"/>
  <c r="C35" i="1"/>
  <c r="K34" i="1"/>
  <c r="K33" i="1"/>
  <c r="K32" i="1"/>
  <c r="K31" i="1"/>
  <c r="K30" i="1"/>
  <c r="I27" i="1"/>
  <c r="F29" i="1" s="1"/>
  <c r="H18" i="1"/>
  <c r="I17" i="1"/>
  <c r="I37" i="1" s="1"/>
  <c r="I40" i="1" s="1"/>
  <c r="G17" i="1"/>
  <c r="D17" i="1"/>
  <c r="C17" i="1"/>
  <c r="J15" i="1"/>
  <c r="I18" i="1"/>
  <c r="F18" i="1"/>
  <c r="E18" i="1"/>
  <c r="K13" i="1"/>
  <c r="J12" i="1"/>
  <c r="J14" i="1" s="1"/>
  <c r="G12" i="1"/>
  <c r="C12" i="1"/>
  <c r="G18" i="1"/>
  <c r="G19" i="1" s="1"/>
  <c r="D18" i="1"/>
  <c r="J17" i="1"/>
  <c r="I12" i="1"/>
  <c r="I14" i="1" s="1"/>
  <c r="H12" i="1"/>
  <c r="K5" i="1"/>
  <c r="J74" i="1"/>
  <c r="I74" i="1"/>
  <c r="G74" i="1"/>
  <c r="F74" i="1"/>
  <c r="E74" i="1"/>
  <c r="C74" i="1"/>
  <c r="G15" i="1" l="1"/>
  <c r="G14" i="1"/>
  <c r="I19" i="1"/>
  <c r="K38" i="1"/>
  <c r="K6" i="1"/>
  <c r="D45" i="1" s="1"/>
  <c r="C46" i="1"/>
  <c r="K7" i="1"/>
  <c r="D46" i="1" s="1"/>
  <c r="H15" i="1"/>
  <c r="H14" i="1"/>
  <c r="I15" i="1"/>
  <c r="C18" i="1"/>
  <c r="C20" i="1" s="1"/>
  <c r="I41" i="1"/>
  <c r="I39" i="1"/>
  <c r="I20" i="1"/>
  <c r="G41" i="1"/>
  <c r="G40" i="1"/>
  <c r="G39" i="1"/>
  <c r="G54" i="1" s="1"/>
  <c r="G59" i="1" s="1"/>
  <c r="G88" i="1"/>
  <c r="I52" i="1"/>
  <c r="G57" i="1"/>
  <c r="G62" i="1" s="1"/>
  <c r="F46" i="1"/>
  <c r="K10" i="1"/>
  <c r="K18" i="1" s="1"/>
  <c r="C15" i="1"/>
  <c r="C14" i="1"/>
  <c r="D37" i="1"/>
  <c r="D20" i="1"/>
  <c r="D19" i="1"/>
  <c r="J18" i="1"/>
  <c r="J19" i="1" s="1"/>
  <c r="F35" i="1"/>
  <c r="K35" i="1" s="1"/>
  <c r="K29" i="1"/>
  <c r="I53" i="1"/>
  <c r="I88" i="1"/>
  <c r="D50" i="1"/>
  <c r="D12" i="1"/>
  <c r="G20" i="1"/>
  <c r="F17" i="1"/>
  <c r="E12" i="1"/>
  <c r="E17" i="1"/>
  <c r="F12" i="1"/>
  <c r="H17" i="1"/>
  <c r="E50" i="1"/>
  <c r="K9" i="1"/>
  <c r="G50" i="1" s="1"/>
  <c r="C50" i="1" l="1"/>
  <c r="F50" i="1"/>
  <c r="C19" i="1"/>
  <c r="I46" i="1"/>
  <c r="J50" i="1"/>
  <c r="I58" i="1"/>
  <c r="I62" i="1"/>
  <c r="H19" i="1"/>
  <c r="H37" i="1"/>
  <c r="H20" i="1"/>
  <c r="G22" i="1"/>
  <c r="G23" i="1"/>
  <c r="I54" i="1"/>
  <c r="I59" i="1" s="1"/>
  <c r="E46" i="1"/>
  <c r="J46" i="1"/>
  <c r="G46" i="1"/>
  <c r="K46" i="1" s="1"/>
  <c r="H46" i="1"/>
  <c r="F15" i="1"/>
  <c r="F14" i="1"/>
  <c r="E19" i="1"/>
  <c r="E20" i="1"/>
  <c r="I23" i="1"/>
  <c r="I22" i="1"/>
  <c r="F45" i="1"/>
  <c r="C45" i="1"/>
  <c r="E45" i="1"/>
  <c r="H45" i="1"/>
  <c r="D15" i="1"/>
  <c r="D14" i="1"/>
  <c r="K12" i="1"/>
  <c r="E14" i="1"/>
  <c r="E15" i="1"/>
  <c r="G45" i="1"/>
  <c r="G55" i="1"/>
  <c r="F20" i="1"/>
  <c r="F19" i="1"/>
  <c r="F37" i="1"/>
  <c r="D23" i="1"/>
  <c r="D22" i="1"/>
  <c r="G66" i="1"/>
  <c r="G68" i="1" s="1"/>
  <c r="G70" i="1" s="1"/>
  <c r="G67" i="1"/>
  <c r="C22" i="1"/>
  <c r="C23" i="1"/>
  <c r="I45" i="1"/>
  <c r="K17" i="1"/>
  <c r="H50" i="1"/>
  <c r="I50" i="1"/>
  <c r="K50" i="1" s="1"/>
  <c r="D41" i="1"/>
  <c r="D40" i="1"/>
  <c r="D39" i="1"/>
  <c r="D88" i="1"/>
  <c r="D52" i="1"/>
  <c r="I57" i="1"/>
  <c r="I55" i="1"/>
  <c r="J20" i="1"/>
  <c r="J45" i="1"/>
  <c r="K15" i="1" l="1"/>
  <c r="G72" i="1"/>
  <c r="G77" i="1" s="1"/>
  <c r="G83" i="1" s="1"/>
  <c r="J23" i="1"/>
  <c r="J27" i="1"/>
  <c r="J37" i="1" s="1"/>
  <c r="J22" i="1"/>
  <c r="H23" i="1"/>
  <c r="H22" i="1"/>
  <c r="H39" i="1"/>
  <c r="H54" i="1" s="1"/>
  <c r="H59" i="1" s="1"/>
  <c r="H88" i="1"/>
  <c r="H53" i="1"/>
  <c r="H40" i="1"/>
  <c r="H41" i="1"/>
  <c r="D57" i="1"/>
  <c r="D62" i="1" s="1"/>
  <c r="G73" i="1"/>
  <c r="G75" i="1"/>
  <c r="G81" i="1" s="1"/>
  <c r="G85" i="1" s="1"/>
  <c r="G87" i="1" s="1"/>
  <c r="G89" i="1" s="1"/>
  <c r="F52" i="1"/>
  <c r="F41" i="1"/>
  <c r="F40" i="1"/>
  <c r="F88" i="1"/>
  <c r="F39" i="1"/>
  <c r="E23" i="1"/>
  <c r="E22" i="1"/>
  <c r="E27" i="1"/>
  <c r="E37" i="1" s="1"/>
  <c r="I66" i="1"/>
  <c r="I68" i="1" s="1"/>
  <c r="I67" i="1"/>
  <c r="D54" i="1"/>
  <c r="C27" i="1"/>
  <c r="K45" i="1"/>
  <c r="K20" i="1"/>
  <c r="K19" i="1"/>
  <c r="F22" i="1"/>
  <c r="F23" i="1"/>
  <c r="D66" i="1" l="1"/>
  <c r="D68" i="1" s="1"/>
  <c r="D70" i="1" s="1"/>
  <c r="D67" i="1"/>
  <c r="J24" i="1"/>
  <c r="D59" i="1"/>
  <c r="I71" i="1"/>
  <c r="I70" i="1"/>
  <c r="E52" i="1"/>
  <c r="E39" i="1"/>
  <c r="E54" i="1" s="1"/>
  <c r="E59" i="1" s="1"/>
  <c r="E40" i="1"/>
  <c r="E88" i="1"/>
  <c r="E41" i="1"/>
  <c r="F24" i="1"/>
  <c r="K27" i="1"/>
  <c r="C37" i="1"/>
  <c r="H58" i="1"/>
  <c r="H55" i="1"/>
  <c r="K53" i="1"/>
  <c r="J88" i="1"/>
  <c r="J52" i="1"/>
  <c r="J41" i="1"/>
  <c r="J40" i="1"/>
  <c r="J39" i="1"/>
  <c r="F57" i="1"/>
  <c r="F62" i="1" s="1"/>
  <c r="F55" i="1"/>
  <c r="K22" i="1"/>
  <c r="K23" i="1"/>
  <c r="F25" i="1" s="1"/>
  <c r="E25" i="1"/>
  <c r="D55" i="1"/>
  <c r="D72" i="1" s="1"/>
  <c r="D77" i="1" s="1"/>
  <c r="D82" i="1" s="1"/>
  <c r="F54" i="1"/>
  <c r="F59" i="1" s="1"/>
  <c r="J57" i="1" l="1"/>
  <c r="J62" i="1" s="1"/>
  <c r="J68" i="1" s="1"/>
  <c r="J70" i="1" s="1"/>
  <c r="J55" i="1"/>
  <c r="I76" i="1"/>
  <c r="I84" i="1" s="1"/>
  <c r="I75" i="1"/>
  <c r="I81" i="1" s="1"/>
  <c r="I72" i="1"/>
  <c r="I77" i="1" s="1"/>
  <c r="I82" i="1" s="1"/>
  <c r="K82" i="1" s="1"/>
  <c r="I25" i="1"/>
  <c r="C25" i="1"/>
  <c r="G25" i="1"/>
  <c r="D25" i="1"/>
  <c r="C24" i="1"/>
  <c r="I24" i="1"/>
  <c r="G24" i="1"/>
  <c r="D24" i="1"/>
  <c r="K54" i="1"/>
  <c r="F67" i="1"/>
  <c r="F66" i="1"/>
  <c r="F68" i="1" s="1"/>
  <c r="F70" i="1" s="1"/>
  <c r="F72" i="1" s="1"/>
  <c r="F77" i="1" s="1"/>
  <c r="F83" i="1" s="1"/>
  <c r="H66" i="1"/>
  <c r="H71" i="1" s="1"/>
  <c r="H67" i="1"/>
  <c r="H24" i="1"/>
  <c r="H72" i="1"/>
  <c r="H77" i="1" s="1"/>
  <c r="H83" i="1" s="1"/>
  <c r="E24" i="1"/>
  <c r="E57" i="1"/>
  <c r="E62" i="1" s="1"/>
  <c r="E55" i="1"/>
  <c r="J25" i="1"/>
  <c r="C88" i="1"/>
  <c r="K88" i="1" s="1"/>
  <c r="C52" i="1"/>
  <c r="C41" i="1"/>
  <c r="C40" i="1"/>
  <c r="C39" i="1"/>
  <c r="K39" i="1" s="1"/>
  <c r="K37" i="1"/>
  <c r="H25" i="1"/>
  <c r="D73" i="1"/>
  <c r="D75" i="1"/>
  <c r="D81" i="1" s="1"/>
  <c r="D85" i="1" s="1"/>
  <c r="D87" i="1" s="1"/>
  <c r="D89" i="1" s="1"/>
  <c r="I85" i="1" l="1"/>
  <c r="I87" i="1" s="1"/>
  <c r="I89" i="1" s="1"/>
  <c r="I73" i="1"/>
  <c r="C57" i="1"/>
  <c r="C62" i="1" s="1"/>
  <c r="C68" i="1" s="1"/>
  <c r="C70" i="1" s="1"/>
  <c r="C55" i="1"/>
  <c r="K52" i="1"/>
  <c r="K55" i="1" s="1"/>
  <c r="K24" i="1"/>
  <c r="F75" i="1"/>
  <c r="F81" i="1" s="1"/>
  <c r="F85" i="1" s="1"/>
  <c r="F87" i="1" s="1"/>
  <c r="F89" i="1" s="1"/>
  <c r="F73" i="1"/>
  <c r="K71" i="1"/>
  <c r="H76" i="1"/>
  <c r="H84" i="1" s="1"/>
  <c r="K84" i="1" s="1"/>
  <c r="H73" i="1"/>
  <c r="E67" i="1"/>
  <c r="E66" i="1"/>
  <c r="E68" i="1" s="1"/>
  <c r="E70" i="1" s="1"/>
  <c r="K25" i="1"/>
  <c r="J72" i="1"/>
  <c r="J73" i="1" s="1"/>
  <c r="J75" i="1"/>
  <c r="J81" i="1" s="1"/>
  <c r="J85" i="1" s="1"/>
  <c r="J87" i="1" s="1"/>
  <c r="J89" i="1" s="1"/>
  <c r="C75" i="1" l="1"/>
  <c r="C81" i="1" s="1"/>
  <c r="K70" i="1"/>
  <c r="H85" i="1"/>
  <c r="H87" i="1" s="1"/>
  <c r="H89" i="1" s="1"/>
  <c r="E75" i="1"/>
  <c r="E81" i="1" s="1"/>
  <c r="E85" i="1" s="1"/>
  <c r="E87" i="1" s="1"/>
  <c r="E89" i="1" s="1"/>
  <c r="E72" i="1"/>
  <c r="E77" i="1" s="1"/>
  <c r="E83" i="1" s="1"/>
  <c r="K83" i="1" s="1"/>
  <c r="C72" i="1"/>
  <c r="K72" i="1" s="1"/>
  <c r="E73" i="1" l="1"/>
  <c r="C73" i="1"/>
  <c r="K73" i="1" s="1"/>
  <c r="K81" i="1"/>
  <c r="K85" i="1" s="1"/>
  <c r="C85" i="1"/>
  <c r="C87" i="1" s="1"/>
  <c r="K87" i="1" l="1"/>
  <c r="K89" i="1" s="1"/>
  <c r="C89" i="1"/>
</calcChain>
</file>

<file path=xl/sharedStrings.xml><?xml version="1.0" encoding="utf-8"?>
<sst xmlns="http://schemas.openxmlformats.org/spreadsheetml/2006/main" count="104" uniqueCount="74">
  <si>
    <t xml:space="preserve"> </t>
  </si>
  <si>
    <t>Rates Design</t>
  </si>
  <si>
    <t>TOTAL</t>
  </si>
  <si>
    <t>2025 Load Forecast</t>
  </si>
  <si>
    <t>kVA</t>
  </si>
  <si>
    <t>kWhs</t>
  </si>
  <si>
    <t>Number of Customers</t>
  </si>
  <si>
    <t>Devices/Connections</t>
  </si>
  <si>
    <t>Revenue without Revenue Offsets at Status Quo Rates (1+D)</t>
  </si>
  <si>
    <t>Revenue Offsets</t>
  </si>
  <si>
    <t>Cost Allocation Study with Revenue Offsets</t>
  </si>
  <si>
    <t>Revenue with Revenue Offsets at Status Quo</t>
  </si>
  <si>
    <t>Revenue Requirement - Cost</t>
  </si>
  <si>
    <t>Revenue-to-Cost  Ratio</t>
  </si>
  <si>
    <t>Revenue Surplus/ShortFall (-)</t>
  </si>
  <si>
    <t>Cost Allocation Study without Revenue Offsets</t>
  </si>
  <si>
    <t>Revenue without Revenue Offsets at Status Quo (1+D)</t>
  </si>
  <si>
    <t>Revenue Requirement -  Cost</t>
  </si>
  <si>
    <t>Revenue Requirement Recovery</t>
  </si>
  <si>
    <t>Revenue Under Recovered</t>
  </si>
  <si>
    <t>Revenue Over Recovered</t>
  </si>
  <si>
    <t>Revenue Requirement Recovery Adjustments</t>
  </si>
  <si>
    <t>Reclass to shift down</t>
  </si>
  <si>
    <t>Round 1</t>
  </si>
  <si>
    <t>Round 2</t>
  </si>
  <si>
    <t>Round 3</t>
  </si>
  <si>
    <t>Round 4</t>
  </si>
  <si>
    <t>Round 5</t>
  </si>
  <si>
    <t>Round 6</t>
  </si>
  <si>
    <t>Reclass to shift up</t>
  </si>
  <si>
    <t>Proposed Revenue Requirement</t>
  </si>
  <si>
    <t>Proposed Revenue Requirement without Transformer Allowance</t>
  </si>
  <si>
    <t>Transformer Allowance</t>
  </si>
  <si>
    <t>Proposed Revenue Requirement with Transformer Allowance</t>
  </si>
  <si>
    <t>Proposed Revenue-to-Cost Ratio</t>
  </si>
  <si>
    <t>Revenue-to-Cost Ratio including Revenue Offsets</t>
  </si>
  <si>
    <t>OEB Prescribed Ratios (Min)</t>
  </si>
  <si>
    <t>OEB Prescribed Ratios (Max)</t>
  </si>
  <si>
    <t>Allocators</t>
  </si>
  <si>
    <t>Revenue - Fixed (Customer)</t>
  </si>
  <si>
    <t>Revenue -  Connections</t>
  </si>
  <si>
    <t>Revenue -  Variable</t>
  </si>
  <si>
    <t>Proposed Revenue Requirement Split</t>
  </si>
  <si>
    <t>Total</t>
  </si>
  <si>
    <t xml:space="preserve">Proposed 2025 Distribution Rates </t>
  </si>
  <si>
    <t>Fix Charge</t>
  </si>
  <si>
    <t>Connection Charge</t>
  </si>
  <si>
    <t>Volumetric Charge</t>
  </si>
  <si>
    <t>Fixed Charges per month</t>
  </si>
  <si>
    <t>Ceiling</t>
  </si>
  <si>
    <t>Floor</t>
  </si>
  <si>
    <t>Rates are higher than ceiling test</t>
  </si>
  <si>
    <t>n/a</t>
  </si>
  <si>
    <t>Rates are lower than floor test</t>
  </si>
  <si>
    <t>Rates applicable</t>
  </si>
  <si>
    <t>Fix Charge ($ per 30 days)</t>
  </si>
  <si>
    <t>Connection Charge (per connection per 30 days)</t>
  </si>
  <si>
    <t>Volumetric Charge ('$/kWh or $/kVA per 30 days)</t>
  </si>
  <si>
    <t>CHECK = Revenue Reconciliation</t>
  </si>
  <si>
    <t>Fixed</t>
  </si>
  <si>
    <t>Variable (kWh)</t>
  </si>
  <si>
    <t>Variable (kVA)</t>
  </si>
  <si>
    <t>Connection Charges</t>
  </si>
  <si>
    <t xml:space="preserve">Total </t>
  </si>
  <si>
    <t>Revenue Requirement</t>
  </si>
  <si>
    <t>Validation</t>
  </si>
  <si>
    <t>Residential</t>
  </si>
  <si>
    <t>GS &lt;50</t>
  </si>
  <si>
    <t>GS 50-999 kW</t>
  </si>
  <si>
    <t>GS 1,000-4,999 kW</t>
  </si>
  <si>
    <t>Large Use &gt;5MW</t>
  </si>
  <si>
    <t>Street Light</t>
  </si>
  <si>
    <t>Unmetered Scattered Load</t>
  </si>
  <si>
    <t>Competitive Sector Multi-Unit Residential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</si>
</sst>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-* #,##0_-;\-* #,##0_-;_-* &quot;-&quot;_-;_-@_-"/>
    <numFmt numFmtId="44" formatCode="_-&quot;$&quot;* #,##0.00_-;\-&quot;$&quot;* #,##0.00_-;_-&quot;$&quot;* &quot;-&quot;??_-;_-@_-"/>
    <numFmt numFmtId="164" formatCode="0.0%"/>
    <numFmt numFmtId="165" formatCode="_(* #,##0.00_);_(* \(#,##0.00\);_(* &quot;-&quot;??_);_(@_)"/>
    <numFmt numFmtId="166" formatCode="_(* #,##0_);_(* \(#,##0\);_(* &quot;-&quot;??_);_(@_)"/>
    <numFmt numFmtId="167" formatCode="_(&quot;$&quot;* #,##0.00_);_(&quot;$&quot;* \(#,##0.00\);_(&quot;$&quot;* &quot;-&quot;??_);_(@_)"/>
    <numFmt numFmtId="168" formatCode="&quot;$&quot;#,##0"/>
    <numFmt numFmtId="169" formatCode="_(&quot;$&quot;* #,##0_);_(&quot;$&quot;* \(#,##0\);_(&quot;$&quot;* &quot;-&quot;??_);_(@_)"/>
    <numFmt numFmtId="170" formatCode="0.0000%"/>
    <numFmt numFmtId="171" formatCode="_-\ &quot;$&quot;#,##0_-;\-\ &quot;$&quot;#,##0_-;_-* &quot;-&quot;_-;_-@_-"/>
    <numFmt numFmtId="172" formatCode="_-* #,##0_-;\-\ #,##0_-;_-* &quot;-&quot;_-;_-@_-"/>
    <numFmt numFmtId="173" formatCode="&quot;$&quot;#,##0.00"/>
    <numFmt numFmtId="174" formatCode="&quot;$&quot;#,##0.00000"/>
    <numFmt numFmtId="175" formatCode="&quot;$&quot;#,##0.0000"/>
    <numFmt numFmtId="176" formatCode="_-\ &quot;$&quot;#,##0.00_-;\-\ &quot;$&quot;#,##0.00_-;_-* &quot;-&quot;_-;_-@_-"/>
    <numFmt numFmtId="177" formatCode="&quot;$&quot;#,##0.00;[Red]&quot;$&quot;#,##0.00"/>
  </numFmts>
  <fonts count="22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1"/>
      <name val="Calibri"/>
      <family val="2"/>
      <scheme val="minor"/>
    </font>
    <font>
      <b/>
      <i/>
      <sz val="12"/>
      <color theme="1"/>
      <name val="Arial"/>
      <family val="2"/>
    </font>
    <font>
      <b/>
      <i/>
      <sz val="12"/>
      <name val="Arial"/>
      <family val="2"/>
    </font>
    <font>
      <b/>
      <sz val="12"/>
      <color theme="1"/>
      <name val="Arial"/>
      <family val="2"/>
    </font>
    <font>
      <sz val="11"/>
      <color indexed="8"/>
      <name val="Calibri"/>
      <family val="2"/>
      <scheme val="minor"/>
    </font>
    <font>
      <sz val="12"/>
      <color indexed="8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2"/>
      <color indexed="8"/>
      <name val="Arial"/>
      <family val="2"/>
    </font>
    <font>
      <sz val="11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i/>
      <sz val="12"/>
      <color theme="0" tint="-0.499984740745262"/>
      <name val="Arial"/>
      <family val="2"/>
    </font>
    <font>
      <i/>
      <sz val="11"/>
      <color theme="0" tint="-0.24997711111789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</cellStyleXfs>
  <cellXfs count="19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2" fillId="0" borderId="3" xfId="0" applyFont="1" applyBorder="1"/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164" fontId="4" fillId="0" borderId="0" xfId="3" applyNumberFormat="1" applyFont="1" applyFill="1" applyBorder="1"/>
    <xf numFmtId="0" fontId="8" fillId="0" borderId="0" xfId="0" applyFont="1"/>
    <xf numFmtId="0" fontId="5" fillId="2" borderId="1" xfId="0" applyFont="1" applyFill="1" applyBorder="1"/>
    <xf numFmtId="10" fontId="9" fillId="2" borderId="5" xfId="0" applyNumberFormat="1" applyFont="1" applyFill="1" applyBorder="1"/>
    <xf numFmtId="164" fontId="10" fillId="2" borderId="4" xfId="3" applyNumberFormat="1" applyFont="1" applyFill="1" applyBorder="1"/>
    <xf numFmtId="0" fontId="11" fillId="0" borderId="6" xfId="0" applyFont="1" applyBorder="1" applyAlignment="1">
      <alignment horizontal="left" indent="1"/>
    </xf>
    <xf numFmtId="166" fontId="11" fillId="0" borderId="7" xfId="1" applyNumberFormat="1" applyFont="1" applyFill="1" applyBorder="1"/>
    <xf numFmtId="166" fontId="5" fillId="0" borderId="8" xfId="1" applyNumberFormat="1" applyFont="1" applyFill="1" applyBorder="1"/>
    <xf numFmtId="3" fontId="8" fillId="0" borderId="0" xfId="0" applyNumberFormat="1" applyFont="1"/>
    <xf numFmtId="166" fontId="2" fillId="0" borderId="0" xfId="0" applyNumberFormat="1" applyFont="1"/>
    <xf numFmtId="0" fontId="11" fillId="0" borderId="3" xfId="0" applyFont="1" applyBorder="1" applyAlignment="1">
      <alignment horizontal="left" indent="1"/>
    </xf>
    <xf numFmtId="166" fontId="11" fillId="0" borderId="0" xfId="1" applyNumberFormat="1" applyFont="1" applyFill="1" applyBorder="1"/>
    <xf numFmtId="166" fontId="5" fillId="0" borderId="9" xfId="1" applyNumberFormat="1" applyFont="1" applyFill="1" applyBorder="1"/>
    <xf numFmtId="166" fontId="11" fillId="0" borderId="0" xfId="1" applyNumberFormat="1" applyFont="1" applyFill="1" applyBorder="1" applyAlignment="1">
      <alignment horizontal="right"/>
    </xf>
    <xf numFmtId="166" fontId="12" fillId="0" borderId="0" xfId="1" applyNumberFormat="1" applyFont="1" applyFill="1" applyBorder="1"/>
    <xf numFmtId="166" fontId="11" fillId="0" borderId="0" xfId="0" applyNumberFormat="1" applyFont="1"/>
    <xf numFmtId="168" fontId="11" fillId="0" borderId="0" xfId="2" applyNumberFormat="1" applyFont="1" applyFill="1" applyBorder="1" applyAlignment="1">
      <alignment horizontal="right"/>
    </xf>
    <xf numFmtId="168" fontId="11" fillId="0" borderId="0" xfId="2" applyNumberFormat="1" applyFont="1" applyFill="1" applyBorder="1"/>
    <xf numFmtId="168" fontId="5" fillId="0" borderId="9" xfId="2" applyNumberFormat="1" applyFont="1" applyFill="1" applyBorder="1"/>
    <xf numFmtId="169" fontId="8" fillId="0" borderId="0" xfId="2" applyNumberFormat="1" applyFont="1" applyFill="1" applyBorder="1"/>
    <xf numFmtId="169" fontId="8" fillId="0" borderId="0" xfId="0" applyNumberFormat="1" applyFont="1"/>
    <xf numFmtId="0" fontId="11" fillId="0" borderId="10" xfId="0" applyFont="1" applyBorder="1" applyAlignment="1">
      <alignment horizontal="left" wrapText="1" indent="1"/>
    </xf>
    <xf numFmtId="168" fontId="11" fillId="0" borderId="11" xfId="2" applyNumberFormat="1" applyFont="1" applyFill="1" applyBorder="1" applyAlignment="1">
      <alignment horizontal="right"/>
    </xf>
    <xf numFmtId="168" fontId="11" fillId="0" borderId="11" xfId="2" applyNumberFormat="1" applyFont="1" applyFill="1" applyBorder="1"/>
    <xf numFmtId="168" fontId="5" fillId="0" borderId="12" xfId="2" applyNumberFormat="1" applyFont="1" applyFill="1" applyBorder="1"/>
    <xf numFmtId="0" fontId="13" fillId="2" borderId="1" xfId="0" applyFont="1" applyFill="1" applyBorder="1"/>
    <xf numFmtId="164" fontId="9" fillId="2" borderId="4" xfId="3" applyNumberFormat="1" applyFont="1" applyFill="1" applyBorder="1"/>
    <xf numFmtId="170" fontId="4" fillId="0" borderId="0" xfId="0" applyNumberFormat="1" applyFont="1"/>
    <xf numFmtId="168" fontId="11" fillId="0" borderId="7" xfId="2" applyNumberFormat="1" applyFont="1" applyFill="1" applyBorder="1"/>
    <xf numFmtId="168" fontId="5" fillId="0" borderId="8" xfId="2" applyNumberFormat="1" applyFont="1" applyFill="1" applyBorder="1"/>
    <xf numFmtId="169" fontId="4" fillId="0" borderId="0" xfId="0" applyNumberFormat="1" applyFont="1"/>
    <xf numFmtId="44" fontId="4" fillId="0" borderId="0" xfId="0" applyNumberFormat="1" applyFont="1"/>
    <xf numFmtId="0" fontId="5" fillId="0" borderId="3" xfId="0" applyFont="1" applyBorder="1" applyAlignment="1">
      <alignment horizontal="left" indent="1"/>
    </xf>
    <xf numFmtId="10" fontId="5" fillId="0" borderId="0" xfId="3" applyNumberFormat="1" applyFont="1" applyFill="1" applyBorder="1"/>
    <xf numFmtId="10" fontId="5" fillId="0" borderId="9" xfId="3" applyNumberFormat="1" applyFont="1" applyFill="1" applyBorder="1"/>
    <xf numFmtId="0" fontId="11" fillId="0" borderId="10" xfId="0" applyFont="1" applyBorder="1" applyAlignment="1">
      <alignment horizontal="left" indent="1"/>
    </xf>
    <xf numFmtId="168" fontId="11" fillId="0" borderId="9" xfId="2" applyNumberFormat="1" applyFont="1" applyFill="1" applyBorder="1"/>
    <xf numFmtId="168" fontId="11" fillId="0" borderId="12" xfId="2" applyNumberFormat="1" applyFont="1" applyFill="1" applyBorder="1"/>
    <xf numFmtId="169" fontId="11" fillId="2" borderId="5" xfId="2" applyNumberFormat="1" applyFont="1" applyFill="1" applyBorder="1"/>
    <xf numFmtId="169" fontId="11" fillId="2" borderId="4" xfId="2" applyNumberFormat="1" applyFont="1" applyFill="1" applyBorder="1"/>
    <xf numFmtId="0" fontId="5" fillId="0" borderId="3" xfId="0" applyFont="1" applyBorder="1" applyAlignment="1">
      <alignment horizontal="left" wrapText="1" indent="1"/>
    </xf>
    <xf numFmtId="171" fontId="11" fillId="0" borderId="0" xfId="2" applyNumberFormat="1" applyFont="1" applyFill="1" applyBorder="1"/>
    <xf numFmtId="9" fontId="11" fillId="0" borderId="0" xfId="3" applyFont="1" applyFill="1" applyBorder="1"/>
    <xf numFmtId="9" fontId="5" fillId="0" borderId="9" xfId="3" applyFont="1" applyFill="1" applyBorder="1"/>
    <xf numFmtId="0" fontId="5" fillId="0" borderId="10" xfId="0" applyFont="1" applyBorder="1" applyAlignment="1">
      <alignment horizontal="left" wrapText="1" indent="1"/>
    </xf>
    <xf numFmtId="9" fontId="11" fillId="0" borderId="11" xfId="3" applyFont="1" applyFill="1" applyBorder="1"/>
    <xf numFmtId="9" fontId="5" fillId="0" borderId="12" xfId="3" applyFont="1" applyFill="1" applyBorder="1"/>
    <xf numFmtId="0" fontId="5" fillId="2" borderId="1" xfId="0" applyFont="1" applyFill="1" applyBorder="1" applyAlignment="1">
      <alignment vertical="center"/>
    </xf>
    <xf numFmtId="9" fontId="11" fillId="2" borderId="5" xfId="3" applyFont="1" applyFill="1" applyBorder="1"/>
    <xf numFmtId="9" fontId="5" fillId="2" borderId="4" xfId="3" applyFont="1" applyFill="1" applyBorder="1"/>
    <xf numFmtId="0" fontId="5" fillId="0" borderId="6" xfId="0" applyFont="1" applyBorder="1" applyAlignment="1">
      <alignment horizontal="left" vertical="center" indent="1"/>
    </xf>
    <xf numFmtId="171" fontId="11" fillId="0" borderId="7" xfId="2" applyNumberFormat="1" applyFont="1" applyFill="1" applyBorder="1" applyAlignment="1">
      <alignment horizontal="right" vertical="center"/>
    </xf>
    <xf numFmtId="171" fontId="14" fillId="0" borderId="7" xfId="2" applyNumberFormat="1" applyFont="1" applyFill="1" applyBorder="1" applyAlignment="1">
      <alignment horizontal="right" vertical="center"/>
    </xf>
    <xf numFmtId="171" fontId="11" fillId="0" borderId="7" xfId="4" applyNumberFormat="1" applyFont="1" applyFill="1" applyBorder="1" applyAlignment="1">
      <alignment horizontal="right" vertical="center"/>
    </xf>
    <xf numFmtId="168" fontId="5" fillId="0" borderId="8" xfId="2" applyNumberFormat="1" applyFont="1" applyFill="1" applyBorder="1" applyAlignment="1">
      <alignment horizontal="right" vertical="center"/>
    </xf>
    <xf numFmtId="166" fontId="3" fillId="0" borderId="0" xfId="1" applyNumberFormat="1" applyFont="1" applyFill="1" applyBorder="1"/>
    <xf numFmtId="0" fontId="5" fillId="0" borderId="3" xfId="0" applyFont="1" applyBorder="1" applyAlignment="1">
      <alignment horizontal="left" vertical="center" indent="1"/>
    </xf>
    <xf numFmtId="171" fontId="11" fillId="0" borderId="0" xfId="2" applyNumberFormat="1" applyFont="1" applyFill="1" applyBorder="1" applyAlignment="1">
      <alignment horizontal="right" vertical="center"/>
    </xf>
    <xf numFmtId="171" fontId="14" fillId="0" borderId="0" xfId="2" applyNumberFormat="1" applyFont="1" applyFill="1" applyBorder="1" applyAlignment="1">
      <alignment horizontal="right" vertical="center"/>
    </xf>
    <xf numFmtId="171" fontId="11" fillId="0" borderId="0" xfId="4" applyNumberFormat="1" applyFont="1" applyFill="1" applyBorder="1" applyAlignment="1">
      <alignment horizontal="right" vertical="center"/>
    </xf>
    <xf numFmtId="168" fontId="5" fillId="0" borderId="9" xfId="2" applyNumberFormat="1" applyFont="1" applyFill="1" applyBorder="1" applyAlignment="1">
      <alignment horizontal="right" vertical="center"/>
    </xf>
    <xf numFmtId="172" fontId="4" fillId="0" borderId="0" xfId="0" applyNumberFormat="1" applyFont="1"/>
    <xf numFmtId="171" fontId="11" fillId="0" borderId="11" xfId="4" applyNumberFormat="1" applyFont="1" applyFill="1" applyBorder="1" applyAlignment="1">
      <alignment horizontal="right" vertical="center"/>
    </xf>
    <xf numFmtId="168" fontId="5" fillId="0" borderId="12" xfId="2" applyNumberFormat="1" applyFont="1" applyFill="1" applyBorder="1" applyAlignment="1">
      <alignment horizontal="right" vertical="center"/>
    </xf>
    <xf numFmtId="3" fontId="4" fillId="0" borderId="0" xfId="0" applyNumberFormat="1" applyFont="1"/>
    <xf numFmtId="169" fontId="2" fillId="0" borderId="0" xfId="0" applyNumberFormat="1" applyFont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168" fontId="11" fillId="2" borderId="5" xfId="4" applyNumberFormat="1" applyFont="1" applyFill="1" applyBorder="1" applyAlignment="1">
      <alignment horizontal="right" vertical="center"/>
    </xf>
    <xf numFmtId="168" fontId="5" fillId="2" borderId="4" xfId="2" applyNumberFormat="1" applyFont="1" applyFill="1" applyBorder="1" applyAlignment="1">
      <alignment horizontal="right" vertical="center"/>
    </xf>
    <xf numFmtId="0" fontId="13" fillId="0" borderId="3" xfId="0" applyFont="1" applyBorder="1" applyAlignment="1">
      <alignment horizontal="left" vertical="center" indent="1"/>
    </xf>
    <xf numFmtId="168" fontId="9" fillId="0" borderId="0" xfId="2" applyNumberFormat="1" applyFont="1" applyFill="1" applyBorder="1" applyAlignment="1">
      <alignment horizontal="right" vertical="center"/>
    </xf>
    <xf numFmtId="168" fontId="13" fillId="0" borderId="9" xfId="2" applyNumberFormat="1" applyFont="1" applyFill="1" applyBorder="1" applyAlignment="1">
      <alignment horizontal="right" vertical="center"/>
    </xf>
    <xf numFmtId="170" fontId="4" fillId="3" borderId="0" xfId="0" applyNumberFormat="1" applyFont="1" applyFill="1"/>
    <xf numFmtId="0" fontId="10" fillId="3" borderId="0" xfId="0" applyFont="1" applyFill="1"/>
    <xf numFmtId="0" fontId="15" fillId="3" borderId="0" xfId="0" applyFont="1" applyFill="1"/>
    <xf numFmtId="0" fontId="5" fillId="0" borderId="3" xfId="0" applyFont="1" applyBorder="1" applyAlignment="1">
      <alignment horizontal="left" indent="2"/>
    </xf>
    <xf numFmtId="168" fontId="9" fillId="0" borderId="0" xfId="2" applyNumberFormat="1" applyFont="1" applyFill="1" applyBorder="1" applyAlignment="1">
      <alignment horizontal="right"/>
    </xf>
    <xf numFmtId="41" fontId="11" fillId="0" borderId="0" xfId="2" applyNumberFormat="1" applyFont="1" applyFill="1" applyBorder="1"/>
    <xf numFmtId="168" fontId="13" fillId="0" borderId="9" xfId="2" applyNumberFormat="1" applyFont="1" applyFill="1" applyBorder="1" applyAlignment="1">
      <alignment horizontal="right"/>
    </xf>
    <xf numFmtId="0" fontId="4" fillId="3" borderId="0" xfId="0" applyFont="1" applyFill="1"/>
    <xf numFmtId="170" fontId="2" fillId="0" borderId="0" xfId="3" applyNumberFormat="1" applyFont="1" applyFill="1" applyBorder="1"/>
    <xf numFmtId="0" fontId="13" fillId="0" borderId="3" xfId="0" applyFont="1" applyBorder="1" applyAlignment="1">
      <alignment horizontal="left" indent="1"/>
    </xf>
    <xf numFmtId="169" fontId="5" fillId="0" borderId="9" xfId="2" applyNumberFormat="1" applyFont="1" applyFill="1" applyBorder="1"/>
    <xf numFmtId="10" fontId="5" fillId="0" borderId="3" xfId="3" applyNumberFormat="1" applyFont="1" applyFill="1" applyBorder="1" applyAlignment="1">
      <alignment horizontal="left" indent="1"/>
    </xf>
    <xf numFmtId="10" fontId="11" fillId="0" borderId="9" xfId="3" applyNumberFormat="1" applyFont="1" applyFill="1" applyBorder="1"/>
    <xf numFmtId="165" fontId="4" fillId="3" borderId="0" xfId="1" applyFont="1" applyFill="1" applyBorder="1"/>
    <xf numFmtId="0" fontId="16" fillId="0" borderId="3" xfId="0" applyFont="1" applyBorder="1"/>
    <xf numFmtId="10" fontId="16" fillId="0" borderId="0" xfId="3" applyNumberFormat="1" applyFont="1" applyFill="1" applyBorder="1"/>
    <xf numFmtId="169" fontId="16" fillId="0" borderId="9" xfId="2" applyNumberFormat="1" applyFont="1" applyFill="1" applyBorder="1"/>
    <xf numFmtId="0" fontId="16" fillId="0" borderId="10" xfId="0" applyFont="1" applyBorder="1"/>
    <xf numFmtId="10" fontId="16" fillId="0" borderId="11" xfId="3" applyNumberFormat="1" applyFont="1" applyFill="1" applyBorder="1"/>
    <xf numFmtId="169" fontId="16" fillId="0" borderId="12" xfId="2" applyNumberFormat="1" applyFont="1" applyFill="1" applyBorder="1"/>
    <xf numFmtId="10" fontId="11" fillId="0" borderId="7" xfId="3" applyNumberFormat="1" applyFont="1" applyFill="1" applyBorder="1"/>
    <xf numFmtId="164" fontId="5" fillId="0" borderId="8" xfId="3" applyNumberFormat="1" applyFont="1" applyFill="1" applyBorder="1"/>
    <xf numFmtId="10" fontId="11" fillId="0" borderId="0" xfId="3" applyNumberFormat="1" applyFont="1" applyFill="1" applyBorder="1"/>
    <xf numFmtId="164" fontId="5" fillId="0" borderId="9" xfId="3" applyNumberFormat="1" applyFont="1" applyFill="1" applyBorder="1"/>
    <xf numFmtId="10" fontId="11" fillId="4" borderId="0" xfId="3" applyNumberFormat="1" applyFont="1" applyFill="1" applyBorder="1"/>
    <xf numFmtId="164" fontId="11" fillId="0" borderId="9" xfId="3" applyNumberFormat="1" applyFont="1" applyFill="1" applyBorder="1"/>
    <xf numFmtId="10" fontId="11" fillId="0" borderId="11" xfId="0" applyNumberFormat="1" applyFont="1" applyBorder="1"/>
    <xf numFmtId="164" fontId="5" fillId="0" borderId="12" xfId="3" applyNumberFormat="1" applyFont="1" applyFill="1" applyBorder="1"/>
    <xf numFmtId="165" fontId="3" fillId="2" borderId="5" xfId="1" applyFont="1" applyFill="1" applyBorder="1"/>
    <xf numFmtId="164" fontId="2" fillId="2" borderId="4" xfId="3" applyNumberFormat="1" applyFont="1" applyFill="1" applyBorder="1"/>
    <xf numFmtId="168" fontId="11" fillId="0" borderId="3" xfId="2" applyNumberFormat="1" applyFont="1" applyFill="1" applyBorder="1"/>
    <xf numFmtId="168" fontId="11" fillId="0" borderId="0" xfId="1" applyNumberFormat="1" applyFont="1" applyFill="1" applyBorder="1"/>
    <xf numFmtId="168" fontId="11" fillId="0" borderId="0" xfId="3" applyNumberFormat="1" applyFont="1" applyFill="1" applyBorder="1"/>
    <xf numFmtId="168" fontId="5" fillId="0" borderId="0" xfId="2" applyNumberFormat="1" applyFont="1" applyFill="1" applyBorder="1"/>
    <xf numFmtId="0" fontId="5" fillId="2" borderId="1" xfId="0" applyFont="1" applyFill="1" applyBorder="1" applyAlignment="1">
      <alignment horizontal="left"/>
    </xf>
    <xf numFmtId="164" fontId="11" fillId="2" borderId="1" xfId="3" applyNumberFormat="1" applyFont="1" applyFill="1" applyBorder="1"/>
    <xf numFmtId="164" fontId="11" fillId="2" borderId="5" xfId="3" applyNumberFormat="1" applyFont="1" applyFill="1" applyBorder="1"/>
    <xf numFmtId="169" fontId="5" fillId="2" borderId="4" xfId="2" applyNumberFormat="1" applyFont="1" applyFill="1" applyBorder="1"/>
    <xf numFmtId="0" fontId="16" fillId="0" borderId="6" xfId="0" quotePrefix="1" applyFont="1" applyBorder="1" applyAlignment="1">
      <alignment horizontal="left" wrapText="1" indent="1"/>
    </xf>
    <xf numFmtId="173" fontId="16" fillId="0" borderId="6" xfId="2" applyNumberFormat="1" applyFont="1" applyFill="1" applyBorder="1"/>
    <xf numFmtId="173" fontId="16" fillId="0" borderId="7" xfId="2" applyNumberFormat="1" applyFont="1" applyFill="1" applyBorder="1"/>
    <xf numFmtId="173" fontId="16" fillId="0" borderId="8" xfId="2" applyNumberFormat="1" applyFont="1" applyFill="1" applyBorder="1"/>
    <xf numFmtId="0" fontId="16" fillId="0" borderId="3" xfId="0" quotePrefix="1" applyFont="1" applyBorder="1" applyAlignment="1">
      <alignment horizontal="left" wrapText="1" indent="1"/>
    </xf>
    <xf numFmtId="173" fontId="16" fillId="0" borderId="3" xfId="1" applyNumberFormat="1" applyFont="1" applyFill="1" applyBorder="1"/>
    <xf numFmtId="173" fontId="16" fillId="0" borderId="0" xfId="1" applyNumberFormat="1" applyFont="1" applyFill="1" applyBorder="1"/>
    <xf numFmtId="173" fontId="16" fillId="0" borderId="0" xfId="2" applyNumberFormat="1" applyFont="1" applyFill="1" applyBorder="1"/>
    <xf numFmtId="173" fontId="16" fillId="0" borderId="9" xfId="2" applyNumberFormat="1" applyFont="1" applyFill="1" applyBorder="1"/>
    <xf numFmtId="0" fontId="16" fillId="0" borderId="10" xfId="0" quotePrefix="1" applyFont="1" applyBorder="1" applyAlignment="1">
      <alignment horizontal="left" wrapText="1" indent="1"/>
    </xf>
    <xf numFmtId="174" fontId="16" fillId="0" borderId="10" xfId="2" applyNumberFormat="1" applyFont="1" applyFill="1" applyBorder="1"/>
    <xf numFmtId="174" fontId="16" fillId="0" borderId="11" xfId="2" applyNumberFormat="1" applyFont="1" applyFill="1" applyBorder="1"/>
    <xf numFmtId="175" fontId="16" fillId="0" borderId="11" xfId="2" applyNumberFormat="1" applyFont="1" applyFill="1" applyBorder="1"/>
    <xf numFmtId="174" fontId="16" fillId="0" borderId="12" xfId="2" applyNumberFormat="1" applyFont="1" applyFill="1" applyBorder="1"/>
    <xf numFmtId="174" fontId="16" fillId="0" borderId="0" xfId="2" applyNumberFormat="1" applyFont="1" applyFill="1" applyBorder="1"/>
    <xf numFmtId="175" fontId="16" fillId="0" borderId="0" xfId="2" applyNumberFormat="1" applyFont="1" applyFill="1" applyBorder="1"/>
    <xf numFmtId="174" fontId="16" fillId="0" borderId="9" xfId="2" applyNumberFormat="1" applyFont="1" applyFill="1" applyBorder="1"/>
    <xf numFmtId="176" fontId="11" fillId="0" borderId="3" xfId="2" applyNumberFormat="1" applyFont="1" applyFill="1" applyBorder="1"/>
    <xf numFmtId="176" fontId="11" fillId="0" borderId="0" xfId="2" applyNumberFormat="1" applyFont="1" applyFill="1" applyBorder="1"/>
    <xf numFmtId="176" fontId="11" fillId="0" borderId="11" xfId="2" applyNumberFormat="1" applyFont="1" applyFill="1" applyBorder="1"/>
    <xf numFmtId="171" fontId="11" fillId="0" borderId="0" xfId="2" applyNumberFormat="1" applyFont="1" applyFill="1" applyBorder="1" applyAlignment="1">
      <alignment horizontal="right"/>
    </xf>
    <xf numFmtId="173" fontId="11" fillId="0" borderId="0" xfId="2" applyNumberFormat="1" applyFont="1" applyFill="1" applyBorder="1"/>
    <xf numFmtId="175" fontId="11" fillId="0" borderId="0" xfId="2" applyNumberFormat="1" applyFont="1" applyFill="1" applyBorder="1"/>
    <xf numFmtId="172" fontId="11" fillId="2" borderId="1" xfId="3" applyNumberFormat="1" applyFont="1" applyFill="1" applyBorder="1" applyAlignment="1">
      <alignment horizontal="right" wrapText="1"/>
    </xf>
    <xf numFmtId="172" fontId="11" fillId="2" borderId="5" xfId="3" applyNumberFormat="1" applyFont="1" applyFill="1" applyBorder="1" applyAlignment="1">
      <alignment horizontal="right" wrapText="1"/>
    </xf>
    <xf numFmtId="0" fontId="5" fillId="5" borderId="6" xfId="0" quotePrefix="1" applyFont="1" applyFill="1" applyBorder="1" applyAlignment="1">
      <alignment horizontal="left" wrapText="1" indent="1"/>
    </xf>
    <xf numFmtId="173" fontId="17" fillId="5" borderId="6" xfId="2" applyNumberFormat="1" applyFont="1" applyFill="1" applyBorder="1"/>
    <xf numFmtId="173" fontId="17" fillId="5" borderId="7" xfId="2" applyNumberFormat="1" applyFont="1" applyFill="1" applyBorder="1"/>
    <xf numFmtId="173" fontId="5" fillId="5" borderId="8" xfId="2" applyNumberFormat="1" applyFont="1" applyFill="1" applyBorder="1"/>
    <xf numFmtId="0" fontId="5" fillId="5" borderId="3" xfId="0" quotePrefix="1" applyFont="1" applyFill="1" applyBorder="1" applyAlignment="1">
      <alignment horizontal="left" wrapText="1" indent="1"/>
    </xf>
    <xf numFmtId="173" fontId="17" fillId="5" borderId="3" xfId="1" applyNumberFormat="1" applyFont="1" applyFill="1" applyBorder="1"/>
    <xf numFmtId="173" fontId="17" fillId="5" borderId="0" xfId="1" applyNumberFormat="1" applyFont="1" applyFill="1" applyBorder="1"/>
    <xf numFmtId="173" fontId="17" fillId="5" borderId="0" xfId="2" applyNumberFormat="1" applyFont="1" applyFill="1" applyBorder="1"/>
    <xf numFmtId="173" fontId="5" fillId="5" borderId="9" xfId="2" applyNumberFormat="1" applyFont="1" applyFill="1" applyBorder="1"/>
    <xf numFmtId="0" fontId="5" fillId="5" borderId="10" xfId="0" quotePrefix="1" applyFont="1" applyFill="1" applyBorder="1" applyAlignment="1">
      <alignment horizontal="left" wrapText="1" indent="1"/>
    </xf>
    <xf numFmtId="174" fontId="17" fillId="5" borderId="10" xfId="2" applyNumberFormat="1" applyFont="1" applyFill="1" applyBorder="1"/>
    <xf numFmtId="174" fontId="17" fillId="5" borderId="11" xfId="2" applyNumberFormat="1" applyFont="1" applyFill="1" applyBorder="1"/>
    <xf numFmtId="175" fontId="17" fillId="5" borderId="11" xfId="2" applyNumberFormat="1" applyFont="1" applyFill="1" applyBorder="1"/>
    <xf numFmtId="174" fontId="5" fillId="5" borderId="12" xfId="2" applyNumberFormat="1" applyFont="1" applyFill="1" applyBorder="1"/>
    <xf numFmtId="0" fontId="11" fillId="0" borderId="0" xfId="0" applyFont="1" applyAlignment="1">
      <alignment horizontal="left" indent="1"/>
    </xf>
    <xf numFmtId="167" fontId="3" fillId="0" borderId="0" xfId="0" applyNumberFormat="1" applyFont="1"/>
    <xf numFmtId="165" fontId="2" fillId="0" borderId="0" xfId="0" applyNumberFormat="1" applyFont="1"/>
    <xf numFmtId="0" fontId="18" fillId="2" borderId="13" xfId="0" applyFont="1" applyFill="1" applyBorder="1" applyAlignment="1">
      <alignment horizontal="left"/>
    </xf>
    <xf numFmtId="165" fontId="2" fillId="2" borderId="14" xfId="0" applyNumberFormat="1" applyFont="1" applyFill="1" applyBorder="1"/>
    <xf numFmtId="4" fontId="2" fillId="2" borderId="14" xfId="0" applyNumberFormat="1" applyFont="1" applyFill="1" applyBorder="1"/>
    <xf numFmtId="0" fontId="2" fillId="2" borderId="14" xfId="0" applyFont="1" applyFill="1" applyBorder="1"/>
    <xf numFmtId="0" fontId="2" fillId="2" borderId="15" xfId="0" applyFont="1" applyFill="1" applyBorder="1"/>
    <xf numFmtId="0" fontId="16" fillId="0" borderId="16" xfId="0" applyFont="1" applyBorder="1"/>
    <xf numFmtId="168" fontId="16" fillId="0" borderId="17" xfId="0" applyNumberFormat="1" applyFont="1" applyBorder="1"/>
    <xf numFmtId="168" fontId="16" fillId="0" borderId="18" xfId="0" applyNumberFormat="1" applyFont="1" applyBorder="1"/>
    <xf numFmtId="168" fontId="16" fillId="0" borderId="16" xfId="3" applyNumberFormat="1" applyFont="1" applyFill="1" applyBorder="1"/>
    <xf numFmtId="168" fontId="16" fillId="0" borderId="18" xfId="3" applyNumberFormat="1" applyFont="1" applyFill="1" applyBorder="1"/>
    <xf numFmtId="168" fontId="16" fillId="0" borderId="16" xfId="0" applyNumberFormat="1" applyFont="1" applyBorder="1"/>
    <xf numFmtId="0" fontId="16" fillId="0" borderId="13" xfId="0" applyFont="1" applyBorder="1"/>
    <xf numFmtId="168" fontId="19" fillId="0" borderId="19" xfId="0" applyNumberFormat="1" applyFont="1" applyBorder="1"/>
    <xf numFmtId="168" fontId="19" fillId="0" borderId="13" xfId="0" applyNumberFormat="1" applyFont="1" applyBorder="1"/>
    <xf numFmtId="0" fontId="16" fillId="2" borderId="13" xfId="0" applyFont="1" applyFill="1" applyBorder="1"/>
    <xf numFmtId="168" fontId="19" fillId="2" borderId="19" xfId="0" applyNumberFormat="1" applyFont="1" applyFill="1" applyBorder="1"/>
    <xf numFmtId="168" fontId="19" fillId="2" borderId="13" xfId="0" applyNumberFormat="1" applyFont="1" applyFill="1" applyBorder="1"/>
    <xf numFmtId="0" fontId="16" fillId="0" borderId="20" xfId="0" applyFont="1" applyBorder="1"/>
    <xf numFmtId="168" fontId="16" fillId="0" borderId="20" xfId="0" applyNumberFormat="1" applyFont="1" applyBorder="1"/>
    <xf numFmtId="0" fontId="20" fillId="0" borderId="0" xfId="0" applyFont="1"/>
    <xf numFmtId="172" fontId="21" fillId="0" borderId="0" xfId="0" applyNumberFormat="1" applyFont="1"/>
    <xf numFmtId="10" fontId="0" fillId="0" borderId="0" xfId="3" applyNumberFormat="1" applyFont="1"/>
    <xf numFmtId="9" fontId="0" fillId="0" borderId="0" xfId="3" applyFont="1"/>
    <xf numFmtId="10" fontId="0" fillId="0" borderId="0" xfId="0" applyNumberFormat="1"/>
    <xf numFmtId="177" fontId="4" fillId="0" borderId="0" xfId="0" applyNumberFormat="1" applyFont="1"/>
    <xf numFmtId="0" fontId="4" fillId="0" borderId="0" xfId="5" applyFont="1"/>
  </cellXfs>
  <cellStyles count="6">
    <cellStyle name="Comma" xfId="1" builtinId="3"/>
    <cellStyle name="Currency" xfId="2" builtinId="4"/>
    <cellStyle name="Currency 2_2019 IRM Rates" xfId="4" xr:uid="{57EEEC6F-9E3F-45FD-8100-B7E3F2DDD062}"/>
    <cellStyle name="Normal" xfId="0" builtinId="0"/>
    <cellStyle name="Normal 200" xfId="5" xr:uid="{8DB7EB3B-E962-49BA-A33F-30CB0C7B6C07}"/>
    <cellStyle name="Percent" xfId="3" builtinId="5"/>
  </cellStyles>
  <dxfs count="2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D48F5-6258-479A-93DC-59376366D289}">
  <sheetPr>
    <pageSetUpPr fitToPage="1"/>
  </sheetPr>
  <dimension ref="A1:AC138"/>
  <sheetViews>
    <sheetView showGridLines="0" tabSelected="1" zoomScaleNormal="100" workbookViewId="0">
      <pane xSplit="2" ySplit="2" topLeftCell="C3" activePane="bottomRight" state="frozen"/>
      <selection activeCell="E86" sqref="E86"/>
      <selection pane="topRight" activeCell="E86" sqref="E86"/>
      <selection pane="bottomLeft" activeCell="E86" sqref="E86"/>
      <selection pane="bottomRight"/>
    </sheetView>
  </sheetViews>
  <sheetFormatPr defaultColWidth="9.26953125" defaultRowHeight="15.5" x14ac:dyDescent="0.35"/>
  <cols>
    <col min="1" max="1" width="9.26953125" style="2"/>
    <col min="2" max="2" width="58.54296875" style="2" customWidth="1"/>
    <col min="3" max="3" width="17.1796875" style="2" customWidth="1"/>
    <col min="4" max="4" width="15.26953125" style="2" bestFit="1" customWidth="1"/>
    <col min="5" max="5" width="16" style="2" bestFit="1" customWidth="1"/>
    <col min="6" max="6" width="16.453125" style="2" bestFit="1" customWidth="1"/>
    <col min="7" max="7" width="16.54296875" style="2" bestFit="1" customWidth="1"/>
    <col min="8" max="8" width="13.7265625" style="2" bestFit="1" customWidth="1"/>
    <col min="9" max="9" width="16.7265625" style="2" customWidth="1"/>
    <col min="10" max="10" width="14.81640625" style="2" customWidth="1"/>
    <col min="11" max="11" width="17.26953125" style="2" bestFit="1" customWidth="1"/>
    <col min="12" max="12" width="14.81640625" style="3" bestFit="1" customWidth="1"/>
    <col min="13" max="13" width="23.7265625" style="3" customWidth="1"/>
    <col min="14" max="14" width="19.7265625" style="3" customWidth="1"/>
    <col min="15" max="15" width="17.453125" style="3" customWidth="1"/>
    <col min="16" max="16" width="17.26953125" style="3" customWidth="1"/>
    <col min="17" max="17" width="18.453125" style="2" customWidth="1"/>
    <col min="18" max="18" width="25.453125" style="2" bestFit="1" customWidth="1"/>
    <col min="19" max="16384" width="9.26953125" style="2"/>
  </cols>
  <sheetData>
    <row r="1" spans="2:17" ht="20.25" customHeight="1" x14ac:dyDescent="0.35">
      <c r="B1" s="1" t="s">
        <v>0</v>
      </c>
    </row>
    <row r="2" spans="2:17" s="9" customFormat="1" ht="42" customHeight="1" x14ac:dyDescent="0.35">
      <c r="B2" s="4" t="s">
        <v>1</v>
      </c>
      <c r="C2" s="5" t="s">
        <v>66</v>
      </c>
      <c r="D2" s="5" t="s">
        <v>67</v>
      </c>
      <c r="E2" s="5" t="s">
        <v>68</v>
      </c>
      <c r="F2" s="5" t="s">
        <v>69</v>
      </c>
      <c r="G2" s="5" t="s">
        <v>70</v>
      </c>
      <c r="H2" s="5" t="s">
        <v>71</v>
      </c>
      <c r="I2" s="5" t="s">
        <v>72</v>
      </c>
      <c r="J2" s="5" t="s">
        <v>73</v>
      </c>
      <c r="K2" s="5" t="s">
        <v>2</v>
      </c>
      <c r="L2" s="6"/>
      <c r="M2" s="7"/>
      <c r="N2" s="8"/>
      <c r="O2" s="8"/>
      <c r="P2" s="8"/>
    </row>
    <row r="3" spans="2:17" s="1" customFormat="1" ht="16.5" customHeight="1" x14ac:dyDescent="0.35">
      <c r="B3" s="10"/>
      <c r="C3" s="11"/>
      <c r="D3" s="11"/>
      <c r="E3" s="11"/>
      <c r="F3" s="11"/>
      <c r="G3" s="11"/>
      <c r="H3" s="11"/>
      <c r="I3" s="11"/>
      <c r="J3" s="11"/>
      <c r="K3" s="12"/>
      <c r="L3" s="13"/>
      <c r="M3" s="14"/>
      <c r="N3" s="14"/>
      <c r="O3" s="14"/>
      <c r="P3" s="14"/>
    </row>
    <row r="4" spans="2:17" s="1" customFormat="1" x14ac:dyDescent="0.35">
      <c r="B4" s="15" t="s">
        <v>3</v>
      </c>
      <c r="C4" s="16"/>
      <c r="D4" s="16"/>
      <c r="E4" s="16"/>
      <c r="F4" s="16"/>
      <c r="G4" s="16"/>
      <c r="H4" s="16"/>
      <c r="I4" s="16"/>
      <c r="J4" s="16"/>
      <c r="K4" s="17"/>
      <c r="L4" s="13"/>
      <c r="M4" s="14"/>
      <c r="N4" s="14"/>
      <c r="O4" s="14"/>
      <c r="P4" s="14"/>
    </row>
    <row r="5" spans="2:17" s="1" customFormat="1" x14ac:dyDescent="0.35">
      <c r="B5" s="18" t="s">
        <v>4</v>
      </c>
      <c r="C5" s="19"/>
      <c r="D5" s="19"/>
      <c r="E5" s="19">
        <v>23347306.85944644</v>
      </c>
      <c r="F5" s="19">
        <v>8682762.0843297299</v>
      </c>
      <c r="G5" s="19">
        <v>3989066.1733010351</v>
      </c>
      <c r="H5" s="19">
        <v>363522.1495074734</v>
      </c>
      <c r="I5" s="19"/>
      <c r="J5" s="19"/>
      <c r="K5" s="20">
        <f>SUM(C5:J5)</f>
        <v>36382657.266584672</v>
      </c>
      <c r="L5" s="21"/>
      <c r="M5" s="21"/>
      <c r="N5" s="21"/>
      <c r="O5" s="14"/>
      <c r="P5" s="14"/>
      <c r="Q5" s="22"/>
    </row>
    <row r="6" spans="2:17" s="1" customFormat="1" x14ac:dyDescent="0.35">
      <c r="B6" s="23" t="s">
        <v>5</v>
      </c>
      <c r="C6" s="24">
        <v>4888305810.4242516</v>
      </c>
      <c r="D6" s="24">
        <v>2375526200.1596098</v>
      </c>
      <c r="E6" s="24">
        <v>9520140594.4477177</v>
      </c>
      <c r="F6" s="24">
        <v>4027021675.8562527</v>
      </c>
      <c r="G6" s="24">
        <v>1581612499.2370639</v>
      </c>
      <c r="H6" s="24">
        <v>118212158.49125397</v>
      </c>
      <c r="I6" s="24">
        <v>42090115.886468768</v>
      </c>
      <c r="J6" s="24">
        <v>344248423.86238074</v>
      </c>
      <c r="K6" s="25">
        <f>SUM(C6:J6)</f>
        <v>22897157478.364998</v>
      </c>
      <c r="L6" s="21"/>
      <c r="M6" s="21"/>
      <c r="N6" s="21"/>
      <c r="O6" s="14"/>
      <c r="P6" s="14"/>
      <c r="Q6" s="22"/>
    </row>
    <row r="7" spans="2:17" s="1" customFormat="1" x14ac:dyDescent="0.35">
      <c r="B7" s="23" t="s">
        <v>6</v>
      </c>
      <c r="C7" s="26">
        <v>618693.20407326764</v>
      </c>
      <c r="D7" s="26">
        <v>72948.191725379045</v>
      </c>
      <c r="E7" s="26">
        <v>9941.3975355386228</v>
      </c>
      <c r="F7" s="26">
        <v>472.58333333333331</v>
      </c>
      <c r="G7" s="26">
        <v>44.416666666666664</v>
      </c>
      <c r="H7" s="24">
        <v>1</v>
      </c>
      <c r="I7" s="27">
        <v>791</v>
      </c>
      <c r="J7" s="28">
        <v>97539.337729479594</v>
      </c>
      <c r="K7" s="25">
        <f>SUM(C7:J7)</f>
        <v>800431.13106366503</v>
      </c>
      <c r="L7" s="21"/>
      <c r="M7" s="21"/>
      <c r="N7" s="21"/>
      <c r="O7" s="14"/>
      <c r="P7" s="14"/>
    </row>
    <row r="8" spans="2:17" s="1" customFormat="1" x14ac:dyDescent="0.35">
      <c r="B8" s="23" t="s">
        <v>7</v>
      </c>
      <c r="C8" s="26"/>
      <c r="D8" s="26"/>
      <c r="E8" s="26"/>
      <c r="F8" s="26"/>
      <c r="G8" s="26"/>
      <c r="H8" s="24">
        <v>172780.66666666677</v>
      </c>
      <c r="I8" s="27">
        <v>12873</v>
      </c>
      <c r="J8" s="24"/>
      <c r="K8" s="25"/>
      <c r="L8" s="21"/>
      <c r="M8" s="21"/>
      <c r="N8" s="21"/>
      <c r="O8" s="14"/>
      <c r="P8" s="14"/>
    </row>
    <row r="9" spans="2:17" s="1" customFormat="1" x14ac:dyDescent="0.35">
      <c r="B9" s="23" t="s">
        <v>8</v>
      </c>
      <c r="C9" s="29">
        <v>370629778.00361437</v>
      </c>
      <c r="D9" s="29">
        <v>146520709.34510371</v>
      </c>
      <c r="E9" s="29">
        <v>242611864.67717412</v>
      </c>
      <c r="F9" s="29">
        <v>75335601.900881335</v>
      </c>
      <c r="G9" s="29">
        <v>36901420.341825075</v>
      </c>
      <c r="H9" s="29">
        <v>20684190.406345665</v>
      </c>
      <c r="I9" s="30">
        <v>4318911.3163141096</v>
      </c>
      <c r="J9" s="30">
        <v>47935715.6034794</v>
      </c>
      <c r="K9" s="31">
        <f>SUM(C9:J9)</f>
        <v>944938191.59473765</v>
      </c>
      <c r="L9" s="21"/>
      <c r="M9" s="32"/>
      <c r="N9" s="21"/>
      <c r="O9" s="33"/>
      <c r="P9" s="14"/>
      <c r="Q9" s="22"/>
    </row>
    <row r="10" spans="2:17" s="1" customFormat="1" x14ac:dyDescent="0.35">
      <c r="B10" s="34" t="s">
        <v>9</v>
      </c>
      <c r="C10" s="35">
        <v>17019937.08535454</v>
      </c>
      <c r="D10" s="35">
        <v>6998285.1326004667</v>
      </c>
      <c r="E10" s="35">
        <v>8317078.3505143235</v>
      </c>
      <c r="F10" s="35">
        <v>2293946.0686096009</v>
      </c>
      <c r="G10" s="35">
        <v>850500.12714255683</v>
      </c>
      <c r="H10" s="35">
        <v>10530502.825409919</v>
      </c>
      <c r="I10" s="36">
        <v>162570.56195500706</v>
      </c>
      <c r="J10" s="36">
        <v>2059307.8304878601</v>
      </c>
      <c r="K10" s="37">
        <f>SUM(C10:J10)</f>
        <v>48232127.982074276</v>
      </c>
      <c r="L10" s="21"/>
      <c r="M10" s="32"/>
      <c r="N10" s="21"/>
      <c r="O10" s="33"/>
      <c r="P10" s="14"/>
      <c r="Q10" s="22"/>
    </row>
    <row r="11" spans="2:17" x14ac:dyDescent="0.35">
      <c r="B11" s="38" t="s">
        <v>10</v>
      </c>
      <c r="C11" s="16"/>
      <c r="D11" s="16"/>
      <c r="E11" s="16"/>
      <c r="F11" s="16"/>
      <c r="G11" s="16"/>
      <c r="H11" s="16"/>
      <c r="I11" s="16"/>
      <c r="J11" s="16" t="s">
        <v>0</v>
      </c>
      <c r="K11" s="39"/>
      <c r="L11" s="40"/>
    </row>
    <row r="12" spans="2:17" x14ac:dyDescent="0.35">
      <c r="B12" s="18" t="s">
        <v>11</v>
      </c>
      <c r="C12" s="41">
        <f t="shared" ref="C12:J12" si="0">C9+C10</f>
        <v>387649715.08896893</v>
      </c>
      <c r="D12" s="41">
        <f t="shared" si="0"/>
        <v>153518994.47770417</v>
      </c>
      <c r="E12" s="41">
        <f t="shared" si="0"/>
        <v>250928943.02768844</v>
      </c>
      <c r="F12" s="41">
        <f t="shared" si="0"/>
        <v>77629547.96949093</v>
      </c>
      <c r="G12" s="41">
        <f t="shared" si="0"/>
        <v>37751920.468967631</v>
      </c>
      <c r="H12" s="41">
        <f t="shared" si="0"/>
        <v>31214693.231755584</v>
      </c>
      <c r="I12" s="41">
        <f t="shared" si="0"/>
        <v>4481481.8782691164</v>
      </c>
      <c r="J12" s="41">
        <f t="shared" si="0"/>
        <v>49995023.433967263</v>
      </c>
      <c r="K12" s="42">
        <f>SUM(C12:J12)</f>
        <v>993170319.57681203</v>
      </c>
      <c r="L12" s="40"/>
      <c r="M12" s="2"/>
      <c r="N12" s="43"/>
      <c r="Q12" s="22"/>
    </row>
    <row r="13" spans="2:17" x14ac:dyDescent="0.35">
      <c r="B13" s="23" t="s">
        <v>12</v>
      </c>
      <c r="C13" s="30">
        <v>378567020.93479788</v>
      </c>
      <c r="D13" s="30">
        <v>156269407.14532495</v>
      </c>
      <c r="E13" s="30">
        <v>261710826.6748265</v>
      </c>
      <c r="F13" s="30">
        <v>83553629.811478436</v>
      </c>
      <c r="G13" s="30">
        <v>38531312.605588704</v>
      </c>
      <c r="H13" s="30">
        <v>26233508.984096371</v>
      </c>
      <c r="I13" s="30">
        <v>3717050.0751153296</v>
      </c>
      <c r="J13" s="30">
        <v>44587563.34558405</v>
      </c>
      <c r="K13" s="31">
        <f>SUM(C13:J13)</f>
        <v>993170319.57681215</v>
      </c>
      <c r="L13" s="40"/>
      <c r="O13" s="44"/>
      <c r="P13" s="44"/>
      <c r="Q13" s="22"/>
    </row>
    <row r="14" spans="2:17" x14ac:dyDescent="0.35">
      <c r="B14" s="45" t="s">
        <v>13</v>
      </c>
      <c r="C14" s="46">
        <f>+C12/C13</f>
        <v>1.0239923016319359</v>
      </c>
      <c r="D14" s="46">
        <f>+D12/D13</f>
        <v>0.98239954500458948</v>
      </c>
      <c r="E14" s="46">
        <f t="shared" ref="E14:J14" si="1">+E12/E13</f>
        <v>0.95880230182248261</v>
      </c>
      <c r="F14" s="46">
        <f>+F12/F13</f>
        <v>0.92909845023664472</v>
      </c>
      <c r="G14" s="46">
        <f t="shared" si="1"/>
        <v>0.97977249971733305</v>
      </c>
      <c r="H14" s="46">
        <f t="shared" si="1"/>
        <v>1.1898786872422966</v>
      </c>
      <c r="I14" s="46">
        <f t="shared" si="1"/>
        <v>1.2056555030752629</v>
      </c>
      <c r="J14" s="46">
        <f t="shared" si="1"/>
        <v>1.1212773177684483</v>
      </c>
      <c r="K14" s="47" t="s">
        <v>0</v>
      </c>
      <c r="L14" s="40"/>
    </row>
    <row r="15" spans="2:17" x14ac:dyDescent="0.35">
      <c r="B15" s="48" t="s">
        <v>14</v>
      </c>
      <c r="C15" s="36">
        <f t="shared" ref="C15:J15" si="2">+C12-C13</f>
        <v>9082694.1541710496</v>
      </c>
      <c r="D15" s="36">
        <f t="shared" si="2"/>
        <v>-2750412.6676207781</v>
      </c>
      <c r="E15" s="36">
        <f t="shared" si="2"/>
        <v>-10781883.647138059</v>
      </c>
      <c r="F15" s="36">
        <f t="shared" si="2"/>
        <v>-5924081.8419875056</v>
      </c>
      <c r="G15" s="36">
        <f t="shared" si="2"/>
        <v>-779392.13662107289</v>
      </c>
      <c r="H15" s="36">
        <f t="shared" si="2"/>
        <v>4981184.2476592138</v>
      </c>
      <c r="I15" s="36">
        <f t="shared" si="2"/>
        <v>764431.80315378681</v>
      </c>
      <c r="J15" s="36">
        <f t="shared" si="2"/>
        <v>5407460.0883832127</v>
      </c>
      <c r="K15" s="49">
        <f>SUM(C15:J15)</f>
        <v>-1.5273690223693848E-7</v>
      </c>
      <c r="L15" s="40"/>
    </row>
    <row r="16" spans="2:17" x14ac:dyDescent="0.35">
      <c r="B16" s="38" t="s">
        <v>15</v>
      </c>
      <c r="C16" s="16"/>
      <c r="D16" s="16"/>
      <c r="E16" s="16"/>
      <c r="F16" s="16"/>
      <c r="G16" s="16"/>
      <c r="H16" s="16"/>
      <c r="I16" s="16"/>
      <c r="J16" s="16"/>
      <c r="K16" s="39"/>
      <c r="L16" s="40"/>
    </row>
    <row r="17" spans="2:19" x14ac:dyDescent="0.35">
      <c r="B17" s="18" t="s">
        <v>16</v>
      </c>
      <c r="C17" s="41">
        <f t="shared" ref="C17:K17" si="3">+C9</f>
        <v>370629778.00361437</v>
      </c>
      <c r="D17" s="41">
        <f t="shared" si="3"/>
        <v>146520709.34510371</v>
      </c>
      <c r="E17" s="41">
        <f t="shared" si="3"/>
        <v>242611864.67717412</v>
      </c>
      <c r="F17" s="41">
        <f t="shared" si="3"/>
        <v>75335601.900881335</v>
      </c>
      <c r="G17" s="41">
        <f t="shared" si="3"/>
        <v>36901420.341825075</v>
      </c>
      <c r="H17" s="41">
        <f t="shared" si="3"/>
        <v>20684190.406345665</v>
      </c>
      <c r="I17" s="41">
        <f t="shared" si="3"/>
        <v>4318911.3163141096</v>
      </c>
      <c r="J17" s="41">
        <f t="shared" si="3"/>
        <v>47935715.6034794</v>
      </c>
      <c r="K17" s="42">
        <f t="shared" si="3"/>
        <v>944938191.59473765</v>
      </c>
      <c r="L17" s="40"/>
      <c r="Q17" s="22"/>
    </row>
    <row r="18" spans="2:19" x14ac:dyDescent="0.35">
      <c r="B18" s="23" t="s">
        <v>17</v>
      </c>
      <c r="C18" s="30">
        <f t="shared" ref="C18:K18" si="4">+C13-C10</f>
        <v>361547083.84944332</v>
      </c>
      <c r="D18" s="30">
        <f t="shared" si="4"/>
        <v>149271122.01272449</v>
      </c>
      <c r="E18" s="30">
        <f t="shared" si="4"/>
        <v>253393748.32431218</v>
      </c>
      <c r="F18" s="30">
        <f t="shared" si="4"/>
        <v>81259683.742868841</v>
      </c>
      <c r="G18" s="30">
        <f t="shared" si="4"/>
        <v>37680812.478446148</v>
      </c>
      <c r="H18" s="30">
        <f t="shared" si="4"/>
        <v>15703006.158686452</v>
      </c>
      <c r="I18" s="30">
        <f t="shared" si="4"/>
        <v>3554479.5131603223</v>
      </c>
      <c r="J18" s="30">
        <f t="shared" si="4"/>
        <v>42528255.515096188</v>
      </c>
      <c r="K18" s="31">
        <f t="shared" si="4"/>
        <v>944938191.59473789</v>
      </c>
      <c r="L18" s="40"/>
      <c r="O18" s="44"/>
      <c r="P18" s="44"/>
    </row>
    <row r="19" spans="2:19" x14ac:dyDescent="0.35">
      <c r="B19" s="45" t="s">
        <v>13</v>
      </c>
      <c r="C19" s="46">
        <f>+C17/C18</f>
        <v>1.0251217464056586</v>
      </c>
      <c r="D19" s="46">
        <f>+D17/D18</f>
        <v>0.98157438203361047</v>
      </c>
      <c r="E19" s="46">
        <f t="shared" ref="E19:K19" si="5">+E17/E18</f>
        <v>0.95745008028635892</v>
      </c>
      <c r="F19" s="46">
        <f t="shared" si="5"/>
        <v>0.92709691240328773</v>
      </c>
      <c r="G19" s="46">
        <f t="shared" si="5"/>
        <v>0.97931594131451138</v>
      </c>
      <c r="H19" s="46">
        <f t="shared" si="5"/>
        <v>1.317212143797305</v>
      </c>
      <c r="I19" s="46">
        <f t="shared" si="5"/>
        <v>1.215061530196899</v>
      </c>
      <c r="J19" s="46">
        <f t="shared" si="5"/>
        <v>1.127149821286785</v>
      </c>
      <c r="K19" s="47">
        <f t="shared" si="5"/>
        <v>0.99999999999999978</v>
      </c>
      <c r="L19" s="40"/>
    </row>
    <row r="20" spans="2:19" x14ac:dyDescent="0.35">
      <c r="B20" s="48" t="s">
        <v>14</v>
      </c>
      <c r="C20" s="36">
        <f>+C17-C18</f>
        <v>9082694.1541710496</v>
      </c>
      <c r="D20" s="36">
        <f>+D17-D18</f>
        <v>-2750412.6676207781</v>
      </c>
      <c r="E20" s="36">
        <f t="shared" ref="E20:K20" si="6">+E17-E18</f>
        <v>-10781883.647138059</v>
      </c>
      <c r="F20" s="36">
        <f>+F17-F18</f>
        <v>-5924081.8419875056</v>
      </c>
      <c r="G20" s="36">
        <f t="shared" si="6"/>
        <v>-779392.13662107289</v>
      </c>
      <c r="H20" s="36">
        <f t="shared" si="6"/>
        <v>4981184.2476592138</v>
      </c>
      <c r="I20" s="36">
        <f>+I17-I18</f>
        <v>764431.80315378727</v>
      </c>
      <c r="J20" s="36">
        <f>+J17-J18</f>
        <v>5407460.0883832127</v>
      </c>
      <c r="K20" s="50">
        <f t="shared" si="6"/>
        <v>0</v>
      </c>
      <c r="L20" s="40"/>
    </row>
    <row r="21" spans="2:19" x14ac:dyDescent="0.35">
      <c r="B21" s="15" t="s">
        <v>18</v>
      </c>
      <c r="C21" s="51"/>
      <c r="D21" s="51"/>
      <c r="E21" s="51"/>
      <c r="F21" s="51"/>
      <c r="G21" s="51"/>
      <c r="H21" s="51"/>
      <c r="I21" s="51"/>
      <c r="J21" s="51"/>
      <c r="K21" s="52"/>
      <c r="L21" s="40"/>
    </row>
    <row r="22" spans="2:19" x14ac:dyDescent="0.35">
      <c r="B22" s="53" t="s">
        <v>19</v>
      </c>
      <c r="C22" s="54">
        <f t="shared" ref="C22:J22" si="7">IF(+C20&lt;0,+C20,0)</f>
        <v>0</v>
      </c>
      <c r="D22" s="54">
        <f>IF(+D20&lt;0,+D20,0)</f>
        <v>-2750412.6676207781</v>
      </c>
      <c r="E22" s="54">
        <f t="shared" si="7"/>
        <v>-10781883.647138059</v>
      </c>
      <c r="F22" s="54">
        <f t="shared" si="7"/>
        <v>-5924081.8419875056</v>
      </c>
      <c r="G22" s="54">
        <f t="shared" si="7"/>
        <v>-779392.13662107289</v>
      </c>
      <c r="H22" s="54">
        <f t="shared" si="7"/>
        <v>0</v>
      </c>
      <c r="I22" s="54">
        <f t="shared" si="7"/>
        <v>0</v>
      </c>
      <c r="J22" s="54">
        <f t="shared" si="7"/>
        <v>0</v>
      </c>
      <c r="K22" s="31">
        <f>SUM(C22:J22)</f>
        <v>-20235770.293367416</v>
      </c>
      <c r="L22" s="40"/>
    </row>
    <row r="23" spans="2:19" x14ac:dyDescent="0.35">
      <c r="B23" s="53" t="s">
        <v>20</v>
      </c>
      <c r="C23" s="54">
        <f t="shared" ref="C23:J23" si="8">IF(+C20&lt;0,0,+C20)</f>
        <v>9082694.1541710496</v>
      </c>
      <c r="D23" s="54">
        <f t="shared" si="8"/>
        <v>0</v>
      </c>
      <c r="E23" s="54">
        <f t="shared" si="8"/>
        <v>0</v>
      </c>
      <c r="F23" s="54">
        <f t="shared" si="8"/>
        <v>0</v>
      </c>
      <c r="G23" s="54">
        <f t="shared" si="8"/>
        <v>0</v>
      </c>
      <c r="H23" s="54">
        <f t="shared" si="8"/>
        <v>4981184.2476592138</v>
      </c>
      <c r="I23" s="54">
        <f t="shared" si="8"/>
        <v>764431.80315378727</v>
      </c>
      <c r="J23" s="54">
        <f t="shared" si="8"/>
        <v>5407460.0883832127</v>
      </c>
      <c r="K23" s="31">
        <f>SUM(C23:J23)</f>
        <v>20235770.293367263</v>
      </c>
      <c r="L23" s="40"/>
    </row>
    <row r="24" spans="2:19" x14ac:dyDescent="0.35">
      <c r="B24" s="53" t="s">
        <v>19</v>
      </c>
      <c r="C24" s="55">
        <f t="shared" ref="C24:J24" si="9">+C22/$K$22</f>
        <v>0</v>
      </c>
      <c r="D24" s="55">
        <f t="shared" si="9"/>
        <v>0.13591835782610501</v>
      </c>
      <c r="E24" s="55">
        <f t="shared" si="9"/>
        <v>0.53281310722685893</v>
      </c>
      <c r="F24" s="55">
        <f t="shared" si="9"/>
        <v>0.29275296942509837</v>
      </c>
      <c r="G24" s="55">
        <f t="shared" si="9"/>
        <v>3.8515565521937689E-2</v>
      </c>
      <c r="H24" s="55">
        <f t="shared" si="9"/>
        <v>0</v>
      </c>
      <c r="I24" s="55">
        <f t="shared" si="9"/>
        <v>0</v>
      </c>
      <c r="J24" s="55">
        <f t="shared" si="9"/>
        <v>0</v>
      </c>
      <c r="K24" s="56">
        <f>SUM(C24:J24)</f>
        <v>0.99999999999999989</v>
      </c>
      <c r="L24" s="40"/>
    </row>
    <row r="25" spans="2:19" x14ac:dyDescent="0.35">
      <c r="B25" s="57" t="s">
        <v>20</v>
      </c>
      <c r="C25" s="58">
        <f t="shared" ref="C25:J25" si="10">+C23/$K$23</f>
        <v>0.44884350941402562</v>
      </c>
      <c r="D25" s="58">
        <f t="shared" si="10"/>
        <v>0</v>
      </c>
      <c r="E25" s="58">
        <f t="shared" si="10"/>
        <v>0</v>
      </c>
      <c r="F25" s="58">
        <f t="shared" si="10"/>
        <v>0</v>
      </c>
      <c r="G25" s="58">
        <f t="shared" si="10"/>
        <v>0</v>
      </c>
      <c r="H25" s="58">
        <f t="shared" si="10"/>
        <v>0.24615738246899901</v>
      </c>
      <c r="I25" s="58">
        <f t="shared" si="10"/>
        <v>3.7776264114064748E-2</v>
      </c>
      <c r="J25" s="58">
        <f t="shared" si="10"/>
        <v>0.26722284400291063</v>
      </c>
      <c r="K25" s="59">
        <f>SUM(C25:J25)</f>
        <v>1</v>
      </c>
      <c r="L25" s="40"/>
    </row>
    <row r="26" spans="2:19" x14ac:dyDescent="0.35">
      <c r="B26" s="60" t="s">
        <v>21</v>
      </c>
      <c r="C26" s="61"/>
      <c r="D26" s="61"/>
      <c r="E26" s="61"/>
      <c r="F26" s="61"/>
      <c r="G26" s="61"/>
      <c r="H26" s="61"/>
      <c r="I26" s="61"/>
      <c r="J26" s="61"/>
      <c r="K26" s="62"/>
      <c r="L26" s="40"/>
    </row>
    <row r="27" spans="2:19" x14ac:dyDescent="0.35">
      <c r="B27" s="63" t="s">
        <v>22</v>
      </c>
      <c r="C27" s="64">
        <f>-C23*0</f>
        <v>0</v>
      </c>
      <c r="D27" s="64">
        <v>0</v>
      </c>
      <c r="E27" s="64">
        <f>-E20*0</f>
        <v>0</v>
      </c>
      <c r="F27" s="64">
        <v>0</v>
      </c>
      <c r="G27" s="65">
        <v>0</v>
      </c>
      <c r="H27" s="64">
        <v>0</v>
      </c>
      <c r="I27" s="64">
        <f>-18204.78-3000</f>
        <v>-21204.78</v>
      </c>
      <c r="J27" s="66">
        <f>+-J20*0</f>
        <v>0</v>
      </c>
      <c r="K27" s="67">
        <f>SUM(C27:J27)</f>
        <v>-21204.78</v>
      </c>
      <c r="L27" s="40"/>
      <c r="O27" s="1"/>
      <c r="P27" s="2"/>
      <c r="Q27" s="68"/>
      <c r="R27" s="68"/>
      <c r="S27" s="68"/>
    </row>
    <row r="28" spans="2:19" x14ac:dyDescent="0.35">
      <c r="B28" s="69"/>
      <c r="C28" s="70"/>
      <c r="D28" s="70"/>
      <c r="E28" s="70"/>
      <c r="F28" s="70"/>
      <c r="G28" s="71"/>
      <c r="H28" s="70"/>
      <c r="I28" s="70"/>
      <c r="J28" s="72"/>
      <c r="K28" s="73"/>
      <c r="L28" s="40"/>
      <c r="O28" s="1"/>
      <c r="P28" s="2"/>
      <c r="Q28" s="68"/>
      <c r="R28" s="68"/>
      <c r="S28" s="68"/>
    </row>
    <row r="29" spans="2:19" x14ac:dyDescent="0.35">
      <c r="B29" s="69" t="s">
        <v>23</v>
      </c>
      <c r="C29" s="70">
        <v>0</v>
      </c>
      <c r="D29" s="70">
        <v>0</v>
      </c>
      <c r="E29" s="70">
        <v>0</v>
      </c>
      <c r="F29" s="70">
        <f>-I27</f>
        <v>21204.78</v>
      </c>
      <c r="G29" s="70">
        <v>0</v>
      </c>
      <c r="H29" s="70">
        <v>0</v>
      </c>
      <c r="I29" s="70">
        <v>0</v>
      </c>
      <c r="J29" s="70">
        <v>0</v>
      </c>
      <c r="K29" s="73">
        <f>SUM(C29:J29)</f>
        <v>21204.78</v>
      </c>
      <c r="L29" s="40"/>
      <c r="O29" s="1"/>
      <c r="P29" s="2"/>
      <c r="Q29" s="68"/>
      <c r="R29" s="68"/>
      <c r="S29" s="68"/>
    </row>
    <row r="30" spans="2:19" x14ac:dyDescent="0.35">
      <c r="B30" s="69" t="s">
        <v>24</v>
      </c>
      <c r="C30" s="70">
        <v>0</v>
      </c>
      <c r="D30" s="70">
        <v>0</v>
      </c>
      <c r="E30" s="70">
        <v>0</v>
      </c>
      <c r="F30" s="70">
        <v>0</v>
      </c>
      <c r="G30" s="70">
        <v>0</v>
      </c>
      <c r="H30" s="70">
        <v>0</v>
      </c>
      <c r="I30" s="70">
        <v>0</v>
      </c>
      <c r="J30" s="70">
        <v>0</v>
      </c>
      <c r="K30" s="73">
        <f t="shared" ref="K30:K34" si="11">SUM(C30:J30)</f>
        <v>0</v>
      </c>
      <c r="L30" s="40"/>
      <c r="O30" s="1"/>
      <c r="P30" s="2"/>
      <c r="Q30" s="68"/>
      <c r="R30" s="68"/>
      <c r="S30" s="68"/>
    </row>
    <row r="31" spans="2:19" x14ac:dyDescent="0.35">
      <c r="B31" s="69" t="s">
        <v>25</v>
      </c>
      <c r="C31" s="70">
        <v>0</v>
      </c>
      <c r="D31" s="70">
        <v>0</v>
      </c>
      <c r="E31" s="70">
        <v>0</v>
      </c>
      <c r="F31" s="70">
        <v>0</v>
      </c>
      <c r="G31" s="70">
        <v>0</v>
      </c>
      <c r="H31" s="70">
        <v>0</v>
      </c>
      <c r="I31" s="70">
        <v>0</v>
      </c>
      <c r="J31" s="70">
        <v>0</v>
      </c>
      <c r="K31" s="73">
        <f t="shared" si="11"/>
        <v>0</v>
      </c>
      <c r="L31" s="74"/>
      <c r="O31" s="1"/>
      <c r="P31" s="2"/>
      <c r="Q31" s="68"/>
      <c r="R31" s="68"/>
      <c r="S31" s="68"/>
    </row>
    <row r="32" spans="2:19" x14ac:dyDescent="0.35">
      <c r="B32" s="69" t="s">
        <v>26</v>
      </c>
      <c r="C32" s="70">
        <v>0</v>
      </c>
      <c r="D32" s="70">
        <v>0</v>
      </c>
      <c r="E32" s="70">
        <v>0</v>
      </c>
      <c r="F32" s="70">
        <v>0</v>
      </c>
      <c r="G32" s="70">
        <v>0</v>
      </c>
      <c r="H32" s="70">
        <v>0</v>
      </c>
      <c r="I32" s="70">
        <v>0</v>
      </c>
      <c r="J32" s="70">
        <v>0</v>
      </c>
      <c r="K32" s="73">
        <f t="shared" si="11"/>
        <v>0</v>
      </c>
      <c r="L32" s="40"/>
      <c r="O32" s="1"/>
      <c r="P32" s="2"/>
      <c r="Q32" s="68"/>
      <c r="R32" s="68"/>
      <c r="S32" s="68"/>
    </row>
    <row r="33" spans="2:29" x14ac:dyDescent="0.35">
      <c r="B33" s="69" t="s">
        <v>27</v>
      </c>
      <c r="C33" s="70">
        <v>0</v>
      </c>
      <c r="D33" s="70">
        <v>0</v>
      </c>
      <c r="E33" s="70">
        <v>0</v>
      </c>
      <c r="F33" s="70">
        <v>0</v>
      </c>
      <c r="G33" s="70">
        <v>0</v>
      </c>
      <c r="H33" s="70">
        <v>0</v>
      </c>
      <c r="I33" s="70">
        <v>0</v>
      </c>
      <c r="J33" s="70">
        <v>0</v>
      </c>
      <c r="K33" s="73">
        <f t="shared" si="11"/>
        <v>0</v>
      </c>
      <c r="L33" s="40"/>
      <c r="O33" s="1"/>
      <c r="P33" s="2"/>
      <c r="Q33" s="68"/>
      <c r="R33" s="68"/>
      <c r="S33" s="68"/>
    </row>
    <row r="34" spans="2:29" x14ac:dyDescent="0.35">
      <c r="B34" s="69" t="s">
        <v>28</v>
      </c>
      <c r="C34" s="70">
        <v>0</v>
      </c>
      <c r="D34" s="70">
        <v>0</v>
      </c>
      <c r="E34" s="70">
        <v>0</v>
      </c>
      <c r="F34" s="70">
        <v>0</v>
      </c>
      <c r="G34" s="70">
        <v>0</v>
      </c>
      <c r="H34" s="70">
        <v>0</v>
      </c>
      <c r="I34" s="70">
        <v>0</v>
      </c>
      <c r="J34" s="70">
        <v>0</v>
      </c>
      <c r="K34" s="73">
        <f t="shared" si="11"/>
        <v>0</v>
      </c>
      <c r="L34" s="40"/>
      <c r="O34" s="1"/>
      <c r="P34" s="2"/>
      <c r="Q34" s="68"/>
      <c r="R34" s="68"/>
      <c r="S34" s="68"/>
    </row>
    <row r="35" spans="2:29" x14ac:dyDescent="0.35">
      <c r="B35" s="69" t="s">
        <v>29</v>
      </c>
      <c r="C35" s="75">
        <f>SUM(C29:C34)</f>
        <v>0</v>
      </c>
      <c r="D35" s="75">
        <f t="shared" ref="D35:J35" si="12">SUM(D29:D34)</f>
        <v>0</v>
      </c>
      <c r="E35" s="75">
        <f t="shared" si="12"/>
        <v>0</v>
      </c>
      <c r="F35" s="75">
        <f t="shared" si="12"/>
        <v>21204.78</v>
      </c>
      <c r="G35" s="75">
        <f t="shared" si="12"/>
        <v>0</v>
      </c>
      <c r="H35" s="75">
        <f t="shared" si="12"/>
        <v>0</v>
      </c>
      <c r="I35" s="75">
        <f t="shared" si="12"/>
        <v>0</v>
      </c>
      <c r="J35" s="75">
        <f t="shared" si="12"/>
        <v>0</v>
      </c>
      <c r="K35" s="76">
        <f>SUM(C35:J35)</f>
        <v>21204.78</v>
      </c>
      <c r="L35" s="74"/>
      <c r="M35" s="77"/>
      <c r="N35" s="43"/>
      <c r="O35" s="78"/>
      <c r="P35" s="2"/>
      <c r="Q35" s="68"/>
      <c r="R35" s="68"/>
      <c r="S35" s="68"/>
    </row>
    <row r="36" spans="2:29" x14ac:dyDescent="0.35">
      <c r="B36" s="79" t="s">
        <v>30</v>
      </c>
      <c r="C36" s="80"/>
      <c r="D36" s="80"/>
      <c r="E36" s="80"/>
      <c r="F36" s="80"/>
      <c r="G36" s="80"/>
      <c r="H36" s="80"/>
      <c r="I36" s="80"/>
      <c r="J36" s="80"/>
      <c r="K36" s="81"/>
      <c r="L36" s="40"/>
      <c r="M36" s="77"/>
      <c r="N36" s="43"/>
      <c r="O36" s="78"/>
      <c r="P36" s="2"/>
      <c r="Q36" s="68"/>
      <c r="R36" s="68"/>
      <c r="S36" s="68"/>
    </row>
    <row r="37" spans="2:29" s="87" customFormat="1" x14ac:dyDescent="0.35">
      <c r="B37" s="82" t="s">
        <v>31</v>
      </c>
      <c r="C37" s="83">
        <f>+C17+C27+C35</f>
        <v>370629778.00361437</v>
      </c>
      <c r="D37" s="83">
        <f t="shared" ref="D37:J37" si="13">+D17+D27+D35</f>
        <v>146520709.34510371</v>
      </c>
      <c r="E37" s="83">
        <f t="shared" si="13"/>
        <v>242611864.67717412</v>
      </c>
      <c r="F37" s="83">
        <f t="shared" si="13"/>
        <v>75356806.680881336</v>
      </c>
      <c r="G37" s="83">
        <f t="shared" si="13"/>
        <v>36901420.341825075</v>
      </c>
      <c r="H37" s="83">
        <f t="shared" si="13"/>
        <v>20684190.406345665</v>
      </c>
      <c r="I37" s="83">
        <f t="shared" si="13"/>
        <v>4297706.5363141093</v>
      </c>
      <c r="J37" s="83">
        <f t="shared" si="13"/>
        <v>47935715.6034794</v>
      </c>
      <c r="K37" s="84">
        <f>SUM(C37:J37)</f>
        <v>944938191.59473789</v>
      </c>
      <c r="L37" s="85"/>
      <c r="M37" s="85"/>
      <c r="N37" s="85"/>
      <c r="O37" s="85"/>
      <c r="P37" s="2"/>
      <c r="Q37" s="2"/>
      <c r="R37" s="2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</row>
    <row r="38" spans="2:29" s="87" customFormat="1" x14ac:dyDescent="0.35">
      <c r="B38" s="88" t="s">
        <v>32</v>
      </c>
      <c r="C38" s="89"/>
      <c r="D38" s="89"/>
      <c r="E38" s="89">
        <v>4554932.2724224757</v>
      </c>
      <c r="F38" s="89">
        <v>4819421.1675157174</v>
      </c>
      <c r="G38" s="89">
        <v>2436834.228183663</v>
      </c>
      <c r="H38" s="90">
        <v>0</v>
      </c>
      <c r="I38" s="89"/>
      <c r="J38" s="89"/>
      <c r="K38" s="91">
        <f>SUM(E38:G38)</f>
        <v>11811187.668121856</v>
      </c>
      <c r="L38" s="85"/>
      <c r="M38" s="92"/>
      <c r="N38" s="92"/>
      <c r="O38" s="93"/>
      <c r="P38" s="2"/>
      <c r="Q38" s="2"/>
      <c r="R38" s="2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</row>
    <row r="39" spans="2:29" s="87" customFormat="1" x14ac:dyDescent="0.35">
      <c r="B39" s="94" t="s">
        <v>33</v>
      </c>
      <c r="C39" s="83">
        <f>+C37+C38</f>
        <v>370629778.00361437</v>
      </c>
      <c r="D39" s="83">
        <f>+D37+D38</f>
        <v>146520709.34510371</v>
      </c>
      <c r="E39" s="83">
        <f t="shared" ref="E39:J39" si="14">+E37+E38</f>
        <v>247166796.94959658</v>
      </c>
      <c r="F39" s="83">
        <f t="shared" si="14"/>
        <v>80176227.848397046</v>
      </c>
      <c r="G39" s="83">
        <f t="shared" si="14"/>
        <v>39338254.57000874</v>
      </c>
      <c r="H39" s="83">
        <f t="shared" si="14"/>
        <v>20684190.406345665</v>
      </c>
      <c r="I39" s="83">
        <f t="shared" si="14"/>
        <v>4297706.5363141093</v>
      </c>
      <c r="J39" s="83">
        <f t="shared" si="14"/>
        <v>47935715.6034794</v>
      </c>
      <c r="K39" s="84">
        <f>SUM(C39:J39)</f>
        <v>956749379.26285946</v>
      </c>
      <c r="L39" s="85"/>
      <c r="M39" s="92"/>
      <c r="N39" s="92"/>
      <c r="O39" s="2"/>
      <c r="P39" s="2"/>
      <c r="Q39" s="2"/>
      <c r="R39" s="2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</row>
    <row r="40" spans="2:29" s="87" customFormat="1" x14ac:dyDescent="0.35">
      <c r="B40" s="45" t="s">
        <v>34</v>
      </c>
      <c r="C40" s="46">
        <f t="shared" ref="C40:J40" si="15">+C37/C18</f>
        <v>1.0251217464056586</v>
      </c>
      <c r="D40" s="46">
        <f t="shared" si="15"/>
        <v>0.98157438203361047</v>
      </c>
      <c r="E40" s="46">
        <f t="shared" si="15"/>
        <v>0.95745008028635892</v>
      </c>
      <c r="F40" s="46">
        <f t="shared" si="15"/>
        <v>0.92735786320968139</v>
      </c>
      <c r="G40" s="46">
        <f t="shared" si="15"/>
        <v>0.97931594131451138</v>
      </c>
      <c r="H40" s="46">
        <f t="shared" si="15"/>
        <v>1.317212143797305</v>
      </c>
      <c r="I40" s="46">
        <f t="shared" si="15"/>
        <v>1.2090958803959955</v>
      </c>
      <c r="J40" s="46">
        <f t="shared" si="15"/>
        <v>1.127149821286785</v>
      </c>
      <c r="K40" s="95"/>
      <c r="L40" s="85"/>
      <c r="M40" s="92"/>
      <c r="N40" s="92"/>
      <c r="O40" s="2"/>
      <c r="P40" s="2"/>
      <c r="Q40" s="2"/>
      <c r="R40" s="2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</row>
    <row r="41" spans="2:29" s="87" customFormat="1" x14ac:dyDescent="0.35">
      <c r="B41" s="96" t="s">
        <v>35</v>
      </c>
      <c r="C41" s="46">
        <f>(C37+C10)/C13</f>
        <v>1.0239923016319359</v>
      </c>
      <c r="D41" s="46">
        <f t="shared" ref="D41:J41" si="16">(D37+D10)/D13</f>
        <v>0.98239954500458948</v>
      </c>
      <c r="E41" s="46">
        <f t="shared" si="16"/>
        <v>0.95880230182248261</v>
      </c>
      <c r="F41" s="46">
        <f t="shared" si="16"/>
        <v>0.92935223669748246</v>
      </c>
      <c r="G41" s="46">
        <f t="shared" si="16"/>
        <v>0.97977249971733305</v>
      </c>
      <c r="H41" s="46">
        <f t="shared" si="16"/>
        <v>1.1898786872422966</v>
      </c>
      <c r="I41" s="46">
        <f t="shared" si="16"/>
        <v>1.1999507695980465</v>
      </c>
      <c r="J41" s="46">
        <f t="shared" si="16"/>
        <v>1.1212773177684483</v>
      </c>
      <c r="K41" s="97"/>
      <c r="L41" s="98"/>
      <c r="M41" s="92"/>
      <c r="N41" s="92"/>
      <c r="O41" s="2"/>
      <c r="P41" s="2"/>
      <c r="Q41" s="2"/>
      <c r="R41" s="2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</row>
    <row r="42" spans="2:29" s="87" customFormat="1" x14ac:dyDescent="0.35">
      <c r="B42" s="99" t="s">
        <v>36</v>
      </c>
      <c r="C42" s="100">
        <v>0.85</v>
      </c>
      <c r="D42" s="100">
        <v>0.8</v>
      </c>
      <c r="E42" s="100">
        <v>0.8</v>
      </c>
      <c r="F42" s="100">
        <v>0.8</v>
      </c>
      <c r="G42" s="100">
        <v>0.85</v>
      </c>
      <c r="H42" s="100">
        <v>0.8</v>
      </c>
      <c r="I42" s="100">
        <v>0.8</v>
      </c>
      <c r="J42" s="100">
        <v>0.8</v>
      </c>
      <c r="K42" s="101"/>
      <c r="L42" s="85"/>
      <c r="M42" s="92"/>
      <c r="N42" s="92"/>
      <c r="O42" s="2"/>
      <c r="P42" s="2"/>
      <c r="Q42" s="2"/>
      <c r="R42" s="2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</row>
    <row r="43" spans="2:29" s="87" customFormat="1" x14ac:dyDescent="0.35">
      <c r="B43" s="102" t="s">
        <v>37</v>
      </c>
      <c r="C43" s="103">
        <v>1.1499999999999999</v>
      </c>
      <c r="D43" s="103">
        <v>1.2</v>
      </c>
      <c r="E43" s="103">
        <v>1.2</v>
      </c>
      <c r="F43" s="103">
        <v>1.2</v>
      </c>
      <c r="G43" s="103">
        <v>1.1499999999999999</v>
      </c>
      <c r="H43" s="103">
        <v>1.2</v>
      </c>
      <c r="I43" s="103">
        <v>1.2</v>
      </c>
      <c r="J43" s="103">
        <v>1.2</v>
      </c>
      <c r="K43" s="104"/>
      <c r="L43" s="85"/>
      <c r="M43" s="92"/>
      <c r="N43" s="92"/>
      <c r="O43" s="2"/>
      <c r="P43" s="2"/>
      <c r="Q43" s="2"/>
      <c r="R43" s="2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</row>
    <row r="44" spans="2:29" s="87" customFormat="1" x14ac:dyDescent="0.35">
      <c r="B44" s="38" t="s">
        <v>38</v>
      </c>
      <c r="C44" s="16"/>
      <c r="D44" s="16"/>
      <c r="E44" s="16"/>
      <c r="F44" s="16"/>
      <c r="G44" s="16"/>
      <c r="H44" s="16"/>
      <c r="I44" s="16"/>
      <c r="J44" s="16"/>
      <c r="K44" s="39"/>
      <c r="L44" s="85"/>
      <c r="M44" s="92"/>
      <c r="N44" s="92"/>
      <c r="O44" s="2"/>
      <c r="P44" s="2"/>
      <c r="Q44" s="2"/>
      <c r="R44" s="2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</row>
    <row r="45" spans="2:29" s="87" customFormat="1" x14ac:dyDescent="0.35">
      <c r="B45" s="18" t="s">
        <v>5</v>
      </c>
      <c r="C45" s="105">
        <f t="shared" ref="C45:J46" si="17">C6/$K6</f>
        <v>0.21348963577872496</v>
      </c>
      <c r="D45" s="105">
        <f t="shared" si="17"/>
        <v>0.10374764651045398</v>
      </c>
      <c r="E45" s="105">
        <f t="shared" si="17"/>
        <v>0.41577827306481518</v>
      </c>
      <c r="F45" s="105">
        <f t="shared" si="17"/>
        <v>0.17587430578058844</v>
      </c>
      <c r="G45" s="105">
        <f t="shared" si="17"/>
        <v>6.907462206745503E-2</v>
      </c>
      <c r="H45" s="105">
        <f t="shared" si="17"/>
        <v>5.1627438297941544E-3</v>
      </c>
      <c r="I45" s="105">
        <f t="shared" si="17"/>
        <v>1.838224501283129E-3</v>
      </c>
      <c r="J45" s="105">
        <f t="shared" si="17"/>
        <v>1.5034548466885168E-2</v>
      </c>
      <c r="K45" s="106">
        <f>SUM(C45:J45)</f>
        <v>1.0000000000000002</v>
      </c>
      <c r="L45" s="85"/>
      <c r="M45" s="92"/>
      <c r="N45" s="92"/>
      <c r="O45" s="2"/>
      <c r="P45" s="2"/>
      <c r="Q45" s="2"/>
      <c r="R45" s="2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</row>
    <row r="46" spans="2:29" s="87" customFormat="1" x14ac:dyDescent="0.35">
      <c r="B46" s="23" t="s">
        <v>6</v>
      </c>
      <c r="C46" s="107">
        <f t="shared" si="17"/>
        <v>0.7729499516730538</v>
      </c>
      <c r="D46" s="107">
        <f t="shared" si="17"/>
        <v>9.1136125138512214E-2</v>
      </c>
      <c r="E46" s="107">
        <f t="shared" si="17"/>
        <v>1.2420053580784454E-2</v>
      </c>
      <c r="F46" s="107">
        <f t="shared" si="17"/>
        <v>5.9041098602116314E-4</v>
      </c>
      <c r="G46" s="107">
        <f t="shared" si="17"/>
        <v>5.5490928504545926E-5</v>
      </c>
      <c r="H46" s="107">
        <f t="shared" si="17"/>
        <v>1.2493267205526288E-6</v>
      </c>
      <c r="I46" s="107">
        <f t="shared" si="17"/>
        <v>9.8821743595712934E-4</v>
      </c>
      <c r="J46" s="107">
        <f t="shared" si="17"/>
        <v>0.12185850093044603</v>
      </c>
      <c r="K46" s="108">
        <f>SUM(C46:J46)</f>
        <v>0.99999999999999989</v>
      </c>
      <c r="L46" s="85"/>
      <c r="M46" s="92"/>
      <c r="N46" s="92"/>
      <c r="O46" s="2"/>
      <c r="P46" s="2"/>
      <c r="Q46" s="2"/>
      <c r="R46" s="2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</row>
    <row r="47" spans="2:29" s="87" customFormat="1" x14ac:dyDescent="0.35">
      <c r="B47" s="23" t="s">
        <v>39</v>
      </c>
      <c r="C47" s="107">
        <v>1</v>
      </c>
      <c r="D47" s="109">
        <v>0.28773042474868044</v>
      </c>
      <c r="E47" s="109">
        <v>3.0838889832685786E-2</v>
      </c>
      <c r="F47" s="109">
        <v>8.4863638086111762E-2</v>
      </c>
      <c r="G47" s="109">
        <v>7.19315372494784E-2</v>
      </c>
      <c r="H47" s="109">
        <v>0.20373551591631692</v>
      </c>
      <c r="I47" s="109">
        <v>1.7318438116821242E-2</v>
      </c>
      <c r="J47" s="107">
        <v>1</v>
      </c>
      <c r="K47" s="110" t="s">
        <v>0</v>
      </c>
      <c r="L47" s="85"/>
      <c r="M47" s="92"/>
      <c r="N47" s="92"/>
      <c r="O47" s="2"/>
      <c r="P47" s="2"/>
      <c r="Q47" s="2"/>
      <c r="R47" s="2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</row>
    <row r="48" spans="2:29" s="87" customFormat="1" x14ac:dyDescent="0.35">
      <c r="B48" s="23" t="s">
        <v>40</v>
      </c>
      <c r="C48" s="107"/>
      <c r="D48" s="109"/>
      <c r="E48" s="109"/>
      <c r="F48" s="109"/>
      <c r="G48" s="109"/>
      <c r="H48" s="109" t="s">
        <v>0</v>
      </c>
      <c r="I48" s="109">
        <v>0.95352507024738298</v>
      </c>
      <c r="J48" s="107" t="s">
        <v>0</v>
      </c>
      <c r="K48" s="110"/>
      <c r="L48" s="85"/>
      <c r="M48" s="92"/>
      <c r="N48" s="92"/>
      <c r="O48" s="2"/>
      <c r="P48" s="2"/>
      <c r="Q48" s="2"/>
      <c r="R48" s="2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</row>
    <row r="49" spans="2:29" s="87" customFormat="1" x14ac:dyDescent="0.35">
      <c r="B49" s="23" t="s">
        <v>41</v>
      </c>
      <c r="C49" s="107">
        <v>0</v>
      </c>
      <c r="D49" s="109">
        <v>0.71226957525131962</v>
      </c>
      <c r="E49" s="109">
        <v>0.96916111016731421</v>
      </c>
      <c r="F49" s="109">
        <v>0.91513636191388825</v>
      </c>
      <c r="G49" s="109">
        <v>0.92806846275052157</v>
      </c>
      <c r="H49" s="109">
        <v>0.796264484083683</v>
      </c>
      <c r="I49" s="109">
        <v>2.9156491635795784E-2</v>
      </c>
      <c r="J49" s="107">
        <f>100%-J47</f>
        <v>0</v>
      </c>
      <c r="K49" s="110" t="s">
        <v>0</v>
      </c>
      <c r="L49" s="85"/>
      <c r="M49" s="92"/>
      <c r="N49" s="92"/>
      <c r="O49" s="2"/>
      <c r="P49" s="2"/>
      <c r="Q49" s="2"/>
      <c r="R49" s="2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</row>
    <row r="50" spans="2:29" x14ac:dyDescent="0.35">
      <c r="B50" s="48" t="s">
        <v>8</v>
      </c>
      <c r="C50" s="111">
        <f t="shared" ref="C50:J50" si="18">+C9/$K$9</f>
        <v>0.39222647713933123</v>
      </c>
      <c r="D50" s="111">
        <f t="shared" si="18"/>
        <v>0.15505851139091548</v>
      </c>
      <c r="E50" s="111">
        <f t="shared" si="18"/>
        <v>0.25674892478176475</v>
      </c>
      <c r="F50" s="111">
        <f t="shared" si="18"/>
        <v>7.9725428150745181E-2</v>
      </c>
      <c r="G50" s="111">
        <f t="shared" si="18"/>
        <v>3.9051676257838515E-2</v>
      </c>
      <c r="H50" s="111">
        <f t="shared" si="18"/>
        <v>2.1889463872168943E-2</v>
      </c>
      <c r="I50" s="111">
        <f t="shared" si="18"/>
        <v>4.5705754669786826E-3</v>
      </c>
      <c r="J50" s="111">
        <f t="shared" si="18"/>
        <v>5.0728942940257336E-2</v>
      </c>
      <c r="K50" s="112">
        <f>SUM(C50:J50)</f>
        <v>1</v>
      </c>
      <c r="L50" s="40"/>
      <c r="M50" s="2"/>
      <c r="O50" s="2"/>
      <c r="P50" s="2"/>
    </row>
    <row r="51" spans="2:29" x14ac:dyDescent="0.35">
      <c r="B51" s="79" t="s">
        <v>42</v>
      </c>
      <c r="C51" s="113"/>
      <c r="D51" s="113"/>
      <c r="E51" s="113"/>
      <c r="F51" s="113"/>
      <c r="G51" s="113"/>
      <c r="H51" s="113"/>
      <c r="I51" s="113"/>
      <c r="J51" s="113"/>
      <c r="K51" s="114"/>
      <c r="L51" s="40"/>
      <c r="M51" s="2"/>
      <c r="O51" s="2"/>
      <c r="P51" s="2"/>
    </row>
    <row r="52" spans="2:29" x14ac:dyDescent="0.35">
      <c r="B52" s="23" t="s">
        <v>39</v>
      </c>
      <c r="C52" s="115">
        <f>(+C37*C47)</f>
        <v>370629778.00361437</v>
      </c>
      <c r="D52" s="30">
        <f>(+D37*D47)</f>
        <v>42158465.934344642</v>
      </c>
      <c r="E52" s="30">
        <f>+E37*E47</f>
        <v>7481880.5668818448</v>
      </c>
      <c r="F52" s="30">
        <f>+F37*F47</f>
        <v>6395052.7694914024</v>
      </c>
      <c r="G52" s="30">
        <f>+G37*G47</f>
        <v>2654375.8918766505</v>
      </c>
      <c r="H52" s="30"/>
      <c r="I52" s="30">
        <f>(+I37*I47)</f>
        <v>74429.564693414068</v>
      </c>
      <c r="J52" s="30">
        <f>(+J37*J47)</f>
        <v>47935715.6034794</v>
      </c>
      <c r="K52" s="31">
        <f>SUM(C52:J52)</f>
        <v>477329698.33438164</v>
      </c>
      <c r="L52" s="40"/>
      <c r="M52" s="2"/>
      <c r="O52" s="2"/>
      <c r="P52" s="2"/>
    </row>
    <row r="53" spans="2:29" x14ac:dyDescent="0.35">
      <c r="B53" s="23" t="s">
        <v>40</v>
      </c>
      <c r="C53" s="115" t="s">
        <v>0</v>
      </c>
      <c r="D53" s="116" t="s">
        <v>0</v>
      </c>
      <c r="E53" s="116" t="s">
        <v>0</v>
      </c>
      <c r="F53" s="116" t="s">
        <v>0</v>
      </c>
      <c r="G53" s="117" t="s">
        <v>0</v>
      </c>
      <c r="H53" s="30">
        <f>+H37*H47</f>
        <v>4214104.2037481666</v>
      </c>
      <c r="I53" s="30">
        <f>+I37*I49</f>
        <v>125306.04467914719</v>
      </c>
      <c r="J53" s="116" t="s">
        <v>0</v>
      </c>
      <c r="K53" s="31">
        <f>+I53+H53</f>
        <v>4339410.2484273138</v>
      </c>
      <c r="L53" s="40"/>
      <c r="M53" s="2"/>
      <c r="O53" s="2"/>
      <c r="P53" s="2"/>
    </row>
    <row r="54" spans="2:29" x14ac:dyDescent="0.35">
      <c r="B54" s="23" t="s">
        <v>41</v>
      </c>
      <c r="C54" s="30"/>
      <c r="D54" s="30">
        <f>+D39-D52</f>
        <v>104362243.41075906</v>
      </c>
      <c r="E54" s="30">
        <f>+E39-E52</f>
        <v>239684916.38271475</v>
      </c>
      <c r="F54" s="30">
        <f>+F39-F52</f>
        <v>73781175.078905642</v>
      </c>
      <c r="G54" s="30">
        <f>+G39-G52</f>
        <v>36683878.678132087</v>
      </c>
      <c r="H54" s="30">
        <f>+H39-H53</f>
        <v>16470086.202597499</v>
      </c>
      <c r="I54" s="30">
        <f>+I39-I52-I53</f>
        <v>4097970.9269415485</v>
      </c>
      <c r="J54" s="30"/>
      <c r="K54" s="31">
        <f>SUM(C54:J54)</f>
        <v>475080270.68005067</v>
      </c>
      <c r="L54" s="40"/>
      <c r="M54" s="2"/>
      <c r="O54" s="2"/>
      <c r="P54" s="2"/>
    </row>
    <row r="55" spans="2:29" x14ac:dyDescent="0.35">
      <c r="B55" s="45" t="s">
        <v>43</v>
      </c>
      <c r="C55" s="118">
        <f>SUM(C52:C54)</f>
        <v>370629778.00361437</v>
      </c>
      <c r="D55" s="118">
        <f t="shared" ref="D55:J55" si="19">SUM(D52:D54)</f>
        <v>146520709.34510371</v>
      </c>
      <c r="E55" s="118">
        <f t="shared" si="19"/>
        <v>247166796.94959658</v>
      </c>
      <c r="F55" s="118">
        <f t="shared" si="19"/>
        <v>80176227.848397046</v>
      </c>
      <c r="G55" s="118">
        <f t="shared" si="19"/>
        <v>39338254.57000874</v>
      </c>
      <c r="H55" s="118">
        <f t="shared" si="19"/>
        <v>20684190.406345665</v>
      </c>
      <c r="I55" s="118">
        <f t="shared" si="19"/>
        <v>4297706.5363141093</v>
      </c>
      <c r="J55" s="118">
        <f t="shared" si="19"/>
        <v>47935715.6034794</v>
      </c>
      <c r="K55" s="31">
        <f>+K52+K53+K54</f>
        <v>956749379.26285958</v>
      </c>
      <c r="L55" s="40"/>
      <c r="M55" s="2"/>
      <c r="O55" s="2"/>
      <c r="P55" s="2"/>
    </row>
    <row r="56" spans="2:29" x14ac:dyDescent="0.35">
      <c r="B56" s="119" t="s">
        <v>44</v>
      </c>
      <c r="C56" s="120"/>
      <c r="D56" s="121"/>
      <c r="E56" s="121"/>
      <c r="F56" s="121"/>
      <c r="G56" s="121"/>
      <c r="H56" s="121"/>
      <c r="I56" s="121"/>
      <c r="J56" s="121"/>
      <c r="K56" s="122"/>
      <c r="L56" s="40"/>
      <c r="M56" s="2"/>
      <c r="O56" s="2"/>
      <c r="P56" s="2"/>
    </row>
    <row r="57" spans="2:29" x14ac:dyDescent="0.35">
      <c r="B57" s="123" t="s">
        <v>45</v>
      </c>
      <c r="C57" s="124">
        <f>((+C52/(+C7*12)*12)/365)*30</f>
        <v>49.237200730819133</v>
      </c>
      <c r="D57" s="125">
        <f>((+D52/(+D7*12)*12)/365)*30</f>
        <v>47.500552239986845</v>
      </c>
      <c r="E57" s="125">
        <f>((+E52/(+E7*12)*12)/365)*30</f>
        <v>61.857408426792269</v>
      </c>
      <c r="F57" s="125">
        <f>((+F52/(+F7*12)*12)/365)*30</f>
        <v>1112.2287615756709</v>
      </c>
      <c r="G57" s="125">
        <f>((+G52/(+G7*12)*12)/365)*30</f>
        <v>4911.8472388166965</v>
      </c>
      <c r="H57" s="125">
        <v>0</v>
      </c>
      <c r="I57" s="125">
        <f>((+I52/(+I7*12)*12)/365)*30</f>
        <v>7.7338792262349454</v>
      </c>
      <c r="J57" s="125">
        <f>((+J52/(+J7*12)*12)/365)*30</f>
        <v>40.393157490469513</v>
      </c>
      <c r="K57" s="126"/>
      <c r="L57" s="40"/>
      <c r="M57" s="2"/>
      <c r="O57" s="2"/>
      <c r="P57" s="2"/>
    </row>
    <row r="58" spans="2:29" x14ac:dyDescent="0.35">
      <c r="B58" s="127" t="s">
        <v>46</v>
      </c>
      <c r="C58" s="128"/>
      <c r="D58" s="129"/>
      <c r="E58" s="129"/>
      <c r="F58" s="129"/>
      <c r="G58" s="129" t="s">
        <v>0</v>
      </c>
      <c r="H58" s="130">
        <f>((+H53/(+H8*12)*12)/365)*30</f>
        <v>2.0046498011459128</v>
      </c>
      <c r="I58" s="130">
        <f>((+I53/(+I8*12)*12)/365)*30</f>
        <v>0.80005647167947691</v>
      </c>
      <c r="J58" s="129"/>
      <c r="K58" s="131"/>
      <c r="L58" s="40"/>
      <c r="M58" s="2"/>
    </row>
    <row r="59" spans="2:29" x14ac:dyDescent="0.35">
      <c r="B59" s="132" t="s">
        <v>47</v>
      </c>
      <c r="C59" s="133"/>
      <c r="D59" s="134">
        <f>+D54/D6</f>
        <v>4.393226368277775E-2</v>
      </c>
      <c r="E59" s="135">
        <f>(((+E54/E5)*12)/365)*30</f>
        <v>10.125431716254853</v>
      </c>
      <c r="F59" s="135">
        <f>(((+F54/F5)*12)/365)*30</f>
        <v>8.381028219322106</v>
      </c>
      <c r="G59" s="135">
        <f>(((+G54/G5)*12)/365)*30</f>
        <v>9.0701327629743105</v>
      </c>
      <c r="H59" s="135">
        <f>(((+H54/H5)*12)/365)*30</f>
        <v>44.686324080645527</v>
      </c>
      <c r="I59" s="134">
        <f>+I54/I6</f>
        <v>9.7361835210792905E-2</v>
      </c>
      <c r="J59" s="134"/>
      <c r="K59" s="136"/>
      <c r="L59" s="40"/>
      <c r="M59" s="2"/>
    </row>
    <row r="60" spans="2:29" x14ac:dyDescent="0.35">
      <c r="B60" s="127"/>
      <c r="C60" s="137"/>
      <c r="D60" s="137"/>
      <c r="E60" s="138"/>
      <c r="F60" s="138"/>
      <c r="G60" s="138"/>
      <c r="H60" s="138"/>
      <c r="I60" s="137"/>
      <c r="J60" s="137"/>
      <c r="K60" s="139"/>
      <c r="L60" s="40"/>
      <c r="M60" s="2"/>
    </row>
    <row r="61" spans="2:29" x14ac:dyDescent="0.35">
      <c r="B61" s="79" t="s">
        <v>48</v>
      </c>
      <c r="C61" s="113"/>
      <c r="D61" s="113"/>
      <c r="E61" s="113"/>
      <c r="F61" s="113"/>
      <c r="G61" s="113"/>
      <c r="H61" s="113"/>
      <c r="I61" s="113"/>
      <c r="J61" s="113"/>
      <c r="K61" s="114"/>
      <c r="L61" s="40"/>
      <c r="M61" s="2"/>
    </row>
    <row r="62" spans="2:29" x14ac:dyDescent="0.35">
      <c r="B62" s="23">
        <v>2025</v>
      </c>
      <c r="C62" s="140">
        <f>C57/30*365/12</f>
        <v>49.921050740969399</v>
      </c>
      <c r="D62" s="141">
        <f>D57/30*365/12</f>
        <v>48.160282132208884</v>
      </c>
      <c r="E62" s="141">
        <f>E57/30*365/12</f>
        <v>62.716539099386608</v>
      </c>
      <c r="F62" s="141">
        <f>F57/30*365/12</f>
        <v>1127.6763832642218</v>
      </c>
      <c r="G62" s="141">
        <f>G57/30*365/12</f>
        <v>4980.0673393558172</v>
      </c>
      <c r="H62" s="141">
        <v>3.6584858870912913</v>
      </c>
      <c r="I62" s="141">
        <f>(I53+I52)/I8/12</f>
        <v>1.2929879681799197</v>
      </c>
      <c r="J62" s="141">
        <f>J57/30*365/12</f>
        <v>40.954173566726034</v>
      </c>
      <c r="K62" s="31"/>
      <c r="L62" s="40"/>
      <c r="M62" s="2"/>
    </row>
    <row r="63" spans="2:29" x14ac:dyDescent="0.35">
      <c r="B63" s="23">
        <f>+B62-1</f>
        <v>2024</v>
      </c>
      <c r="C63" s="141">
        <v>45.93</v>
      </c>
      <c r="D63" s="141">
        <v>44.31</v>
      </c>
      <c r="E63" s="141">
        <v>58.88</v>
      </c>
      <c r="F63" s="141">
        <v>1109.3499999999999</v>
      </c>
      <c r="G63" s="141">
        <v>4910.79</v>
      </c>
      <c r="H63" s="141">
        <v>3.3660000000000001</v>
      </c>
      <c r="I63" s="141">
        <v>1.1954866775421424</v>
      </c>
      <c r="J63" s="141">
        <v>37.68</v>
      </c>
      <c r="K63" s="31"/>
      <c r="L63" s="40"/>
      <c r="M63" s="2"/>
    </row>
    <row r="64" spans="2:29" x14ac:dyDescent="0.35">
      <c r="B64" s="23" t="s">
        <v>49</v>
      </c>
      <c r="C64" s="141">
        <v>22.528549376511233</v>
      </c>
      <c r="D64" s="141">
        <v>37.108762718968784</v>
      </c>
      <c r="E64" s="141">
        <v>81.963017722679282</v>
      </c>
      <c r="F64" s="141">
        <v>155.54195945741739</v>
      </c>
      <c r="G64" s="141">
        <v>503.19092839543282</v>
      </c>
      <c r="H64" s="141">
        <v>6.0847383893711786</v>
      </c>
      <c r="I64" s="141">
        <v>8.6693404109514649</v>
      </c>
      <c r="J64" s="141">
        <v>18.124035156451161</v>
      </c>
      <c r="K64" s="31"/>
      <c r="L64" s="40"/>
      <c r="M64" s="2"/>
    </row>
    <row r="65" spans="2:16" x14ac:dyDescent="0.35">
      <c r="B65" s="48" t="s">
        <v>50</v>
      </c>
      <c r="C65" s="142">
        <v>6.3750532244949163</v>
      </c>
      <c r="D65" s="142">
        <v>14.194360131758557</v>
      </c>
      <c r="E65" s="142">
        <v>30.276193332111479</v>
      </c>
      <c r="F65" s="142">
        <v>42.753267433655815</v>
      </c>
      <c r="G65" s="142">
        <v>152.04947841163616</v>
      </c>
      <c r="H65" s="142">
        <v>0.57433021012311625</v>
      </c>
      <c r="I65" s="142">
        <v>0.7005196485277172</v>
      </c>
      <c r="J65" s="142">
        <v>4.0621972308346725</v>
      </c>
      <c r="K65" s="37"/>
      <c r="L65" s="40"/>
      <c r="M65" s="2"/>
    </row>
    <row r="66" spans="2:16" x14ac:dyDescent="0.35">
      <c r="B66" s="23" t="s">
        <v>51</v>
      </c>
      <c r="C66" s="143" t="s">
        <v>52</v>
      </c>
      <c r="D66" s="143" t="b">
        <f t="shared" ref="D66:I66" si="20">OR(D62&gt;D64)</f>
        <v>1</v>
      </c>
      <c r="E66" s="143" t="b">
        <f t="shared" si="20"/>
        <v>0</v>
      </c>
      <c r="F66" s="143" t="b">
        <f t="shared" si="20"/>
        <v>1</v>
      </c>
      <c r="G66" s="143" t="b">
        <f t="shared" si="20"/>
        <v>1</v>
      </c>
      <c r="H66" s="143" t="b">
        <f t="shared" si="20"/>
        <v>0</v>
      </c>
      <c r="I66" s="143" t="b">
        <f t="shared" si="20"/>
        <v>0</v>
      </c>
      <c r="J66" s="143" t="s">
        <v>52</v>
      </c>
      <c r="K66" s="31"/>
      <c r="L66" s="40"/>
      <c r="M66" s="2"/>
    </row>
    <row r="67" spans="2:16" x14ac:dyDescent="0.35">
      <c r="B67" s="23" t="s">
        <v>53</v>
      </c>
      <c r="C67" s="143" t="s">
        <v>52</v>
      </c>
      <c r="D67" s="143" t="b">
        <f t="shared" ref="D67:I67" si="21">OR(D62&lt;D65)</f>
        <v>0</v>
      </c>
      <c r="E67" s="143" t="b">
        <f t="shared" si="21"/>
        <v>0</v>
      </c>
      <c r="F67" s="143" t="b">
        <f t="shared" si="21"/>
        <v>0</v>
      </c>
      <c r="G67" s="143" t="b">
        <f t="shared" si="21"/>
        <v>0</v>
      </c>
      <c r="H67" s="143" t="b">
        <f t="shared" si="21"/>
        <v>0</v>
      </c>
      <c r="I67" s="143" t="b">
        <f t="shared" si="21"/>
        <v>0</v>
      </c>
      <c r="J67" s="143" t="s">
        <v>52</v>
      </c>
      <c r="K67" s="31"/>
      <c r="L67" s="40"/>
      <c r="M67" s="2"/>
    </row>
    <row r="68" spans="2:16" x14ac:dyDescent="0.35">
      <c r="B68" s="23" t="s">
        <v>54</v>
      </c>
      <c r="C68" s="141">
        <f>IF(C66=TRUE,C63,C62)</f>
        <v>49.921050740969399</v>
      </c>
      <c r="D68" s="141">
        <f t="shared" ref="D68:J68" si="22">IF(D66=TRUE,D63,D62)</f>
        <v>44.31</v>
      </c>
      <c r="E68" s="141">
        <f t="shared" si="22"/>
        <v>62.716539099386608</v>
      </c>
      <c r="F68" s="141">
        <f t="shared" si="22"/>
        <v>1109.3499999999999</v>
      </c>
      <c r="G68" s="141">
        <f t="shared" si="22"/>
        <v>4910.79</v>
      </c>
      <c r="H68" s="141">
        <v>2.0324921594951615</v>
      </c>
      <c r="I68" s="141">
        <f t="shared" si="22"/>
        <v>1.2929879681799197</v>
      </c>
      <c r="J68" s="141">
        <f t="shared" si="22"/>
        <v>40.954173566726034</v>
      </c>
      <c r="K68" s="31"/>
      <c r="L68" s="40"/>
      <c r="M68" s="2"/>
    </row>
    <row r="69" spans="2:16" x14ac:dyDescent="0.35">
      <c r="B69" s="23"/>
      <c r="C69" s="144"/>
      <c r="D69" s="144"/>
      <c r="E69" s="144"/>
      <c r="F69" s="144"/>
      <c r="G69" s="144"/>
      <c r="H69" s="145"/>
      <c r="I69" s="144"/>
      <c r="J69" s="144"/>
      <c r="K69" s="31"/>
      <c r="O69" s="2"/>
      <c r="P69" s="2"/>
    </row>
    <row r="70" spans="2:16" x14ac:dyDescent="0.35">
      <c r="B70" s="23" t="str">
        <f>+B52</f>
        <v>Revenue - Fixed (Customer)</v>
      </c>
      <c r="C70" s="54">
        <f>+C68*12*C7</f>
        <v>370629778.00361431</v>
      </c>
      <c r="D70" s="54">
        <f>+D68*12*D7</f>
        <v>38788012.504218549</v>
      </c>
      <c r="E70" s="54">
        <f>+E68*12*E7</f>
        <v>7481880.5668818448</v>
      </c>
      <c r="F70" s="54">
        <f>+F68*12*F7</f>
        <v>6291123.8499999996</v>
      </c>
      <c r="G70" s="54">
        <f>+G68*12*G7</f>
        <v>2617451.0699999998</v>
      </c>
      <c r="H70" s="54">
        <v>0</v>
      </c>
      <c r="I70" s="54">
        <f>((I68*I8*12)*I47/(I47+I49))</f>
        <v>74429.564693414068</v>
      </c>
      <c r="J70" s="54">
        <f>+J68*12*J7</f>
        <v>47935715.603479393</v>
      </c>
      <c r="K70" s="31">
        <f>SUM(C70:J70)</f>
        <v>473818391.16288751</v>
      </c>
      <c r="O70" s="2"/>
      <c r="P70" s="2"/>
    </row>
    <row r="71" spans="2:16" x14ac:dyDescent="0.35">
      <c r="B71" s="23" t="str">
        <f>+B53</f>
        <v>Revenue -  Connections</v>
      </c>
      <c r="C71" s="144"/>
      <c r="D71" s="144"/>
      <c r="E71" s="144"/>
      <c r="F71" s="144"/>
      <c r="G71" s="144"/>
      <c r="H71" s="54">
        <f>+H68*12*H8</f>
        <v>4214104.2037481666</v>
      </c>
      <c r="I71" s="54">
        <f>(+I68*12*I8)*I49/(I47+I49)</f>
        <v>125306.04467914722</v>
      </c>
      <c r="J71" s="144"/>
      <c r="K71" s="31">
        <f>SUM(C71:J71)</f>
        <v>4339410.2484273138</v>
      </c>
      <c r="L71" s="40"/>
      <c r="M71" s="2"/>
    </row>
    <row r="72" spans="2:16" x14ac:dyDescent="0.35">
      <c r="B72" s="23" t="str">
        <f>+B54</f>
        <v>Revenue -  Variable</v>
      </c>
      <c r="C72" s="54">
        <f t="shared" ref="C72:J72" si="23">C55-C70-C71</f>
        <v>5.9604644775390625E-8</v>
      </c>
      <c r="D72" s="54">
        <f t="shared" si="23"/>
        <v>107732696.84088516</v>
      </c>
      <c r="E72" s="54">
        <f t="shared" si="23"/>
        <v>239684916.38271475</v>
      </c>
      <c r="F72" s="54">
        <f t="shared" si="23"/>
        <v>73885103.998397052</v>
      </c>
      <c r="G72" s="54">
        <f t="shared" si="23"/>
        <v>36720803.50000874</v>
      </c>
      <c r="H72" s="54">
        <f t="shared" si="23"/>
        <v>16470086.202597499</v>
      </c>
      <c r="I72" s="54">
        <f t="shared" si="23"/>
        <v>4097970.9269415485</v>
      </c>
      <c r="J72" s="54">
        <f t="shared" si="23"/>
        <v>7.4505805969238281E-9</v>
      </c>
      <c r="K72" s="31">
        <f>SUM(C72:J72)</f>
        <v>478591577.85154486</v>
      </c>
      <c r="L72" s="40"/>
      <c r="M72" s="2"/>
    </row>
    <row r="73" spans="2:16" x14ac:dyDescent="0.35">
      <c r="B73" s="23" t="str">
        <f>+B55</f>
        <v>Total</v>
      </c>
      <c r="C73" s="54">
        <f>SUM(C70:C72)</f>
        <v>370629778.00361437</v>
      </c>
      <c r="D73" s="54">
        <f t="shared" ref="D73:J73" si="24">SUM(D70:D72)</f>
        <v>146520709.34510371</v>
      </c>
      <c r="E73" s="54">
        <f t="shared" si="24"/>
        <v>247166796.94959658</v>
      </c>
      <c r="F73" s="54">
        <f t="shared" si="24"/>
        <v>80176227.848397046</v>
      </c>
      <c r="G73" s="54">
        <f t="shared" si="24"/>
        <v>39338254.57000874</v>
      </c>
      <c r="H73" s="54">
        <f t="shared" si="24"/>
        <v>20684190.406345665</v>
      </c>
      <c r="I73" s="54">
        <f t="shared" si="24"/>
        <v>4297706.5363141093</v>
      </c>
      <c r="J73" s="54">
        <f t="shared" si="24"/>
        <v>47935715.6034794</v>
      </c>
      <c r="K73" s="31">
        <f>SUM(C73:J73)</f>
        <v>956749379.26285946</v>
      </c>
      <c r="L73" s="40"/>
      <c r="M73" s="2"/>
    </row>
    <row r="74" spans="2:16" ht="43.5" x14ac:dyDescent="0.35">
      <c r="B74" s="119" t="s">
        <v>44</v>
      </c>
      <c r="C74" s="146" t="str">
        <f t="shared" ref="C74:J74" si="25">C2</f>
        <v>Residential</v>
      </c>
      <c r="D74" s="147" t="str">
        <f t="shared" si="25"/>
        <v>GS &lt;50</v>
      </c>
      <c r="E74" s="147" t="str">
        <f t="shared" si="25"/>
        <v>GS 50-999 kW</v>
      </c>
      <c r="F74" s="147" t="str">
        <f t="shared" si="25"/>
        <v>GS 1,000-4,999 kW</v>
      </c>
      <c r="G74" s="147" t="str">
        <f t="shared" si="25"/>
        <v>Large Use &gt;5MW</v>
      </c>
      <c r="H74" s="147" t="str">
        <f t="shared" si="25"/>
        <v>Street Light</v>
      </c>
      <c r="I74" s="147" t="str">
        <f t="shared" si="25"/>
        <v>Unmetered Scattered Load</v>
      </c>
      <c r="J74" s="147" t="str">
        <f t="shared" si="25"/>
        <v>Competitive Sector Multi-Unit Residential</v>
      </c>
      <c r="K74" s="122"/>
      <c r="L74" s="40"/>
      <c r="M74" s="2"/>
    </row>
    <row r="75" spans="2:16" ht="18.5" x14ac:dyDescent="0.45">
      <c r="B75" s="148" t="s">
        <v>55</v>
      </c>
      <c r="C75" s="149">
        <f>ROUND(((+C70/(+C7*12)*12)/365)*30,2)</f>
        <v>49.24</v>
      </c>
      <c r="D75" s="150">
        <f>ROUND(((+D70/(+D7*12)*12)/365)*30,2)</f>
        <v>43.7</v>
      </c>
      <c r="E75" s="150">
        <f>ROUND(((+E70/(+E7*12)*12)/365)*30,2)</f>
        <v>61.86</v>
      </c>
      <c r="F75" s="150">
        <f>ROUND(((+F70/(+F7*12)*12)/365)*30,2)</f>
        <v>1094.1500000000001</v>
      </c>
      <c r="G75" s="150">
        <f>ROUND(((+G70/(+G7*12)*12)/365)*30,2)</f>
        <v>4843.5200000000004</v>
      </c>
      <c r="H75" s="150"/>
      <c r="I75" s="150">
        <f>ROUND(((+I70/(+I7*12)*12)/365)*30,2)</f>
        <v>7.73</v>
      </c>
      <c r="J75" s="150">
        <f>ROUND(((+J70/(+J7*12)*12)/365)*30,2)</f>
        <v>40.39</v>
      </c>
      <c r="K75" s="151"/>
      <c r="L75" s="40"/>
      <c r="M75" s="2"/>
    </row>
    <row r="76" spans="2:16" ht="18.5" x14ac:dyDescent="0.45">
      <c r="B76" s="152" t="s">
        <v>56</v>
      </c>
      <c r="C76" s="153"/>
      <c r="D76" s="154"/>
      <c r="E76" s="154"/>
      <c r="F76" s="154"/>
      <c r="G76" s="154" t="s">
        <v>0</v>
      </c>
      <c r="H76" s="155">
        <f>ROUND(((+H71/(+H8*12)*12)/365)*30,2)</f>
        <v>2</v>
      </c>
      <c r="I76" s="155">
        <f>ROUND(((+I71/(+I8*12)*12)/365)*30,2)</f>
        <v>0.8</v>
      </c>
      <c r="J76" s="154"/>
      <c r="K76" s="156"/>
      <c r="L76" s="40"/>
      <c r="M76" s="2"/>
    </row>
    <row r="77" spans="2:16" ht="18.5" x14ac:dyDescent="0.45">
      <c r="B77" s="157" t="s">
        <v>57</v>
      </c>
      <c r="C77" s="158"/>
      <c r="D77" s="159">
        <f>ROUND(+D72/D6,5)</f>
        <v>4.5350000000000001E-2</v>
      </c>
      <c r="E77" s="160">
        <f>ROUND((((+E72/E5)*12)/365)*30,4)</f>
        <v>10.125400000000001</v>
      </c>
      <c r="F77" s="160">
        <f>ROUND((((+F72/F5)*12)/365)*30,4)</f>
        <v>8.3927999999999994</v>
      </c>
      <c r="G77" s="160">
        <f>ROUND((((+G72/G5)*12)/365)*30,4)</f>
        <v>9.0792999999999999</v>
      </c>
      <c r="H77" s="160">
        <f>ROUND((((+H72/H5)*12)/365)*30,4)</f>
        <v>44.686300000000003</v>
      </c>
      <c r="I77" s="159">
        <f>ROUND(+I72/I6,5)</f>
        <v>9.7360000000000002E-2</v>
      </c>
      <c r="J77" s="159"/>
      <c r="K77" s="161"/>
      <c r="L77" s="40"/>
      <c r="M77" s="2"/>
    </row>
    <row r="78" spans="2:16" x14ac:dyDescent="0.35">
      <c r="B78" s="162"/>
      <c r="C78" s="54"/>
      <c r="D78" s="54"/>
      <c r="E78" s="54"/>
      <c r="F78" s="54"/>
      <c r="G78" s="54"/>
      <c r="H78" s="54"/>
      <c r="I78" s="54"/>
      <c r="J78" s="54"/>
      <c r="K78" s="118"/>
      <c r="L78" s="40"/>
      <c r="M78" s="2"/>
    </row>
    <row r="79" spans="2:16" ht="15" customHeight="1" x14ac:dyDescent="0.35">
      <c r="B79" s="163"/>
      <c r="C79" s="164"/>
      <c r="D79" s="164"/>
      <c r="E79" s="164"/>
      <c r="F79" s="164"/>
      <c r="G79" s="164"/>
      <c r="H79" s="164"/>
      <c r="I79" s="164"/>
      <c r="J79" s="164"/>
      <c r="K79" s="1"/>
      <c r="L79" s="40"/>
      <c r="M79" s="2"/>
    </row>
    <row r="80" spans="2:16" ht="23.25" customHeight="1" x14ac:dyDescent="0.35">
      <c r="B80" s="165" t="s">
        <v>58</v>
      </c>
      <c r="C80" s="166"/>
      <c r="D80" s="166"/>
      <c r="E80" s="167"/>
      <c r="F80" s="168"/>
      <c r="G80" s="168"/>
      <c r="H80" s="168"/>
      <c r="I80" s="168"/>
      <c r="J80" s="168"/>
      <c r="K80" s="169"/>
      <c r="L80" s="40"/>
      <c r="M80" s="2"/>
    </row>
    <row r="81" spans="1:13" x14ac:dyDescent="0.35">
      <c r="B81" s="170" t="s">
        <v>59</v>
      </c>
      <c r="C81" s="171">
        <f>C75*C7/30*365</f>
        <v>370650849.31757367</v>
      </c>
      <c r="D81" s="171">
        <f>D75*D7/30*365</f>
        <v>38785337.737188615</v>
      </c>
      <c r="E81" s="171">
        <f>E75*E7/30*365</f>
        <v>7482194.0271724341</v>
      </c>
      <c r="F81" s="171">
        <f>F75*F7/30*365</f>
        <v>6291104.1590277785</v>
      </c>
      <c r="G81" s="171">
        <f>G75*G7/30*365</f>
        <v>2617451.662222222</v>
      </c>
      <c r="H81" s="171">
        <v>0</v>
      </c>
      <c r="I81" s="171">
        <f>I75*I7/30*365</f>
        <v>74392.231666666674</v>
      </c>
      <c r="J81" s="171">
        <f>J75*J7/30*365</f>
        <v>47931968.519206457</v>
      </c>
      <c r="K81" s="171">
        <f>SUM(C81:J81)</f>
        <v>473833297.65405786</v>
      </c>
      <c r="L81" s="40"/>
      <c r="M81" s="2"/>
    </row>
    <row r="82" spans="1:13" x14ac:dyDescent="0.35">
      <c r="B82" s="170" t="s">
        <v>60</v>
      </c>
      <c r="C82" s="172">
        <v>0</v>
      </c>
      <c r="D82" s="172">
        <f>D77*D6</f>
        <v>107730113.1772383</v>
      </c>
      <c r="E82" s="173">
        <v>0</v>
      </c>
      <c r="F82" s="172">
        <v>0</v>
      </c>
      <c r="G82" s="172">
        <v>0</v>
      </c>
      <c r="H82" s="172">
        <v>0</v>
      </c>
      <c r="I82" s="172">
        <f>I77*I6</f>
        <v>4097893.6827065991</v>
      </c>
      <c r="J82" s="172">
        <v>0</v>
      </c>
      <c r="K82" s="172">
        <f>SUM(C82:J82)</f>
        <v>111828006.85994489</v>
      </c>
      <c r="L82" s="40"/>
      <c r="M82" s="2"/>
    </row>
    <row r="83" spans="1:13" x14ac:dyDescent="0.35">
      <c r="B83" s="170" t="s">
        <v>61</v>
      </c>
      <c r="C83" s="174">
        <v>0</v>
      </c>
      <c r="D83" s="174">
        <v>0</v>
      </c>
      <c r="E83" s="173">
        <f>+E5*E77/360*365</f>
        <v>239684165.609009</v>
      </c>
      <c r="F83" s="173">
        <f>+F5*F77/360*365</f>
        <v>73884806.254992589</v>
      </c>
      <c r="G83" s="173">
        <f>+G5*G77/360*365</f>
        <v>36720955.292075038</v>
      </c>
      <c r="H83" s="173">
        <f>+H5*H77/360*365</f>
        <v>16470077.327168252</v>
      </c>
      <c r="I83" s="174">
        <v>0</v>
      </c>
      <c r="J83" s="174">
        <v>0</v>
      </c>
      <c r="K83" s="172">
        <f>SUM(C83:J83)</f>
        <v>366760004.48324484</v>
      </c>
      <c r="L83" s="40"/>
      <c r="M83" s="2"/>
    </row>
    <row r="84" spans="1:13" x14ac:dyDescent="0.35">
      <c r="B84" s="170" t="s">
        <v>62</v>
      </c>
      <c r="C84" s="172">
        <v>0</v>
      </c>
      <c r="D84" s="172">
        <v>0</v>
      </c>
      <c r="E84" s="175">
        <v>0</v>
      </c>
      <c r="F84" s="172">
        <v>0</v>
      </c>
      <c r="G84" s="172">
        <v>0</v>
      </c>
      <c r="H84" s="172">
        <f>H8*H76*12/360*365</f>
        <v>4204329.5555555588</v>
      </c>
      <c r="I84" s="172">
        <f>I8*I76*12/360*365</f>
        <v>125297.20000000001</v>
      </c>
      <c r="J84" s="172">
        <v>0</v>
      </c>
      <c r="K84" s="172">
        <f>SUM(C84:J84)</f>
        <v>4329626.7555555589</v>
      </c>
      <c r="L84" s="40"/>
      <c r="M84" s="2"/>
    </row>
    <row r="85" spans="1:13" x14ac:dyDescent="0.35">
      <c r="B85" s="176" t="s">
        <v>63</v>
      </c>
      <c r="C85" s="177">
        <f>SUM(C81:C84)</f>
        <v>370650849.31757367</v>
      </c>
      <c r="D85" s="177">
        <f t="shared" ref="D85:K85" si="26">SUM(D81:D84)</f>
        <v>146515450.91442692</v>
      </c>
      <c r="E85" s="178">
        <f t="shared" si="26"/>
        <v>247166359.63618144</v>
      </c>
      <c r="F85" s="177">
        <f t="shared" si="26"/>
        <v>80175910.414020374</v>
      </c>
      <c r="G85" s="177">
        <f t="shared" si="26"/>
        <v>39338406.954297259</v>
      </c>
      <c r="H85" s="177">
        <f t="shared" si="26"/>
        <v>20674406.882723812</v>
      </c>
      <c r="I85" s="177">
        <f t="shared" si="26"/>
        <v>4297583.1143732658</v>
      </c>
      <c r="J85" s="177">
        <f t="shared" si="26"/>
        <v>47931968.519206457</v>
      </c>
      <c r="K85" s="177">
        <f t="shared" si="26"/>
        <v>956750935.75280321</v>
      </c>
      <c r="L85" s="40"/>
      <c r="M85" s="2"/>
    </row>
    <row r="86" spans="1:13" x14ac:dyDescent="0.35">
      <c r="B86" s="170" t="s">
        <v>32</v>
      </c>
      <c r="C86" s="172">
        <v>0</v>
      </c>
      <c r="D86" s="172">
        <v>0</v>
      </c>
      <c r="E86" s="175">
        <f>-E38</f>
        <v>-4554932.2724224757</v>
      </c>
      <c r="F86" s="172">
        <f>-F38</f>
        <v>-4819421.1675157174</v>
      </c>
      <c r="G86" s="172">
        <f>-G38</f>
        <v>-2436834.228183663</v>
      </c>
      <c r="H86" s="172">
        <v>0</v>
      </c>
      <c r="I86" s="172">
        <v>0</v>
      </c>
      <c r="J86" s="172">
        <v>0</v>
      </c>
      <c r="K86" s="172">
        <f>SUM(C86:J86)</f>
        <v>-11811187.668121856</v>
      </c>
      <c r="L86" s="40"/>
      <c r="M86" s="2"/>
    </row>
    <row r="87" spans="1:13" x14ac:dyDescent="0.35">
      <c r="B87" s="179" t="s">
        <v>43</v>
      </c>
      <c r="C87" s="180">
        <f>SUM(C85:C86)</f>
        <v>370650849.31757367</v>
      </c>
      <c r="D87" s="180">
        <f t="shared" ref="D87:J87" si="27">SUM(D85:D86)</f>
        <v>146515450.91442692</v>
      </c>
      <c r="E87" s="181">
        <f t="shared" si="27"/>
        <v>242611427.36375898</v>
      </c>
      <c r="F87" s="180">
        <f t="shared" si="27"/>
        <v>75356489.246504664</v>
      </c>
      <c r="G87" s="180">
        <f t="shared" si="27"/>
        <v>36901572.726113595</v>
      </c>
      <c r="H87" s="180">
        <f t="shared" si="27"/>
        <v>20674406.882723812</v>
      </c>
      <c r="I87" s="180">
        <f t="shared" si="27"/>
        <v>4297583.1143732658</v>
      </c>
      <c r="J87" s="180">
        <f t="shared" si="27"/>
        <v>47931968.519206457</v>
      </c>
      <c r="K87" s="180">
        <f>SUM(C87:J87)</f>
        <v>944939748.08468127</v>
      </c>
      <c r="L87" s="40"/>
      <c r="M87" s="2"/>
    </row>
    <row r="88" spans="1:13" x14ac:dyDescent="0.35">
      <c r="B88" s="182" t="s">
        <v>64</v>
      </c>
      <c r="C88" s="183">
        <f t="shared" ref="C88:J88" si="28">C37</f>
        <v>370629778.00361437</v>
      </c>
      <c r="D88" s="183">
        <f t="shared" si="28"/>
        <v>146520709.34510371</v>
      </c>
      <c r="E88" s="183">
        <f t="shared" si="28"/>
        <v>242611864.67717412</v>
      </c>
      <c r="F88" s="183">
        <f t="shared" si="28"/>
        <v>75356806.680881336</v>
      </c>
      <c r="G88" s="183">
        <f t="shared" si="28"/>
        <v>36901420.341825075</v>
      </c>
      <c r="H88" s="183">
        <f t="shared" si="28"/>
        <v>20684190.406345665</v>
      </c>
      <c r="I88" s="183">
        <f t="shared" si="28"/>
        <v>4297706.5363141093</v>
      </c>
      <c r="J88" s="183">
        <f t="shared" si="28"/>
        <v>47935715.6034794</v>
      </c>
      <c r="K88" s="183">
        <f>SUM(C88:J88)</f>
        <v>944938191.59473789</v>
      </c>
      <c r="L88" s="40"/>
      <c r="M88" s="2"/>
    </row>
    <row r="89" spans="1:13" x14ac:dyDescent="0.35">
      <c r="B89" s="184" t="s">
        <v>65</v>
      </c>
      <c r="C89" s="185">
        <f>C87-C88</f>
        <v>21071.313959300518</v>
      </c>
      <c r="D89" s="185">
        <f t="shared" ref="D89:K89" si="29">D87-D88</f>
        <v>-5258.4306767880917</v>
      </c>
      <c r="E89" s="185">
        <f t="shared" si="29"/>
        <v>-437.31341513991356</v>
      </c>
      <c r="F89" s="185">
        <f t="shared" si="29"/>
        <v>-317.43437667191029</v>
      </c>
      <c r="G89" s="185">
        <f t="shared" si="29"/>
        <v>152.3842885196209</v>
      </c>
      <c r="H89" s="185">
        <f t="shared" si="29"/>
        <v>-9783.523621853441</v>
      </c>
      <c r="I89" s="185">
        <f t="shared" si="29"/>
        <v>-123.4219408435747</v>
      </c>
      <c r="J89" s="185">
        <f t="shared" si="29"/>
        <v>-3747.0842729434371</v>
      </c>
      <c r="K89" s="185">
        <f t="shared" si="29"/>
        <v>1556.4899433851242</v>
      </c>
      <c r="L89" s="40"/>
      <c r="M89" s="2"/>
    </row>
    <row r="90" spans="1:13" x14ac:dyDescent="0.35">
      <c r="A90"/>
      <c r="B90"/>
      <c r="C90"/>
      <c r="D90"/>
      <c r="E90"/>
      <c r="F90"/>
      <c r="G90"/>
      <c r="H90"/>
      <c r="I90"/>
      <c r="J90"/>
      <c r="K90"/>
      <c r="L90" s="40"/>
      <c r="M90" s="2"/>
    </row>
    <row r="91" spans="1:13" x14ac:dyDescent="0.35">
      <c r="A91"/>
      <c r="B91"/>
      <c r="C91" s="186"/>
      <c r="D91" s="186"/>
      <c r="E91" s="186"/>
      <c r="F91" s="186"/>
      <c r="G91" s="186"/>
      <c r="H91" s="186"/>
      <c r="I91" s="186"/>
      <c r="J91" s="186"/>
      <c r="K91" s="187"/>
      <c r="L91" s="40"/>
      <c r="M91" s="2"/>
    </row>
    <row r="92" spans="1:13" x14ac:dyDescent="0.35">
      <c r="A92"/>
      <c r="B92"/>
      <c r="C92" s="188"/>
      <c r="D92" s="188"/>
      <c r="E92" s="188"/>
      <c r="F92" s="188"/>
      <c r="G92" s="188"/>
      <c r="H92" s="186"/>
      <c r="I92" s="186"/>
      <c r="J92" s="188"/>
      <c r="K92"/>
      <c r="L92" s="40"/>
      <c r="M92" s="2"/>
    </row>
    <row r="93" spans="1:13" x14ac:dyDescent="0.35">
      <c r="A93"/>
      <c r="B93"/>
      <c r="C93"/>
      <c r="D93"/>
      <c r="E93"/>
      <c r="F93"/>
      <c r="G93"/>
      <c r="H93"/>
      <c r="I93"/>
      <c r="J93"/>
      <c r="K93"/>
      <c r="L93" s="40"/>
      <c r="M93" s="2"/>
    </row>
    <row r="94" spans="1:13" x14ac:dyDescent="0.35">
      <c r="A94"/>
      <c r="B94"/>
      <c r="C94"/>
      <c r="D94"/>
      <c r="E94"/>
      <c r="F94"/>
      <c r="G94"/>
      <c r="H94"/>
      <c r="I94"/>
      <c r="J94"/>
      <c r="K94"/>
      <c r="L94" s="40"/>
      <c r="M94" s="2"/>
    </row>
    <row r="95" spans="1:13" x14ac:dyDescent="0.35">
      <c r="A95"/>
      <c r="B95"/>
      <c r="C95"/>
      <c r="D95"/>
      <c r="E95"/>
      <c r="F95"/>
      <c r="G95"/>
      <c r="H95"/>
      <c r="I95"/>
      <c r="J95"/>
      <c r="K95"/>
      <c r="L95" s="40"/>
      <c r="M95" s="2"/>
    </row>
    <row r="96" spans="1:13" x14ac:dyDescent="0.35">
      <c r="A96"/>
      <c r="B96"/>
      <c r="C96"/>
      <c r="D96"/>
      <c r="E96"/>
      <c r="F96"/>
      <c r="G96"/>
      <c r="H96"/>
      <c r="I96"/>
      <c r="J96"/>
      <c r="K96"/>
      <c r="L96" s="40"/>
      <c r="M96" s="2"/>
    </row>
    <row r="97" spans="1:16" x14ac:dyDescent="0.35">
      <c r="A97"/>
      <c r="B97"/>
      <c r="C97"/>
      <c r="D97"/>
      <c r="E97"/>
      <c r="F97"/>
      <c r="G97"/>
      <c r="H97"/>
      <c r="I97"/>
      <c r="J97"/>
      <c r="K97"/>
      <c r="L97" s="40"/>
      <c r="M97" s="2"/>
    </row>
    <row r="98" spans="1:16" x14ac:dyDescent="0.35">
      <c r="A98"/>
      <c r="B98"/>
      <c r="C98"/>
      <c r="D98"/>
      <c r="E98"/>
      <c r="F98"/>
      <c r="G98"/>
      <c r="H98"/>
      <c r="I98"/>
      <c r="J98"/>
      <c r="K98"/>
      <c r="L98" s="40"/>
      <c r="M98" s="2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M99" s="2"/>
    </row>
    <row r="100" spans="1:16" ht="15.75" customHeight="1" x14ac:dyDescent="0.35">
      <c r="A100"/>
      <c r="B100"/>
      <c r="C100"/>
      <c r="D100"/>
      <c r="E100"/>
      <c r="F100"/>
      <c r="G100"/>
      <c r="H100"/>
      <c r="I100"/>
      <c r="J100"/>
      <c r="K100"/>
    </row>
    <row r="101" spans="1:16" ht="35.25" customHeight="1" x14ac:dyDescent="0.35">
      <c r="A101"/>
      <c r="B101"/>
      <c r="C101"/>
      <c r="D101"/>
      <c r="E101"/>
      <c r="F101"/>
      <c r="G101"/>
      <c r="H101"/>
      <c r="I101"/>
      <c r="J101"/>
      <c r="K101"/>
    </row>
    <row r="102" spans="1:16" ht="15.75" customHeight="1" x14ac:dyDescent="0.35">
      <c r="A102"/>
      <c r="B102"/>
      <c r="C102"/>
      <c r="D102"/>
      <c r="E102"/>
      <c r="F102"/>
      <c r="G102"/>
      <c r="H102"/>
      <c r="I102"/>
      <c r="J102"/>
      <c r="K102"/>
      <c r="L102" s="189"/>
      <c r="M102" s="189"/>
    </row>
    <row r="103" spans="1:16" x14ac:dyDescent="0.35">
      <c r="A103"/>
      <c r="B103"/>
      <c r="C103"/>
      <c r="D103"/>
      <c r="E103"/>
      <c r="F103"/>
      <c r="G103"/>
      <c r="H103"/>
      <c r="I103"/>
      <c r="J103"/>
      <c r="K103"/>
      <c r="L103" s="44"/>
    </row>
    <row r="104" spans="1:16" x14ac:dyDescent="0.35">
      <c r="A104"/>
      <c r="B104"/>
      <c r="C104"/>
      <c r="D104"/>
      <c r="E104"/>
      <c r="F104"/>
      <c r="G104"/>
      <c r="H104"/>
      <c r="I104"/>
      <c r="J104"/>
      <c r="K104"/>
      <c r="L104" s="190"/>
      <c r="M104" s="2"/>
      <c r="N104" s="2"/>
      <c r="O104" s="2"/>
      <c r="P104" s="2"/>
    </row>
    <row r="105" spans="1:16" x14ac:dyDescent="0.35">
      <c r="A105"/>
      <c r="B105"/>
      <c r="C105"/>
      <c r="D105"/>
      <c r="E105"/>
      <c r="F105"/>
      <c r="G105"/>
      <c r="H105"/>
      <c r="I105"/>
      <c r="J105"/>
      <c r="K105"/>
      <c r="M105" s="2"/>
      <c r="N105" s="2"/>
      <c r="O105" s="2"/>
      <c r="P105" s="2"/>
    </row>
    <row r="106" spans="1:16" x14ac:dyDescent="0.35">
      <c r="A106"/>
      <c r="B106"/>
      <c r="C106"/>
      <c r="D106"/>
      <c r="E106"/>
      <c r="F106"/>
      <c r="G106"/>
      <c r="H106"/>
      <c r="I106"/>
      <c r="J106"/>
      <c r="K106"/>
      <c r="M106" s="2"/>
      <c r="N106" s="2"/>
      <c r="O106" s="2"/>
      <c r="P106" s="2"/>
    </row>
    <row r="107" spans="1:16" x14ac:dyDescent="0.35">
      <c r="A107"/>
      <c r="B107"/>
      <c r="C107"/>
      <c r="D107"/>
      <c r="E107"/>
      <c r="F107"/>
      <c r="G107"/>
      <c r="H107"/>
      <c r="I107"/>
      <c r="J107"/>
      <c r="K107"/>
      <c r="M107" s="2"/>
      <c r="N107" s="2"/>
      <c r="O107" s="2"/>
      <c r="P107" s="2"/>
    </row>
    <row r="108" spans="1:16" x14ac:dyDescent="0.35">
      <c r="A108"/>
      <c r="B108"/>
      <c r="C108"/>
      <c r="D108"/>
      <c r="E108"/>
      <c r="F108"/>
      <c r="G108"/>
      <c r="H108"/>
      <c r="I108"/>
      <c r="J108"/>
      <c r="K108"/>
      <c r="M108" s="2"/>
      <c r="N108" s="2"/>
      <c r="O108" s="2"/>
      <c r="P108" s="2"/>
    </row>
    <row r="109" spans="1:16" x14ac:dyDescent="0.35">
      <c r="A109"/>
      <c r="B109"/>
      <c r="C109"/>
      <c r="D109"/>
      <c r="E109"/>
      <c r="F109"/>
      <c r="G109"/>
      <c r="H109"/>
      <c r="I109"/>
      <c r="J109"/>
      <c r="K109"/>
      <c r="M109" s="2"/>
      <c r="N109" s="2"/>
      <c r="O109" s="2"/>
      <c r="P109" s="2"/>
    </row>
    <row r="110" spans="1:16" x14ac:dyDescent="0.35">
      <c r="A110"/>
      <c r="B110"/>
      <c r="C110"/>
      <c r="D110"/>
      <c r="E110"/>
      <c r="F110"/>
      <c r="G110"/>
      <c r="H110"/>
      <c r="I110"/>
      <c r="J110"/>
      <c r="K110"/>
      <c r="M110" s="2"/>
      <c r="N110" s="2"/>
      <c r="O110" s="2"/>
      <c r="P110" s="2"/>
    </row>
    <row r="111" spans="1:16" x14ac:dyDescent="0.35">
      <c r="A111"/>
      <c r="B111"/>
      <c r="C111"/>
      <c r="D111"/>
      <c r="E111"/>
      <c r="F111"/>
      <c r="G111"/>
      <c r="H111"/>
      <c r="I111"/>
      <c r="J111"/>
      <c r="K111"/>
      <c r="M111" s="2"/>
      <c r="N111" s="2"/>
      <c r="O111" s="2"/>
      <c r="P111" s="2"/>
    </row>
    <row r="112" spans="1:16" x14ac:dyDescent="0.35">
      <c r="A112"/>
      <c r="B112"/>
      <c r="C112"/>
      <c r="D112"/>
      <c r="E112"/>
      <c r="F112"/>
      <c r="G112"/>
      <c r="H112"/>
      <c r="I112"/>
      <c r="J112"/>
      <c r="K112"/>
      <c r="M112" s="2"/>
      <c r="N112" s="2"/>
      <c r="O112" s="2"/>
      <c r="P112" s="2"/>
    </row>
    <row r="113" spans="1:16" x14ac:dyDescent="0.35">
      <c r="A113"/>
      <c r="B113"/>
      <c r="C113"/>
      <c r="D113"/>
      <c r="E113"/>
      <c r="F113"/>
      <c r="G113"/>
      <c r="H113"/>
      <c r="I113"/>
      <c r="J113"/>
      <c r="K113"/>
      <c r="M113" s="2"/>
      <c r="N113" s="2"/>
      <c r="O113" s="2"/>
      <c r="P113" s="2"/>
    </row>
    <row r="114" spans="1:16" x14ac:dyDescent="0.35">
      <c r="A114"/>
      <c r="B114"/>
      <c r="C114"/>
      <c r="D114"/>
      <c r="E114"/>
      <c r="F114"/>
      <c r="G114"/>
      <c r="H114"/>
      <c r="I114"/>
      <c r="J114"/>
      <c r="K114"/>
      <c r="M114" s="2"/>
      <c r="N114" s="2"/>
      <c r="O114" s="2"/>
      <c r="P114" s="2"/>
    </row>
    <row r="115" spans="1:16" x14ac:dyDescent="0.35">
      <c r="A115"/>
      <c r="B115"/>
      <c r="C115"/>
      <c r="D115"/>
      <c r="E115"/>
      <c r="F115"/>
      <c r="G115"/>
      <c r="H115"/>
      <c r="I115"/>
      <c r="J115"/>
      <c r="K115"/>
      <c r="M115" s="2"/>
      <c r="N115" s="2"/>
      <c r="O115" s="2"/>
      <c r="P115" s="2"/>
    </row>
    <row r="116" spans="1:16" x14ac:dyDescent="0.35">
      <c r="A116"/>
      <c r="B116"/>
      <c r="C116"/>
      <c r="D116"/>
      <c r="E116"/>
      <c r="F116"/>
      <c r="G116"/>
      <c r="H116"/>
      <c r="I116"/>
      <c r="J116"/>
      <c r="K116"/>
      <c r="M116" s="2"/>
      <c r="N116" s="2"/>
      <c r="O116" s="2"/>
      <c r="P116" s="2"/>
    </row>
    <row r="117" spans="1:16" x14ac:dyDescent="0.35">
      <c r="A117"/>
      <c r="B117"/>
      <c r="C117"/>
      <c r="D117"/>
      <c r="E117"/>
      <c r="F117"/>
      <c r="G117"/>
      <c r="H117"/>
      <c r="I117"/>
      <c r="J117"/>
      <c r="K117"/>
      <c r="M117" s="2"/>
      <c r="N117" s="2"/>
      <c r="O117" s="2"/>
      <c r="P117" s="2"/>
    </row>
    <row r="118" spans="1:16" x14ac:dyDescent="0.35">
      <c r="A118"/>
      <c r="B118"/>
      <c r="C118"/>
      <c r="D118"/>
      <c r="E118"/>
      <c r="F118"/>
      <c r="G118"/>
      <c r="H118"/>
      <c r="I118"/>
      <c r="J118"/>
      <c r="K118"/>
      <c r="M118" s="2"/>
      <c r="N118" s="2"/>
      <c r="O118" s="2"/>
      <c r="P118" s="2"/>
    </row>
    <row r="119" spans="1:16" x14ac:dyDescent="0.35">
      <c r="A119"/>
      <c r="B119"/>
      <c r="C119"/>
      <c r="D119"/>
      <c r="E119"/>
      <c r="F119"/>
      <c r="G119"/>
      <c r="H119"/>
      <c r="I119"/>
      <c r="J119"/>
      <c r="K119"/>
      <c r="M119" s="2"/>
      <c r="N119" s="2"/>
      <c r="O119" s="2"/>
      <c r="P119" s="2"/>
    </row>
    <row r="120" spans="1:16" x14ac:dyDescent="0.35">
      <c r="A120"/>
      <c r="B120"/>
      <c r="C120"/>
      <c r="D120"/>
      <c r="E120"/>
      <c r="F120"/>
      <c r="G120"/>
      <c r="H120"/>
      <c r="I120"/>
      <c r="J120"/>
      <c r="K120"/>
      <c r="M120" s="2"/>
      <c r="N120" s="2"/>
      <c r="O120" s="2"/>
      <c r="P120" s="2"/>
    </row>
    <row r="121" spans="1:16" x14ac:dyDescent="0.35">
      <c r="A121"/>
      <c r="B121"/>
      <c r="C121"/>
      <c r="D121"/>
      <c r="E121"/>
      <c r="F121"/>
      <c r="G121"/>
      <c r="H121"/>
      <c r="I121"/>
      <c r="J121"/>
      <c r="K121"/>
      <c r="M121" s="2"/>
      <c r="N121" s="2"/>
      <c r="O121" s="2"/>
      <c r="P121" s="2"/>
    </row>
    <row r="122" spans="1:16" x14ac:dyDescent="0.35">
      <c r="A122"/>
      <c r="B122"/>
      <c r="C122"/>
      <c r="D122"/>
      <c r="E122"/>
      <c r="F122"/>
      <c r="G122"/>
      <c r="H122"/>
      <c r="I122"/>
      <c r="J122"/>
      <c r="K122"/>
      <c r="M122" s="2"/>
      <c r="N122" s="2"/>
      <c r="O122" s="2"/>
      <c r="P122" s="2"/>
    </row>
    <row r="123" spans="1:16" x14ac:dyDescent="0.35">
      <c r="C123" s="3"/>
      <c r="D123" s="3"/>
      <c r="E123" s="3"/>
      <c r="F123" s="3"/>
      <c r="G123" s="3"/>
      <c r="H123" s="3"/>
      <c r="I123" s="3"/>
      <c r="J123" s="3"/>
      <c r="K123" s="3"/>
      <c r="M123" s="2"/>
      <c r="N123" s="2"/>
      <c r="O123" s="2"/>
      <c r="P123" s="2"/>
    </row>
    <row r="124" spans="1:16" x14ac:dyDescent="0.35">
      <c r="C124" s="3"/>
      <c r="D124" s="3"/>
      <c r="E124" s="3"/>
      <c r="F124" s="3"/>
      <c r="G124" s="3"/>
      <c r="H124" s="3"/>
      <c r="I124" s="3"/>
      <c r="J124" s="3"/>
      <c r="K124" s="3"/>
      <c r="M124" s="2"/>
      <c r="N124" s="2"/>
      <c r="O124" s="2"/>
      <c r="P124" s="2"/>
    </row>
    <row r="125" spans="1:16" x14ac:dyDescent="0.35">
      <c r="C125" s="3"/>
      <c r="D125" s="3"/>
      <c r="E125" s="3"/>
      <c r="F125" s="3"/>
      <c r="G125" s="3"/>
      <c r="H125" s="3"/>
      <c r="I125" s="3"/>
      <c r="J125" s="3"/>
      <c r="K125" s="3"/>
      <c r="M125" s="2"/>
      <c r="N125" s="2"/>
      <c r="O125" s="2"/>
      <c r="P125" s="2"/>
    </row>
    <row r="126" spans="1:16" x14ac:dyDescent="0.35">
      <c r="C126" s="3"/>
      <c r="D126" s="3"/>
      <c r="E126" s="3"/>
      <c r="F126" s="3"/>
      <c r="G126" s="3"/>
      <c r="H126" s="3"/>
      <c r="I126" s="3"/>
      <c r="J126" s="3"/>
      <c r="K126" s="3"/>
      <c r="M126" s="2"/>
      <c r="N126" s="2"/>
      <c r="O126" s="2"/>
      <c r="P126" s="2"/>
    </row>
    <row r="127" spans="1:16" x14ac:dyDescent="0.35">
      <c r="C127" s="3"/>
      <c r="D127" s="3"/>
      <c r="E127" s="3"/>
      <c r="F127" s="3"/>
      <c r="G127" s="3"/>
      <c r="H127" s="3"/>
      <c r="I127" s="3"/>
      <c r="J127" s="3"/>
      <c r="K127" s="3"/>
      <c r="M127" s="2"/>
      <c r="N127" s="2"/>
      <c r="O127" s="2"/>
      <c r="P127" s="2"/>
    </row>
    <row r="128" spans="1:16" x14ac:dyDescent="0.35">
      <c r="C128" s="3"/>
      <c r="D128" s="3"/>
      <c r="E128" s="3"/>
      <c r="F128" s="3"/>
      <c r="G128" s="3"/>
      <c r="H128" s="3"/>
      <c r="I128" s="3"/>
      <c r="J128" s="3"/>
      <c r="K128" s="3"/>
      <c r="M128" s="2"/>
      <c r="N128" s="2"/>
      <c r="O128" s="2"/>
      <c r="P128" s="2"/>
    </row>
    <row r="129" spans="3:16" x14ac:dyDescent="0.35">
      <c r="C129" s="3"/>
      <c r="D129" s="3"/>
      <c r="E129" s="3"/>
      <c r="F129" s="3"/>
      <c r="G129" s="3"/>
      <c r="H129" s="3"/>
      <c r="I129" s="3"/>
      <c r="J129" s="3"/>
      <c r="K129" s="3"/>
      <c r="M129" s="2"/>
      <c r="N129" s="2"/>
      <c r="O129" s="2"/>
      <c r="P129" s="2"/>
    </row>
    <row r="130" spans="3:16" x14ac:dyDescent="0.35">
      <c r="C130" s="3"/>
      <c r="D130" s="3"/>
      <c r="E130" s="3"/>
      <c r="F130" s="3"/>
      <c r="G130" s="3"/>
      <c r="H130" s="3"/>
      <c r="I130" s="3"/>
      <c r="J130" s="3"/>
      <c r="K130" s="3"/>
      <c r="M130" s="2"/>
      <c r="N130" s="2"/>
      <c r="O130" s="2"/>
      <c r="P130" s="2"/>
    </row>
    <row r="131" spans="3:16" x14ac:dyDescent="0.35">
      <c r="C131" s="3"/>
      <c r="D131" s="3"/>
      <c r="E131" s="3"/>
      <c r="F131" s="3"/>
      <c r="G131" s="3"/>
      <c r="H131" s="3"/>
      <c r="I131" s="3"/>
      <c r="J131" s="3"/>
      <c r="K131" s="3"/>
      <c r="M131" s="2"/>
      <c r="N131" s="2"/>
      <c r="O131" s="2"/>
      <c r="P131" s="2"/>
    </row>
    <row r="132" spans="3:16" x14ac:dyDescent="0.35">
      <c r="C132" s="3"/>
      <c r="D132" s="3"/>
      <c r="E132" s="3"/>
      <c r="F132" s="3"/>
      <c r="G132" s="3"/>
      <c r="H132" s="3"/>
      <c r="I132" s="3"/>
      <c r="J132" s="3"/>
      <c r="K132" s="3"/>
      <c r="M132" s="2"/>
      <c r="N132" s="2"/>
      <c r="O132" s="2"/>
      <c r="P132" s="2"/>
    </row>
    <row r="133" spans="3:16" x14ac:dyDescent="0.35">
      <c r="C133" s="3"/>
      <c r="D133" s="3"/>
      <c r="E133" s="3"/>
      <c r="F133" s="3"/>
      <c r="G133" s="3"/>
      <c r="H133" s="3"/>
      <c r="I133" s="3"/>
      <c r="J133" s="3"/>
      <c r="K133" s="3"/>
      <c r="M133" s="2"/>
      <c r="N133" s="2"/>
      <c r="O133" s="2"/>
      <c r="P133" s="2"/>
    </row>
    <row r="134" spans="3:16" x14ac:dyDescent="0.35">
      <c r="C134" s="3"/>
      <c r="D134" s="3"/>
      <c r="E134" s="3"/>
      <c r="F134" s="3"/>
      <c r="G134" s="3"/>
      <c r="H134" s="3"/>
      <c r="I134" s="3"/>
      <c r="J134" s="3"/>
      <c r="K134" s="3"/>
      <c r="M134" s="2"/>
      <c r="N134" s="2"/>
      <c r="O134" s="2"/>
      <c r="P134" s="2"/>
    </row>
    <row r="135" spans="3:16" x14ac:dyDescent="0.35">
      <c r="C135" s="3"/>
      <c r="D135" s="3"/>
      <c r="E135" s="3"/>
      <c r="F135" s="3"/>
      <c r="G135" s="3"/>
      <c r="H135" s="3"/>
      <c r="I135" s="3"/>
      <c r="J135" s="3"/>
      <c r="K135" s="3"/>
      <c r="M135" s="2"/>
      <c r="N135" s="2"/>
      <c r="O135" s="2"/>
      <c r="P135" s="2"/>
    </row>
    <row r="136" spans="3:16" x14ac:dyDescent="0.35">
      <c r="C136" s="3"/>
      <c r="D136" s="3"/>
      <c r="E136" s="3"/>
      <c r="F136" s="3"/>
      <c r="G136" s="3"/>
      <c r="H136" s="3"/>
      <c r="I136" s="3"/>
      <c r="J136" s="3"/>
      <c r="K136" s="3"/>
      <c r="M136" s="2"/>
      <c r="N136" s="2"/>
      <c r="O136" s="2"/>
      <c r="P136" s="2"/>
    </row>
    <row r="137" spans="3:16" x14ac:dyDescent="0.35">
      <c r="C137" s="3"/>
      <c r="D137" s="3"/>
      <c r="E137" s="3"/>
      <c r="F137" s="3"/>
      <c r="G137" s="3"/>
      <c r="H137" s="3"/>
      <c r="I137" s="3"/>
      <c r="J137" s="3"/>
      <c r="K137" s="3"/>
    </row>
    <row r="138" spans="3:16" x14ac:dyDescent="0.35">
      <c r="C138" s="3"/>
      <c r="D138" s="3"/>
      <c r="E138" s="3"/>
      <c r="F138" s="3"/>
      <c r="G138" s="3"/>
      <c r="H138" s="3"/>
      <c r="I138" s="3"/>
      <c r="J138" s="3"/>
      <c r="K138" s="3"/>
    </row>
  </sheetData>
  <conditionalFormatting sqref="C41:J41">
    <cfRule type="cellIs" dxfId="1" priority="1" operator="lessThan">
      <formula>C$42</formula>
    </cfRule>
    <cfRule type="cellIs" dxfId="0" priority="2" operator="greaterThan">
      <formula>C$43</formula>
    </cfRule>
  </conditionalFormatting>
  <pageMargins left="0.196850393700787" right="0.196850393700787" top="0.39370078740157499" bottom="0.472441" header="0.196850393700787" footer="9.8425200000000004E-2"/>
  <pageSetup scale="30" orientation="landscape" r:id="rId1"/>
  <headerFooter>
    <oddHeader>&amp;R&amp;6&amp;K00-049Date: &amp;D
Time: &amp;T</oddHeader>
    <oddFooter>&amp;L&amp;6&amp;K00-049Path: &amp;Z
File: &amp;F
Tab: &amp;A&amp;R&amp;6&amp;K00-049Page &amp;P of &amp;N</oddFooter>
  </headerFooter>
  <ignoredErrors>
    <ignoredError sqref="K38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DAACFF67256049A485179023DD9F32" ma:contentTypeVersion="0" ma:contentTypeDescription="Create a new document." ma:contentTypeScope="" ma:versionID="8af12ab99f0670eb2585e48d1431ba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AACEE97-D7F6-4FC0-83AB-D402603BA27A}">
  <ds:schemaRefs>
    <ds:schemaRef ds:uri="http://schemas.openxmlformats.org/package/2006/metadata/core-properties"/>
    <ds:schemaRef ds:uri="http://purl.org/dc/terms/"/>
    <ds:schemaRef ds:uri="http://schemas.microsoft.com/office/2006/metadata/properties"/>
    <ds:schemaRef ds:uri="d178a8d1-16ff-473a-8ed0-d41f4478457a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microsoft.com/sharepoint/v3/fields"/>
    <ds:schemaRef ds:uri="12f68b52-648b-46a0-8463-d3282342a499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3F417849-C2BD-4B3B-ACC0-368C19C877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2907B6-A87E-4E48-B678-E246289074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Rate Design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Gulshan Malhotra</dc:creator>
  <cp:lastModifiedBy>Lisa Phin</cp:lastModifiedBy>
  <dcterms:created xsi:type="dcterms:W3CDTF">2024-11-14T14:48:20Z</dcterms:created>
  <dcterms:modified xsi:type="dcterms:W3CDTF">2024-11-26T14:51:10Z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69b6d35-9428-45a2-885e-7b22f796d882_Enabled">
    <vt:lpwstr>true</vt:lpwstr>
  </property>
  <property fmtid="{D5CDD505-2E9C-101B-9397-08002B2CF9AE}" pid="3" name="MSIP_Label_569b6d35-9428-45a2-885e-7b22f796d882_SetDate">
    <vt:lpwstr>2024-11-14T14:49:05Z</vt:lpwstr>
  </property>
  <property fmtid="{D5CDD505-2E9C-101B-9397-08002B2CF9AE}" pid="4" name="MSIP_Label_569b6d35-9428-45a2-885e-7b22f796d882_Method">
    <vt:lpwstr>Privileged</vt:lpwstr>
  </property>
  <property fmtid="{D5CDD505-2E9C-101B-9397-08002B2CF9AE}" pid="5" name="MSIP_Label_569b6d35-9428-45a2-885e-7b22f796d882_Name">
    <vt:lpwstr>Internal</vt:lpwstr>
  </property>
  <property fmtid="{D5CDD505-2E9C-101B-9397-08002B2CF9AE}" pid="6" name="MSIP_Label_569b6d35-9428-45a2-885e-7b22f796d882_SiteId">
    <vt:lpwstr>cecf09d6-44f1-4c40-95a1-cbafb9319d75</vt:lpwstr>
  </property>
  <property fmtid="{D5CDD505-2E9C-101B-9397-08002B2CF9AE}" pid="7" name="MSIP_Label_569b6d35-9428-45a2-885e-7b22f796d882_ActionId">
    <vt:lpwstr>2e208c23-809f-4376-b6cf-8a6a5c492952</vt:lpwstr>
  </property>
  <property fmtid="{D5CDD505-2E9C-101B-9397-08002B2CF9AE}" pid="8" name="MSIP_Label_569b6d35-9428-45a2-885e-7b22f796d882_ContentBits">
    <vt:lpwstr>0</vt:lpwstr>
  </property>
  <property fmtid="{D5CDD505-2E9C-101B-9397-08002B2CF9AE}" pid="9" name="ContentTypeId">
    <vt:lpwstr>0x0101002EDAACFF67256049A485179023DD9F32</vt:lpwstr>
  </property>
</Properties>
</file>