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Exhibits/DRO-Settlement Proposal Update/Schedules/"/>
    </mc:Choice>
  </mc:AlternateContent>
  <xr:revisionPtr revIDLastSave="0" documentId="13_ncr:1_{788D96D1-74D1-400D-8F02-35DD868CE9F6}" xr6:coauthVersionLast="47" xr6:coauthVersionMax="47" xr10:uidLastSave="{00000000-0000-0000-0000-000000000000}"/>
  <bookViews>
    <workbookView xWindow="-110" yWindow="-110" windowWidth="19420" windowHeight="10420" xr2:uid="{9C1017A6-D1AC-4832-AEE9-D75EF9A6C6D7}"/>
  </bookViews>
  <sheets>
    <sheet name="2026-2029 Rates Design" sheetId="1" r:id="rId1"/>
  </sheets>
  <externalReferences>
    <externalReference r:id="rId2"/>
    <externalReference r:id="rId3"/>
    <externalReference r:id="rId4"/>
    <externalReference r:id="rId5"/>
  </externalReferences>
  <definedNames>
    <definedName name="_xlnm._FilterDatabase" localSheetId="0" hidden="1">'2026-2029 Rates Design'!$D$159:$K$159</definedName>
    <definedName name="BUTTONSRange">'[1]Navigation Macro Values'!$A$14:$G$279</definedName>
    <definedName name="ccar">'[2]I6.2 - Customer Data'!$D$21</definedName>
    <definedName name="contactf">#REF!</definedName>
    <definedName name="COS_RES_CUSTOMERS">'[2]2024 IRM Rates'!#REF!</definedName>
    <definedName name="COS_RES_KWH">'[2]2024 IRM Rates'!#REF!</definedName>
    <definedName name="hello">#REF!</definedName>
    <definedName name="histdate">[3]Financials!$E$76</definedName>
    <definedName name="impactcheck">#REF!</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ofF">#REF!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base">#REF!</definedName>
    <definedName name="RES_Customers">'[2]2024 IRM Rates'!#REF!</definedName>
    <definedName name="RES_KWH">'[2]2024 IRM Rates'!#REF!</definedName>
    <definedName name="SALBENF">#REF!</definedName>
    <definedName name="salreg">#REF!</definedName>
    <definedName name="SALREGF">#REF!</definedName>
    <definedName name="Surtax">#REF!</definedName>
    <definedName name="TEMPA">#REF!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tility">[3]Financials!$A$1</definedName>
    <definedName name="utitliy1">[4]Financials!$A$1</definedName>
    <definedName name="WAGBENF">#REF!</definedName>
    <definedName name="wagdob">#REF!</definedName>
    <definedName name="wagdobf">#REF!</definedName>
    <definedName name="wagreg">#REF!</definedName>
    <definedName name="wagregf">#REF!</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YRS_LEFT">'[2]2024 IRM Rates'!#REF!</definedName>
    <definedName name="yts">'[2]2024 IRM Rates'!#REF!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9" i="1" l="1"/>
  <c r="J259" i="1"/>
  <c r="F259" i="1"/>
  <c r="E259" i="1"/>
  <c r="D259" i="1"/>
  <c r="L234" i="1"/>
  <c r="K231" i="1"/>
  <c r="J231" i="1"/>
  <c r="F231" i="1"/>
  <c r="E231" i="1"/>
  <c r="D231" i="1"/>
  <c r="J222" i="1"/>
  <c r="J227" i="1" s="1"/>
  <c r="I222" i="1"/>
  <c r="H222" i="1"/>
  <c r="H227" i="1" s="1"/>
  <c r="G222" i="1"/>
  <c r="G227" i="1" s="1"/>
  <c r="E222" i="1"/>
  <c r="D222" i="1"/>
  <c r="K221" i="1"/>
  <c r="K228" i="1" s="1"/>
  <c r="F221" i="1"/>
  <c r="F228" i="1" s="1"/>
  <c r="E221" i="1"/>
  <c r="D221" i="1"/>
  <c r="I219" i="1"/>
  <c r="H219" i="1"/>
  <c r="H229" i="1" s="1"/>
  <c r="G219" i="1"/>
  <c r="G229" i="1" s="1"/>
  <c r="F219" i="1"/>
  <c r="F229" i="1" s="1"/>
  <c r="E219" i="1"/>
  <c r="E229" i="1" s="1"/>
  <c r="D219" i="1"/>
  <c r="D229" i="1" s="1"/>
  <c r="J218" i="1"/>
  <c r="L214" i="1"/>
  <c r="L213" i="1"/>
  <c r="L212" i="1"/>
  <c r="L211" i="1"/>
  <c r="I207" i="1"/>
  <c r="I209" i="1" s="1"/>
  <c r="H207" i="1"/>
  <c r="H209" i="1" s="1"/>
  <c r="H231" i="1" s="1"/>
  <c r="G207" i="1"/>
  <c r="G209" i="1" s="1"/>
  <c r="L204" i="1"/>
  <c r="K204" i="1"/>
  <c r="J204" i="1"/>
  <c r="I204" i="1"/>
  <c r="H204" i="1"/>
  <c r="G204" i="1"/>
  <c r="F204" i="1"/>
  <c r="E204" i="1"/>
  <c r="D204" i="1"/>
  <c r="K192" i="1"/>
  <c r="J192" i="1"/>
  <c r="F192" i="1"/>
  <c r="E192" i="1"/>
  <c r="D192" i="1"/>
  <c r="L167" i="1"/>
  <c r="K164" i="1"/>
  <c r="J164" i="1"/>
  <c r="F164" i="1"/>
  <c r="E164" i="1"/>
  <c r="D164" i="1"/>
  <c r="J155" i="1"/>
  <c r="J160" i="1" s="1"/>
  <c r="I155" i="1"/>
  <c r="H155" i="1"/>
  <c r="H160" i="1" s="1"/>
  <c r="G155" i="1"/>
  <c r="G160" i="1" s="1"/>
  <c r="E155" i="1"/>
  <c r="D155" i="1"/>
  <c r="K154" i="1"/>
  <c r="K161" i="1" s="1"/>
  <c r="F154" i="1"/>
  <c r="F161" i="1" s="1"/>
  <c r="E154" i="1"/>
  <c r="E161" i="1" s="1"/>
  <c r="D154" i="1"/>
  <c r="I152" i="1"/>
  <c r="I162" i="1" s="1"/>
  <c r="H152" i="1"/>
  <c r="H162" i="1" s="1"/>
  <c r="G152" i="1"/>
  <c r="G162" i="1" s="1"/>
  <c r="F152" i="1"/>
  <c r="F162" i="1" s="1"/>
  <c r="E152" i="1"/>
  <c r="E162" i="1" s="1"/>
  <c r="D152" i="1"/>
  <c r="D162" i="1" s="1"/>
  <c r="J151" i="1"/>
  <c r="L147" i="1"/>
  <c r="L146" i="1"/>
  <c r="L145" i="1"/>
  <c r="L144" i="1"/>
  <c r="I140" i="1"/>
  <c r="I142" i="1" s="1"/>
  <c r="I192" i="1" s="1"/>
  <c r="H140" i="1"/>
  <c r="H142" i="1" s="1"/>
  <c r="G140" i="1"/>
  <c r="G142" i="1" s="1"/>
  <c r="G192" i="1" s="1"/>
  <c r="L137" i="1"/>
  <c r="K137" i="1"/>
  <c r="J137" i="1"/>
  <c r="I137" i="1"/>
  <c r="H137" i="1"/>
  <c r="G137" i="1"/>
  <c r="F137" i="1"/>
  <c r="E137" i="1"/>
  <c r="D137" i="1"/>
  <c r="K125" i="1"/>
  <c r="J125" i="1"/>
  <c r="F125" i="1"/>
  <c r="E125" i="1"/>
  <c r="D125" i="1"/>
  <c r="B125" i="1"/>
  <c r="B192" i="1" s="1"/>
  <c r="B259" i="1" s="1"/>
  <c r="E117" i="1"/>
  <c r="E184" i="1" s="1"/>
  <c r="E251" i="1" s="1"/>
  <c r="K116" i="1"/>
  <c r="K183" i="1" s="1"/>
  <c r="K250" i="1" s="1"/>
  <c r="K97" i="1"/>
  <c r="J97" i="1"/>
  <c r="F97" i="1"/>
  <c r="E97" i="1"/>
  <c r="D97" i="1"/>
  <c r="J88" i="1"/>
  <c r="J93" i="1" s="1"/>
  <c r="I88" i="1"/>
  <c r="H88" i="1"/>
  <c r="H93" i="1" s="1"/>
  <c r="G88" i="1"/>
  <c r="G93" i="1" s="1"/>
  <c r="E88" i="1"/>
  <c r="E93" i="1" s="1"/>
  <c r="D88" i="1"/>
  <c r="K87" i="1"/>
  <c r="K94" i="1" s="1"/>
  <c r="F87" i="1"/>
  <c r="E87" i="1"/>
  <c r="D87" i="1"/>
  <c r="I85" i="1"/>
  <c r="H85" i="1"/>
  <c r="H95" i="1" s="1"/>
  <c r="G85" i="1"/>
  <c r="G95" i="1" s="1"/>
  <c r="F85" i="1"/>
  <c r="E85" i="1"/>
  <c r="E95" i="1" s="1"/>
  <c r="D85" i="1"/>
  <c r="J84" i="1"/>
  <c r="L80" i="1"/>
  <c r="B80" i="1"/>
  <c r="B147" i="1" s="1"/>
  <c r="B214" i="1" s="1"/>
  <c r="L79" i="1"/>
  <c r="B79" i="1"/>
  <c r="B146" i="1" s="1"/>
  <c r="B213" i="1" s="1"/>
  <c r="L78" i="1"/>
  <c r="B78" i="1"/>
  <c r="B145" i="1" s="1"/>
  <c r="B212" i="1" s="1"/>
  <c r="L77" i="1"/>
  <c r="B77" i="1"/>
  <c r="B144" i="1" s="1"/>
  <c r="B211" i="1" s="1"/>
  <c r="B75" i="1"/>
  <c r="B142" i="1" s="1"/>
  <c r="B209" i="1" s="1"/>
  <c r="B74" i="1"/>
  <c r="B141" i="1" s="1"/>
  <c r="B208" i="1" s="1"/>
  <c r="I73" i="1"/>
  <c r="I75" i="1" s="1"/>
  <c r="I125" i="1" s="1"/>
  <c r="H73" i="1"/>
  <c r="H75" i="1" s="1"/>
  <c r="G73" i="1"/>
  <c r="G75" i="1" s="1"/>
  <c r="B73" i="1"/>
  <c r="B140" i="1" s="1"/>
  <c r="B207" i="1" s="1"/>
  <c r="L100" i="1"/>
  <c r="B72" i="1"/>
  <c r="B91" i="1" s="1"/>
  <c r="L70" i="1"/>
  <c r="K70" i="1"/>
  <c r="J70" i="1"/>
  <c r="I70" i="1"/>
  <c r="H70" i="1"/>
  <c r="G70" i="1"/>
  <c r="F70" i="1"/>
  <c r="E70" i="1"/>
  <c r="D70" i="1"/>
  <c r="B61" i="1"/>
  <c r="B126" i="1"/>
  <c r="B193" i="1" s="1"/>
  <c r="B260" i="1" s="1"/>
  <c r="K58" i="1"/>
  <c r="J58" i="1"/>
  <c r="F58" i="1"/>
  <c r="E58" i="1"/>
  <c r="D58" i="1"/>
  <c r="B124" i="1"/>
  <c r="B191" i="1" s="1"/>
  <c r="B258" i="1" s="1"/>
  <c r="B123" i="1"/>
  <c r="B190" i="1" s="1"/>
  <c r="B257" i="1" s="1"/>
  <c r="B122" i="1"/>
  <c r="B189" i="1" s="1"/>
  <c r="B256" i="1" s="1"/>
  <c r="K117" i="1"/>
  <c r="K184" i="1" s="1"/>
  <c r="K251" i="1" s="1"/>
  <c r="J117" i="1"/>
  <c r="J184" i="1" s="1"/>
  <c r="J251" i="1" s="1"/>
  <c r="I117" i="1"/>
  <c r="I184" i="1" s="1"/>
  <c r="I251" i="1" s="1"/>
  <c r="H117" i="1"/>
  <c r="H184" i="1" s="1"/>
  <c r="H251" i="1" s="1"/>
  <c r="G117" i="1"/>
  <c r="G184" i="1" s="1"/>
  <c r="G251" i="1" s="1"/>
  <c r="F117" i="1"/>
  <c r="F184" i="1" s="1"/>
  <c r="F251" i="1" s="1"/>
  <c r="D117" i="1"/>
  <c r="D184" i="1" s="1"/>
  <c r="D251" i="1" s="1"/>
  <c r="J116" i="1"/>
  <c r="J183" i="1" s="1"/>
  <c r="J250" i="1" s="1"/>
  <c r="I116" i="1"/>
  <c r="I183" i="1" s="1"/>
  <c r="I250" i="1" s="1"/>
  <c r="H116" i="1"/>
  <c r="H183" i="1" s="1"/>
  <c r="H250" i="1" s="1"/>
  <c r="G116" i="1"/>
  <c r="G183" i="1" s="1"/>
  <c r="G250" i="1" s="1"/>
  <c r="F116" i="1"/>
  <c r="F183" i="1" s="1"/>
  <c r="F250" i="1" s="1"/>
  <c r="E116" i="1"/>
  <c r="E183" i="1" s="1"/>
  <c r="E250" i="1" s="1"/>
  <c r="D116" i="1"/>
  <c r="D183" i="1" s="1"/>
  <c r="D250" i="1" s="1"/>
  <c r="H48" i="1"/>
  <c r="B47" i="1"/>
  <c r="B48" i="1" s="1"/>
  <c r="B38" i="1"/>
  <c r="B33" i="1"/>
  <c r="K30" i="1"/>
  <c r="J30" i="1"/>
  <c r="F30" i="1"/>
  <c r="E30" i="1"/>
  <c r="D30" i="1"/>
  <c r="I28" i="1"/>
  <c r="H28" i="1"/>
  <c r="G28" i="1"/>
  <c r="F28" i="1"/>
  <c r="E28" i="1"/>
  <c r="D28" i="1"/>
  <c r="K27" i="1"/>
  <c r="H27" i="1"/>
  <c r="G27" i="1"/>
  <c r="F27" i="1"/>
  <c r="E27" i="1"/>
  <c r="D27" i="1"/>
  <c r="J26" i="1"/>
  <c r="I26" i="1"/>
  <c r="H26" i="1"/>
  <c r="G26" i="1"/>
  <c r="F26" i="1"/>
  <c r="E26" i="1"/>
  <c r="D26" i="1"/>
  <c r="K25" i="1"/>
  <c r="J25" i="1"/>
  <c r="I25" i="1"/>
  <c r="G25" i="1"/>
  <c r="B24" i="1"/>
  <c r="K26" i="1"/>
  <c r="J27" i="1"/>
  <c r="K28" i="1"/>
  <c r="J28" i="1"/>
  <c r="F25" i="1"/>
  <c r="E25" i="1"/>
  <c r="D25" i="1"/>
  <c r="B15" i="1"/>
  <c r="L13" i="1"/>
  <c r="L12" i="1"/>
  <c r="L11" i="1"/>
  <c r="L10" i="1"/>
  <c r="I6" i="1"/>
  <c r="I8" i="1" s="1"/>
  <c r="H6" i="1"/>
  <c r="H8" i="1" s="1"/>
  <c r="G6" i="1"/>
  <c r="G8" i="1" s="1"/>
  <c r="L33" i="1"/>
  <c r="L28" i="1" l="1"/>
  <c r="E29" i="1"/>
  <c r="E31" i="1" s="1"/>
  <c r="G97" i="1"/>
  <c r="G125" i="1"/>
  <c r="G259" i="1"/>
  <c r="G231" i="1"/>
  <c r="K29" i="1"/>
  <c r="K31" i="1" s="1"/>
  <c r="F95" i="1"/>
  <c r="G29" i="1"/>
  <c r="G30" i="1"/>
  <c r="I30" i="1"/>
  <c r="I58" i="1"/>
  <c r="F29" i="1"/>
  <c r="F31" i="1" s="1"/>
  <c r="J29" i="1"/>
  <c r="J31" i="1" s="1"/>
  <c r="D94" i="1"/>
  <c r="D29" i="1"/>
  <c r="G48" i="1"/>
  <c r="I27" i="1"/>
  <c r="I29" i="1" s="1"/>
  <c r="L27" i="1"/>
  <c r="G58" i="1"/>
  <c r="D160" i="1"/>
  <c r="L26" i="1"/>
  <c r="H97" i="1"/>
  <c r="H125" i="1"/>
  <c r="D95" i="1"/>
  <c r="F94" i="1"/>
  <c r="D93" i="1"/>
  <c r="H30" i="1"/>
  <c r="H58" i="1"/>
  <c r="I48" i="1"/>
  <c r="I97" i="1"/>
  <c r="J226" i="1"/>
  <c r="D228" i="1"/>
  <c r="H25" i="1"/>
  <c r="H29" i="1" s="1"/>
  <c r="G164" i="1"/>
  <c r="E160" i="1"/>
  <c r="D48" i="1"/>
  <c r="B206" i="1"/>
  <c r="B128" i="1"/>
  <c r="B114" i="1"/>
  <c r="B115" i="1" s="1"/>
  <c r="B105" i="1"/>
  <c r="E94" i="1"/>
  <c r="B100" i="1"/>
  <c r="H192" i="1"/>
  <c r="L192" i="1" s="1"/>
  <c r="H164" i="1"/>
  <c r="J159" i="1"/>
  <c r="D227" i="1"/>
  <c r="E48" i="1"/>
  <c r="B139" i="1"/>
  <c r="I164" i="1"/>
  <c r="E227" i="1"/>
  <c r="F48" i="1"/>
  <c r="D161" i="1"/>
  <c r="H259" i="1"/>
  <c r="I229" i="1"/>
  <c r="B82" i="1"/>
  <c r="J92" i="1"/>
  <c r="I93" i="1"/>
  <c r="I95" i="1"/>
  <c r="I231" i="1"/>
  <c r="I259" i="1"/>
  <c r="E228" i="1"/>
  <c r="I227" i="1"/>
  <c r="I160" i="1"/>
  <c r="L58" i="1" l="1"/>
  <c r="H31" i="1"/>
  <c r="L125" i="1"/>
  <c r="L231" i="1"/>
  <c r="I31" i="1"/>
  <c r="L97" i="1"/>
  <c r="L30" i="1"/>
  <c r="L259" i="1"/>
  <c r="D31" i="1"/>
  <c r="L29" i="1"/>
  <c r="G31" i="1"/>
  <c r="B216" i="1"/>
  <c r="B239" i="1"/>
  <c r="B225" i="1"/>
  <c r="B262" i="1"/>
  <c r="B248" i="1"/>
  <c r="B249" i="1" s="1"/>
  <c r="B234" i="1"/>
  <c r="L164" i="1"/>
  <c r="L25" i="1"/>
  <c r="B167" i="1"/>
  <c r="B195" i="1"/>
  <c r="B181" i="1"/>
  <c r="B182" i="1" s="1"/>
  <c r="B149" i="1"/>
  <c r="B158" i="1"/>
  <c r="B172" i="1"/>
  <c r="L31" i="1" l="1"/>
  <c r="L35" i="1" l="1"/>
  <c r="L34" i="1"/>
  <c r="I44" i="1" l="1"/>
  <c r="I41" i="1"/>
  <c r="H44" i="1"/>
  <c r="H41" i="1"/>
  <c r="G44" i="1"/>
  <c r="G41" i="1"/>
  <c r="F43" i="1"/>
  <c r="F41" i="1"/>
  <c r="E44" i="1"/>
  <c r="E43" i="1"/>
  <c r="E41" i="1"/>
  <c r="E40" i="1"/>
  <c r="K43" i="1"/>
  <c r="D44" i="1"/>
  <c r="J43" i="1"/>
  <c r="D43" i="1"/>
  <c r="D41" i="1"/>
  <c r="J40" i="1"/>
  <c r="J41" i="1"/>
  <c r="D40" i="1"/>
  <c r="J44" i="1"/>
  <c r="K36" i="1"/>
  <c r="F44" i="1"/>
  <c r="K44" i="1"/>
  <c r="F40" i="1"/>
  <c r="G40" i="1"/>
  <c r="I43" i="1"/>
  <c r="H40" i="1"/>
  <c r="E36" i="1"/>
  <c r="G43" i="1"/>
  <c r="H43" i="1"/>
  <c r="I40" i="1"/>
  <c r="K40" i="1"/>
  <c r="K41" i="1"/>
  <c r="K47" i="1" s="1"/>
  <c r="J36" i="1"/>
  <c r="I36" i="1"/>
  <c r="H36" i="1"/>
  <c r="F36" i="1"/>
  <c r="G36" i="1"/>
  <c r="D36" i="1"/>
  <c r="H47" i="1" l="1"/>
  <c r="D47" i="1"/>
  <c r="D53" i="1" s="1"/>
  <c r="D55" i="1" s="1"/>
  <c r="K52" i="1"/>
  <c r="K51" i="1"/>
  <c r="K53" i="1" s="1"/>
  <c r="G47" i="1"/>
  <c r="J47" i="1"/>
  <c r="E47" i="1"/>
  <c r="E53" i="1" s="1"/>
  <c r="E55" i="1" s="1"/>
  <c r="L36" i="1"/>
  <c r="I47" i="1"/>
  <c r="F47" i="1"/>
  <c r="E63" i="1" l="1"/>
  <c r="J52" i="1"/>
  <c r="J51" i="1"/>
  <c r="J53" i="1" s="1"/>
  <c r="J56" i="1" s="1"/>
  <c r="D63" i="1"/>
  <c r="D57" i="1"/>
  <c r="D59" i="1" s="1"/>
  <c r="G51" i="1"/>
  <c r="G53" i="1" s="1"/>
  <c r="G55" i="1" s="1"/>
  <c r="G52" i="1"/>
  <c r="F51" i="1"/>
  <c r="F53" i="1" s="1"/>
  <c r="F55" i="1" s="1"/>
  <c r="F52" i="1"/>
  <c r="E57" i="1"/>
  <c r="E59" i="1" s="1"/>
  <c r="K55" i="1"/>
  <c r="K56" i="1"/>
  <c r="H51" i="1"/>
  <c r="H53" i="1" s="1"/>
  <c r="H55" i="1" s="1"/>
  <c r="H52" i="1"/>
  <c r="I51" i="1"/>
  <c r="I53" i="1" s="1"/>
  <c r="I55" i="1" s="1"/>
  <c r="I52" i="1"/>
  <c r="K63" i="1" l="1"/>
  <c r="K57" i="1"/>
  <c r="K67" i="1" s="1"/>
  <c r="F63" i="1"/>
  <c r="F57" i="1"/>
  <c r="F67" i="1" s="1"/>
  <c r="L55" i="1"/>
  <c r="K64" i="1"/>
  <c r="I63" i="1"/>
  <c r="I57" i="1"/>
  <c r="I66" i="1" s="1"/>
  <c r="L56" i="1"/>
  <c r="J64" i="1"/>
  <c r="J57" i="1"/>
  <c r="J66" i="1" s="1"/>
  <c r="D84" i="1"/>
  <c r="E84" i="1"/>
  <c r="H63" i="1"/>
  <c r="H57" i="1"/>
  <c r="H66" i="1" s="1"/>
  <c r="G63" i="1"/>
  <c r="G57" i="1"/>
  <c r="G66" i="1" s="1"/>
  <c r="I59" i="1" l="1"/>
  <c r="J85" i="1"/>
  <c r="D115" i="1"/>
  <c r="D92" i="1"/>
  <c r="J87" i="1"/>
  <c r="K88" i="1"/>
  <c r="F88" i="1"/>
  <c r="F84" i="1"/>
  <c r="G87" i="1"/>
  <c r="J59" i="1"/>
  <c r="K59" i="1"/>
  <c r="H87" i="1"/>
  <c r="F59" i="1"/>
  <c r="H59" i="1"/>
  <c r="H84" i="1"/>
  <c r="L57" i="1"/>
  <c r="L59" i="1" s="1"/>
  <c r="K85" i="1"/>
  <c r="G59" i="1"/>
  <c r="E115" i="1"/>
  <c r="E92" i="1"/>
  <c r="E96" i="1" s="1"/>
  <c r="E98" i="1" s="1"/>
  <c r="K84" i="1"/>
  <c r="I84" i="1"/>
  <c r="G84" i="1"/>
  <c r="I87" i="1"/>
  <c r="G115" i="1" l="1"/>
  <c r="G92" i="1"/>
  <c r="I94" i="1"/>
  <c r="K93" i="1"/>
  <c r="G94" i="1"/>
  <c r="I115" i="1"/>
  <c r="I92" i="1"/>
  <c r="F93" i="1"/>
  <c r="J94" i="1"/>
  <c r="K95" i="1"/>
  <c r="K115" i="1"/>
  <c r="K92" i="1"/>
  <c r="F115" i="1"/>
  <c r="F92" i="1"/>
  <c r="D96" i="1"/>
  <c r="H94" i="1"/>
  <c r="H115" i="1"/>
  <c r="H92" i="1"/>
  <c r="J115" i="1"/>
  <c r="J95" i="1"/>
  <c r="H96" i="1" l="1"/>
  <c r="H98" i="1" s="1"/>
  <c r="G96" i="1"/>
  <c r="G98" i="1" s="1"/>
  <c r="L93" i="1"/>
  <c r="K96" i="1"/>
  <c r="K98" i="1" s="1"/>
  <c r="F96" i="1"/>
  <c r="F98" i="1" s="1"/>
  <c r="L92" i="1"/>
  <c r="I96" i="1"/>
  <c r="I98" i="1" s="1"/>
  <c r="L95" i="1"/>
  <c r="J96" i="1"/>
  <c r="J98" i="1" s="1"/>
  <c r="L94" i="1"/>
  <c r="D98" i="1"/>
  <c r="L96" i="1" l="1"/>
  <c r="L98" i="1"/>
  <c r="L101" i="1" l="1"/>
  <c r="L102" i="1"/>
  <c r="H111" i="1" l="1"/>
  <c r="H108" i="1"/>
  <c r="G111" i="1"/>
  <c r="E111" i="1"/>
  <c r="G108" i="1"/>
  <c r="E108" i="1"/>
  <c r="E110" i="1"/>
  <c r="J107" i="1"/>
  <c r="J111" i="1"/>
  <c r="D108" i="1"/>
  <c r="K110" i="1"/>
  <c r="D111" i="1"/>
  <c r="I108" i="1"/>
  <c r="F110" i="1"/>
  <c r="F108" i="1"/>
  <c r="I111" i="1"/>
  <c r="D110" i="1"/>
  <c r="D107" i="1"/>
  <c r="E107" i="1"/>
  <c r="G110" i="1"/>
  <c r="J110" i="1"/>
  <c r="J108" i="1"/>
  <c r="K107" i="1"/>
  <c r="F111" i="1"/>
  <c r="G107" i="1"/>
  <c r="F107" i="1"/>
  <c r="H110" i="1"/>
  <c r="I107" i="1"/>
  <c r="K108" i="1"/>
  <c r="E103" i="1"/>
  <c r="I110" i="1"/>
  <c r="H107" i="1"/>
  <c r="K111" i="1"/>
  <c r="H103" i="1"/>
  <c r="G103" i="1"/>
  <c r="K103" i="1"/>
  <c r="J103" i="1"/>
  <c r="I103" i="1"/>
  <c r="D103" i="1"/>
  <c r="F103" i="1"/>
  <c r="K114" i="1" l="1"/>
  <c r="K118" i="1" s="1"/>
  <c r="K120" i="1" s="1"/>
  <c r="E114" i="1"/>
  <c r="E120" i="1" s="1"/>
  <c r="E122" i="1" s="1"/>
  <c r="F114" i="1"/>
  <c r="D114" i="1"/>
  <c r="D120" i="1" s="1"/>
  <c r="D122" i="1" s="1"/>
  <c r="D124" i="1" s="1"/>
  <c r="G114" i="1"/>
  <c r="H114" i="1"/>
  <c r="I114" i="1"/>
  <c r="L103" i="1"/>
  <c r="J114" i="1"/>
  <c r="K119" i="1" l="1"/>
  <c r="I118" i="1"/>
  <c r="I120" i="1" s="1"/>
  <c r="I122" i="1" s="1"/>
  <c r="I119" i="1"/>
  <c r="G118" i="1"/>
  <c r="G120" i="1" s="1"/>
  <c r="G122" i="1" s="1"/>
  <c r="G119" i="1"/>
  <c r="E130" i="1"/>
  <c r="F119" i="1"/>
  <c r="F118" i="1"/>
  <c r="F120" i="1" s="1"/>
  <c r="F122" i="1" s="1"/>
  <c r="K122" i="1"/>
  <c r="K123" i="1"/>
  <c r="J118" i="1"/>
  <c r="J120" i="1" s="1"/>
  <c r="J123" i="1" s="1"/>
  <c r="J119" i="1"/>
  <c r="E124" i="1"/>
  <c r="E126" i="1" s="1"/>
  <c r="H118" i="1"/>
  <c r="H120" i="1" s="1"/>
  <c r="H122" i="1" s="1"/>
  <c r="H119" i="1"/>
  <c r="D126" i="1"/>
  <c r="D130" i="1"/>
  <c r="G130" i="1" l="1"/>
  <c r="G124" i="1"/>
  <c r="G133" i="1" s="1"/>
  <c r="J131" i="1"/>
  <c r="L123" i="1"/>
  <c r="J124" i="1"/>
  <c r="J133" i="1" s="1"/>
  <c r="L122" i="1"/>
  <c r="K131" i="1"/>
  <c r="D151" i="1"/>
  <c r="E151" i="1"/>
  <c r="K130" i="1"/>
  <c r="K124" i="1"/>
  <c r="K134" i="1" s="1"/>
  <c r="I130" i="1"/>
  <c r="I124" i="1"/>
  <c r="I133" i="1" s="1"/>
  <c r="H130" i="1"/>
  <c r="H124" i="1"/>
  <c r="H133" i="1" s="1"/>
  <c r="F130" i="1"/>
  <c r="F124" i="1"/>
  <c r="F134" i="1" s="1"/>
  <c r="J126" i="1" l="1"/>
  <c r="K152" i="1"/>
  <c r="J152" i="1"/>
  <c r="E182" i="1"/>
  <c r="E159" i="1"/>
  <c r="E163" i="1" s="1"/>
  <c r="E165" i="1" s="1"/>
  <c r="H151" i="1"/>
  <c r="K126" i="1"/>
  <c r="F155" i="1"/>
  <c r="I154" i="1"/>
  <c r="L124" i="1"/>
  <c r="L126" i="1" s="1"/>
  <c r="G126" i="1"/>
  <c r="K155" i="1"/>
  <c r="H126" i="1"/>
  <c r="D182" i="1"/>
  <c r="D159" i="1"/>
  <c r="G154" i="1"/>
  <c r="F151" i="1"/>
  <c r="I126" i="1"/>
  <c r="G151" i="1"/>
  <c r="H154" i="1"/>
  <c r="K151" i="1"/>
  <c r="F126" i="1"/>
  <c r="I151" i="1"/>
  <c r="J154" i="1"/>
  <c r="G182" i="1" l="1"/>
  <c r="G159" i="1"/>
  <c r="K159" i="1"/>
  <c r="K160" i="1"/>
  <c r="J182" i="1"/>
  <c r="J162" i="1"/>
  <c r="F159" i="1"/>
  <c r="F163" i="1" s="1"/>
  <c r="F165" i="1" s="1"/>
  <c r="F182" i="1"/>
  <c r="H161" i="1"/>
  <c r="K162" i="1"/>
  <c r="K182" i="1"/>
  <c r="G161" i="1"/>
  <c r="H182" i="1"/>
  <c r="H159" i="1"/>
  <c r="I182" i="1"/>
  <c r="I159" i="1"/>
  <c r="I161" i="1"/>
  <c r="F160" i="1"/>
  <c r="J161" i="1"/>
  <c r="D163" i="1"/>
  <c r="H163" i="1" l="1"/>
  <c r="H165" i="1" s="1"/>
  <c r="L161" i="1"/>
  <c r="J163" i="1"/>
  <c r="J165" i="1" s="1"/>
  <c r="L159" i="1"/>
  <c r="I163" i="1"/>
  <c r="I165" i="1" s="1"/>
  <c r="L160" i="1"/>
  <c r="L162" i="1"/>
  <c r="K163" i="1"/>
  <c r="K165" i="1" s="1"/>
  <c r="G163" i="1"/>
  <c r="G165" i="1" s="1"/>
  <c r="D165" i="1"/>
  <c r="L165" i="1" l="1"/>
  <c r="L163" i="1"/>
  <c r="L168" i="1" l="1"/>
  <c r="L169" i="1"/>
  <c r="G178" i="1" l="1"/>
  <c r="G175" i="1"/>
  <c r="H178" i="1"/>
  <c r="E177" i="1"/>
  <c r="E175" i="1"/>
  <c r="J178" i="1"/>
  <c r="D175" i="1"/>
  <c r="D178" i="1"/>
  <c r="K177" i="1"/>
  <c r="F177" i="1"/>
  <c r="I178" i="1"/>
  <c r="E178" i="1"/>
  <c r="I175" i="1"/>
  <c r="D177" i="1"/>
  <c r="H175" i="1"/>
  <c r="J174" i="1"/>
  <c r="F175" i="1"/>
  <c r="E174" i="1"/>
  <c r="D174" i="1"/>
  <c r="G174" i="1"/>
  <c r="G177" i="1"/>
  <c r="I177" i="1"/>
  <c r="H177" i="1"/>
  <c r="H174" i="1"/>
  <c r="E170" i="1"/>
  <c r="J175" i="1"/>
  <c r="I174" i="1"/>
  <c r="K175" i="1"/>
  <c r="K181" i="1" s="1"/>
  <c r="F174" i="1"/>
  <c r="F178" i="1"/>
  <c r="J177" i="1"/>
  <c r="K178" i="1"/>
  <c r="K174" i="1"/>
  <c r="I170" i="1"/>
  <c r="J170" i="1"/>
  <c r="H170" i="1"/>
  <c r="F170" i="1"/>
  <c r="D170" i="1"/>
  <c r="G170" i="1"/>
  <c r="K170" i="1"/>
  <c r="K186" i="1" l="1"/>
  <c r="K185" i="1"/>
  <c r="K187" i="1" s="1"/>
  <c r="J181" i="1"/>
  <c r="D181" i="1"/>
  <c r="D187" i="1" s="1"/>
  <c r="D189" i="1" s="1"/>
  <c r="D191" i="1" s="1"/>
  <c r="H181" i="1"/>
  <c r="F181" i="1"/>
  <c r="I181" i="1"/>
  <c r="G181" i="1"/>
  <c r="E181" i="1"/>
  <c r="E187" i="1" s="1"/>
  <c r="E189" i="1" s="1"/>
  <c r="E191" i="1" s="1"/>
  <c r="L170" i="1"/>
  <c r="J185" i="1" l="1"/>
  <c r="J187" i="1" s="1"/>
  <c r="J190" i="1" s="1"/>
  <c r="J186" i="1"/>
  <c r="K189" i="1"/>
  <c r="K190" i="1"/>
  <c r="G185" i="1"/>
  <c r="G187" i="1" s="1"/>
  <c r="G189" i="1" s="1"/>
  <c r="G186" i="1"/>
  <c r="H186" i="1"/>
  <c r="H185" i="1"/>
  <c r="H187" i="1" s="1"/>
  <c r="H189" i="1" s="1"/>
  <c r="I185" i="1"/>
  <c r="I187" i="1" s="1"/>
  <c r="I189" i="1" s="1"/>
  <c r="I186" i="1"/>
  <c r="D197" i="1"/>
  <c r="D193" i="1"/>
  <c r="E193" i="1"/>
  <c r="E197" i="1"/>
  <c r="F185" i="1"/>
  <c r="F187" i="1" s="1"/>
  <c r="F189" i="1" s="1"/>
  <c r="F186" i="1"/>
  <c r="L189" i="1" l="1"/>
  <c r="L190" i="1"/>
  <c r="J198" i="1"/>
  <c r="J191" i="1"/>
  <c r="J200" i="1" s="1"/>
  <c r="K198" i="1"/>
  <c r="D218" i="1"/>
  <c r="H197" i="1"/>
  <c r="H191" i="1"/>
  <c r="H200" i="1" s="1"/>
  <c r="G197" i="1"/>
  <c r="G191" i="1"/>
  <c r="G200" i="1" s="1"/>
  <c r="K197" i="1"/>
  <c r="K191" i="1"/>
  <c r="K201" i="1" s="1"/>
  <c r="F197" i="1"/>
  <c r="F191" i="1"/>
  <c r="E218" i="1"/>
  <c r="I197" i="1"/>
  <c r="I191" i="1"/>
  <c r="I200" i="1" s="1"/>
  <c r="I193" i="1" l="1"/>
  <c r="K193" i="1"/>
  <c r="K218" i="1"/>
  <c r="J221" i="1"/>
  <c r="J219" i="1"/>
  <c r="K222" i="1"/>
  <c r="G221" i="1"/>
  <c r="H218" i="1"/>
  <c r="K219" i="1"/>
  <c r="E226" i="1"/>
  <c r="E230" i="1" s="1"/>
  <c r="E232" i="1" s="1"/>
  <c r="E249" i="1"/>
  <c r="J193" i="1"/>
  <c r="F201" i="1"/>
  <c r="L191" i="1"/>
  <c r="L193" i="1" s="1"/>
  <c r="F218" i="1"/>
  <c r="G193" i="1"/>
  <c r="F193" i="1"/>
  <c r="G218" i="1"/>
  <c r="D249" i="1"/>
  <c r="D226" i="1"/>
  <c r="H221" i="1"/>
  <c r="H193" i="1"/>
  <c r="I221" i="1"/>
  <c r="I218" i="1"/>
  <c r="F249" i="1" l="1"/>
  <c r="F226" i="1"/>
  <c r="D230" i="1"/>
  <c r="H249" i="1"/>
  <c r="H226" i="1"/>
  <c r="J249" i="1"/>
  <c r="J229" i="1"/>
  <c r="K229" i="1"/>
  <c r="K249" i="1"/>
  <c r="I226" i="1"/>
  <c r="I249" i="1"/>
  <c r="F222" i="1"/>
  <c r="I228" i="1"/>
  <c r="G249" i="1"/>
  <c r="G226" i="1"/>
  <c r="L226" i="1" s="1"/>
  <c r="J228" i="1"/>
  <c r="G228" i="1"/>
  <c r="K226" i="1"/>
  <c r="H228" i="1"/>
  <c r="K227" i="1"/>
  <c r="L229" i="1" l="1"/>
  <c r="K230" i="1"/>
  <c r="K232" i="1" s="1"/>
  <c r="L228" i="1"/>
  <c r="I230" i="1"/>
  <c r="I232" i="1" s="1"/>
  <c r="J230" i="1"/>
  <c r="J232" i="1" s="1"/>
  <c r="F227" i="1"/>
  <c r="L227" i="1" s="1"/>
  <c r="G230" i="1"/>
  <c r="G232" i="1" s="1"/>
  <c r="D232" i="1"/>
  <c r="H230" i="1"/>
  <c r="H232" i="1" s="1"/>
  <c r="F230" i="1" l="1"/>
  <c r="F232" i="1" s="1"/>
  <c r="L230" i="1"/>
  <c r="L232" i="1"/>
  <c r="L236" i="1" l="1"/>
  <c r="L235" i="1"/>
  <c r="K244" i="1" l="1"/>
  <c r="G245" i="1"/>
  <c r="G242" i="1"/>
  <c r="H245" i="1"/>
  <c r="F244" i="1"/>
  <c r="H242" i="1"/>
  <c r="I245" i="1"/>
  <c r="D242" i="1"/>
  <c r="J241" i="1"/>
  <c r="D244" i="1"/>
  <c r="D245" i="1"/>
  <c r="J245" i="1"/>
  <c r="E245" i="1"/>
  <c r="E242" i="1"/>
  <c r="F242" i="1"/>
  <c r="I242" i="1"/>
  <c r="E244" i="1"/>
  <c r="E241" i="1"/>
  <c r="D241" i="1"/>
  <c r="H241" i="1"/>
  <c r="K241" i="1"/>
  <c r="K245" i="1"/>
  <c r="G241" i="1"/>
  <c r="J242" i="1"/>
  <c r="G244" i="1"/>
  <c r="F241" i="1"/>
  <c r="E237" i="1"/>
  <c r="I241" i="1"/>
  <c r="H244" i="1"/>
  <c r="K242" i="1"/>
  <c r="J244" i="1"/>
  <c r="I244" i="1"/>
  <c r="J237" i="1"/>
  <c r="F245" i="1"/>
  <c r="I237" i="1"/>
  <c r="K237" i="1"/>
  <c r="F237" i="1"/>
  <c r="G237" i="1"/>
  <c r="D237" i="1"/>
  <c r="H237" i="1"/>
  <c r="H248" i="1" l="1"/>
  <c r="F248" i="1"/>
  <c r="I248" i="1"/>
  <c r="E248" i="1"/>
  <c r="E254" i="1" s="1"/>
  <c r="E256" i="1" s="1"/>
  <c r="E258" i="1" s="1"/>
  <c r="G248" i="1"/>
  <c r="D248" i="1"/>
  <c r="D254" i="1" s="1"/>
  <c r="D256" i="1" s="1"/>
  <c r="J248" i="1"/>
  <c r="L237" i="1"/>
  <c r="K248" i="1"/>
  <c r="D264" i="1" l="1"/>
  <c r="J252" i="1"/>
  <c r="J254" i="1" s="1"/>
  <c r="J257" i="1" s="1"/>
  <c r="J253" i="1"/>
  <c r="E264" i="1"/>
  <c r="E260" i="1"/>
  <c r="F253" i="1"/>
  <c r="F252" i="1"/>
  <c r="F254" i="1" s="1"/>
  <c r="F256" i="1" s="1"/>
  <c r="I252" i="1"/>
  <c r="I254" i="1" s="1"/>
  <c r="I256" i="1" s="1"/>
  <c r="I253" i="1"/>
  <c r="K253" i="1"/>
  <c r="K252" i="1"/>
  <c r="K254" i="1" s="1"/>
  <c r="H252" i="1"/>
  <c r="H254" i="1" s="1"/>
  <c r="H256" i="1" s="1"/>
  <c r="H253" i="1"/>
  <c r="D258" i="1"/>
  <c r="D260" i="1" s="1"/>
  <c r="G253" i="1"/>
  <c r="G252" i="1"/>
  <c r="G254" i="1" s="1"/>
  <c r="G256" i="1" s="1"/>
  <c r="H264" i="1" l="1"/>
  <c r="H258" i="1"/>
  <c r="H267" i="1" s="1"/>
  <c r="K256" i="1"/>
  <c r="K257" i="1"/>
  <c r="L257" i="1" s="1"/>
  <c r="G264" i="1"/>
  <c r="G258" i="1"/>
  <c r="G267" i="1" s="1"/>
  <c r="F264" i="1"/>
  <c r="F258" i="1"/>
  <c r="F268" i="1" s="1"/>
  <c r="I264" i="1"/>
  <c r="I258" i="1"/>
  <c r="I267" i="1" s="1"/>
  <c r="J265" i="1"/>
  <c r="J258" i="1"/>
  <c r="J267" i="1" s="1"/>
  <c r="F260" i="1" l="1"/>
  <c r="H260" i="1"/>
  <c r="J260" i="1"/>
  <c r="K265" i="1"/>
  <c r="K264" i="1"/>
  <c r="K258" i="1"/>
  <c r="K268" i="1" s="1"/>
  <c r="I260" i="1"/>
  <c r="L256" i="1"/>
  <c r="G260" i="1"/>
  <c r="L258" i="1" l="1"/>
  <c r="L260" i="1"/>
  <c r="K260" i="1"/>
</calcChain>
</file>

<file path=xl/sharedStrings.xml><?xml version="1.0" encoding="utf-8"?>
<sst xmlns="http://schemas.openxmlformats.org/spreadsheetml/2006/main" count="178" uniqueCount="44">
  <si>
    <t>Residential</t>
  </si>
  <si>
    <t>CSMUR</t>
  </si>
  <si>
    <t>GS &lt;50 kW</t>
  </si>
  <si>
    <t>GS 50-999 kW</t>
  </si>
  <si>
    <t>GS 1000-4999 kW</t>
  </si>
  <si>
    <t>Large User</t>
  </si>
  <si>
    <t>Street lighting</t>
  </si>
  <si>
    <t>USL</t>
  </si>
  <si>
    <t>TOTAL</t>
  </si>
  <si>
    <t xml:space="preserve">Total </t>
  </si>
  <si>
    <t>Revenue Requirement</t>
  </si>
  <si>
    <t>Tx Credit Rate</t>
  </si>
  <si>
    <t>Tx Credit kVa</t>
  </si>
  <si>
    <t>Tx Credit Dollars</t>
  </si>
  <si>
    <t>Customer Numbers</t>
  </si>
  <si>
    <t>Connections/ Devices</t>
  </si>
  <si>
    <t>kVA (Including WMP)</t>
  </si>
  <si>
    <t>kWh (Excluding WMP; Including line losses)</t>
  </si>
  <si>
    <t>Fixed</t>
  </si>
  <si>
    <t xml:space="preserve">  Customer</t>
  </si>
  <si>
    <t xml:space="preserve">  Connection</t>
  </si>
  <si>
    <t>Variable</t>
  </si>
  <si>
    <t xml:space="preserve">  kVA</t>
  </si>
  <si>
    <t xml:space="preserve">  kWh</t>
  </si>
  <si>
    <t>Variable (kWh)</t>
  </si>
  <si>
    <t>Variable (kVA)</t>
  </si>
  <si>
    <t>Connection Charges</t>
  </si>
  <si>
    <t>Transformer Allowance</t>
  </si>
  <si>
    <t>Total</t>
  </si>
  <si>
    <t>Revenue Deficiency</t>
  </si>
  <si>
    <t>Factor required to recover deficiency</t>
  </si>
  <si>
    <t>Revenue Requirement by class to be recover</t>
  </si>
  <si>
    <t>Fixed rate per month</t>
  </si>
  <si>
    <t>Ceiling</t>
  </si>
  <si>
    <t>Floor</t>
  </si>
  <si>
    <t>Rates are higher than ceiling test</t>
  </si>
  <si>
    <t>n/a</t>
  </si>
  <si>
    <t>Rates are lower than floor test</t>
  </si>
  <si>
    <t>Rates applicable</t>
  </si>
  <si>
    <t>Revenue - Variable Tx Allow</t>
  </si>
  <si>
    <t>Revenue - Fixed (Customer)</t>
  </si>
  <si>
    <t>Revenue -  Connections</t>
  </si>
  <si>
    <t>Revenue -  Variable</t>
  </si>
  <si>
    <t>2026-2029 Rate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</si>
</sst>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quot;$&quot;* #,##0.00_-;_-&quot;$&quot;* &quot;-&quot;??_-;_-@_-"/>
    <numFmt numFmtId="43" formatCode="_-* #,##0.00_-;\-* #,##0.00_-;_-* &quot;-&quot;??_-;_-@_-"/>
    <numFmt numFmtId="164" formatCode="_-* #,##0_-;\-\ #,##0_-;_-* &quot;-&quot;_-;_-@_-"/>
    <numFmt numFmtId="165" formatCode="0.0%"/>
    <numFmt numFmtId="166" formatCode="_-* #,##0.000_-;\-* #,##0.000_-;_-* &quot;-&quot;??_-;_-@_-"/>
    <numFmt numFmtId="167" formatCode="_(* #,##0.00_);_(* \(#,##0.00\);_(* &quot;-&quot;??_);_(@_)"/>
    <numFmt numFmtId="168" formatCode="_-* #,##0_-;\-* #,##0_-;_-* &quot;-&quot;??_-;_-@_-"/>
    <numFmt numFmtId="169" formatCode="_-* #,##0.00_-;\-\ #,##0.00_-;_-* &quot;-&quot;_-;_-@_-"/>
    <numFmt numFmtId="170" formatCode="_(&quot;$&quot;* #,##0.00_);_(&quot;$&quot;* \(#,##0.00\);_(&quot;$&quot;* &quot;-&quot;??_);_(@_)"/>
    <numFmt numFmtId="171" formatCode="_-&quot;$&quot;* #,##0.0000_-;\-&quot;$&quot;* #,##0.0000_-;_-&quot;$&quot;* &quot;-&quot;??_-;_-@_-"/>
    <numFmt numFmtId="172" formatCode="_-&quot;$&quot;* #,##0.00000_-;\-&quot;$&quot;* #,##0.00000_-;_-&quot;$&quot;* &quot;-&quot;??_-;_-@_-"/>
    <numFmt numFmtId="173" formatCode="_-* #,##0.0000_-;\-\ #,##0.0000_-;_-* &quot;-&quot;_-;_-@_-"/>
    <numFmt numFmtId="174" formatCode="_-\ &quot;$&quot;#,##0.00_-;\-\ &quot;$&quot;#,##0.00_-;_-* &quot;-&quot;_-;_-@_-"/>
    <numFmt numFmtId="175" formatCode="_-\ &quot;$&quot;#,##0_-;\-\ &quot;$&quot;#,##0_-;_-* &quot;-&quot;_-;_-@_-"/>
    <numFmt numFmtId="176" formatCode="&quot;$&quot;#,##0.00"/>
    <numFmt numFmtId="177" formatCode="0.000%"/>
    <numFmt numFmtId="178" formatCode="0\ &quot;Leap Year&quot;"/>
  </numFmts>
  <fonts count="16" x14ac:knownFonts="1">
    <font>
      <sz val="10"/>
      <name val="Arial"/>
      <family val="2"/>
    </font>
    <font>
      <sz val="10"/>
      <name val="Arial"/>
      <family val="2"/>
    </font>
    <font>
      <sz val="12"/>
      <name val="Calibri"/>
      <family val="2"/>
      <scheme val="minor"/>
    </font>
    <font>
      <b/>
      <sz val="14"/>
      <color rgb="FFFF0000"/>
      <name val="Calibri"/>
      <family val="2"/>
      <scheme val="minor"/>
    </font>
    <font>
      <sz val="11"/>
      <color rgb="FFFF0000"/>
      <name val="Calibri"/>
      <family val="2"/>
      <scheme val="minor"/>
    </font>
    <font>
      <b/>
      <sz val="11"/>
      <color rgb="FFFF0000"/>
      <name val="Calibri"/>
      <family val="2"/>
      <scheme val="minor"/>
    </font>
    <font>
      <sz val="11"/>
      <color rgb="FF0000FF"/>
      <name val="Calibri"/>
      <family val="2"/>
      <scheme val="minor"/>
    </font>
    <font>
      <sz val="11"/>
      <color theme="1"/>
      <name val="Calibri"/>
      <family val="2"/>
      <scheme val="minor"/>
    </font>
    <font>
      <b/>
      <sz val="10"/>
      <name val="Arial"/>
      <family val="2"/>
    </font>
    <font>
      <sz val="10"/>
      <color theme="0" tint="-0.499984740745262"/>
      <name val="Arial"/>
      <family val="2"/>
    </font>
    <font>
      <sz val="11"/>
      <color theme="0" tint="-0.499984740745262"/>
      <name val="Calibri"/>
      <family val="2"/>
      <scheme val="minor"/>
    </font>
    <font>
      <sz val="11"/>
      <name val="Calibri"/>
      <family val="2"/>
      <scheme val="minor"/>
    </font>
    <font>
      <b/>
      <sz val="11"/>
      <name val="Calibri"/>
      <family val="2"/>
      <scheme val="minor"/>
    </font>
    <font>
      <b/>
      <sz val="11"/>
      <color rgb="FF0000FF"/>
      <name val="Calibri"/>
      <family val="2"/>
      <scheme val="minor"/>
    </font>
    <font>
      <sz val="10"/>
      <color rgb="FFFF0000"/>
      <name val="Calibri"/>
      <family val="2"/>
      <scheme val="minor"/>
    </font>
    <font>
      <b/>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lightGray"/>
    </fill>
  </fills>
  <borders count="8">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right/>
      <top style="thin">
        <color theme="0" tint="-0.24994659260841701"/>
      </top>
      <bottom/>
      <diagonal/>
    </border>
    <border>
      <left/>
      <right/>
      <top/>
      <bottom style="thin">
        <color theme="0" tint="-0.24994659260841701"/>
      </bottom>
      <diagonal/>
    </border>
  </borders>
  <cellStyleXfs count="4">
    <xf numFmtId="0" fontId="0" fillId="0" borderId="0"/>
    <xf numFmtId="167" fontId="1" fillId="0" borderId="0" applyFont="0" applyFill="0" applyBorder="0" applyAlignment="0" applyProtection="0"/>
    <xf numFmtId="170" fontId="1" fillId="0" borderId="0" applyFont="0" applyFill="0" applyBorder="0" applyAlignment="0" applyProtection="0"/>
    <xf numFmtId="9" fontId="7" fillId="0" borderId="0" applyFont="0" applyFill="0" applyBorder="0" applyAlignment="0" applyProtection="0"/>
  </cellStyleXfs>
  <cellXfs count="86">
    <xf numFmtId="0" fontId="0" fillId="0" borderId="0" xfId="0"/>
    <xf numFmtId="0" fontId="2" fillId="2" borderId="1" xfId="0" applyFont="1" applyFill="1" applyBorder="1"/>
    <xf numFmtId="0" fontId="2" fillId="2" borderId="2" xfId="0" applyFont="1" applyFill="1"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0" xfId="0" applyFont="1"/>
    <xf numFmtId="164" fontId="2" fillId="0" borderId="0" xfId="0" applyNumberFormat="1" applyFont="1"/>
    <xf numFmtId="0" fontId="3" fillId="0" borderId="0" xfId="0" applyFont="1" applyAlignment="1">
      <alignment horizontal="left"/>
    </xf>
    <xf numFmtId="0" fontId="4" fillId="0" borderId="0" xfId="0" applyFont="1"/>
    <xf numFmtId="0" fontId="5" fillId="0" borderId="0" xfId="0" applyFont="1" applyAlignment="1">
      <alignment horizontal="left"/>
    </xf>
    <xf numFmtId="0" fontId="4" fillId="0" borderId="0" xfId="0" applyFont="1" applyAlignment="1">
      <alignment horizontal="right"/>
    </xf>
    <xf numFmtId="164" fontId="4" fillId="0" borderId="0" xfId="0" applyNumberFormat="1" applyFont="1" applyAlignment="1">
      <alignment shrinkToFit="1"/>
    </xf>
    <xf numFmtId="166" fontId="0" fillId="0" borderId="0" xfId="0" applyNumberFormat="1"/>
    <xf numFmtId="0" fontId="0" fillId="0" borderId="4" xfId="0" applyBorder="1"/>
    <xf numFmtId="168" fontId="0" fillId="0" borderId="4" xfId="1" applyNumberFormat="1" applyFont="1" applyBorder="1"/>
    <xf numFmtId="169" fontId="6" fillId="0" borderId="4" xfId="1" applyNumberFormat="1" applyFont="1" applyFill="1" applyBorder="1"/>
    <xf numFmtId="168" fontId="0" fillId="0" borderId="0" xfId="1" applyNumberFormat="1" applyFont="1"/>
    <xf numFmtId="168" fontId="6" fillId="0" borderId="0" xfId="1" applyNumberFormat="1" applyFont="1" applyFill="1"/>
    <xf numFmtId="0" fontId="0" fillId="0" borderId="5" xfId="0" applyBorder="1"/>
    <xf numFmtId="168" fontId="0" fillId="0" borderId="5" xfId="1" applyNumberFormat="1" applyFont="1" applyBorder="1"/>
    <xf numFmtId="164" fontId="7" fillId="0" borderId="5" xfId="2" applyNumberFormat="1" applyFont="1" applyFill="1" applyBorder="1"/>
    <xf numFmtId="10" fontId="4" fillId="0" borderId="0" xfId="3" applyNumberFormat="1" applyFont="1" applyFill="1" applyAlignment="1">
      <alignment shrinkToFit="1"/>
    </xf>
    <xf numFmtId="168" fontId="6" fillId="0" borderId="0" xfId="1" applyNumberFormat="1" applyFont="1" applyFill="1" applyAlignment="1">
      <alignment shrinkToFit="1"/>
    </xf>
    <xf numFmtId="168" fontId="6" fillId="0" borderId="0" xfId="1" applyNumberFormat="1" applyFont="1" applyFill="1" applyAlignment="1">
      <alignment horizontal="center" shrinkToFit="1"/>
    </xf>
    <xf numFmtId="168" fontId="0" fillId="0" borderId="0" xfId="0" applyNumberFormat="1"/>
    <xf numFmtId="168" fontId="0" fillId="3" borderId="0" xfId="1" applyNumberFormat="1" applyFont="1" applyFill="1" applyAlignment="1">
      <alignment horizontal="center" shrinkToFit="1"/>
    </xf>
    <xf numFmtId="168" fontId="6" fillId="0" borderId="5" xfId="1" applyNumberFormat="1" applyFont="1" applyFill="1" applyBorder="1" applyAlignment="1">
      <alignment shrinkToFit="1"/>
    </xf>
    <xf numFmtId="168" fontId="6" fillId="0" borderId="5" xfId="1" applyNumberFormat="1" applyFont="1" applyFill="1" applyBorder="1" applyAlignment="1">
      <alignment horizontal="center" shrinkToFit="1"/>
    </xf>
    <xf numFmtId="168" fontId="0" fillId="0" borderId="5" xfId="0" applyNumberFormat="1" applyBorder="1"/>
    <xf numFmtId="165" fontId="6" fillId="0" borderId="0" xfId="3" applyNumberFormat="1" applyFont="1" applyFill="1" applyBorder="1"/>
    <xf numFmtId="0" fontId="8" fillId="0" borderId="0" xfId="0" applyFont="1"/>
    <xf numFmtId="0" fontId="9" fillId="0" borderId="0" xfId="0" applyFont="1"/>
    <xf numFmtId="43" fontId="9" fillId="0" borderId="0" xfId="0" applyNumberFormat="1" applyFont="1"/>
    <xf numFmtId="43" fontId="10" fillId="0" borderId="0" xfId="0" applyNumberFormat="1" applyFont="1"/>
    <xf numFmtId="44" fontId="9" fillId="0" borderId="0" xfId="2" applyNumberFormat="1" applyFont="1" applyBorder="1"/>
    <xf numFmtId="168" fontId="9" fillId="3" borderId="0" xfId="1" applyNumberFormat="1" applyFont="1" applyFill="1" applyBorder="1" applyAlignment="1">
      <alignment horizontal="center"/>
    </xf>
    <xf numFmtId="44" fontId="9" fillId="0" borderId="0" xfId="2" applyNumberFormat="1" applyFont="1" applyFill="1" applyBorder="1"/>
    <xf numFmtId="44" fontId="9" fillId="0" borderId="0" xfId="0" applyNumberFormat="1" applyFont="1"/>
    <xf numFmtId="10" fontId="10" fillId="0" borderId="0" xfId="0" applyNumberFormat="1" applyFont="1"/>
    <xf numFmtId="171" fontId="9" fillId="0" borderId="0" xfId="2" applyNumberFormat="1" applyFont="1" applyFill="1" applyBorder="1"/>
    <xf numFmtId="172" fontId="9" fillId="0" borderId="0" xfId="2" applyNumberFormat="1" applyFont="1" applyFill="1" applyBorder="1"/>
    <xf numFmtId="165" fontId="6" fillId="0" borderId="5" xfId="3" applyNumberFormat="1" applyFont="1" applyFill="1" applyBorder="1"/>
    <xf numFmtId="164" fontId="11" fillId="0" borderId="0" xfId="3" applyNumberFormat="1" applyFont="1" applyFill="1" applyBorder="1"/>
    <xf numFmtId="164" fontId="11" fillId="0" borderId="5" xfId="3" applyNumberFormat="1" applyFont="1" applyFill="1" applyBorder="1"/>
    <xf numFmtId="173" fontId="11" fillId="0" borderId="5" xfId="3" applyNumberFormat="1" applyFont="1" applyFill="1" applyBorder="1"/>
    <xf numFmtId="0" fontId="0" fillId="0" borderId="2" xfId="0" applyBorder="1"/>
    <xf numFmtId="164" fontId="11" fillId="0" borderId="2" xfId="3" applyNumberFormat="1" applyFont="1" applyFill="1" applyBorder="1"/>
    <xf numFmtId="0" fontId="11" fillId="0" borderId="0" xfId="0" applyFont="1" applyAlignment="1">
      <alignment horizontal="left" indent="1"/>
    </xf>
    <xf numFmtId="174" fontId="11" fillId="0" borderId="0" xfId="2" applyNumberFormat="1" applyFont="1" applyFill="1" applyBorder="1"/>
    <xf numFmtId="175" fontId="11" fillId="0" borderId="0" xfId="2" applyNumberFormat="1" applyFont="1" applyFill="1" applyBorder="1" applyAlignment="1">
      <alignment horizontal="right"/>
    </xf>
    <xf numFmtId="0" fontId="11" fillId="0" borderId="5" xfId="0" applyFont="1" applyBorder="1" applyAlignment="1">
      <alignment horizontal="left" indent="1"/>
    </xf>
    <xf numFmtId="174" fontId="11" fillId="0" borderId="5" xfId="2" applyNumberFormat="1" applyFont="1" applyFill="1" applyBorder="1"/>
    <xf numFmtId="176" fontId="11" fillId="0" borderId="0" xfId="2" applyNumberFormat="1" applyFont="1" applyFill="1" applyBorder="1"/>
    <xf numFmtId="164" fontId="11" fillId="0" borderId="0" xfId="2" applyNumberFormat="1" applyFont="1" applyFill="1" applyBorder="1"/>
    <xf numFmtId="164" fontId="11" fillId="0" borderId="5" xfId="2" applyNumberFormat="1" applyFont="1" applyFill="1" applyBorder="1"/>
    <xf numFmtId="0" fontId="0" fillId="0" borderId="6" xfId="0" applyBorder="1"/>
    <xf numFmtId="177" fontId="0" fillId="0" borderId="0" xfId="3" applyNumberFormat="1" applyFont="1" applyBorder="1"/>
    <xf numFmtId="10" fontId="0" fillId="0" borderId="0" xfId="3" applyNumberFormat="1" applyFont="1" applyBorder="1"/>
    <xf numFmtId="43" fontId="8" fillId="0" borderId="0" xfId="0" applyNumberFormat="1" applyFont="1"/>
    <xf numFmtId="43" fontId="5" fillId="0" borderId="0" xfId="0" applyNumberFormat="1" applyFont="1"/>
    <xf numFmtId="44" fontId="8" fillId="0" borderId="0" xfId="2" applyNumberFormat="1" applyFont="1" applyBorder="1"/>
    <xf numFmtId="44" fontId="12" fillId="0" borderId="0" xfId="2" applyNumberFormat="1" applyFont="1" applyFill="1" applyBorder="1"/>
    <xf numFmtId="44" fontId="12" fillId="0" borderId="0" xfId="2" applyNumberFormat="1" applyFont="1" applyBorder="1"/>
    <xf numFmtId="168" fontId="8" fillId="3" borderId="0" xfId="1" applyNumberFormat="1" applyFont="1" applyFill="1" applyBorder="1" applyAlignment="1">
      <alignment horizontal="center"/>
    </xf>
    <xf numFmtId="170" fontId="12" fillId="0" borderId="0" xfId="2" applyFont="1" applyFill="1" applyBorder="1"/>
    <xf numFmtId="44" fontId="8" fillId="0" borderId="0" xfId="2" applyNumberFormat="1" applyFont="1" applyFill="1" applyBorder="1"/>
    <xf numFmtId="170" fontId="8" fillId="0" borderId="0" xfId="2" applyFont="1" applyFill="1" applyBorder="1"/>
    <xf numFmtId="44" fontId="8" fillId="0" borderId="0" xfId="0" applyNumberFormat="1" applyFont="1"/>
    <xf numFmtId="10" fontId="13" fillId="0" borderId="0" xfId="0" applyNumberFormat="1" applyFont="1"/>
    <xf numFmtId="171" fontId="8" fillId="0" borderId="0" xfId="2" applyNumberFormat="1" applyFont="1" applyFill="1" applyBorder="1"/>
    <xf numFmtId="171" fontId="8" fillId="0" borderId="0" xfId="2" applyNumberFormat="1" applyFont="1" applyBorder="1"/>
    <xf numFmtId="171" fontId="12" fillId="0" borderId="0" xfId="2" applyNumberFormat="1" applyFont="1" applyFill="1" applyBorder="1"/>
    <xf numFmtId="172" fontId="8" fillId="0" borderId="0" xfId="2" applyNumberFormat="1" applyFont="1" applyFill="1" applyBorder="1"/>
    <xf numFmtId="172" fontId="12" fillId="0" borderId="0" xfId="2" applyNumberFormat="1" applyFont="1" applyFill="1" applyBorder="1"/>
    <xf numFmtId="0" fontId="0" fillId="0" borderId="7" xfId="0" applyBorder="1"/>
    <xf numFmtId="164" fontId="0" fillId="0" borderId="5" xfId="0" applyNumberFormat="1" applyBorder="1"/>
    <xf numFmtId="164" fontId="7" fillId="0" borderId="0" xfId="2" applyNumberFormat="1" applyFont="1" applyFill="1"/>
    <xf numFmtId="178" fontId="3" fillId="0" borderId="0" xfId="0" applyNumberFormat="1" applyFont="1" applyAlignment="1">
      <alignment horizontal="left"/>
    </xf>
    <xf numFmtId="0" fontId="11" fillId="0" borderId="0" xfId="0" applyFont="1" applyAlignment="1">
      <alignment horizontal="left" vertical="center" indent="1"/>
    </xf>
    <xf numFmtId="0" fontId="14" fillId="0" borderId="0" xfId="0" applyFont="1" applyAlignment="1">
      <alignment horizontal="left" vertical="center" wrapText="1"/>
    </xf>
    <xf numFmtId="174" fontId="11" fillId="0" borderId="0" xfId="2" applyNumberFormat="1" applyFont="1" applyFill="1" applyBorder="1" applyAlignment="1">
      <alignment vertical="center"/>
    </xf>
    <xf numFmtId="164" fontId="11" fillId="0" borderId="0" xfId="3" applyNumberFormat="1" applyFont="1" applyFill="1" applyBorder="1" applyAlignment="1">
      <alignment vertical="center"/>
    </xf>
    <xf numFmtId="0" fontId="2" fillId="0" borderId="0" xfId="0" applyFont="1" applyAlignment="1">
      <alignment vertical="center"/>
    </xf>
    <xf numFmtId="0" fontId="15" fillId="0" borderId="0" xfId="0" applyFont="1"/>
    <xf numFmtId="0" fontId="2" fillId="0" borderId="0" xfId="0" applyFont="1" applyFill="1"/>
    <xf numFmtId="0" fontId="2" fillId="0" borderId="0" xfId="0" applyFont="1" applyFill="1" applyAlignment="1">
      <alignment horizontal="center" vertical="center" wrapText="1"/>
    </xf>
  </cellXfs>
  <cellStyles count="4">
    <cellStyle name="Comma" xfId="1" builtinId="3"/>
    <cellStyle name="Currency" xfId="2" builtinId="4"/>
    <cellStyle name="Normal" xfId="0" builtinId="0"/>
    <cellStyle name="Percent 226" xfId="3" xr:uid="{4D208702-1A53-4B30-B2EC-B16E1D2DB2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HC\Finance\Treasury%20and%20Risk%20Mgmt\Common\2010%20EDR\J1%20-%20Rev%20Req%20Model\Work%20Files\2010%20EDR%20-%20V6.0%20ADR%20with%20COC%20Change%20(Jan%207%202009)%20-2nd%20Pa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5/03%20Application/03%20Rate%20Design/99d%20OEB%20Submission%20(DRO)/2025%20Rate%20Design%20(DRO)%202024-11-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EDR Flowchart 2008"/>
      <sheetName val="1-1 TRIAL BALANCE DATA (Input)"/>
      <sheetName val="1-2 UNADJUSTED ACCOUNTING DATA"/>
      <sheetName val="ADJ 3 (Distrib Exp -Tier 1)"/>
      <sheetName val="1-2 ADJUSTED ACCOUNTING DATA"/>
      <sheetName val="2-5 Capital Expnditures Sch 4-1"/>
      <sheetName val="2-6 OTH (Employee Compensation"/>
      <sheetName val="2-1 RATE BASE"/>
      <sheetName val="2-1-1 GST - Lead Lag Study"/>
      <sheetName val="2-2 COST OF CAPITAL (Input)"/>
      <sheetName val="2-4 WEIGHTED DEBT COST (Input)"/>
      <sheetName val="3-1 DATA for PILS MODEL"/>
      <sheetName val="3-2 OUTPUT from PILS MODEL"/>
      <sheetName val="4-1 SERVICE REVENUE REQUIREMENT"/>
      <sheetName val="4-3 OTHER REGULTD CHRGS (Input)"/>
      <sheetName val="5-4 CDM (Input)"/>
      <sheetName val="4-4 BASE REVENUE REQUIREMENT"/>
      <sheetName val="5-1 CUSTOMER CLASSES (Input)"/>
      <sheetName val="5-2 DEMAND, RATES (Input)"/>
      <sheetName val="5-3 Trfmr Ownership (Input)"/>
      <sheetName val="6-1 ALLOCATION - Base Rev. Req."/>
      <sheetName val="6-2 ALLOCATION - LV-Wheeling"/>
      <sheetName val="7-3 ALLOCATION - CDM (Input)"/>
      <sheetName val="7-1 RATES - BASE REV. REQ."/>
      <sheetName val="7-2 RATES - LV-Wheeling"/>
      <sheetName val="8-3 RATES - CDM"/>
      <sheetName val="7-3 RATE RIDERS -Reg. Assets"/>
      <sheetName val="7-4 DISTRIBUTION RATES"/>
      <sheetName val="7-5 RETAIL TRANSM RATES (Input)"/>
      <sheetName val="7-6 OTHER CHGS, COMMOD (Input)"/>
      <sheetName val="2007 Tariff Sheet"/>
      <sheetName val="2010 Tariff Sheet"/>
      <sheetName val="8-1 BILL IMPACTS"/>
      <sheetName val="9-2 RATES SCHEDULE (Part 2)"/>
      <sheetName val="10-4 DISTR. RATES - RECONCILED"/>
      <sheetName val="HB Appendix A.1"/>
      <sheetName val="HB Appendix A.2"/>
      <sheetName val="HB Appendix A.3"/>
      <sheetName val="HB Appendix A.4"/>
      <sheetName val="Navigation Macro Values"/>
      <sheetName val="Filters"/>
      <sheetName val="Reclas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4">
          <cell r="A14">
            <v>10</v>
          </cell>
          <cell r="B14" t="str">
            <v>INTRO</v>
          </cell>
          <cell r="C14" t="str">
            <v>This Step</v>
          </cell>
          <cell r="D14" t="str">
            <v>vbInfo</v>
          </cell>
          <cell r="F14" t="str">
            <v>The THIS STEP Button is the starting point for each sheet, giving instruction relevant to the particular sheet .</v>
          </cell>
          <cell r="G14" t="str">
            <v>2006 EDR MODEL(10)</v>
          </cell>
        </row>
        <row r="15">
          <cell r="A15">
            <v>11</v>
          </cell>
          <cell r="B15" t="str">
            <v>INTRO</v>
          </cell>
          <cell r="C15" t="str">
            <v>Next</v>
          </cell>
          <cell r="D15" t="str">
            <v>vbYesNoCancel</v>
          </cell>
          <cell r="F15" t="str">
            <v>The Next Button will navigate to the next applicable sheet after selected verification on the current sheet.  The THIS STEP Button on the new sheet will be automatically invoked as the new sheet is activated.
Continue to Model Overview (i.e., the Next Sh</v>
          </cell>
          <cell r="G15" t="str">
            <v>2006 EDR MODEL(11)</v>
          </cell>
        </row>
        <row r="16">
          <cell r="A16">
            <v>11.1</v>
          </cell>
          <cell r="E16" t="str">
            <v>Yes</v>
          </cell>
          <cell r="G16" t="str">
            <v>2006 EDR MODEL(11.1)</v>
          </cell>
        </row>
        <row r="17">
          <cell r="A17">
            <v>11.2</v>
          </cell>
          <cell r="E17" t="str">
            <v>No</v>
          </cell>
          <cell r="G17" t="str">
            <v>2006 EDR MODEL(11.2)</v>
          </cell>
        </row>
        <row r="18">
          <cell r="A18">
            <v>20</v>
          </cell>
          <cell r="B18" t="str">
            <v>MODEL OVERVIEW</v>
          </cell>
          <cell r="C18" t="str">
            <v>This Step</v>
          </cell>
          <cell r="D18" t="str">
            <v>vbInfo</v>
          </cell>
          <cell r="F18" t="str">
            <v>MODEL OVERVIEW:
This Model Overview contains links to each sheet in the Model.  Click a shaded areas to navigate directly to sheet.  Use the Next Button to start at the beginning with sheet "INPUT 1 (General)".</v>
          </cell>
          <cell r="G18" t="str">
            <v>2006 EDR MODEL(20)</v>
          </cell>
        </row>
        <row r="19">
          <cell r="A19">
            <v>21</v>
          </cell>
          <cell r="B19" t="str">
            <v>MODEL OVERVIEW</v>
          </cell>
          <cell r="C19" t="str">
            <v>Next</v>
          </cell>
          <cell r="D19" t="str">
            <v>vbYesNoCancel</v>
          </cell>
          <cell r="F19" t="str">
            <v>Continue to Next Sheet.</v>
          </cell>
          <cell r="G19" t="str">
            <v>2006 EDR MODEL(21)</v>
          </cell>
        </row>
        <row r="20">
          <cell r="A20">
            <v>21.1</v>
          </cell>
          <cell r="E20" t="str">
            <v>Yes</v>
          </cell>
          <cell r="G20" t="str">
            <v>2006 EDR MODEL(21.1)</v>
          </cell>
        </row>
        <row r="21">
          <cell r="A21">
            <v>21.2</v>
          </cell>
          <cell r="E21" t="str">
            <v>No</v>
          </cell>
          <cell r="G21" t="str">
            <v>2006 EDR MODEL(21.2)</v>
          </cell>
        </row>
        <row r="22">
          <cell r="A22">
            <v>103</v>
          </cell>
          <cell r="B22" t="str">
            <v>1-1 GENERAL (Input)</v>
          </cell>
          <cell r="C22" t="str">
            <v>Input</v>
          </cell>
          <cell r="D22" t="str">
            <v>vbYesNoCancel</v>
          </cell>
          <cell r="F22" t="str">
            <v>You can use this Model to enter the various adjustments as set out in the Handbook .  In particular your can:
          1. Enter all Tier 1 adjustments that are applicable.
                    OR
          2. Enter all Tier 1 adjustments that are appli</v>
          </cell>
          <cell r="G22" t="str">
            <v>2006 EDR MODEL(103)</v>
          </cell>
        </row>
        <row r="23">
          <cell r="A23">
            <v>103.1</v>
          </cell>
          <cell r="E23" t="str">
            <v>Yes</v>
          </cell>
          <cell r="F23" t="str">
            <v>The ADJ sheets will continue to appear in the Model but the input columns/rows have been hidden that are not applicable to an unadjusted application.
Please note, however, that the adjustments in sheet "ADJ 5 (Specific Distrib Exp)" are applicable to eve</v>
          </cell>
          <cell r="G23" t="str">
            <v>2006 EDR MODEL(103.1)</v>
          </cell>
        </row>
        <row r="24">
          <cell r="A24">
            <v>103.2</v>
          </cell>
          <cell r="E24" t="str">
            <v>No</v>
          </cell>
          <cell r="G24" t="str">
            <v>2006 EDR MODEL(103.2)</v>
          </cell>
        </row>
        <row r="25">
          <cell r="A25">
            <v>103.9</v>
          </cell>
          <cell r="B25" t="str">
            <v>macros ADJ 1a and ADJ2 and
2-2</v>
          </cell>
          <cell r="D25" t="str">
            <v>vbYesNoCancel</v>
          </cell>
          <cell r="F25" t="str">
            <v>Sheet "1-1 GENERAL (Input)" indicates that the Option to use unadjusted amounts in the application was selected.
     Please confirm that UNADJUSTED amounts will be used for this Application?
Use "YES" to continue and use UNADJUSTED amounts.
Use "NO" t</v>
          </cell>
          <cell r="G25" t="str">
            <v>2006 EDR MODEL(103.9)</v>
          </cell>
        </row>
        <row r="26">
          <cell r="A26">
            <v>103.91</v>
          </cell>
          <cell r="E26" t="str">
            <v>Yes</v>
          </cell>
          <cell r="G26" t="str">
            <v>2006 EDR MODEL(103.91)</v>
          </cell>
        </row>
        <row r="27">
          <cell r="A27">
            <v>103.92</v>
          </cell>
          <cell r="E27" t="str">
            <v>No</v>
          </cell>
          <cell r="G27" t="str">
            <v>2006 EDR MODEL(103.92)</v>
          </cell>
        </row>
        <row r="28">
          <cell r="A28">
            <v>105</v>
          </cell>
          <cell r="B28" t="str">
            <v>1-1 GENERAL (Input)</v>
          </cell>
          <cell r="C28" t="str">
            <v>Input</v>
          </cell>
          <cell r="D28" t="str">
            <v>vbYesNoCancel</v>
          </cell>
          <cell r="F28" t="str">
            <v>Tier 2 Adjustments are not mandatory.  However, all applicable Tier 1 Adjustments must be made if Tier 2 Adjustment are also being made.  
Are there any Tier 2 Adjustments for this application?</v>
          </cell>
          <cell r="G28" t="str">
            <v>2006 EDR MODEL(105)</v>
          </cell>
        </row>
        <row r="29">
          <cell r="A29">
            <v>105.1</v>
          </cell>
          <cell r="E29" t="str">
            <v>Yes</v>
          </cell>
          <cell r="G29" t="str">
            <v>2006 EDR MODEL(105.1)</v>
          </cell>
        </row>
        <row r="30">
          <cell r="A30">
            <v>105.2</v>
          </cell>
          <cell r="E30" t="str">
            <v>No</v>
          </cell>
          <cell r="G30" t="str">
            <v>2006 EDR MODEL(105.2)</v>
          </cell>
        </row>
        <row r="31">
          <cell r="A31">
            <v>105.9</v>
          </cell>
          <cell r="B31" t="str">
            <v>macros INPUT 1a and INPUT 2</v>
          </cell>
          <cell r="D31" t="str">
            <v>vbYesNoCancel</v>
          </cell>
          <cell r="F31" t="str">
            <v>Sheet "1-1 GENERAL (Input)" indicates that Tier 2 Adjustments are not applicable to this Application  ...  
     Please confirm - are there any TIER 2 ADJUSTMENTS for this Application?
Use "YES" to update the response on Sheet "1-1 GENERAL (Input)" -- y</v>
          </cell>
          <cell r="G31" t="str">
            <v>2006 EDR MODEL(105.9)</v>
          </cell>
        </row>
        <row r="32">
          <cell r="A32">
            <v>105.91</v>
          </cell>
          <cell r="E32" t="str">
            <v>Yes</v>
          </cell>
          <cell r="G32" t="str">
            <v>2006 EDR MODEL(105.91)</v>
          </cell>
        </row>
        <row r="33">
          <cell r="A33">
            <v>105.92</v>
          </cell>
          <cell r="E33" t="str">
            <v>No</v>
          </cell>
          <cell r="G33" t="str">
            <v>2006 EDR MODEL(105.92)</v>
          </cell>
        </row>
        <row r="34">
          <cell r="A34">
            <v>110</v>
          </cell>
          <cell r="B34" t="str">
            <v>1-1 GENERAL (Input)</v>
          </cell>
          <cell r="C34" t="str">
            <v>Input</v>
          </cell>
          <cell r="D34" t="str">
            <v>vbYesNoCancel</v>
          </cell>
          <cell r="F34" t="str">
            <v>Are you required to change your rate structure for Unmetered Scattered Loads? (Handbook 10.2)
(for information only -  answer given does not impact Model)</v>
          </cell>
          <cell r="G34" t="str">
            <v>2006 EDR MODEL(110)</v>
          </cell>
        </row>
        <row r="35">
          <cell r="A35">
            <v>110.1</v>
          </cell>
          <cell r="E35" t="str">
            <v>Yes</v>
          </cell>
          <cell r="G35" t="str">
            <v>2006 EDR MODEL(110.1)</v>
          </cell>
        </row>
        <row r="36">
          <cell r="A36">
            <v>110.2</v>
          </cell>
          <cell r="E36" t="str">
            <v>No</v>
          </cell>
          <cell r="G36" t="str">
            <v>2006 EDR MODEL(110.2)</v>
          </cell>
        </row>
        <row r="37">
          <cell r="A37">
            <v>115</v>
          </cell>
          <cell r="B37" t="str">
            <v>1-1 GENERAL (Input)</v>
          </cell>
          <cell r="C37" t="str">
            <v>Input</v>
          </cell>
          <cell r="D37" t="str">
            <v>vbYesNoCancel</v>
          </cell>
          <cell r="F37" t="str">
            <v>Do you give an allowance for Transformer Ownership? (Handbook 10.4)
(for information only -  answer given does not impact Model)</v>
          </cell>
          <cell r="G37" t="str">
            <v>2006 EDR MODEL(115)</v>
          </cell>
        </row>
        <row r="38">
          <cell r="A38">
            <v>115.1</v>
          </cell>
          <cell r="E38" t="str">
            <v>Yes</v>
          </cell>
          <cell r="G38" t="str">
            <v>2006 EDR MODEL(115.1)</v>
          </cell>
        </row>
        <row r="39">
          <cell r="A39">
            <v>115.2</v>
          </cell>
          <cell r="E39" t="str">
            <v>No</v>
          </cell>
          <cell r="G39" t="str">
            <v>2006 EDR MODEL(115.2)</v>
          </cell>
        </row>
        <row r="40">
          <cell r="A40">
            <v>120</v>
          </cell>
          <cell r="B40" t="str">
            <v>1-1 GENERAL (Input)</v>
          </cell>
          <cell r="C40" t="str">
            <v>Input</v>
          </cell>
          <cell r="D40" t="str">
            <v>vbYesNoCancel</v>
          </cell>
          <cell r="F40" t="str">
            <v>Does this application involve different rates for similar customers in different services territories?
(The Model can accommodate up to four within a class description.)</v>
          </cell>
          <cell r="G40" t="str">
            <v>2006 EDR MODEL(120)</v>
          </cell>
        </row>
        <row r="41">
          <cell r="A41">
            <v>120.1</v>
          </cell>
          <cell r="E41" t="str">
            <v>Yes</v>
          </cell>
          <cell r="G41" t="str">
            <v>2006 EDR MODEL(120.1)</v>
          </cell>
        </row>
        <row r="42">
          <cell r="A42">
            <v>120.2</v>
          </cell>
          <cell r="E42" t="str">
            <v>No</v>
          </cell>
          <cell r="G42" t="str">
            <v>2006 EDR MODEL(120.2)</v>
          </cell>
        </row>
        <row r="43">
          <cell r="A43">
            <v>121</v>
          </cell>
          <cell r="B43" t="str">
            <v>1-1 GENERAL (Input)</v>
          </cell>
          <cell r="C43" t="str">
            <v>Input</v>
          </cell>
          <cell r="D43" t="str">
            <v>vbYesNoCancel</v>
          </cell>
          <cell r="F43" t="str">
            <v>Does the application request harmonization?</v>
          </cell>
          <cell r="G43" t="str">
            <v>2006 EDR MODEL(121)</v>
          </cell>
        </row>
        <row r="44">
          <cell r="A44">
            <v>121.1</v>
          </cell>
          <cell r="E44" t="str">
            <v>Yes</v>
          </cell>
          <cell r="F44" t="str">
            <v>Please refer to the Model instructions for explanation of how to use the Model to assist with harmonization of rates accross service territories.</v>
          </cell>
          <cell r="G44" t="str">
            <v>2006 EDR MODEL(121.1)</v>
          </cell>
        </row>
        <row r="45">
          <cell r="A45">
            <v>121.2</v>
          </cell>
          <cell r="E45" t="str">
            <v>No</v>
          </cell>
          <cell r="G45" t="str">
            <v>2006 EDR MODEL(121.2)</v>
          </cell>
        </row>
        <row r="46">
          <cell r="A46">
            <v>122</v>
          </cell>
          <cell r="B46" t="str">
            <v>1-1 GENERAL (Input)</v>
          </cell>
          <cell r="C46" t="str">
            <v>Input</v>
          </cell>
          <cell r="D46" t="str">
            <v>vbYesNoCancel</v>
          </cell>
          <cell r="F46" t="str">
            <v>Warning: You are reducing the number of service territories.  Before continuing, please ensure to clear any classes marked on Sheet 6-1 that will no longer be relevant.
 Continue?</v>
          </cell>
          <cell r="G46" t="str">
            <v>2006 EDR MODEL(122)</v>
          </cell>
        </row>
        <row r="47">
          <cell r="A47">
            <v>122.1</v>
          </cell>
          <cell r="E47" t="str">
            <v>Yes</v>
          </cell>
          <cell r="G47" t="str">
            <v>2006 EDR MODEL(122.1)</v>
          </cell>
        </row>
        <row r="48">
          <cell r="A48">
            <v>122.2</v>
          </cell>
          <cell r="E48" t="str">
            <v>No</v>
          </cell>
          <cell r="G48" t="str">
            <v>2006 EDR MODEL(122.2)</v>
          </cell>
        </row>
        <row r="49">
          <cell r="A49">
            <v>125</v>
          </cell>
          <cell r="B49" t="str">
            <v>1-1 GENERAL (Input)</v>
          </cell>
          <cell r="C49" t="str">
            <v>Input</v>
          </cell>
          <cell r="D49" t="str">
            <v>vbYesNoCancel</v>
          </cell>
          <cell r="F49" t="str">
            <v>Does this application apply for revised Retail Transmission Rates - NETWORK as disclosed on Sheet 10-3?</v>
          </cell>
          <cell r="G49" t="str">
            <v>2006 EDR MODEL(125)</v>
          </cell>
        </row>
        <row r="50">
          <cell r="A50">
            <v>125.1</v>
          </cell>
          <cell r="E50" t="str">
            <v>Yes</v>
          </cell>
          <cell r="G50" t="str">
            <v>2006 EDR MODEL(125.1)</v>
          </cell>
        </row>
        <row r="51">
          <cell r="A51">
            <v>125.2</v>
          </cell>
          <cell r="E51" t="str">
            <v>No</v>
          </cell>
          <cell r="G51" t="str">
            <v>2006 EDR MODEL(125.2)</v>
          </cell>
        </row>
        <row r="52">
          <cell r="A52">
            <v>126</v>
          </cell>
          <cell r="B52" t="str">
            <v>1-1 GENERAL (Input)</v>
          </cell>
          <cell r="C52" t="str">
            <v>Input</v>
          </cell>
          <cell r="D52" t="str">
            <v>vbYesNoCancel</v>
          </cell>
          <cell r="F52" t="str">
            <v>Does this application apply for revised Retail Transmission Rates - CONNECTION as disclosed on Sheet 10-3?</v>
          </cell>
          <cell r="G52" t="str">
            <v>2006 EDR MODEL(126)</v>
          </cell>
        </row>
        <row r="53">
          <cell r="A53">
            <v>126.1</v>
          </cell>
          <cell r="E53" t="str">
            <v>Yes</v>
          </cell>
          <cell r="G53" t="str">
            <v>2006 EDR MODEL(126.1)</v>
          </cell>
        </row>
        <row r="54">
          <cell r="A54">
            <v>126.2</v>
          </cell>
          <cell r="E54" t="str">
            <v>No</v>
          </cell>
          <cell r="G54" t="str">
            <v>2006 EDR MODEL(126.2)</v>
          </cell>
        </row>
        <row r="55">
          <cell r="A55">
            <v>1010</v>
          </cell>
          <cell r="B55" t="str">
            <v>1-1 GENERAL (Input)</v>
          </cell>
          <cell r="C55" t="str">
            <v>This Step</v>
          </cell>
          <cell r="D55" t="str">
            <v>vbInfo</v>
          </cell>
          <cell r="F55" t="str">
            <v>1-1 GENERAL (Input):
Please complete all shaded areas.</v>
          </cell>
          <cell r="G55" t="str">
            <v>2006 EDR MODEL(1010)</v>
          </cell>
        </row>
        <row r="56">
          <cell r="A56">
            <v>1020</v>
          </cell>
          <cell r="B56" t="str">
            <v>1-1 GENERAL (Input)</v>
          </cell>
          <cell r="C56" t="str">
            <v>Next</v>
          </cell>
          <cell r="D56" t="str">
            <v>vbInfo</v>
          </cell>
          <cell r="F56" t="str">
            <v>Please complete all shaded areas before continuing.   (Note that you will be able to update the information at any time.)</v>
          </cell>
          <cell r="G56" t="str">
            <v>2006 EDR MODEL(1020)</v>
          </cell>
        </row>
        <row r="57">
          <cell r="A57">
            <v>2010</v>
          </cell>
          <cell r="B57" t="str">
            <v>2-1 TRIAL BALANCE DATA (Input)</v>
          </cell>
          <cell r="C57" t="str">
            <v>This Step</v>
          </cell>
          <cell r="D57" t="str">
            <v>vbYesNoCancel</v>
          </cell>
          <cell r="F57" t="str">
            <v xml:space="preserve">2-1 TRIAL BALANCE DATA (Input):
Do you want to enter detailed account balances? 
(Minimum information groupings and summary data will be calculated in the sections below the detail area.)
__________________________________________
You have two OPTIONS:
</v>
          </cell>
          <cell r="G57" t="str">
            <v>2006 EDR MODEL(2010)</v>
          </cell>
        </row>
        <row r="58">
          <cell r="A58">
            <v>2011</v>
          </cell>
          <cell r="E58" t="str">
            <v>Yes</v>
          </cell>
          <cell r="G58" t="str">
            <v>2006 EDR MODEL(2011)</v>
          </cell>
        </row>
        <row r="59">
          <cell r="A59">
            <v>2012</v>
          </cell>
          <cell r="E59" t="str">
            <v>No</v>
          </cell>
          <cell r="F59" t="str">
            <v>Summary range has been unprotected to allow values entered directly as groupings.  Repeat this command to enter detailed information instead.
WARNING:  Any amount you enter directly as a grouped amount will be permanent (i.e., grouping formula will be lo</v>
          </cell>
          <cell r="G59" t="str">
            <v>2006 EDR MODEL(2012)</v>
          </cell>
        </row>
        <row r="60">
          <cell r="A60">
            <v>2020</v>
          </cell>
          <cell r="B60" t="str">
            <v>2-1 TRIAL BALANCE DATA (Input)</v>
          </cell>
          <cell r="C60" t="str">
            <v>Next</v>
          </cell>
          <cell r="D60" t="str">
            <v>vbYesNoCancel</v>
          </cell>
          <cell r="F60" t="str">
            <v>Are you finished entering trial balance amounts?</v>
          </cell>
          <cell r="G60" t="str">
            <v>2006 EDR MODEL(2020)</v>
          </cell>
        </row>
        <row r="61">
          <cell r="A61">
            <v>2021</v>
          </cell>
          <cell r="E61" t="str">
            <v>Yes</v>
          </cell>
          <cell r="G61" t="str">
            <v>2006 EDR MODEL(2021)</v>
          </cell>
        </row>
        <row r="62">
          <cell r="A62">
            <v>2022</v>
          </cell>
          <cell r="E62" t="str">
            <v>No</v>
          </cell>
          <cell r="G62" t="str">
            <v>2006 EDR MODEL(2022)</v>
          </cell>
        </row>
        <row r="63">
          <cell r="A63">
            <v>2030</v>
          </cell>
          <cell r="B63" t="str">
            <v>2-2 UNADJUSTED ACCOUNTING DATA</v>
          </cell>
          <cell r="C63" t="str">
            <v>This Step</v>
          </cell>
          <cell r="D63" t="str">
            <v>vbInfo</v>
          </cell>
          <cell r="F63" t="str">
            <v>2-2 UNADJUSTED ACCOUNTING DATA:
The top of this Sheet reflects the detailed account infomation entered on Sheet (i.e., "2-1 TRIAL BALANCE DATA (Input)".  
PLEASE NOTE,  the Model automatically assigns a USoA account to "Unclassified", "Non-Distribution"</v>
          </cell>
          <cell r="G63" t="str">
            <v>2006 EDR MODEL(2030)</v>
          </cell>
        </row>
        <row r="64">
          <cell r="A64">
            <v>2031</v>
          </cell>
          <cell r="B64" t="str">
            <v>2-2 UNADJUSTED ACCOUNTING DATA</v>
          </cell>
          <cell r="C64" t="str">
            <v>This Step</v>
          </cell>
          <cell r="D64" t="str">
            <v>vbInfo</v>
          </cell>
          <cell r="F64" t="str">
            <v>2-2 UNADJUSTED ACCOUNTING DATA:
Below the detail is a roll-up of the detailed account information into "Minimum Reporting Requirement" granules (YELLOW area).  Use the Show Groups button to highlight the groupings used.
(Contd …)</v>
          </cell>
          <cell r="G64" t="str">
            <v>2006 EDR MODEL(2031)</v>
          </cell>
        </row>
        <row r="65">
          <cell r="A65">
            <v>2032</v>
          </cell>
          <cell r="B65" t="str">
            <v>2-2 UNADJUSTED ACCOUNTING DATA</v>
          </cell>
          <cell r="C65" t="str">
            <v>This Step</v>
          </cell>
          <cell r="D65" t="str">
            <v>vbInfo</v>
          </cell>
          <cell r="F65" t="str">
            <v xml:space="preserve">2-2 UNADJUSTED ACCOUNTING DATA:
The bottom section of this sheet (BLUE area) provides the Summary Financial Information, which is used in subsequent rate calculations.
</v>
          </cell>
          <cell r="G65" t="str">
            <v>2006 EDR MODEL(2032)</v>
          </cell>
        </row>
        <row r="66">
          <cell r="A66">
            <v>2040</v>
          </cell>
          <cell r="B66" t="str">
            <v>2-2 UNADJUSTED ACCOUNTING DATA</v>
          </cell>
          <cell r="C66" t="str">
            <v>Next</v>
          </cell>
          <cell r="D66" t="str">
            <v>vbYesNoCancel</v>
          </cell>
          <cell r="F66" t="str">
            <v>The next series of sheets capture the various adjustments to the Rate Base and to Distribution Expenses.
Proceed to enter these adjustments?</v>
          </cell>
          <cell r="G66" t="str">
            <v>2006 EDR MODEL(2040)</v>
          </cell>
        </row>
        <row r="67">
          <cell r="A67">
            <v>2041</v>
          </cell>
          <cell r="E67" t="str">
            <v>Yes</v>
          </cell>
          <cell r="G67" t="str">
            <v>2006 EDR MODEL(2041)</v>
          </cell>
        </row>
        <row r="68">
          <cell r="A68">
            <v>2042</v>
          </cell>
          <cell r="E68" t="str">
            <v>No</v>
          </cell>
          <cell r="G68" t="str">
            <v>2006 EDR MODEL(2042)</v>
          </cell>
        </row>
        <row r="69">
          <cell r="A69">
            <v>3010</v>
          </cell>
          <cell r="B69" t="str">
            <v>ADJ 1 (RateBase -Tier 1)</v>
          </cell>
          <cell r="C69" t="str">
            <v>This Step</v>
          </cell>
          <cell r="D69" t="str">
            <v>vbInfo</v>
          </cell>
          <cell r="F69" t="str">
            <v>ADJ 1 (RateBase -Tier 1):
This Sheet summaries all Tier 1 and other adjustments related to the Rate Base.
Adjustments related to "Retirements without replacement" and "Non-routine/unusual adjustments" will be entered as a Next Step on Sheet ADJ 1a.  All</v>
          </cell>
          <cell r="G69" t="str">
            <v>2006 EDR MODEL(3010)</v>
          </cell>
        </row>
        <row r="70">
          <cell r="A70">
            <v>3020</v>
          </cell>
          <cell r="B70" t="str">
            <v>ADJ 1 (RateBase -Tier 1)</v>
          </cell>
          <cell r="C70" t="str">
            <v>Next</v>
          </cell>
          <cell r="D70" t="str">
            <v>vbYesNoCancel</v>
          </cell>
          <cell r="F70" t="str">
            <v>Do you have any "Retirements without replacement" or "Non-routine/ unusual adjustments" to be entered (Sheet ADJ 1a)?</v>
          </cell>
          <cell r="G70" t="str">
            <v>2006 EDR MODEL(3020)</v>
          </cell>
        </row>
        <row r="71">
          <cell r="A71">
            <v>3021</v>
          </cell>
          <cell r="D71" t="str">
            <v>vbInfo</v>
          </cell>
          <cell r="E71" t="str">
            <v>Yes</v>
          </cell>
          <cell r="G71" t="str">
            <v>2006 EDR MODEL(3021)</v>
          </cell>
        </row>
        <row r="72">
          <cell r="A72">
            <v>3022</v>
          </cell>
          <cell r="D72" t="str">
            <v>vbInfo</v>
          </cell>
          <cell r="E72" t="str">
            <v>No</v>
          </cell>
          <cell r="G72" t="str">
            <v>2006 EDR MODEL(3022)</v>
          </cell>
        </row>
        <row r="73">
          <cell r="A73">
            <v>3022.1</v>
          </cell>
          <cell r="D73" t="str">
            <v>vbYesNoCancel</v>
          </cell>
          <cell r="F73" t="str">
            <v>Are you finished entering Tier 1 Adjustments to the Rate Base?</v>
          </cell>
          <cell r="G73" t="str">
            <v>2006 EDR MODEL(3022.1)</v>
          </cell>
        </row>
        <row r="74">
          <cell r="A74">
            <v>3022.11</v>
          </cell>
          <cell r="E74" t="str">
            <v>Yes</v>
          </cell>
          <cell r="G74" t="str">
            <v>2006 EDR MODEL(3022.11)</v>
          </cell>
        </row>
        <row r="75">
          <cell r="A75">
            <v>3022.12</v>
          </cell>
          <cell r="E75" t="str">
            <v>No</v>
          </cell>
          <cell r="G75" t="str">
            <v>2006 EDR MODEL(3022.12)</v>
          </cell>
        </row>
        <row r="76">
          <cell r="A76">
            <v>3030</v>
          </cell>
          <cell r="B76" t="str">
            <v>ADJ 1a (RateBase -Tier 1)</v>
          </cell>
          <cell r="C76" t="str">
            <v>This Step</v>
          </cell>
          <cell r="D76" t="str">
            <v>vbInfo</v>
          </cell>
          <cell r="F76" t="str">
            <v xml:space="preserve">ADJ 1a (RateBase -Tier 1):
Enter adjustments to the Rate Base related to "Retirements without replacement" and "Non-routine/unusual adjustments".
Note that adjustments must be greater than the materiality threshhold (see calculation below the detailed </v>
          </cell>
          <cell r="G76" t="str">
            <v>2006 EDR MODEL(3030)</v>
          </cell>
        </row>
        <row r="77">
          <cell r="A77">
            <v>3040</v>
          </cell>
          <cell r="B77" t="str">
            <v>ADJ 1a (RateBase -Tier 1)</v>
          </cell>
          <cell r="C77" t="str">
            <v>Next</v>
          </cell>
          <cell r="D77" t="str">
            <v>vbYesNoCancel</v>
          </cell>
          <cell r="F77" t="str">
            <v>Continue to next sheet?
Hit "No" to return to ADJ 1a to review all Tier 1 Adjustments to the Rate Base.</v>
          </cell>
          <cell r="G77" t="str">
            <v>2006 EDR MODEL(3040)</v>
          </cell>
        </row>
        <row r="78">
          <cell r="A78">
            <v>3041</v>
          </cell>
          <cell r="E78" t="str">
            <v>Yes</v>
          </cell>
          <cell r="G78" t="str">
            <v>2006 EDR MODEL(3041)</v>
          </cell>
        </row>
        <row r="79">
          <cell r="A79">
            <v>3042</v>
          </cell>
          <cell r="E79" t="str">
            <v>No</v>
          </cell>
          <cell r="G79" t="str">
            <v>2006 EDR MODEL(3042)</v>
          </cell>
        </row>
        <row r="80">
          <cell r="A80">
            <v>3050</v>
          </cell>
          <cell r="B80" t="str">
            <v>ADJ 2 (RateBase Tier 2)</v>
          </cell>
          <cell r="C80" t="str">
            <v>This Step</v>
          </cell>
          <cell r="D80" t="str">
            <v>vbInfo</v>
          </cell>
          <cell r="F80" t="str">
            <v>ADJ 2 (RateBase Tier 2):
This sheet records Tier 2 adjustments to the Rate Base.
Note that adjustments must be greater than the materiality threshhold (see calculation below the detailed accounts).  The Model identifies any amounts entered that are bel</v>
          </cell>
          <cell r="G80" t="str">
            <v>2006 EDR MODEL(3050)</v>
          </cell>
        </row>
        <row r="81">
          <cell r="A81">
            <v>3051</v>
          </cell>
          <cell r="E81" t="str">
            <v>Yes</v>
          </cell>
          <cell r="G81" t="str">
            <v>2006 EDR MODEL(3051)</v>
          </cell>
        </row>
        <row r="82">
          <cell r="A82">
            <v>3052</v>
          </cell>
          <cell r="E82" t="str">
            <v>No</v>
          </cell>
          <cell r="G82" t="str">
            <v>2006 EDR MODEL(3052)</v>
          </cell>
        </row>
        <row r="83">
          <cell r="A83">
            <v>3060</v>
          </cell>
          <cell r="B83" t="str">
            <v>ADJ 2 (RateBase Tier 2)</v>
          </cell>
          <cell r="C83" t="str">
            <v>Next</v>
          </cell>
          <cell r="D83" t="str">
            <v>vbYesNoCancel</v>
          </cell>
          <cell r="F83" t="str">
            <v>Continue to next sheet?</v>
          </cell>
          <cell r="G83" t="str">
            <v>2006 EDR MODEL(3060)</v>
          </cell>
        </row>
        <row r="84">
          <cell r="A84">
            <v>3061</v>
          </cell>
          <cell r="E84" t="str">
            <v xml:space="preserve">Yes </v>
          </cell>
          <cell r="G84" t="str">
            <v>2006 EDR MODEL(3061)</v>
          </cell>
        </row>
        <row r="85">
          <cell r="A85">
            <v>3062</v>
          </cell>
          <cell r="E85" t="str">
            <v>No</v>
          </cell>
          <cell r="G85" t="str">
            <v>2006 EDR MODEL(3062)</v>
          </cell>
        </row>
        <row r="86">
          <cell r="A86">
            <v>4010</v>
          </cell>
          <cell r="B86" t="str">
            <v>ADJ 3 (Distrib Exp -Tier 1)</v>
          </cell>
          <cell r="C86" t="str">
            <v>This Step</v>
          </cell>
          <cell r="D86" t="str">
            <v>vbInfo</v>
          </cell>
          <cell r="F86" t="str">
            <v>ADJ 3 (Distrib Exp -Tier 1):
This Sheet summaries all Tier 1 adjustments related to Distribution Expenses.
Adjustments related to "Non-routine/unusual adjustments" will be entered as a Next Step on Sheet ADJ 3a.
Adjsutments to Amortization related Tie</v>
          </cell>
          <cell r="G86" t="str">
            <v>2006 EDR MODEL(4010)</v>
          </cell>
        </row>
        <row r="87">
          <cell r="A87">
            <v>4020</v>
          </cell>
          <cell r="B87" t="str">
            <v>ADJ 3 (Distrib Exp -Tier 1)</v>
          </cell>
          <cell r="C87" t="str">
            <v>Next</v>
          </cell>
          <cell r="D87" t="str">
            <v>vbYesNoCancel</v>
          </cell>
          <cell r="F87" t="str">
            <v>Do you have any "Non-routine/ unusual adjustments" to be entered (Sheet ADJ 3a)?</v>
          </cell>
          <cell r="G87" t="str">
            <v>2006 EDR MODEL(4020)</v>
          </cell>
        </row>
        <row r="88">
          <cell r="A88">
            <v>4021</v>
          </cell>
          <cell r="E88" t="str">
            <v>Yes</v>
          </cell>
          <cell r="G88" t="str">
            <v>2006 EDR MODEL(4021)</v>
          </cell>
        </row>
        <row r="89">
          <cell r="A89">
            <v>4022</v>
          </cell>
          <cell r="E89" t="str">
            <v>No</v>
          </cell>
          <cell r="G89" t="str">
            <v>2006 EDR MODEL(4022)</v>
          </cell>
        </row>
        <row r="90">
          <cell r="A90">
            <v>4022.1</v>
          </cell>
          <cell r="D90" t="str">
            <v>vbYesNoCancel</v>
          </cell>
          <cell r="F90" t="str">
            <v>Are you finished entering Tier 1 Adjustments to Distribution Expenses?</v>
          </cell>
          <cell r="G90" t="str">
            <v>2006 EDR MODEL(4022.1)</v>
          </cell>
        </row>
        <row r="91">
          <cell r="A91">
            <v>4022.11</v>
          </cell>
          <cell r="E91" t="str">
            <v>Yes</v>
          </cell>
          <cell r="G91" t="str">
            <v>2006 EDR MODEL(4022.11)</v>
          </cell>
        </row>
        <row r="92">
          <cell r="A92">
            <v>4022.12</v>
          </cell>
          <cell r="E92" t="str">
            <v>No</v>
          </cell>
          <cell r="G92" t="str">
            <v>2006 EDR MODEL(4022.12)</v>
          </cell>
        </row>
        <row r="93">
          <cell r="A93">
            <v>4030</v>
          </cell>
          <cell r="B93" t="str">
            <v>ADJ 3a (Distrib Exp Tier 1)</v>
          </cell>
          <cell r="C93" t="str">
            <v>This Step</v>
          </cell>
          <cell r="D93" t="str">
            <v>vbInfo</v>
          </cell>
          <cell r="F93" t="str">
            <v>ADJ 3a (Distrib Exp Tier 1):
Enter Distribution Expense adjustments related to "Non-routine/unusual adjustments".
Note that adjustments must be greater than the materiality threshhold (see calculation below the detailed accounts).  The Model identifies</v>
          </cell>
          <cell r="G93" t="str">
            <v>2006 EDR MODEL(4030)</v>
          </cell>
        </row>
        <row r="94">
          <cell r="A94">
            <v>4040</v>
          </cell>
          <cell r="B94" t="str">
            <v>ADJ 3a (Distrib Exp Tier 1)</v>
          </cell>
          <cell r="C94" t="str">
            <v>Next</v>
          </cell>
          <cell r="D94" t="str">
            <v>vbYesNoCancel</v>
          </cell>
          <cell r="F94" t="str">
            <v>Continue to next sheet (Amortization adjustments related to Tier1 adjustments)?  
Hit "No" to return to Sheet ADJ3 to review all Tier 1 Adjustments to Distribution Expenses.</v>
          </cell>
          <cell r="G94" t="str">
            <v>2006 EDR MODEL(4040)</v>
          </cell>
        </row>
        <row r="95">
          <cell r="A95">
            <v>4041</v>
          </cell>
          <cell r="E95" t="str">
            <v>Yes</v>
          </cell>
          <cell r="G95" t="str">
            <v>2006 EDR MODEL(4041)</v>
          </cell>
        </row>
        <row r="96">
          <cell r="A96">
            <v>4042</v>
          </cell>
          <cell r="E96" t="str">
            <v>No</v>
          </cell>
          <cell r="G96" t="str">
            <v>2006 EDR MODEL(4042)</v>
          </cell>
        </row>
        <row r="97">
          <cell r="A97">
            <v>4043</v>
          </cell>
          <cell r="B97" t="str">
            <v>ADJ 3b (Distrib Exp Tier 1)</v>
          </cell>
          <cell r="C97" t="str">
            <v>This Step</v>
          </cell>
          <cell r="D97" t="str">
            <v>vbInfo</v>
          </cell>
          <cell r="F97" t="str">
            <v>ADJ 3b (Tier 1 Amortization)</v>
          </cell>
          <cell r="G97" t="str">
            <v>2006 EDR MODEL(4043)</v>
          </cell>
        </row>
        <row r="98">
          <cell r="A98">
            <v>4046</v>
          </cell>
          <cell r="B98" t="str">
            <v>ADJ 3b (Distrib Exp Tier 1)</v>
          </cell>
          <cell r="C98" t="str">
            <v>Next</v>
          </cell>
          <cell r="D98" t="str">
            <v>vbYesNoCancel</v>
          </cell>
          <cell r="F98" t="str">
            <v>Continue to next sheet?
Hit "No" to return to Sheet ADJ 3 to review all Tier 1 Adjustments to Distribution Expenses.</v>
          </cell>
          <cell r="G98" t="str">
            <v>2006 EDR MODEL(4046)</v>
          </cell>
        </row>
        <row r="99">
          <cell r="A99">
            <v>4047</v>
          </cell>
          <cell r="E99" t="str">
            <v>Yes</v>
          </cell>
          <cell r="G99" t="str">
            <v>2006 EDR MODEL(4047)</v>
          </cell>
        </row>
        <row r="100">
          <cell r="A100">
            <v>4048</v>
          </cell>
          <cell r="E100" t="str">
            <v>No</v>
          </cell>
          <cell r="G100" t="str">
            <v>2006 EDR MODEL(4048)</v>
          </cell>
        </row>
        <row r="101">
          <cell r="A101">
            <v>4050</v>
          </cell>
          <cell r="B101" t="str">
            <v>ADJ 4 (Distrib Exp -Tier 2)</v>
          </cell>
          <cell r="C101" t="str">
            <v>This Step</v>
          </cell>
          <cell r="D101" t="str">
            <v>vbInfo</v>
          </cell>
          <cell r="F101" t="str">
            <v xml:space="preserve">ADJ 4 (Distrib Exp -Tier 2):
This sheet records Tier 2 adjustments to Distribution Expenses.
Note that adjustments must be greater than the materiality threshhold (see calculation below the detailed accounts).  The Model identifies any amounts entered </v>
          </cell>
          <cell r="G101" t="str">
            <v>2006 EDR MODEL(4050)</v>
          </cell>
        </row>
        <row r="102">
          <cell r="A102">
            <v>4051</v>
          </cell>
          <cell r="E102" t="str">
            <v>Yes</v>
          </cell>
          <cell r="G102" t="str">
            <v>2006 EDR MODEL(4051)</v>
          </cell>
        </row>
        <row r="103">
          <cell r="A103">
            <v>4052</v>
          </cell>
          <cell r="E103" t="str">
            <v>No</v>
          </cell>
          <cell r="G103" t="str">
            <v>2006 EDR MODEL(4052)</v>
          </cell>
        </row>
        <row r="104">
          <cell r="A104">
            <v>4060</v>
          </cell>
          <cell r="B104" t="str">
            <v>ADJ 4 (Distrib Exp -Tier 2)</v>
          </cell>
          <cell r="C104" t="str">
            <v>Next</v>
          </cell>
          <cell r="D104" t="str">
            <v>vbYesNoCancel</v>
          </cell>
          <cell r="F104" t="str">
            <v>Continue to next sheet?</v>
          </cell>
          <cell r="G104" t="str">
            <v>2006 EDR MODEL(4060)</v>
          </cell>
        </row>
        <row r="105">
          <cell r="A105">
            <v>4061</v>
          </cell>
          <cell r="E105" t="str">
            <v xml:space="preserve">Yes </v>
          </cell>
          <cell r="G105" t="str">
            <v>2006 EDR MODEL(4061)</v>
          </cell>
        </row>
        <row r="106">
          <cell r="A106">
            <v>4062</v>
          </cell>
          <cell r="E106" t="str">
            <v>No</v>
          </cell>
          <cell r="G106" t="str">
            <v>2006 EDR MODEL(4062)</v>
          </cell>
        </row>
        <row r="107">
          <cell r="A107">
            <v>5010</v>
          </cell>
          <cell r="B107" t="str">
            <v>ADJ 5 (Specific Distrib Exp)</v>
          </cell>
          <cell r="C107" t="str">
            <v>This Step</v>
          </cell>
          <cell r="F107" t="str">
            <v>ADJ 5 (Specific Distrib Exp)</v>
          </cell>
          <cell r="G107" t="str">
            <v>2006 EDR MODEL(5010)</v>
          </cell>
        </row>
        <row r="108">
          <cell r="A108">
            <v>5020</v>
          </cell>
          <cell r="B108" t="str">
            <v>ADJ 5 (Specific Distrib Exp)</v>
          </cell>
          <cell r="C108" t="str">
            <v>Next</v>
          </cell>
          <cell r="D108" t="str">
            <v>vbYesNoCancel</v>
          </cell>
          <cell r="F108" t="str">
            <v>Continue to next sheet?</v>
          </cell>
          <cell r="G108" t="str">
            <v>2006 EDR MODEL(5020)</v>
          </cell>
        </row>
        <row r="109">
          <cell r="A109">
            <v>5021</v>
          </cell>
          <cell r="E109" t="str">
            <v xml:space="preserve">Yes </v>
          </cell>
          <cell r="G109" t="str">
            <v>2006 EDR MODEL(5021)</v>
          </cell>
        </row>
        <row r="110">
          <cell r="A110">
            <v>5022</v>
          </cell>
          <cell r="E110" t="str">
            <v>No</v>
          </cell>
          <cell r="G110" t="str">
            <v>2006 EDR MODEL(5022)</v>
          </cell>
        </row>
        <row r="111">
          <cell r="A111">
            <v>6010</v>
          </cell>
          <cell r="B111" t="str">
            <v>ADJ 6 (Revenue -Tier 1)</v>
          </cell>
          <cell r="C111" t="str">
            <v>This Step</v>
          </cell>
          <cell r="D111" t="str">
            <v>vbInfo</v>
          </cell>
          <cell r="F111" t="str">
            <v xml:space="preserve">ADJ 6 (Revenue -Tier 1):
This sheet records Tier 1 adjustments to Revenue Amounts. 
Note that adjustments must be greater than the materiality threshhold (see calculation below the detailed accounts).  The Model identifies any amounts entered that are </v>
          </cell>
          <cell r="G111" t="str">
            <v>2006 EDR MODEL(6010)</v>
          </cell>
        </row>
        <row r="112">
          <cell r="A112">
            <v>6020</v>
          </cell>
          <cell r="B112" t="str">
            <v>ADJ 6 (Revenue -Tier 1)</v>
          </cell>
          <cell r="C112" t="str">
            <v>Next</v>
          </cell>
          <cell r="D112" t="str">
            <v>vbYesNoCancel</v>
          </cell>
          <cell r="F112" t="str">
            <v>Continue to next sheet?</v>
          </cell>
          <cell r="G112" t="str">
            <v>2006 EDR MODEL(6020)</v>
          </cell>
        </row>
        <row r="113">
          <cell r="A113">
            <v>6021</v>
          </cell>
          <cell r="E113" t="str">
            <v xml:space="preserve">Yes </v>
          </cell>
          <cell r="G113" t="str">
            <v>2006 EDR MODEL(6021)</v>
          </cell>
        </row>
        <row r="114">
          <cell r="A114">
            <v>6022</v>
          </cell>
          <cell r="E114" t="str">
            <v>No</v>
          </cell>
          <cell r="G114" t="str">
            <v>2006 EDR MODEL(6022)</v>
          </cell>
        </row>
        <row r="115">
          <cell r="A115">
            <v>7010</v>
          </cell>
          <cell r="B115" t="str">
            <v>2-4 ADJUSTED ACCOUNTING DATA</v>
          </cell>
          <cell r="C115" t="str">
            <v>This Step</v>
          </cell>
          <cell r="D115" t="str">
            <v>vbInfo</v>
          </cell>
          <cell r="F115" t="str">
            <v xml:space="preserve">2-4 ADJUSTED ACCOUNTING DATA:
This sheet summarizes the various adjustments to accounting data for purpose of the rate caclulations.  Use the All Columns button on the left side of the screen to view the individual adjustments.
If the automatic split </v>
          </cell>
          <cell r="G115" t="str">
            <v>2006 EDR MODEL(7010)</v>
          </cell>
        </row>
        <row r="116">
          <cell r="A116">
            <v>7011</v>
          </cell>
          <cell r="B116" t="str">
            <v>2-4 ADJUSTED ACCOUNTING DATA</v>
          </cell>
          <cell r="C116" t="str">
            <v>This Step</v>
          </cell>
          <cell r="D116" t="str">
            <v>vbInfo</v>
          </cell>
          <cell r="F116" t="str">
            <v>2-4 ADJUSTED ACCOUNTING DATA:
Examples of adjusting Distribution/Non-Distribution split:
The Model defaults USoA account "5725-Miscellaneous Amortization" as Non-Distribution.  If the trial balance amount includes $10,000 that is a distribution expense,</v>
          </cell>
          <cell r="G116" t="str">
            <v>2006 EDR MODEL(7011)</v>
          </cell>
        </row>
        <row r="117">
          <cell r="A117">
            <v>7020</v>
          </cell>
          <cell r="B117" t="str">
            <v>2-4 ADJUSTED ACCOUNTING DATA</v>
          </cell>
          <cell r="C117" t="str">
            <v>Next</v>
          </cell>
          <cell r="D117" t="str">
            <v>vbYesNoCancel</v>
          </cell>
          <cell r="F117" t="str">
            <v>Continue to next sheet?</v>
          </cell>
          <cell r="G117" t="str">
            <v>2006 EDR MODEL(7020)</v>
          </cell>
        </row>
        <row r="118">
          <cell r="A118">
            <v>7021</v>
          </cell>
          <cell r="E118" t="str">
            <v xml:space="preserve">Yes </v>
          </cell>
          <cell r="G118" t="str">
            <v>2006 EDR MODEL(7021)</v>
          </cell>
        </row>
        <row r="119">
          <cell r="A119">
            <v>7022</v>
          </cell>
          <cell r="E119" t="str">
            <v>No</v>
          </cell>
          <cell r="G119" t="str">
            <v>2006 EDR MODEL(7022)</v>
          </cell>
        </row>
        <row r="120">
          <cell r="A120">
            <v>7030</v>
          </cell>
          <cell r="B120" t="str">
            <v>2-5 Capital Expenditures Sch 4-1</v>
          </cell>
          <cell r="C120" t="str">
            <v>This Step</v>
          </cell>
          <cell r="D120" t="str">
            <v>vbInfo</v>
          </cell>
          <cell r="F120" t="str">
            <v>2-5 Capital Expenditures Sch 4-1:
To assist with identifying material items, year over year changes in asset accounts which are over materiality are highlighted in the "detail" area at the top of the sheet.</v>
          </cell>
          <cell r="G120" t="str">
            <v>2006 EDR MODEL(7030)</v>
          </cell>
        </row>
        <row r="121">
          <cell r="A121">
            <v>7035</v>
          </cell>
          <cell r="C121" t="str">
            <v>Next</v>
          </cell>
          <cell r="D121" t="str">
            <v>vbYesNoCancel</v>
          </cell>
          <cell r="F121" t="str">
            <v>Continue to next sheet?</v>
          </cell>
          <cell r="G121" t="str">
            <v>2006 EDR MODEL(7035)</v>
          </cell>
        </row>
        <row r="122">
          <cell r="A122">
            <v>7036</v>
          </cell>
          <cell r="E122" t="str">
            <v xml:space="preserve">Yes </v>
          </cell>
          <cell r="G122" t="str">
            <v>2006 EDR MODEL(7036)</v>
          </cell>
        </row>
        <row r="123">
          <cell r="A123">
            <v>7037</v>
          </cell>
          <cell r="E123" t="str">
            <v>No</v>
          </cell>
          <cell r="G123" t="str">
            <v>2006 EDR MODEL(7037)</v>
          </cell>
        </row>
        <row r="124">
          <cell r="A124">
            <v>7040</v>
          </cell>
          <cell r="B124" t="str">
            <v>2-6 OTH (Employee Compensation</v>
          </cell>
          <cell r="C124" t="str">
            <v>This Step</v>
          </cell>
          <cell r="D124" t="str">
            <v>vbInfo</v>
          </cell>
          <cell r="F124" t="str">
            <v>2-6 OTH (Employee Compensation</v>
          </cell>
          <cell r="G124" t="str">
            <v>2006 EDR MODEL(7040)</v>
          </cell>
        </row>
        <row r="125">
          <cell r="A125">
            <v>7045</v>
          </cell>
          <cell r="C125" t="str">
            <v>Next</v>
          </cell>
          <cell r="D125" t="str">
            <v>vbYesNoCancel</v>
          </cell>
          <cell r="F125" t="str">
            <v>Continue to next sheet?</v>
          </cell>
          <cell r="G125" t="str">
            <v>2006 EDR MODEL(7045)</v>
          </cell>
        </row>
        <row r="126">
          <cell r="A126">
            <v>7046</v>
          </cell>
          <cell r="E126" t="str">
            <v xml:space="preserve">Yes </v>
          </cell>
          <cell r="G126" t="str">
            <v>2006 EDR MODEL(7046)</v>
          </cell>
        </row>
        <row r="127">
          <cell r="A127">
            <v>7047</v>
          </cell>
          <cell r="E127" t="str">
            <v>No</v>
          </cell>
          <cell r="G127" t="str">
            <v>2006 EDR MODEL(7047)</v>
          </cell>
        </row>
        <row r="128">
          <cell r="A128">
            <v>8010</v>
          </cell>
          <cell r="B128" t="str">
            <v>3-1 RATE BASE</v>
          </cell>
          <cell r="C128" t="str">
            <v>This Step</v>
          </cell>
          <cell r="D128" t="str">
            <v>vbInfo</v>
          </cell>
          <cell r="F128" t="str">
            <v>3-1 RATE BASE</v>
          </cell>
          <cell r="G128" t="str">
            <v>2006 EDR MODEL(8010)</v>
          </cell>
        </row>
        <row r="129">
          <cell r="A129">
            <v>8020</v>
          </cell>
          <cell r="C129" t="str">
            <v>Next</v>
          </cell>
          <cell r="D129" t="str">
            <v>vbYesNoCancel</v>
          </cell>
          <cell r="F129" t="str">
            <v>Continue to next sheet?</v>
          </cell>
          <cell r="G129" t="str">
            <v>2006 EDR MODEL(8020)</v>
          </cell>
        </row>
        <row r="130">
          <cell r="A130">
            <v>8021</v>
          </cell>
          <cell r="E130" t="str">
            <v xml:space="preserve">Yes </v>
          </cell>
          <cell r="G130" t="str">
            <v>2006 EDR MODEL(8021)</v>
          </cell>
        </row>
        <row r="131">
          <cell r="A131">
            <v>8022</v>
          </cell>
          <cell r="E131" t="str">
            <v>No</v>
          </cell>
          <cell r="G131" t="str">
            <v>2006 EDR MODEL(8022)</v>
          </cell>
        </row>
        <row r="132">
          <cell r="A132">
            <v>8030</v>
          </cell>
          <cell r="B132" t="str">
            <v>3-2 COST OF CAPITAL (Input)</v>
          </cell>
          <cell r="C132" t="str">
            <v>This Step</v>
          </cell>
          <cell r="D132" t="str">
            <v>vbInfo</v>
          </cell>
          <cell r="F132" t="str">
            <v>3-2 COST OF CAPITAL (Input)</v>
          </cell>
          <cell r="G132" t="str">
            <v>2006 EDR MODEL(8030)</v>
          </cell>
        </row>
        <row r="133">
          <cell r="A133">
            <v>8040</v>
          </cell>
          <cell r="C133" t="str">
            <v>Next</v>
          </cell>
          <cell r="D133" t="str">
            <v>vbYesNoCancel</v>
          </cell>
          <cell r="F133" t="str">
            <v>Continue to next sheet?</v>
          </cell>
          <cell r="G133" t="str">
            <v>2006 EDR MODEL(8040)</v>
          </cell>
        </row>
        <row r="134">
          <cell r="A134">
            <v>8041</v>
          </cell>
          <cell r="E134" t="str">
            <v xml:space="preserve">Yes </v>
          </cell>
          <cell r="G134" t="str">
            <v>2006 EDR MODEL(8041)</v>
          </cell>
        </row>
        <row r="135">
          <cell r="A135">
            <v>8042</v>
          </cell>
          <cell r="E135" t="str">
            <v>No</v>
          </cell>
          <cell r="G135" t="str">
            <v>2006 EDR MODEL(8042)</v>
          </cell>
        </row>
        <row r="136">
          <cell r="A136">
            <v>8050</v>
          </cell>
          <cell r="B136" t="str">
            <v>3-3  CAPITAL STRUCTURE (Input)</v>
          </cell>
          <cell r="C136" t="str">
            <v>This Step</v>
          </cell>
          <cell r="D136" t="str">
            <v>vbInfo</v>
          </cell>
          <cell r="F136" t="str">
            <v>3-3  CAPITAL STRUCTURE (Input)</v>
          </cell>
          <cell r="G136" t="str">
            <v>2006 EDR MODEL(8050)</v>
          </cell>
        </row>
        <row r="137">
          <cell r="A137">
            <v>8060</v>
          </cell>
          <cell r="C137" t="str">
            <v>Next</v>
          </cell>
          <cell r="D137" t="str">
            <v>vbYesNoCancel</v>
          </cell>
          <cell r="F137" t="str">
            <v>Continue to next sheet?</v>
          </cell>
          <cell r="G137" t="str">
            <v>2006 EDR MODEL(8060)</v>
          </cell>
        </row>
        <row r="138">
          <cell r="A138">
            <v>8061</v>
          </cell>
          <cell r="E138" t="str">
            <v xml:space="preserve">Yes </v>
          </cell>
          <cell r="G138" t="str">
            <v>2006 EDR MODEL(8061)</v>
          </cell>
        </row>
        <row r="139">
          <cell r="A139">
            <v>8062</v>
          </cell>
          <cell r="E139" t="str">
            <v>No</v>
          </cell>
          <cell r="G139" t="str">
            <v>2006 EDR MODEL(8062)</v>
          </cell>
        </row>
        <row r="140">
          <cell r="A140">
            <v>8070</v>
          </cell>
          <cell r="B140" t="str">
            <v>3-4 WEIGHTED DEBT COST (Input)</v>
          </cell>
          <cell r="C140" t="str">
            <v>This Step</v>
          </cell>
          <cell r="D140" t="str">
            <v>vbInfo</v>
          </cell>
          <cell r="F140" t="str">
            <v>3-4 WEIGHTED DEBT COST (Input)</v>
          </cell>
          <cell r="G140" t="str">
            <v>2006 EDR MODEL(8070)</v>
          </cell>
        </row>
        <row r="141">
          <cell r="A141">
            <v>8080</v>
          </cell>
          <cell r="C141" t="str">
            <v>Next</v>
          </cell>
          <cell r="D141" t="str">
            <v>vbYesNoCancel</v>
          </cell>
          <cell r="F141" t="str">
            <v>Continue to next sheet?</v>
          </cell>
          <cell r="G141" t="str">
            <v>2006 EDR MODEL(8080)</v>
          </cell>
        </row>
        <row r="142">
          <cell r="A142">
            <v>8081</v>
          </cell>
          <cell r="E142" t="str">
            <v xml:space="preserve">Yes </v>
          </cell>
          <cell r="G142" t="str">
            <v>2006 EDR MODEL(8081)</v>
          </cell>
        </row>
        <row r="143">
          <cell r="A143">
            <v>8082</v>
          </cell>
          <cell r="E143" t="str">
            <v>No</v>
          </cell>
          <cell r="G143" t="str">
            <v>2006 EDR MODEL(8082)</v>
          </cell>
        </row>
        <row r="144">
          <cell r="A144">
            <v>9010</v>
          </cell>
          <cell r="B144" t="str">
            <v>4-1 DATA for PILS MODEL</v>
          </cell>
          <cell r="C144" t="str">
            <v>This Step</v>
          </cell>
          <cell r="D144" t="str">
            <v>vbInfo</v>
          </cell>
          <cell r="F144" t="str">
            <v>4-1 DATA for PILS MODEL</v>
          </cell>
          <cell r="G144" t="str">
            <v>2006 EDR MODEL(9010)</v>
          </cell>
        </row>
        <row r="145">
          <cell r="A145">
            <v>9020</v>
          </cell>
          <cell r="C145" t="str">
            <v>Next</v>
          </cell>
          <cell r="D145" t="str">
            <v>vbYesNoCancel</v>
          </cell>
          <cell r="F145" t="str">
            <v>Continue to next sheet?</v>
          </cell>
          <cell r="G145" t="str">
            <v>2006 EDR MODEL(9020)</v>
          </cell>
        </row>
        <row r="146">
          <cell r="A146">
            <v>9021</v>
          </cell>
          <cell r="E146" t="str">
            <v xml:space="preserve">Yes </v>
          </cell>
          <cell r="G146" t="str">
            <v>2006 EDR MODEL(9021)</v>
          </cell>
        </row>
        <row r="147">
          <cell r="A147">
            <v>9022</v>
          </cell>
          <cell r="E147" t="str">
            <v>No</v>
          </cell>
          <cell r="G147" t="str">
            <v>2006 EDR MODEL(9022)</v>
          </cell>
        </row>
        <row r="148">
          <cell r="A148">
            <v>9030</v>
          </cell>
          <cell r="B148" t="str">
            <v>4-2 OUTPUT from PILS MODEL</v>
          </cell>
          <cell r="C148" t="str">
            <v>This Step</v>
          </cell>
          <cell r="D148" t="str">
            <v>vbInfo</v>
          </cell>
          <cell r="F148" t="str">
            <v>4-2 OUTPUT from PILS MODEL</v>
          </cell>
          <cell r="G148" t="str">
            <v>2006 EDR MODEL(9030)</v>
          </cell>
        </row>
        <row r="149">
          <cell r="A149">
            <v>9040</v>
          </cell>
          <cell r="C149" t="str">
            <v>Next</v>
          </cell>
          <cell r="D149" t="str">
            <v>vbYesNoCancel</v>
          </cell>
          <cell r="F149" t="str">
            <v>Continue to next sheet?</v>
          </cell>
          <cell r="G149" t="str">
            <v>2006 EDR MODEL(9040)</v>
          </cell>
        </row>
        <row r="150">
          <cell r="A150">
            <v>9041</v>
          </cell>
          <cell r="E150" t="str">
            <v xml:space="preserve">Yes </v>
          </cell>
          <cell r="G150" t="str">
            <v>2006 EDR MODEL(9041)</v>
          </cell>
        </row>
        <row r="151">
          <cell r="A151">
            <v>9042</v>
          </cell>
          <cell r="E151" t="str">
            <v>No</v>
          </cell>
          <cell r="G151" t="str">
            <v>2006 EDR MODEL(9042)</v>
          </cell>
        </row>
        <row r="152">
          <cell r="A152">
            <v>10010</v>
          </cell>
          <cell r="B152" t="str">
            <v>5-1 SERVICE REVENUE REQUIREMENT</v>
          </cell>
          <cell r="C152" t="str">
            <v>This Step</v>
          </cell>
          <cell r="D152" t="str">
            <v>vbInfo</v>
          </cell>
          <cell r="F152" t="str">
            <v>5-1 SERVICE REVENUE REQUIREMENT</v>
          </cell>
          <cell r="G152" t="str">
            <v>2006 EDR MODEL(10010)</v>
          </cell>
        </row>
        <row r="153">
          <cell r="A153">
            <v>10020</v>
          </cell>
          <cell r="C153" t="str">
            <v>Next</v>
          </cell>
          <cell r="D153" t="str">
            <v>vbYesNoCancel</v>
          </cell>
          <cell r="F153" t="str">
            <v>Continue to next sheet?</v>
          </cell>
          <cell r="G153" t="str">
            <v>2006 EDR MODEL(10020)</v>
          </cell>
        </row>
        <row r="154">
          <cell r="A154">
            <v>10021</v>
          </cell>
          <cell r="E154" t="str">
            <v xml:space="preserve">Yes </v>
          </cell>
          <cell r="G154" t="str">
            <v>2006 EDR MODEL(10021)</v>
          </cell>
        </row>
        <row r="155">
          <cell r="A155">
            <v>10022</v>
          </cell>
          <cell r="E155" t="str">
            <v>No</v>
          </cell>
          <cell r="G155" t="str">
            <v>2006 EDR MODEL(10022)</v>
          </cell>
        </row>
        <row r="156">
          <cell r="A156">
            <v>10030</v>
          </cell>
          <cell r="B156" t="str">
            <v>5-2 SPECIFIC SERV CHRGS (Input)</v>
          </cell>
          <cell r="C156" t="str">
            <v>This Step</v>
          </cell>
          <cell r="D156" t="str">
            <v>vbInfo</v>
          </cell>
          <cell r="F156" t="str">
            <v>5-2 SPECIFIC SERV CHRGS (Input)</v>
          </cell>
          <cell r="G156" t="str">
            <v>2006 EDR MODEL(10030)</v>
          </cell>
        </row>
        <row r="157">
          <cell r="A157">
            <v>10040</v>
          </cell>
          <cell r="C157" t="str">
            <v>Next</v>
          </cell>
          <cell r="D157" t="str">
            <v>vbYesNoCancel</v>
          </cell>
          <cell r="F157" t="str">
            <v>Continue to next sheet?</v>
          </cell>
          <cell r="G157" t="str">
            <v>2006 EDR MODEL(10040)</v>
          </cell>
        </row>
        <row r="158">
          <cell r="A158">
            <v>10041</v>
          </cell>
          <cell r="E158" t="str">
            <v xml:space="preserve">Yes </v>
          </cell>
          <cell r="G158" t="str">
            <v>2006 EDR MODEL(10041)</v>
          </cell>
        </row>
        <row r="159">
          <cell r="A159">
            <v>10042</v>
          </cell>
          <cell r="E159" t="str">
            <v>No</v>
          </cell>
          <cell r="G159" t="str">
            <v>2006 EDR MODEL(10042)</v>
          </cell>
        </row>
        <row r="160">
          <cell r="A160">
            <v>10050</v>
          </cell>
          <cell r="B160" t="str">
            <v>5-3 OTHER REGULTD CHRGS (Input)</v>
          </cell>
          <cell r="C160" t="str">
            <v>This Step</v>
          </cell>
          <cell r="D160" t="str">
            <v>vbInfo</v>
          </cell>
          <cell r="F160" t="str">
            <v>5-3 OTHER REGULTD CHRGS (Input)</v>
          </cell>
          <cell r="G160" t="str">
            <v>2006 EDR MODEL(10050)</v>
          </cell>
        </row>
        <row r="161">
          <cell r="A161">
            <v>10060</v>
          </cell>
          <cell r="C161" t="str">
            <v>Next</v>
          </cell>
          <cell r="D161" t="str">
            <v>vbYesNoCancel</v>
          </cell>
          <cell r="F161" t="str">
            <v>Continue to next sheet?</v>
          </cell>
          <cell r="G161" t="str">
            <v>2006 EDR MODEL(10060)</v>
          </cell>
        </row>
        <row r="162">
          <cell r="A162">
            <v>10061</v>
          </cell>
          <cell r="E162" t="str">
            <v xml:space="preserve">Yes </v>
          </cell>
          <cell r="G162" t="str">
            <v>2006 EDR MODEL(10061)</v>
          </cell>
        </row>
        <row r="163">
          <cell r="A163">
            <v>10062</v>
          </cell>
          <cell r="E163" t="str">
            <v>No</v>
          </cell>
          <cell r="G163" t="str">
            <v>2006 EDR MODEL(10062)</v>
          </cell>
        </row>
        <row r="164">
          <cell r="A164">
            <v>10070</v>
          </cell>
          <cell r="B164" t="str">
            <v>5-4 CDM (Input)</v>
          </cell>
          <cell r="C164" t="str">
            <v>This Step</v>
          </cell>
          <cell r="D164" t="str">
            <v>vbInfo</v>
          </cell>
          <cell r="F164" t="str">
            <v>5-4 CDM (Input)</v>
          </cell>
          <cell r="G164" t="str">
            <v>2006 EDR MODEL(10070)</v>
          </cell>
        </row>
        <row r="165">
          <cell r="A165">
            <v>10080</v>
          </cell>
          <cell r="C165" t="str">
            <v>Next</v>
          </cell>
          <cell r="D165" t="str">
            <v>vbYesNoCancel</v>
          </cell>
          <cell r="F165" t="str">
            <v>Continue to next sheet?</v>
          </cell>
          <cell r="G165" t="str">
            <v>2006 EDR MODEL(10080)</v>
          </cell>
        </row>
        <row r="166">
          <cell r="A166">
            <v>10081</v>
          </cell>
          <cell r="E166" t="str">
            <v xml:space="preserve">Yes </v>
          </cell>
          <cell r="G166" t="str">
            <v>2006 EDR MODEL(10081)</v>
          </cell>
        </row>
        <row r="167">
          <cell r="A167">
            <v>10082</v>
          </cell>
          <cell r="E167" t="str">
            <v>No</v>
          </cell>
          <cell r="G167" t="str">
            <v>2006 EDR MODEL(10082)</v>
          </cell>
        </row>
        <row r="168">
          <cell r="A168">
            <v>10090</v>
          </cell>
          <cell r="B168" t="str">
            <v>5-5 BASE REVENUE REQUIREMENT</v>
          </cell>
          <cell r="C168" t="str">
            <v>This Step</v>
          </cell>
          <cell r="D168" t="str">
            <v>vbInfo</v>
          </cell>
          <cell r="F168" t="str">
            <v>5-5 BASE REVENUE REQUIREMENT</v>
          </cell>
          <cell r="G168" t="str">
            <v>2006 EDR MODEL(10090)</v>
          </cell>
        </row>
        <row r="169">
          <cell r="A169">
            <v>11000</v>
          </cell>
          <cell r="C169" t="str">
            <v>Next</v>
          </cell>
          <cell r="D169" t="str">
            <v>vbYesNoCancel</v>
          </cell>
          <cell r="F169" t="str">
            <v>Continue to next sheet?</v>
          </cell>
          <cell r="G169" t="str">
            <v>2006 EDR MODEL(11000)</v>
          </cell>
        </row>
        <row r="170">
          <cell r="A170">
            <v>11001</v>
          </cell>
          <cell r="E170" t="str">
            <v xml:space="preserve">Yes </v>
          </cell>
          <cell r="G170" t="str">
            <v>2006 EDR MODEL(11001)</v>
          </cell>
        </row>
        <row r="171">
          <cell r="A171">
            <v>11002</v>
          </cell>
          <cell r="E171" t="str">
            <v>No</v>
          </cell>
          <cell r="G171" t="str">
            <v>2006 EDR MODEL(11002)</v>
          </cell>
        </row>
        <row r="172">
          <cell r="A172">
            <v>50010</v>
          </cell>
          <cell r="B172" t="str">
            <v>6-1 CUSTOMER CLASSES (Input)</v>
          </cell>
          <cell r="C172" t="str">
            <v>This Step</v>
          </cell>
          <cell r="D172" t="str">
            <v>vbInfo</v>
          </cell>
          <cell r="F172" t="str">
            <v xml:space="preserve">6-1 CUSTOMER CLASSES (Input):
</v>
          </cell>
          <cell r="G172" t="str">
            <v>2006 EDR MODEL(50010)</v>
          </cell>
        </row>
        <row r="173">
          <cell r="A173">
            <v>50020</v>
          </cell>
          <cell r="B173" t="str">
            <v>6-1 CUSTOMER CLASSES (Input)</v>
          </cell>
          <cell r="C173" t="str">
            <v>Next</v>
          </cell>
          <cell r="D173" t="str">
            <v>vbYesNoCancel</v>
          </cell>
          <cell r="F173" t="str">
            <v>Subsequent sheets will display only customer classes as indicated on this sheet.  (If you need to update the customer classes at a later time, return to this sheet and use Next button again to update which customer classes appear on subsequent sheets.)
C</v>
          </cell>
          <cell r="G173" t="str">
            <v>2006 EDR MODEL(50020)</v>
          </cell>
        </row>
        <row r="174">
          <cell r="A174">
            <v>50021</v>
          </cell>
          <cell r="E174" t="str">
            <v xml:space="preserve">Yes </v>
          </cell>
          <cell r="G174" t="str">
            <v>2006 EDR MODEL(50021)</v>
          </cell>
        </row>
        <row r="175">
          <cell r="A175">
            <v>50022</v>
          </cell>
          <cell r="E175" t="str">
            <v>No</v>
          </cell>
          <cell r="G175" t="str">
            <v>2006 EDR MODEL(50022)</v>
          </cell>
        </row>
        <row r="176">
          <cell r="A176">
            <v>50030</v>
          </cell>
          <cell r="B176" t="str">
            <v>6-2 DEMAND, RATES (Input)</v>
          </cell>
          <cell r="C176" t="str">
            <v>This Step</v>
          </cell>
          <cell r="D176" t="str">
            <v>vbInfo</v>
          </cell>
          <cell r="F176" t="str">
            <v>6-2 DEMAND, RATES (Input)</v>
          </cell>
          <cell r="G176" t="str">
            <v>2006 EDR MODEL(50030)</v>
          </cell>
        </row>
        <row r="177">
          <cell r="A177">
            <v>50040</v>
          </cell>
          <cell r="C177" t="str">
            <v>Next</v>
          </cell>
          <cell r="D177" t="str">
            <v>vbYesNoCancel</v>
          </cell>
          <cell r="F177" t="str">
            <v>Continue to next sheet?</v>
          </cell>
          <cell r="G177" t="str">
            <v>2006 EDR MODEL(50040)</v>
          </cell>
        </row>
        <row r="178">
          <cell r="A178">
            <v>50041</v>
          </cell>
          <cell r="E178" t="str">
            <v xml:space="preserve">Yes </v>
          </cell>
          <cell r="G178" t="str">
            <v>2006 EDR MODEL(50041)</v>
          </cell>
        </row>
        <row r="179">
          <cell r="A179">
            <v>50042</v>
          </cell>
          <cell r="E179" t="str">
            <v>No</v>
          </cell>
          <cell r="G179" t="str">
            <v>2006 EDR MODEL(50042)</v>
          </cell>
        </row>
        <row r="180">
          <cell r="A180">
            <v>50050</v>
          </cell>
          <cell r="B180" t="str">
            <v>6-3 Trfmr Ownership (Input)</v>
          </cell>
          <cell r="C180" t="str">
            <v>This Step</v>
          </cell>
          <cell r="D180" t="str">
            <v>vbInfo</v>
          </cell>
          <cell r="F180" t="str">
            <v>6-3 Trfmr Ownership (Input)</v>
          </cell>
          <cell r="G180" t="str">
            <v>2006 EDR MODEL(50050)</v>
          </cell>
        </row>
        <row r="181">
          <cell r="A181">
            <v>50060</v>
          </cell>
          <cell r="C181" t="str">
            <v>Next</v>
          </cell>
          <cell r="D181" t="str">
            <v>vbYesNoCancel</v>
          </cell>
          <cell r="F181" t="str">
            <v>Continue to next sheet?</v>
          </cell>
          <cell r="G181" t="str">
            <v>2006 EDR MODEL(50060)</v>
          </cell>
        </row>
        <row r="182">
          <cell r="A182">
            <v>50061</v>
          </cell>
          <cell r="E182" t="str">
            <v xml:space="preserve">Yes </v>
          </cell>
          <cell r="G182" t="str">
            <v>2006 EDR MODEL(50061)</v>
          </cell>
        </row>
        <row r="183">
          <cell r="A183">
            <v>50062</v>
          </cell>
          <cell r="E183" t="str">
            <v>No</v>
          </cell>
          <cell r="G183" t="str">
            <v>2006 EDR MODEL(50062)</v>
          </cell>
        </row>
        <row r="184">
          <cell r="A184">
            <v>70010</v>
          </cell>
          <cell r="B184" t="str">
            <v>7-1 ALLOCATION - Base Rev. Req.</v>
          </cell>
          <cell r="C184" t="str">
            <v>This Step</v>
          </cell>
          <cell r="D184" t="str">
            <v>vbInfo</v>
          </cell>
          <cell r="F184" t="str">
            <v>7-1 ALLOCATION - Base Rev. Req.</v>
          </cell>
          <cell r="G184" t="str">
            <v>2006 EDR MODEL(70010)</v>
          </cell>
        </row>
        <row r="185">
          <cell r="A185">
            <v>70020</v>
          </cell>
          <cell r="C185" t="str">
            <v>Next</v>
          </cell>
          <cell r="D185" t="str">
            <v>vbYesNoCancel</v>
          </cell>
          <cell r="F185" t="str">
            <v>Continue to next sheet?</v>
          </cell>
          <cell r="G185" t="str">
            <v>2006 EDR MODEL(70020)</v>
          </cell>
        </row>
        <row r="186">
          <cell r="A186">
            <v>70021</v>
          </cell>
          <cell r="E186" t="str">
            <v xml:space="preserve">Yes </v>
          </cell>
          <cell r="G186" t="str">
            <v>2006 EDR MODEL(70021)</v>
          </cell>
        </row>
        <row r="187">
          <cell r="A187">
            <v>70022</v>
          </cell>
          <cell r="E187" t="str">
            <v>No</v>
          </cell>
          <cell r="G187" t="str">
            <v>2006 EDR MODEL(70022)</v>
          </cell>
        </row>
        <row r="188">
          <cell r="A188">
            <v>70030</v>
          </cell>
          <cell r="B188" t="str">
            <v>7-2 ALLOCATION - LV-Wheeling</v>
          </cell>
          <cell r="C188" t="str">
            <v>This Step</v>
          </cell>
          <cell r="D188" t="str">
            <v>vbInfo</v>
          </cell>
          <cell r="F188" t="str">
            <v>7-2 ALLOCATION - LV-Wheeling</v>
          </cell>
          <cell r="G188" t="str">
            <v>2006 EDR MODEL(70030)</v>
          </cell>
        </row>
        <row r="189">
          <cell r="A189">
            <v>70040</v>
          </cell>
          <cell r="C189" t="str">
            <v>Next</v>
          </cell>
          <cell r="D189" t="str">
            <v>vbYesNoCancel</v>
          </cell>
          <cell r="F189" t="str">
            <v>Continue to next sheet?</v>
          </cell>
          <cell r="G189" t="str">
            <v>2006 EDR MODEL(70040)</v>
          </cell>
        </row>
        <row r="190">
          <cell r="A190">
            <v>70041</v>
          </cell>
          <cell r="E190" t="str">
            <v xml:space="preserve">Yes </v>
          </cell>
          <cell r="G190" t="str">
            <v>2006 EDR MODEL(70041)</v>
          </cell>
        </row>
        <row r="191">
          <cell r="A191">
            <v>70042</v>
          </cell>
          <cell r="E191" t="str">
            <v>No</v>
          </cell>
          <cell r="G191" t="str">
            <v>2006 EDR MODEL(70042)</v>
          </cell>
        </row>
        <row r="192">
          <cell r="A192">
            <v>70050</v>
          </cell>
          <cell r="B192" t="str">
            <v>7-3 ALLOCATION - CDM (Input)</v>
          </cell>
          <cell r="C192" t="str">
            <v>This Step</v>
          </cell>
          <cell r="D192" t="str">
            <v>vbInfo</v>
          </cell>
          <cell r="F192" t="str">
            <v>7-3 ALLOCATION - CDM (Input)</v>
          </cell>
          <cell r="G192" t="str">
            <v>2006 EDR MODEL(70050)</v>
          </cell>
        </row>
        <row r="193">
          <cell r="A193">
            <v>70060</v>
          </cell>
          <cell r="C193" t="str">
            <v>Next</v>
          </cell>
          <cell r="D193" t="str">
            <v>vbYesNoCancel</v>
          </cell>
          <cell r="F193" t="str">
            <v>Continue to next sheet?</v>
          </cell>
          <cell r="G193" t="str">
            <v>2006 EDR MODEL(70060)</v>
          </cell>
        </row>
        <row r="194">
          <cell r="A194">
            <v>70061</v>
          </cell>
          <cell r="E194" t="str">
            <v xml:space="preserve">Yes </v>
          </cell>
          <cell r="G194" t="str">
            <v>2006 EDR MODEL(70061)</v>
          </cell>
        </row>
        <row r="195">
          <cell r="A195">
            <v>70062</v>
          </cell>
          <cell r="E195" t="str">
            <v>No</v>
          </cell>
          <cell r="G195" t="str">
            <v>2006 EDR MODEL(70062)</v>
          </cell>
        </row>
        <row r="196">
          <cell r="A196">
            <v>70070</v>
          </cell>
          <cell r="B196" t="str">
            <v>7-4 ALLOCATION - Reg A. (Input)</v>
          </cell>
          <cell r="C196" t="str">
            <v>This Step</v>
          </cell>
          <cell r="D196" t="str">
            <v>vbInfo</v>
          </cell>
          <cell r="F196" t="str">
            <v>7-4 ALLOCATION - Reg A. (Input)</v>
          </cell>
          <cell r="G196" t="str">
            <v>2006 EDR MODEL(70070)</v>
          </cell>
        </row>
        <row r="197">
          <cell r="A197">
            <v>70080</v>
          </cell>
          <cell r="C197" t="str">
            <v>Next</v>
          </cell>
          <cell r="D197" t="str">
            <v>vbYesNoCancel</v>
          </cell>
          <cell r="F197" t="str">
            <v>Continue to next sheet?</v>
          </cell>
          <cell r="G197" t="str">
            <v>2006 EDR MODEL(70080)</v>
          </cell>
        </row>
        <row r="198">
          <cell r="A198">
            <v>70081</v>
          </cell>
          <cell r="E198" t="str">
            <v xml:space="preserve">Yes </v>
          </cell>
          <cell r="G198" t="str">
            <v>2006 EDR MODEL(70081)</v>
          </cell>
        </row>
        <row r="199">
          <cell r="A199">
            <v>70082</v>
          </cell>
          <cell r="E199" t="str">
            <v>No</v>
          </cell>
          <cell r="G199" t="str">
            <v>2006 EDR MODEL(70082)</v>
          </cell>
        </row>
        <row r="200">
          <cell r="A200">
            <v>80010</v>
          </cell>
          <cell r="B200" t="str">
            <v>8-1 RATES - BASE REV. REQ.</v>
          </cell>
          <cell r="C200" t="str">
            <v>This Step</v>
          </cell>
          <cell r="D200" t="str">
            <v>vbInfo</v>
          </cell>
          <cell r="F200" t="str">
            <v>8-1 RATES - BASE REV. REQ.</v>
          </cell>
          <cell r="G200" t="str">
            <v>2006 EDR MODEL(80010)</v>
          </cell>
        </row>
        <row r="201">
          <cell r="A201">
            <v>80015</v>
          </cell>
          <cell r="C201" t="str">
            <v>Next</v>
          </cell>
          <cell r="D201" t="str">
            <v>vbYesNoCancel</v>
          </cell>
          <cell r="F201" t="str">
            <v>Continue to next sheet?</v>
          </cell>
          <cell r="G201" t="str">
            <v>2006 EDR MODEL(80015)</v>
          </cell>
        </row>
        <row r="202">
          <cell r="A202">
            <v>80016</v>
          </cell>
          <cell r="E202" t="str">
            <v xml:space="preserve">Yes </v>
          </cell>
          <cell r="G202" t="str">
            <v>2006 EDR MODEL(80016)</v>
          </cell>
        </row>
        <row r="203">
          <cell r="A203">
            <v>80017</v>
          </cell>
          <cell r="E203" t="str">
            <v>No</v>
          </cell>
          <cell r="G203" t="str">
            <v>2006 EDR MODEL(80017)</v>
          </cell>
        </row>
        <row r="204">
          <cell r="A204">
            <v>80020</v>
          </cell>
          <cell r="B204" t="str">
            <v>8-2 RATES - LV-Wheeling</v>
          </cell>
          <cell r="C204" t="str">
            <v>This Step</v>
          </cell>
          <cell r="D204" t="str">
            <v>vbInfo</v>
          </cell>
          <cell r="F204" t="str">
            <v>8-2 RATES - LV-Wheeling</v>
          </cell>
          <cell r="G204" t="str">
            <v>2006 EDR MODEL(80020)</v>
          </cell>
        </row>
        <row r="205">
          <cell r="A205">
            <v>80025</v>
          </cell>
          <cell r="C205" t="str">
            <v>Next</v>
          </cell>
          <cell r="D205" t="str">
            <v>vbYesNoCancel</v>
          </cell>
          <cell r="F205" t="str">
            <v>Continue to next sheet?</v>
          </cell>
          <cell r="G205" t="str">
            <v>2006 EDR MODEL(80025)</v>
          </cell>
        </row>
        <row r="206">
          <cell r="A206">
            <v>80026</v>
          </cell>
          <cell r="E206" t="str">
            <v xml:space="preserve">Yes </v>
          </cell>
          <cell r="G206" t="str">
            <v>2006 EDR MODEL(80026)</v>
          </cell>
        </row>
        <row r="207">
          <cell r="A207">
            <v>80027</v>
          </cell>
          <cell r="E207" t="str">
            <v>No</v>
          </cell>
          <cell r="G207" t="str">
            <v>2006 EDR MODEL(80027)</v>
          </cell>
        </row>
        <row r="208">
          <cell r="A208">
            <v>80030</v>
          </cell>
          <cell r="B208" t="str">
            <v>8-3 RATES - CDM</v>
          </cell>
          <cell r="C208" t="str">
            <v>This Step</v>
          </cell>
          <cell r="D208" t="str">
            <v>vbInfo</v>
          </cell>
          <cell r="F208" t="str">
            <v>8-3 RATES - CDM</v>
          </cell>
          <cell r="G208" t="str">
            <v>2006 EDR MODEL(80030)</v>
          </cell>
        </row>
        <row r="209">
          <cell r="A209">
            <v>80040</v>
          </cell>
          <cell r="C209" t="str">
            <v>Next</v>
          </cell>
          <cell r="D209" t="str">
            <v>vbYesNoCancel</v>
          </cell>
          <cell r="F209" t="str">
            <v>Continue to next sheet?</v>
          </cell>
          <cell r="G209" t="str">
            <v>2006 EDR MODEL(80040)</v>
          </cell>
        </row>
        <row r="210">
          <cell r="A210">
            <v>80041</v>
          </cell>
          <cell r="E210" t="str">
            <v xml:space="preserve">Yes </v>
          </cell>
          <cell r="G210" t="str">
            <v>2006 EDR MODEL(80041)</v>
          </cell>
        </row>
        <row r="211">
          <cell r="A211">
            <v>80042</v>
          </cell>
          <cell r="E211" t="str">
            <v>No</v>
          </cell>
          <cell r="G211" t="str">
            <v>2006 EDR MODEL(80042)</v>
          </cell>
        </row>
        <row r="212">
          <cell r="A212">
            <v>80050</v>
          </cell>
          <cell r="B212" t="str">
            <v>8-4 RATE RIDERS -Reg. Assets</v>
          </cell>
          <cell r="C212" t="str">
            <v>This Step</v>
          </cell>
          <cell r="D212" t="str">
            <v>vbInfo</v>
          </cell>
          <cell r="F212" t="str">
            <v>8-4 RATE RIDERS -Reg. Assets</v>
          </cell>
          <cell r="G212" t="str">
            <v>2006 EDR MODEL(80050)</v>
          </cell>
        </row>
        <row r="213">
          <cell r="A213">
            <v>80060</v>
          </cell>
          <cell r="C213" t="str">
            <v>Next</v>
          </cell>
          <cell r="D213" t="str">
            <v>vbYesNoCancel</v>
          </cell>
          <cell r="F213" t="str">
            <v>Continue to next sheet?</v>
          </cell>
          <cell r="G213" t="str">
            <v>2006 EDR MODEL(80060)</v>
          </cell>
        </row>
        <row r="214">
          <cell r="A214">
            <v>80061</v>
          </cell>
          <cell r="E214" t="str">
            <v xml:space="preserve">Yes </v>
          </cell>
          <cell r="G214" t="str">
            <v>2006 EDR MODEL(80061)</v>
          </cell>
        </row>
        <row r="215">
          <cell r="A215">
            <v>80062</v>
          </cell>
          <cell r="E215" t="str">
            <v>No</v>
          </cell>
          <cell r="G215" t="str">
            <v>2006 EDR MODEL(80062)</v>
          </cell>
        </row>
        <row r="216">
          <cell r="A216">
            <v>80070</v>
          </cell>
          <cell r="B216" t="str">
            <v>8-5 DISTRIBUTION RATES</v>
          </cell>
          <cell r="C216" t="str">
            <v>This Step</v>
          </cell>
          <cell r="D216" t="str">
            <v>vbInfo</v>
          </cell>
          <cell r="F216" t="str">
            <v>8-5 DISTRIBUTION RATES
This Sheet summarizes distribution rates calculated by the Model.
Enter amounts in columns R, S and T to override the calculated rates.  Direct mitigation can also be accomplished by changing (i.e., lowering) the proposed Return o</v>
          </cell>
          <cell r="G216" t="str">
            <v>2006 EDR MODEL(80070)</v>
          </cell>
        </row>
        <row r="217">
          <cell r="A217">
            <v>80080</v>
          </cell>
          <cell r="C217" t="str">
            <v>Next</v>
          </cell>
          <cell r="D217" t="str">
            <v>vbYesNoCancel</v>
          </cell>
          <cell r="F217" t="str">
            <v>Continue to next sheet?</v>
          </cell>
          <cell r="G217" t="str">
            <v>2006 EDR MODEL(80080)</v>
          </cell>
        </row>
        <row r="218">
          <cell r="A218">
            <v>80081</v>
          </cell>
          <cell r="E218" t="str">
            <v xml:space="preserve">Yes </v>
          </cell>
          <cell r="G218" t="str">
            <v>2006 EDR MODEL(80081)</v>
          </cell>
        </row>
        <row r="219">
          <cell r="A219">
            <v>80082</v>
          </cell>
          <cell r="E219" t="str">
            <v>No</v>
          </cell>
          <cell r="G219" t="str">
            <v>2006 EDR MODEL(80082)</v>
          </cell>
        </row>
        <row r="220">
          <cell r="A220">
            <v>80090</v>
          </cell>
          <cell r="B220" t="str">
            <v>8-6 RETAIL TRANSM RATES (Input)</v>
          </cell>
          <cell r="C220" t="str">
            <v>This Step</v>
          </cell>
          <cell r="D220" t="str">
            <v>vbInfo</v>
          </cell>
          <cell r="F220" t="str">
            <v xml:space="preserve">8-6 RETAIL TRANSM RATES (Input)
</v>
          </cell>
          <cell r="G220" t="str">
            <v>2006 EDR MODEL(80090)</v>
          </cell>
        </row>
        <row r="221">
          <cell r="A221">
            <v>80100</v>
          </cell>
          <cell r="C221" t="str">
            <v>Next</v>
          </cell>
          <cell r="D221" t="str">
            <v>vbYesNoCancel</v>
          </cell>
          <cell r="F221" t="str">
            <v>Continue to next sheet?</v>
          </cell>
          <cell r="G221" t="str">
            <v>2006 EDR MODEL(80100)</v>
          </cell>
        </row>
        <row r="222">
          <cell r="A222">
            <v>80101</v>
          </cell>
          <cell r="E222" t="str">
            <v xml:space="preserve">Yes </v>
          </cell>
          <cell r="G222" t="str">
            <v>2006 EDR MODEL(80101)</v>
          </cell>
        </row>
        <row r="223">
          <cell r="A223">
            <v>80102</v>
          </cell>
          <cell r="E223" t="str">
            <v>No</v>
          </cell>
          <cell r="G223" t="str">
            <v>2006 EDR MODEL(80102)</v>
          </cell>
        </row>
        <row r="224">
          <cell r="A224">
            <v>81010</v>
          </cell>
          <cell r="B224" t="str">
            <v>8-7 OTHER CHGS, COMMOD (Input)</v>
          </cell>
          <cell r="C224" t="str">
            <v>This Step</v>
          </cell>
          <cell r="D224" t="str">
            <v>vbInfo</v>
          </cell>
          <cell r="F224" t="str">
            <v>8-7 OTHER CHGS, COMMOD (Input)
Amounts entered on this sheet are used in the Bill Impacts schedules (Sheets 9-1 and 9-2).
Loss adjustment factors entered starting at row 124 are carried forward to the Rates Schedule (Sheet 10-2).   Factors entered at th</v>
          </cell>
          <cell r="G224" t="str">
            <v>2006 EDR MODEL(81010)</v>
          </cell>
        </row>
        <row r="225">
          <cell r="A225">
            <v>81020</v>
          </cell>
          <cell r="C225" t="str">
            <v>Next</v>
          </cell>
          <cell r="D225" t="str">
            <v>vbYesNoCancel</v>
          </cell>
          <cell r="F225" t="str">
            <v>Continue to next sheet?</v>
          </cell>
          <cell r="G225" t="str">
            <v>2006 EDR MODEL(81020)</v>
          </cell>
        </row>
        <row r="226">
          <cell r="A226">
            <v>81021</v>
          </cell>
          <cell r="E226" t="str">
            <v xml:space="preserve">Yes </v>
          </cell>
          <cell r="G226" t="str">
            <v>2006 EDR MODEL(81021)</v>
          </cell>
        </row>
        <row r="227">
          <cell r="A227">
            <v>81022</v>
          </cell>
          <cell r="E227" t="str">
            <v>No</v>
          </cell>
          <cell r="G227" t="str">
            <v>2006 EDR MODEL(81022)</v>
          </cell>
        </row>
        <row r="228">
          <cell r="A228">
            <v>90010</v>
          </cell>
          <cell r="B228" t="str">
            <v>9-1 BILL IMPACTS</v>
          </cell>
          <cell r="C228" t="str">
            <v>This Step</v>
          </cell>
          <cell r="D228" t="str">
            <v>vbYesNoCancel</v>
          </cell>
          <cell r="F228" t="str">
            <v>9-1 BILL IMPACTS
It will take a few moments to set up the impacts for each class, apply filters, and recalculate.
The view will return to the first customer class after all calculations are complete.
Continue?</v>
          </cell>
          <cell r="G228" t="str">
            <v>2006 EDR MODEL(90010)</v>
          </cell>
        </row>
        <row r="229">
          <cell r="A229">
            <v>90011</v>
          </cell>
          <cell r="E229" t="str">
            <v>Yes</v>
          </cell>
          <cell r="G229" t="str">
            <v>2006 EDR MODEL(90011)</v>
          </cell>
        </row>
        <row r="230">
          <cell r="A230">
            <v>90012</v>
          </cell>
          <cell r="E230" t="str">
            <v>No</v>
          </cell>
          <cell r="G230" t="str">
            <v>2006 EDR MODEL(90012)</v>
          </cell>
        </row>
        <row r="231">
          <cell r="A231">
            <v>90020</v>
          </cell>
          <cell r="C231" t="str">
            <v>Next</v>
          </cell>
          <cell r="D231" t="str">
            <v>vbYesNoCancel</v>
          </cell>
          <cell r="F231" t="str">
            <v>Continue to next sheet?</v>
          </cell>
          <cell r="G231" t="str">
            <v>2006 EDR MODEL(90020)</v>
          </cell>
        </row>
        <row r="232">
          <cell r="A232">
            <v>90021</v>
          </cell>
          <cell r="E232" t="str">
            <v xml:space="preserve">Yes </v>
          </cell>
          <cell r="G232" t="str">
            <v>2006 EDR MODEL(90021)</v>
          </cell>
        </row>
        <row r="233">
          <cell r="A233">
            <v>90022</v>
          </cell>
          <cell r="E233" t="str">
            <v>No</v>
          </cell>
          <cell r="G233" t="str">
            <v>2006 EDR MODEL(90022)</v>
          </cell>
        </row>
        <row r="234">
          <cell r="A234">
            <v>90030</v>
          </cell>
          <cell r="B234" t="str">
            <v>9-2 BILL IMPACTS %</v>
          </cell>
          <cell r="C234" t="str">
            <v>This Step</v>
          </cell>
          <cell r="D234" t="str">
            <v>vbInfo</v>
          </cell>
          <cell r="F234" t="str">
            <v>9-2 BILL IMPACTS %</v>
          </cell>
          <cell r="G234" t="str">
            <v>2006 EDR MODEL(90030)</v>
          </cell>
        </row>
        <row r="235">
          <cell r="A235">
            <v>90040</v>
          </cell>
          <cell r="C235" t="str">
            <v>Next</v>
          </cell>
          <cell r="D235" t="str">
            <v>vbYesNoCancel</v>
          </cell>
          <cell r="F235" t="str">
            <v>Continue to next sheet?</v>
          </cell>
          <cell r="G235" t="str">
            <v>2006 EDR MODEL(90040)</v>
          </cell>
        </row>
        <row r="236">
          <cell r="A236">
            <v>90041</v>
          </cell>
          <cell r="E236" t="str">
            <v xml:space="preserve">Yes </v>
          </cell>
          <cell r="G236" t="str">
            <v>2006 EDR MODEL(90041)</v>
          </cell>
        </row>
        <row r="237">
          <cell r="A237">
            <v>90042</v>
          </cell>
          <cell r="E237" t="str">
            <v>No</v>
          </cell>
          <cell r="G237" t="str">
            <v>2006 EDR MODEL(90042)</v>
          </cell>
        </row>
        <row r="238">
          <cell r="A238">
            <v>90045</v>
          </cell>
          <cell r="B238" t="str">
            <v>9-1ALT BILL IMPACTS</v>
          </cell>
          <cell r="C238" t="str">
            <v>This Step</v>
          </cell>
          <cell r="D238" t="str">
            <v>vbYesNoCancel</v>
          </cell>
          <cell r="F238" t="str">
            <v>9-1ALT BILL IMPACTS
It will take a few moments to set up the impacts for each class, apply filters, and recalculate.
The view will return to the first customer class after all calculations are complete.
Continue?</v>
          </cell>
          <cell r="G238" t="str">
            <v>2006 EDR MODEL(90045)</v>
          </cell>
        </row>
        <row r="239">
          <cell r="A239">
            <v>90045.1</v>
          </cell>
          <cell r="E239" t="str">
            <v>Yes</v>
          </cell>
          <cell r="G239" t="str">
            <v>2006 EDR MODEL(90045.1)</v>
          </cell>
        </row>
        <row r="240">
          <cell r="A240">
            <v>90045.2</v>
          </cell>
          <cell r="E240" t="str">
            <v>No</v>
          </cell>
          <cell r="G240" t="str">
            <v>2006 EDR MODEL(90045.2)</v>
          </cell>
        </row>
        <row r="241">
          <cell r="A241">
            <v>90046</v>
          </cell>
          <cell r="C241" t="str">
            <v>Next</v>
          </cell>
          <cell r="D241" t="str">
            <v>vbYesNoCancel</v>
          </cell>
          <cell r="F241" t="str">
            <v>Continue to next sheet?</v>
          </cell>
          <cell r="G241" t="str">
            <v>2006 EDR MODEL(90046)</v>
          </cell>
        </row>
        <row r="242">
          <cell r="A242">
            <v>90046.1</v>
          </cell>
          <cell r="E242" t="str">
            <v xml:space="preserve">Yes </v>
          </cell>
          <cell r="G242" t="str">
            <v>2006 EDR MODEL(90046.1)</v>
          </cell>
        </row>
        <row r="243">
          <cell r="A243">
            <v>90046.2</v>
          </cell>
          <cell r="E243" t="str">
            <v>No</v>
          </cell>
          <cell r="G243" t="str">
            <v>2006 EDR MODEL(90046.2)</v>
          </cell>
        </row>
        <row r="244">
          <cell r="A244">
            <v>90047</v>
          </cell>
          <cell r="B244" t="str">
            <v>9-2ALT BILL IMPACTS %</v>
          </cell>
          <cell r="C244" t="str">
            <v>This Step</v>
          </cell>
          <cell r="D244" t="str">
            <v>vbInfo</v>
          </cell>
          <cell r="F244" t="str">
            <v>9-2ALT BILL IMPACTS %</v>
          </cell>
          <cell r="G244" t="str">
            <v>2006 EDR MODEL(90047)</v>
          </cell>
        </row>
        <row r="245">
          <cell r="A245">
            <v>90048</v>
          </cell>
          <cell r="C245" t="str">
            <v>Next</v>
          </cell>
          <cell r="D245" t="str">
            <v>vbYesNoCancel</v>
          </cell>
          <cell r="F245" t="str">
            <v>Continue to next sheet?</v>
          </cell>
          <cell r="G245" t="str">
            <v>2006 EDR MODEL(90048)</v>
          </cell>
        </row>
        <row r="246">
          <cell r="A246">
            <v>90048.1</v>
          </cell>
          <cell r="E246" t="str">
            <v xml:space="preserve">Yes </v>
          </cell>
          <cell r="G246" t="str">
            <v>2006 EDR MODEL(90048.1)</v>
          </cell>
        </row>
        <row r="247">
          <cell r="A247">
            <v>90048.2</v>
          </cell>
          <cell r="E247" t="str">
            <v>No</v>
          </cell>
          <cell r="G247" t="str">
            <v>2006 EDR MODEL(90048.2)</v>
          </cell>
        </row>
        <row r="248">
          <cell r="A248">
            <v>90050</v>
          </cell>
          <cell r="B248" t="str">
            <v>10-1 RATES SCHEDULE (Part 1)</v>
          </cell>
          <cell r="C248" t="str">
            <v>This Step</v>
          </cell>
          <cell r="D248" t="str">
            <v>vbInfo</v>
          </cell>
          <cell r="F248" t="str">
            <v>10-1 RATES SCHEDULE (Part 1)</v>
          </cell>
          <cell r="G248" t="str">
            <v>2006 EDR MODEL(90050)</v>
          </cell>
        </row>
        <row r="249">
          <cell r="A249">
            <v>90060</v>
          </cell>
          <cell r="C249" t="str">
            <v>Next</v>
          </cell>
          <cell r="D249" t="str">
            <v>vbYesNoCancel</v>
          </cell>
          <cell r="F249" t="str">
            <v>Continue to next sheet?</v>
          </cell>
          <cell r="G249" t="str">
            <v>2006 EDR MODEL(90060)</v>
          </cell>
        </row>
        <row r="250">
          <cell r="A250">
            <v>90061</v>
          </cell>
          <cell r="E250" t="str">
            <v xml:space="preserve">Yes </v>
          </cell>
          <cell r="G250" t="str">
            <v>2006 EDR MODEL(90061)</v>
          </cell>
        </row>
        <row r="251">
          <cell r="A251">
            <v>90062</v>
          </cell>
          <cell r="E251" t="str">
            <v>No</v>
          </cell>
          <cell r="G251" t="str">
            <v>2006 EDR MODEL(90062)</v>
          </cell>
        </row>
        <row r="252">
          <cell r="A252">
            <v>90070</v>
          </cell>
          <cell r="B252" t="str">
            <v>10-2 RATES SCHEDULE (Part 2)</v>
          </cell>
          <cell r="C252" t="str">
            <v>This Step</v>
          </cell>
          <cell r="D252" t="str">
            <v>vbInfo</v>
          </cell>
          <cell r="F252" t="str">
            <v>10-2 RATES SCHEDULE (Part 2)</v>
          </cell>
          <cell r="G252" t="str">
            <v>2006 EDR MODEL(90070)</v>
          </cell>
        </row>
        <row r="253">
          <cell r="A253">
            <v>90080</v>
          </cell>
          <cell r="C253" t="str">
            <v>Next</v>
          </cell>
          <cell r="D253" t="str">
            <v>vbYesNoCancel</v>
          </cell>
          <cell r="F253" t="str">
            <v>Continue to next sheet?</v>
          </cell>
          <cell r="G253" t="str">
            <v>2006 EDR MODEL(90080)</v>
          </cell>
        </row>
        <row r="254">
          <cell r="A254">
            <v>90081</v>
          </cell>
          <cell r="E254" t="str">
            <v xml:space="preserve">Yes </v>
          </cell>
          <cell r="G254" t="str">
            <v>2006 EDR MODEL(90081)</v>
          </cell>
        </row>
        <row r="255">
          <cell r="A255">
            <v>90082</v>
          </cell>
          <cell r="E255" t="str">
            <v>No</v>
          </cell>
          <cell r="G255" t="str">
            <v>2006 EDR MODEL(90082)</v>
          </cell>
        </row>
        <row r="256">
          <cell r="A256">
            <v>90085</v>
          </cell>
          <cell r="B256" t="str">
            <v>10-3 RATES SCHEDULE (Part 3)</v>
          </cell>
          <cell r="C256" t="str">
            <v>This Step</v>
          </cell>
          <cell r="D256" t="str">
            <v>vbInfo</v>
          </cell>
          <cell r="F256" t="str">
            <v>10-3 RATES SCHEDULE (Part 3)</v>
          </cell>
          <cell r="G256" t="str">
            <v>2006 EDR MODEL(90085)</v>
          </cell>
        </row>
        <row r="257">
          <cell r="A257">
            <v>90086</v>
          </cell>
          <cell r="C257" t="str">
            <v>Next</v>
          </cell>
          <cell r="D257" t="str">
            <v>vbYesNoCancel</v>
          </cell>
          <cell r="F257" t="str">
            <v>Continue to next sheet?</v>
          </cell>
          <cell r="G257" t="str">
            <v>2006 EDR MODEL(90086)</v>
          </cell>
        </row>
        <row r="258">
          <cell r="A258">
            <v>90087</v>
          </cell>
          <cell r="E258" t="str">
            <v xml:space="preserve">Yes </v>
          </cell>
          <cell r="G258" t="str">
            <v>2006 EDR MODEL(90087)</v>
          </cell>
        </row>
        <row r="259">
          <cell r="A259">
            <v>90088</v>
          </cell>
          <cell r="E259" t="str">
            <v>No</v>
          </cell>
          <cell r="G259" t="str">
            <v>2006 EDR MODEL(90088)</v>
          </cell>
        </row>
        <row r="260">
          <cell r="A260">
            <v>90090</v>
          </cell>
          <cell r="B260" t="str">
            <v>10-4 DISTR. RATES - RECONCILED</v>
          </cell>
          <cell r="C260" t="str">
            <v>This Step</v>
          </cell>
          <cell r="D260" t="str">
            <v>vbInfo</v>
          </cell>
          <cell r="F260" t="str">
            <v>10-4 DISTR. RATES - RECONCILED</v>
          </cell>
          <cell r="G260" t="str">
            <v>2006 EDR MODEL(90090)</v>
          </cell>
        </row>
        <row r="261">
          <cell r="A261">
            <v>90100</v>
          </cell>
          <cell r="C261" t="str">
            <v>Next</v>
          </cell>
          <cell r="D261" t="str">
            <v>vbYesNoCancel</v>
          </cell>
          <cell r="F261" t="str">
            <v>Continue to next sheet?</v>
          </cell>
          <cell r="G261" t="str">
            <v>2006 EDR MODEL(90100)</v>
          </cell>
        </row>
        <row r="262">
          <cell r="A262">
            <v>90101</v>
          </cell>
          <cell r="E262" t="str">
            <v xml:space="preserve">Yes </v>
          </cell>
          <cell r="F262" t="str">
            <v>This is the last sheet.</v>
          </cell>
          <cell r="G262" t="str">
            <v>2006 EDR MODEL(90101)</v>
          </cell>
        </row>
        <row r="263">
          <cell r="A263">
            <v>90102</v>
          </cell>
          <cell r="E263" t="str">
            <v>No</v>
          </cell>
          <cell r="G263" t="str">
            <v>2006 EDR MODEL(90102)</v>
          </cell>
        </row>
        <row r="264">
          <cell r="G264" t="str">
            <v>2006 EDR MODEL()</v>
          </cell>
        </row>
        <row r="265">
          <cell r="G265" t="str">
            <v>2006 EDR MODEL()</v>
          </cell>
        </row>
        <row r="266">
          <cell r="G266" t="str">
            <v>2006 EDR MODEL()</v>
          </cell>
        </row>
        <row r="267">
          <cell r="G267" t="str">
            <v>2006 EDR MODEL()</v>
          </cell>
        </row>
        <row r="268">
          <cell r="G268" t="str">
            <v>2006 EDR MODEL()</v>
          </cell>
        </row>
        <row r="269">
          <cell r="G269" t="str">
            <v>2006 EDR MODEL()</v>
          </cell>
        </row>
        <row r="270">
          <cell r="G270" t="str">
            <v>2006 EDR MODEL()</v>
          </cell>
        </row>
        <row r="271">
          <cell r="G271" t="str">
            <v>2006 EDR MODEL()</v>
          </cell>
        </row>
        <row r="272">
          <cell r="G272" t="str">
            <v>2006 EDR MODEL()</v>
          </cell>
        </row>
        <row r="273">
          <cell r="A273">
            <v>99910</v>
          </cell>
          <cell r="B273" t="str">
            <v>Ctl-Shift-X</v>
          </cell>
          <cell r="D273" t="str">
            <v>vBYesNoCancel</v>
          </cell>
          <cell r="F273" t="str">
            <v>THIS MACRO SHOULD ONLY BE RUN AS THE FINAL STEP BEFORE SUBMITTING THE APPLICATION.
Before proceeding to clear the detail:
   1.  save the Model  (File-Save)
   2.  save the model again using a different name (File SaveAs) - e.g., EDR2006with_detail_c</v>
          </cell>
          <cell r="G273" t="str">
            <v>2006 EDR MODEL(99910)</v>
          </cell>
        </row>
        <row r="274">
          <cell r="A274">
            <v>99911</v>
          </cell>
          <cell r="F274" t="str">
            <v>Confirm, are you ready to proceed to permanently clear the detailed data from this file?</v>
          </cell>
          <cell r="G274" t="str">
            <v>2006 EDR MODEL(99911)</v>
          </cell>
        </row>
        <row r="275">
          <cell r="A275">
            <v>99912</v>
          </cell>
          <cell r="F275" t="str">
            <v>skip message</v>
          </cell>
          <cell r="G275" t="str">
            <v>2006 EDR MODEL(99912)</v>
          </cell>
        </row>
      </sheetData>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8 LV Charges"/>
      <sheetName val="2009 CAS Fix Monthly Charge"/>
      <sheetName val="2011 CAS Fix Monthly Charge"/>
      <sheetName val="Criteria"/>
      <sheetName val="I6.1 - Revenue"/>
      <sheetName val="I6.2 - Customer Data"/>
      <sheetName val="C Factor"/>
      <sheetName val="O1 - Revenue to cost|RR"/>
      <sheetName val="O2 Fixed Charge|Floor|Ceiling"/>
      <sheetName val="&lt;--Schedules CA Model"/>
      <sheetName val="2024 IRM Rates"/>
      <sheetName val="2025 Rate Design"/>
      <sheetName val="Revised Rev to Cost Ratio"/>
      <sheetName val="&lt;--2025 Rates"/>
      <sheetName val="2026-2029 Rates--&gt;"/>
      <sheetName val="2025-2029 Rates"/>
      <sheetName val="2026-2029 Rates Design"/>
      <sheetName val="CRCI"/>
      <sheetName val="RR-Component"/>
      <sheetName val="Cost Allocation Schedules"/>
      <sheetName val="Revenue @ Current Rates--&gt;"/>
      <sheetName val="2025 LF @ 2024 Rates"/>
      <sheetName val="2026 LF @ 2025 Rates"/>
      <sheetName val="2027 LF @ 2026 Rates"/>
      <sheetName val="2028 LF @ 2027 Rates"/>
      <sheetName val="2029 LF @ 2028 Rates"/>
      <sheetName val="Revenue @ Proposed Rates--&gt;"/>
      <sheetName val="2025 LF @ 2025 Rates"/>
      <sheetName val="2026 LF @ 2026 Rates"/>
      <sheetName val="2027 LF @ 2027 Rates"/>
      <sheetName val="2028 LF @ 2028 Rates"/>
      <sheetName val="2029 LF @ 2029 Rates"/>
      <sheetName val="Backup--&gt;"/>
      <sheetName val="2020 - 2024 Rates Summary"/>
      <sheetName val="From EDR Model"/>
    </sheetNames>
    <sheetDataSet>
      <sheetData sheetId="0" refreshError="1"/>
      <sheetData sheetId="1" refreshError="1"/>
      <sheetData sheetId="2" refreshError="1"/>
      <sheetData sheetId="3" refreshError="1"/>
      <sheetData sheetId="4" refreshError="1"/>
      <sheetData sheetId="5">
        <row r="21">
          <cell r="D21">
            <v>618693.20407326764</v>
          </cell>
        </row>
      </sheetData>
      <sheetData sheetId="6" refreshError="1"/>
      <sheetData sheetId="7" refreshError="1"/>
      <sheetData sheetId="8" refreshError="1"/>
      <sheetData sheetId="9" refreshError="1"/>
      <sheetData sheetId="10"/>
      <sheetData sheetId="11">
        <row r="7">
          <cell r="I7">
            <v>791</v>
          </cell>
        </row>
      </sheetData>
      <sheetData sheetId="12" refreshError="1"/>
      <sheetData sheetId="13" refreshError="1"/>
      <sheetData sheetId="14" refreshError="1"/>
      <sheetData sheetId="15" refreshError="1"/>
      <sheetData sheetId="16"/>
      <sheetData sheetId="17">
        <row r="33">
          <cell r="D33">
            <v>979144953.69238365</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 val="Sheet8"/>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D5AA-7ECF-4544-B075-6C769C8994F3}">
  <sheetPr>
    <pageSetUpPr fitToPage="1"/>
  </sheetPr>
  <dimension ref="B1:M269"/>
  <sheetViews>
    <sheetView showGridLines="0" tabSelected="1" zoomScaleNormal="100" workbookViewId="0"/>
  </sheetViews>
  <sheetFormatPr defaultColWidth="9.1796875" defaultRowHeight="15.5" x14ac:dyDescent="0.35"/>
  <cols>
    <col min="1" max="1" width="1.7265625" style="5" customWidth="1"/>
    <col min="2" max="2" width="25" style="5" bestFit="1" customWidth="1"/>
    <col min="3" max="3" width="6.81640625" style="5" customWidth="1"/>
    <col min="4" max="11" width="14.26953125" style="5" customWidth="1"/>
    <col min="12" max="12" width="15.26953125" style="5" customWidth="1"/>
    <col min="13" max="16384" width="9.1796875" style="5"/>
  </cols>
  <sheetData>
    <row r="1" spans="2:12" x14ac:dyDescent="0.35">
      <c r="B1" s="83" t="s">
        <v>43</v>
      </c>
    </row>
    <row r="3" spans="2:12" ht="31" x14ac:dyDescent="0.35">
      <c r="B3" s="1"/>
      <c r="C3" s="2"/>
      <c r="D3" s="3" t="s">
        <v>0</v>
      </c>
      <c r="E3" s="3" t="s">
        <v>1</v>
      </c>
      <c r="F3" s="3" t="s">
        <v>2</v>
      </c>
      <c r="G3" s="3" t="s">
        <v>3</v>
      </c>
      <c r="H3" s="3" t="s">
        <v>4</v>
      </c>
      <c r="I3" s="3" t="s">
        <v>5</v>
      </c>
      <c r="J3" s="3" t="s">
        <v>6</v>
      </c>
      <c r="K3" s="3" t="s">
        <v>7</v>
      </c>
      <c r="L3" s="4" t="s">
        <v>8</v>
      </c>
    </row>
    <row r="4" spans="2:12" x14ac:dyDescent="0.35">
      <c r="B4" s="84"/>
      <c r="C4" s="84"/>
      <c r="D4" s="85"/>
      <c r="E4" s="85"/>
      <c r="F4" s="85"/>
      <c r="G4" s="85"/>
      <c r="H4" s="85"/>
      <c r="I4" s="85"/>
      <c r="J4" s="85"/>
      <c r="K4" s="85"/>
      <c r="L4" s="85"/>
    </row>
    <row r="5" spans="2:12" ht="18.5" x14ac:dyDescent="0.45">
      <c r="B5" s="7">
        <v>2026</v>
      </c>
      <c r="C5" s="8"/>
      <c r="D5" s="9" t="s">
        <v>10</v>
      </c>
      <c r="E5" s="10"/>
      <c r="F5" s="11">
        <v>979144953.69238365</v>
      </c>
      <c r="G5"/>
      <c r="H5"/>
      <c r="I5" s="12"/>
      <c r="J5"/>
      <c r="K5"/>
      <c r="L5"/>
    </row>
    <row r="6" spans="2:12" x14ac:dyDescent="0.35">
      <c r="B6" s="13" t="s">
        <v>11</v>
      </c>
      <c r="C6" s="13"/>
      <c r="D6" s="13"/>
      <c r="E6" s="14"/>
      <c r="F6" s="14"/>
      <c r="G6" s="15">
        <f>ROUND(-0.62/30*365/12,2)</f>
        <v>-0.63</v>
      </c>
      <c r="H6" s="15">
        <f>ROUND(-0.62/30*365/12,2)</f>
        <v>-0.63</v>
      </c>
      <c r="I6" s="15">
        <f>ROUND(-0.62/30*365/12,2)</f>
        <v>-0.63</v>
      </c>
      <c r="J6" s="14"/>
      <c r="K6" s="14"/>
      <c r="L6" s="14"/>
    </row>
    <row r="7" spans="2:12" x14ac:dyDescent="0.35">
      <c r="B7" t="s">
        <v>12</v>
      </c>
      <c r="C7"/>
      <c r="D7" s="16"/>
      <c r="E7" s="16"/>
      <c r="F7" s="16"/>
      <c r="G7" s="17">
        <v>7376109.8759573149</v>
      </c>
      <c r="H7" s="17">
        <v>7626105.6916077677</v>
      </c>
      <c r="I7" s="17">
        <v>3838545.426095861</v>
      </c>
      <c r="J7" s="16"/>
      <c r="K7" s="16"/>
      <c r="L7" s="16"/>
    </row>
    <row r="8" spans="2:12" x14ac:dyDescent="0.35">
      <c r="B8" s="18" t="s">
        <v>13</v>
      </c>
      <c r="C8" s="18"/>
      <c r="D8" s="19"/>
      <c r="E8" s="19"/>
      <c r="F8" s="19"/>
      <c r="G8" s="20">
        <f>+G7*G6</f>
        <v>-4646949.2218531081</v>
      </c>
      <c r="H8" s="20">
        <f>+H7*H6</f>
        <v>-4804446.5857128939</v>
      </c>
      <c r="I8" s="20">
        <f>+I7*I6</f>
        <v>-2418283.6184403924</v>
      </c>
      <c r="J8" s="19"/>
      <c r="K8" s="19"/>
      <c r="L8" s="19"/>
    </row>
    <row r="9" spans="2:12" x14ac:dyDescent="0.35">
      <c r="B9"/>
      <c r="C9"/>
      <c r="D9" s="21"/>
      <c r="E9" s="21"/>
      <c r="F9" s="21"/>
      <c r="G9" s="21"/>
      <c r="H9" s="21"/>
      <c r="I9" s="21"/>
      <c r="J9" s="21"/>
      <c r="K9" s="21"/>
      <c r="L9"/>
    </row>
    <row r="10" spans="2:12" x14ac:dyDescent="0.35">
      <c r="B10" t="s">
        <v>14</v>
      </c>
      <c r="C10"/>
      <c r="D10" s="22">
        <v>619673.18147774285</v>
      </c>
      <c r="E10" s="22">
        <v>99516.367916155912</v>
      </c>
      <c r="F10" s="22">
        <v>73181.532659616831</v>
      </c>
      <c r="G10" s="22">
        <v>9961.8102922183734</v>
      </c>
      <c r="H10" s="22">
        <v>482.58333333333331</v>
      </c>
      <c r="I10" s="22">
        <v>48.416666666666664</v>
      </c>
      <c r="J10" s="23">
        <v>1</v>
      </c>
      <c r="K10" s="22">
        <v>791</v>
      </c>
      <c r="L10" s="24">
        <f>SUM(D10:K10)</f>
        <v>803655.89234573394</v>
      </c>
    </row>
    <row r="11" spans="2:12" x14ac:dyDescent="0.35">
      <c r="B11" t="s">
        <v>15</v>
      </c>
      <c r="C11"/>
      <c r="D11" s="25"/>
      <c r="E11" s="25"/>
      <c r="F11" s="25"/>
      <c r="G11" s="25"/>
      <c r="H11" s="25"/>
      <c r="I11" s="25"/>
      <c r="J11" s="22">
        <v>173276.66666666672</v>
      </c>
      <c r="K11" s="22">
        <v>12873</v>
      </c>
      <c r="L11" s="24">
        <f>SUM(D11:K11)</f>
        <v>186149.66666666672</v>
      </c>
    </row>
    <row r="12" spans="2:12" x14ac:dyDescent="0.35">
      <c r="B12" t="s">
        <v>16</v>
      </c>
      <c r="C12"/>
      <c r="D12" s="25"/>
      <c r="E12" s="25"/>
      <c r="F12" s="25"/>
      <c r="G12" s="22">
        <v>23251474.534149002</v>
      </c>
      <c r="H12" s="22">
        <v>8625809.5724448487</v>
      </c>
      <c r="I12" s="22">
        <v>4002690.2496490665</v>
      </c>
      <c r="J12" s="22">
        <v>354445.84735874383</v>
      </c>
      <c r="K12" s="25"/>
      <c r="L12" s="24">
        <f>SUM(D12:K12)</f>
        <v>36234420.203601658</v>
      </c>
    </row>
    <row r="13" spans="2:12" x14ac:dyDescent="0.35">
      <c r="B13" s="18" t="s">
        <v>17</v>
      </c>
      <c r="C13" s="18"/>
      <c r="D13" s="26">
        <v>4952133260.9858141</v>
      </c>
      <c r="E13" s="26">
        <v>352562385.74427855</v>
      </c>
      <c r="F13" s="26">
        <v>2406862915.7834449</v>
      </c>
      <c r="G13" s="27">
        <v>9526057834.2122154</v>
      </c>
      <c r="H13" s="27">
        <v>4015109586.0488472</v>
      </c>
      <c r="I13" s="27">
        <v>1576472212.3379035</v>
      </c>
      <c r="J13" s="27">
        <v>118551502.35653578</v>
      </c>
      <c r="K13" s="26">
        <v>42090115.886468768</v>
      </c>
      <c r="L13" s="28">
        <f>SUM(D13:K13)</f>
        <v>22989839813.355507</v>
      </c>
    </row>
    <row r="14" spans="2:12" x14ac:dyDescent="0.35">
      <c r="B14"/>
      <c r="C14"/>
      <c r="D14" s="29"/>
      <c r="E14" s="29"/>
      <c r="F14" s="29"/>
      <c r="G14" s="29"/>
      <c r="H14" s="29"/>
      <c r="I14" s="29"/>
      <c r="J14" s="29"/>
      <c r="K14" s="29"/>
      <c r="L14"/>
    </row>
    <row r="15" spans="2:12" x14ac:dyDescent="0.35">
      <c r="B15" s="30" t="str">
        <f>_xlfn.CONCAT("Rates Prior Year - ",B5-1)</f>
        <v>Rates Prior Year - 2025</v>
      </c>
      <c r="C15"/>
      <c r="D15" s="29"/>
      <c r="E15" s="29"/>
      <c r="F15" s="29"/>
      <c r="G15" s="29"/>
      <c r="H15" s="29"/>
      <c r="I15" s="29"/>
      <c r="J15" s="29"/>
      <c r="K15" s="29"/>
      <c r="L15"/>
    </row>
    <row r="16" spans="2:12" x14ac:dyDescent="0.35">
      <c r="B16" s="31" t="s">
        <v>18</v>
      </c>
      <c r="C16" s="31"/>
      <c r="D16" s="32"/>
      <c r="E16" s="32"/>
      <c r="F16" s="32"/>
      <c r="G16" s="32"/>
      <c r="H16" s="33"/>
      <c r="I16" s="33"/>
      <c r="J16" s="32"/>
      <c r="K16" s="32"/>
      <c r="L16"/>
    </row>
    <row r="17" spans="2:12" x14ac:dyDescent="0.35">
      <c r="B17" s="31" t="s">
        <v>19</v>
      </c>
      <c r="C17" s="31"/>
      <c r="D17" s="34">
        <v>49.24</v>
      </c>
      <c r="E17" s="34">
        <v>40.39</v>
      </c>
      <c r="F17" s="34">
        <v>43.7</v>
      </c>
      <c r="G17" s="34">
        <v>61.86</v>
      </c>
      <c r="H17" s="34">
        <v>1094.1500000000001</v>
      </c>
      <c r="I17" s="34">
        <v>4843.5200000000004</v>
      </c>
      <c r="J17" s="35">
        <v>0</v>
      </c>
      <c r="K17" s="34">
        <v>7.73</v>
      </c>
      <c r="L17"/>
    </row>
    <row r="18" spans="2:12" x14ac:dyDescent="0.35">
      <c r="B18" s="31" t="s">
        <v>20</v>
      </c>
      <c r="C18" s="31"/>
      <c r="D18" s="35">
        <v>0</v>
      </c>
      <c r="E18" s="35">
        <v>0</v>
      </c>
      <c r="F18" s="35">
        <v>0</v>
      </c>
      <c r="G18" s="35">
        <v>0</v>
      </c>
      <c r="H18" s="35">
        <v>0</v>
      </c>
      <c r="I18" s="35">
        <v>0</v>
      </c>
      <c r="J18" s="36">
        <v>2</v>
      </c>
      <c r="K18" s="36">
        <v>0.8</v>
      </c>
      <c r="L18"/>
    </row>
    <row r="19" spans="2:12" x14ac:dyDescent="0.35">
      <c r="B19" s="31" t="s">
        <v>21</v>
      </c>
      <c r="C19" s="31"/>
      <c r="D19" s="31"/>
      <c r="E19" s="31"/>
      <c r="F19" s="31"/>
      <c r="G19" s="31"/>
      <c r="H19" s="31"/>
      <c r="I19" s="37"/>
      <c r="J19" s="31"/>
      <c r="K19" s="38"/>
      <c r="L19"/>
    </row>
    <row r="20" spans="2:12" x14ac:dyDescent="0.35">
      <c r="B20" s="31" t="s">
        <v>22</v>
      </c>
      <c r="C20" s="31"/>
      <c r="D20" s="35">
        <v>0</v>
      </c>
      <c r="E20" s="35">
        <v>0</v>
      </c>
      <c r="F20" s="35">
        <v>0</v>
      </c>
      <c r="G20" s="39">
        <v>10.125400000000001</v>
      </c>
      <c r="H20" s="39">
        <v>8.3927999999999994</v>
      </c>
      <c r="I20" s="39">
        <v>9.0792999999999999</v>
      </c>
      <c r="J20" s="39">
        <v>44.686300000000003</v>
      </c>
      <c r="K20" s="35">
        <v>0</v>
      </c>
      <c r="L20"/>
    </row>
    <row r="21" spans="2:12" x14ac:dyDescent="0.35">
      <c r="B21" s="31" t="s">
        <v>23</v>
      </c>
      <c r="C21" s="31"/>
      <c r="D21" s="35">
        <v>0</v>
      </c>
      <c r="E21" s="35">
        <v>0</v>
      </c>
      <c r="F21" s="40">
        <v>4.5350000000000001E-2</v>
      </c>
      <c r="G21" s="35">
        <v>0</v>
      </c>
      <c r="H21" s="35">
        <v>0</v>
      </c>
      <c r="I21" s="35">
        <v>0</v>
      </c>
      <c r="J21" s="35">
        <v>0</v>
      </c>
      <c r="K21" s="40">
        <v>9.7360000000000002E-2</v>
      </c>
      <c r="L21"/>
    </row>
    <row r="22" spans="2:12" x14ac:dyDescent="0.35">
      <c r="B22" s="18"/>
      <c r="C22" s="18"/>
      <c r="D22" s="41"/>
      <c r="E22" s="41"/>
      <c r="F22" s="41"/>
      <c r="G22" s="41"/>
      <c r="H22" s="41"/>
      <c r="I22" s="41"/>
      <c r="J22" s="41"/>
      <c r="K22" s="41"/>
      <c r="L22" s="18"/>
    </row>
    <row r="23" spans="2:12" x14ac:dyDescent="0.35">
      <c r="B23"/>
      <c r="C23"/>
      <c r="D23" s="29"/>
      <c r="E23" s="29"/>
      <c r="F23" s="29"/>
      <c r="G23" s="29"/>
      <c r="H23" s="29"/>
      <c r="I23" s="29"/>
      <c r="J23" s="29"/>
      <c r="K23" s="29"/>
      <c r="L23"/>
    </row>
    <row r="24" spans="2:12" x14ac:dyDescent="0.35">
      <c r="B24" s="30" t="str">
        <f>_xlfn.CONCAT("Revenue based on ",B5-1," rates and ",B5," load/ customer")</f>
        <v>Revenue based on 2025 rates and 2026 load/ customer</v>
      </c>
      <c r="C24"/>
      <c r="D24" s="29"/>
      <c r="E24" s="29"/>
      <c r="F24" s="29"/>
      <c r="G24" s="29"/>
      <c r="H24" s="29"/>
      <c r="I24" s="29"/>
      <c r="J24" s="29"/>
      <c r="K24" s="29"/>
      <c r="L24"/>
    </row>
    <row r="25" spans="2:12" x14ac:dyDescent="0.35">
      <c r="B25" t="s">
        <v>18</v>
      </c>
      <c r="C25"/>
      <c r="D25" s="42">
        <f t="shared" ref="D25:K25" si="0">D17/30*365*D10</f>
        <v>371237940.7142294</v>
      </c>
      <c r="E25" s="42">
        <f t="shared" si="0"/>
        <v>48903504.218291372</v>
      </c>
      <c r="F25" s="42">
        <f t="shared" si="0"/>
        <v>38909401.222907282</v>
      </c>
      <c r="G25" s="42">
        <f t="shared" si="0"/>
        <v>7497557.280232314</v>
      </c>
      <c r="H25" s="42">
        <f t="shared" si="0"/>
        <v>6424225.7423611116</v>
      </c>
      <c r="I25" s="42">
        <f t="shared" si="0"/>
        <v>2853169.6355555556</v>
      </c>
      <c r="J25" s="42">
        <f t="shared" si="0"/>
        <v>0</v>
      </c>
      <c r="K25" s="42">
        <f t="shared" si="0"/>
        <v>74392.231666666659</v>
      </c>
      <c r="L25" s="42">
        <f>SUM(D25:K25)</f>
        <v>475900191.04524374</v>
      </c>
    </row>
    <row r="26" spans="2:12" x14ac:dyDescent="0.35">
      <c r="B26" t="s">
        <v>24</v>
      </c>
      <c r="C26"/>
      <c r="D26" s="42">
        <f t="shared" ref="D26:K26" si="1">D21*D13</f>
        <v>0</v>
      </c>
      <c r="E26" s="42">
        <f t="shared" si="1"/>
        <v>0</v>
      </c>
      <c r="F26" s="42">
        <f t="shared" si="1"/>
        <v>109151233.23077923</v>
      </c>
      <c r="G26" s="42">
        <f t="shared" si="1"/>
        <v>0</v>
      </c>
      <c r="H26" s="42">
        <f t="shared" si="1"/>
        <v>0</v>
      </c>
      <c r="I26" s="42">
        <f t="shared" si="1"/>
        <v>0</v>
      </c>
      <c r="J26" s="42">
        <f t="shared" si="1"/>
        <v>0</v>
      </c>
      <c r="K26" s="42">
        <f t="shared" si="1"/>
        <v>4097893.6827065991</v>
      </c>
      <c r="L26" s="42">
        <f t="shared" ref="L26:L31" si="2">SUM(D26:K26)</f>
        <v>113249126.91348583</v>
      </c>
    </row>
    <row r="27" spans="2:12" x14ac:dyDescent="0.35">
      <c r="B27" t="s">
        <v>25</v>
      </c>
      <c r="C27"/>
      <c r="D27" s="42">
        <f t="shared" ref="D27:K27" si="3">D20*D12/360*365</f>
        <v>0</v>
      </c>
      <c r="E27" s="42">
        <f t="shared" si="3"/>
        <v>0</v>
      </c>
      <c r="F27" s="42">
        <f t="shared" si="3"/>
        <v>0</v>
      </c>
      <c r="G27" s="42">
        <f t="shared" si="3"/>
        <v>238700348.02929556</v>
      </c>
      <c r="H27" s="42">
        <f t="shared" si="3"/>
        <v>73400176.448776439</v>
      </c>
      <c r="I27" s="42">
        <f t="shared" si="3"/>
        <v>36846370.383411534</v>
      </c>
      <c r="J27" s="42">
        <f t="shared" si="3"/>
        <v>16058857.822560742</v>
      </c>
      <c r="K27" s="42">
        <f t="shared" si="3"/>
        <v>0</v>
      </c>
      <c r="L27" s="42">
        <f t="shared" si="2"/>
        <v>365005752.68404424</v>
      </c>
    </row>
    <row r="28" spans="2:12" x14ac:dyDescent="0.35">
      <c r="B28" t="s">
        <v>26</v>
      </c>
      <c r="C28"/>
      <c r="D28" s="42">
        <f t="shared" ref="D28:K28" si="4">D18/30*365*D11</f>
        <v>0</v>
      </c>
      <c r="E28" s="42">
        <f t="shared" si="4"/>
        <v>0</v>
      </c>
      <c r="F28" s="42">
        <f t="shared" si="4"/>
        <v>0</v>
      </c>
      <c r="G28" s="42">
        <f t="shared" si="4"/>
        <v>0</v>
      </c>
      <c r="H28" s="42">
        <f t="shared" si="4"/>
        <v>0</v>
      </c>
      <c r="I28" s="42">
        <f t="shared" si="4"/>
        <v>0</v>
      </c>
      <c r="J28" s="42">
        <f t="shared" si="4"/>
        <v>4216398.8888888899</v>
      </c>
      <c r="K28" s="42">
        <f t="shared" si="4"/>
        <v>125297.20000000001</v>
      </c>
      <c r="L28" s="42">
        <f t="shared" si="2"/>
        <v>4341696.0888888901</v>
      </c>
    </row>
    <row r="29" spans="2:12" x14ac:dyDescent="0.35">
      <c r="B29" t="s">
        <v>9</v>
      </c>
      <c r="C29"/>
      <c r="D29" s="42">
        <f>SUM(D25:D28)</f>
        <v>371237940.7142294</v>
      </c>
      <c r="E29" s="42">
        <f t="shared" ref="E29:K29" si="5">SUM(E25:E28)</f>
        <v>48903504.218291372</v>
      </c>
      <c r="F29" s="42">
        <f t="shared" si="5"/>
        <v>148060634.45368651</v>
      </c>
      <c r="G29" s="42">
        <f t="shared" si="5"/>
        <v>246197905.30952787</v>
      </c>
      <c r="H29" s="42">
        <f t="shared" si="5"/>
        <v>79824402.191137552</v>
      </c>
      <c r="I29" s="42">
        <f t="shared" si="5"/>
        <v>39699540.018967092</v>
      </c>
      <c r="J29" s="42">
        <f t="shared" si="5"/>
        <v>20275256.711449631</v>
      </c>
      <c r="K29" s="42">
        <f t="shared" si="5"/>
        <v>4297583.1143732658</v>
      </c>
      <c r="L29" s="42">
        <f t="shared" si="2"/>
        <v>958496766.73166251</v>
      </c>
    </row>
    <row r="30" spans="2:12" x14ac:dyDescent="0.35">
      <c r="B30" t="s">
        <v>27</v>
      </c>
      <c r="C30"/>
      <c r="D30" s="42">
        <f t="shared" ref="D30:K30" si="6">D8</f>
        <v>0</v>
      </c>
      <c r="E30" s="42">
        <f t="shared" si="6"/>
        <v>0</v>
      </c>
      <c r="F30" s="42">
        <f t="shared" si="6"/>
        <v>0</v>
      </c>
      <c r="G30" s="42">
        <f t="shared" si="6"/>
        <v>-4646949.2218531081</v>
      </c>
      <c r="H30" s="42">
        <f t="shared" si="6"/>
        <v>-4804446.5857128939</v>
      </c>
      <c r="I30" s="42">
        <f t="shared" si="6"/>
        <v>-2418283.6184403924</v>
      </c>
      <c r="J30" s="42">
        <f t="shared" si="6"/>
        <v>0</v>
      </c>
      <c r="K30" s="42">
        <f t="shared" si="6"/>
        <v>0</v>
      </c>
      <c r="L30" s="42">
        <f t="shared" si="2"/>
        <v>-11869679.426006395</v>
      </c>
    </row>
    <row r="31" spans="2:12" x14ac:dyDescent="0.35">
      <c r="B31" s="18" t="s">
        <v>28</v>
      </c>
      <c r="C31" s="18"/>
      <c r="D31" s="43">
        <f>SUM(D29:D30)</f>
        <v>371237940.7142294</v>
      </c>
      <c r="E31" s="43">
        <f t="shared" ref="E31:K31" si="7">SUM(E29:E30)</f>
        <v>48903504.218291372</v>
      </c>
      <c r="F31" s="43">
        <f t="shared" si="7"/>
        <v>148060634.45368651</v>
      </c>
      <c r="G31" s="43">
        <f t="shared" si="7"/>
        <v>241550956.08767477</v>
      </c>
      <c r="H31" s="43">
        <f t="shared" si="7"/>
        <v>75019955.605424657</v>
      </c>
      <c r="I31" s="43">
        <f t="shared" si="7"/>
        <v>37281256.400526702</v>
      </c>
      <c r="J31" s="43">
        <f t="shared" si="7"/>
        <v>20275256.711449631</v>
      </c>
      <c r="K31" s="43">
        <f t="shared" si="7"/>
        <v>4297583.1143732658</v>
      </c>
      <c r="L31" s="43">
        <f t="shared" si="2"/>
        <v>946627087.30565619</v>
      </c>
    </row>
    <row r="32" spans="2:12" x14ac:dyDescent="0.35">
      <c r="B32"/>
      <c r="C32"/>
      <c r="D32" s="42"/>
      <c r="E32" s="42"/>
      <c r="F32" s="42"/>
      <c r="G32" s="42"/>
      <c r="H32" s="42"/>
      <c r="I32" s="42"/>
      <c r="J32" s="42"/>
      <c r="K32" s="42"/>
      <c r="L32" s="42"/>
    </row>
    <row r="33" spans="2:13" x14ac:dyDescent="0.35">
      <c r="B33" t="str">
        <f>_xlfn.CONCAT(B5, " Revenue Requirement")</f>
        <v>2026 Revenue Requirement</v>
      </c>
      <c r="C33"/>
      <c r="D33" s="42"/>
      <c r="E33" s="42"/>
      <c r="F33" s="42"/>
      <c r="G33" s="42"/>
      <c r="H33" s="42"/>
      <c r="I33" s="42"/>
      <c r="J33" s="42"/>
      <c r="K33" s="42"/>
      <c r="L33" s="42">
        <f>F5</f>
        <v>979144953.69238365</v>
      </c>
    </row>
    <row r="34" spans="2:13" x14ac:dyDescent="0.35">
      <c r="B34" t="s">
        <v>29</v>
      </c>
      <c r="C34"/>
      <c r="D34" s="42"/>
      <c r="E34" s="42"/>
      <c r="F34" s="42"/>
      <c r="G34" s="42"/>
      <c r="H34" s="42"/>
      <c r="I34" s="42"/>
      <c r="J34" s="42"/>
      <c r="K34" s="42"/>
      <c r="L34" s="42">
        <f>L33-L31</f>
        <v>32517866.386727452</v>
      </c>
    </row>
    <row r="35" spans="2:13" x14ac:dyDescent="0.35">
      <c r="B35" s="18" t="s">
        <v>30</v>
      </c>
      <c r="C35" s="18"/>
      <c r="D35" s="43"/>
      <c r="E35" s="43"/>
      <c r="F35" s="43"/>
      <c r="G35" s="43"/>
      <c r="H35" s="43"/>
      <c r="I35" s="43"/>
      <c r="J35" s="43"/>
      <c r="K35" s="43"/>
      <c r="L35" s="44">
        <f>L33/L31</f>
        <v>1.0343512950588405</v>
      </c>
    </row>
    <row r="36" spans="2:13" x14ac:dyDescent="0.35">
      <c r="B36" s="45" t="s">
        <v>31</v>
      </c>
      <c r="C36" s="45"/>
      <c r="D36" s="46">
        <f>D31*$L35</f>
        <v>383990444.7527402</v>
      </c>
      <c r="E36" s="46">
        <f t="shared" ref="E36:K36" si="8">E31*$L35</f>
        <v>50583402.921105146</v>
      </c>
      <c r="F36" s="46">
        <f t="shared" si="8"/>
        <v>153146708.99440423</v>
      </c>
      <c r="G36" s="46">
        <f t="shared" si="8"/>
        <v>249848544.25198752</v>
      </c>
      <c r="H36" s="46">
        <f t="shared" si="8"/>
        <v>77596988.235727713</v>
      </c>
      <c r="I36" s="46">
        <f t="shared" si="8"/>
        <v>38561915.839305483</v>
      </c>
      <c r="J36" s="46">
        <f t="shared" si="8"/>
        <v>20971738.037138373</v>
      </c>
      <c r="K36" s="46">
        <f t="shared" si="8"/>
        <v>4445210.6599749923</v>
      </c>
      <c r="L36" s="46">
        <f>SUM(D36:K36)</f>
        <v>979144953.69238353</v>
      </c>
    </row>
    <row r="37" spans="2:13" x14ac:dyDescent="0.35">
      <c r="B37"/>
      <c r="C37"/>
      <c r="D37" s="42"/>
      <c r="E37" s="42"/>
      <c r="F37" s="42"/>
      <c r="G37" s="42"/>
      <c r="H37" s="42"/>
      <c r="I37" s="42"/>
      <c r="J37" s="42"/>
      <c r="K37" s="42"/>
      <c r="L37" s="42"/>
    </row>
    <row r="38" spans="2:13" x14ac:dyDescent="0.35">
      <c r="B38" s="30" t="str">
        <f>_xlfn.CONCAT("Esclated Rates ",B5)</f>
        <v>Esclated Rates 2026</v>
      </c>
      <c r="C38"/>
      <c r="D38" s="29"/>
      <c r="E38" s="29"/>
      <c r="F38" s="29"/>
      <c r="G38" s="29"/>
      <c r="H38" s="29"/>
      <c r="I38" s="29"/>
      <c r="J38" s="29"/>
      <c r="K38" s="29"/>
      <c r="L38"/>
    </row>
    <row r="39" spans="2:13" x14ac:dyDescent="0.35">
      <c r="B39" s="31" t="s">
        <v>18</v>
      </c>
      <c r="C39" s="31"/>
      <c r="D39" s="32"/>
      <c r="E39" s="32"/>
      <c r="F39" s="32"/>
      <c r="G39" s="32"/>
      <c r="H39" s="33"/>
      <c r="I39" s="33"/>
      <c r="J39" s="32"/>
      <c r="K39" s="32"/>
      <c r="L39"/>
    </row>
    <row r="40" spans="2:13" x14ac:dyDescent="0.35">
      <c r="B40" s="31" t="s">
        <v>19</v>
      </c>
      <c r="C40" s="31"/>
      <c r="D40" s="34">
        <f>D17*$L35</f>
        <v>50.931457768697307</v>
      </c>
      <c r="E40" s="34">
        <f t="shared" ref="E40:K40" si="9">E17*$L35</f>
        <v>41.777448807426566</v>
      </c>
      <c r="F40" s="34">
        <f t="shared" si="9"/>
        <v>45.201151594071334</v>
      </c>
      <c r="G40" s="34">
        <f t="shared" si="9"/>
        <v>63.984971112339871</v>
      </c>
      <c r="H40" s="34">
        <f t="shared" si="9"/>
        <v>1131.7354694886303</v>
      </c>
      <c r="I40" s="34">
        <f t="shared" si="9"/>
        <v>5009.9011846433959</v>
      </c>
      <c r="J40" s="35">
        <f t="shared" si="9"/>
        <v>0</v>
      </c>
      <c r="K40" s="34">
        <f t="shared" si="9"/>
        <v>7.9955355108048378</v>
      </c>
      <c r="L40"/>
    </row>
    <row r="41" spans="2:13" x14ac:dyDescent="0.35">
      <c r="B41" s="31" t="s">
        <v>20</v>
      </c>
      <c r="C41" s="31"/>
      <c r="D41" s="35">
        <f>D18*$L35</f>
        <v>0</v>
      </c>
      <c r="E41" s="35">
        <f t="shared" ref="E41:K41" si="10">E18*$L35</f>
        <v>0</v>
      </c>
      <c r="F41" s="35">
        <f t="shared" si="10"/>
        <v>0</v>
      </c>
      <c r="G41" s="35">
        <f t="shared" si="10"/>
        <v>0</v>
      </c>
      <c r="H41" s="35">
        <f t="shared" si="10"/>
        <v>0</v>
      </c>
      <c r="I41" s="35">
        <f t="shared" si="10"/>
        <v>0</v>
      </c>
      <c r="J41" s="36">
        <f t="shared" si="10"/>
        <v>2.068702590117681</v>
      </c>
      <c r="K41" s="36">
        <f t="shared" si="10"/>
        <v>0.82748103604707246</v>
      </c>
      <c r="L41"/>
    </row>
    <row r="42" spans="2:13" x14ac:dyDescent="0.35">
      <c r="B42" s="31" t="s">
        <v>21</v>
      </c>
      <c r="C42" s="31"/>
      <c r="D42" s="31"/>
      <c r="E42" s="31"/>
      <c r="F42" s="31"/>
      <c r="G42" s="31"/>
      <c r="H42" s="31"/>
      <c r="I42" s="37"/>
      <c r="J42" s="31"/>
      <c r="K42" s="38"/>
      <c r="L42"/>
    </row>
    <row r="43" spans="2:13" x14ac:dyDescent="0.35">
      <c r="B43" s="31" t="s">
        <v>22</v>
      </c>
      <c r="C43" s="31"/>
      <c r="D43" s="35">
        <f>D20*$L35</f>
        <v>0</v>
      </c>
      <c r="E43" s="35">
        <f t="shared" ref="E43:K43" si="11">E20*$L35</f>
        <v>0</v>
      </c>
      <c r="F43" s="35">
        <f t="shared" si="11"/>
        <v>0</v>
      </c>
      <c r="G43" s="39">
        <f t="shared" si="11"/>
        <v>10.473220602988784</v>
      </c>
      <c r="H43" s="39">
        <f t="shared" si="11"/>
        <v>8.6811035491698352</v>
      </c>
      <c r="I43" s="39">
        <f t="shared" si="11"/>
        <v>9.3911857132277312</v>
      </c>
      <c r="J43" s="39">
        <f t="shared" si="11"/>
        <v>46.221332276387869</v>
      </c>
      <c r="K43" s="35">
        <f t="shared" si="11"/>
        <v>0</v>
      </c>
      <c r="L43"/>
    </row>
    <row r="44" spans="2:13" x14ac:dyDescent="0.35">
      <c r="B44" s="31" t="s">
        <v>23</v>
      </c>
      <c r="C44" s="31"/>
      <c r="D44" s="35">
        <f>D21*$L35</f>
        <v>0</v>
      </c>
      <c r="E44" s="35">
        <f t="shared" ref="E44:K44" si="12">E21*$L35</f>
        <v>0</v>
      </c>
      <c r="F44" s="40">
        <f t="shared" si="12"/>
        <v>4.690783123091842E-2</v>
      </c>
      <c r="G44" s="35">
        <f t="shared" si="12"/>
        <v>0</v>
      </c>
      <c r="H44" s="35">
        <f t="shared" si="12"/>
        <v>0</v>
      </c>
      <c r="I44" s="35">
        <f t="shared" si="12"/>
        <v>0</v>
      </c>
      <c r="J44" s="35">
        <f t="shared" si="12"/>
        <v>0</v>
      </c>
      <c r="K44" s="40">
        <f t="shared" si="12"/>
        <v>0.10070444208692872</v>
      </c>
      <c r="L44"/>
    </row>
    <row r="45" spans="2:13" x14ac:dyDescent="0.35">
      <c r="B45"/>
      <c r="C45"/>
      <c r="D45" s="42"/>
      <c r="E45" s="42"/>
      <c r="F45" s="42"/>
      <c r="G45" s="42"/>
      <c r="H45" s="42"/>
      <c r="I45" s="42"/>
      <c r="J45" s="42"/>
      <c r="K45" s="42"/>
      <c r="L45" s="42"/>
    </row>
    <row r="46" spans="2:13" x14ac:dyDescent="0.35">
      <c r="B46" s="30" t="s">
        <v>32</v>
      </c>
      <c r="C46"/>
      <c r="D46" s="42"/>
      <c r="E46" s="42"/>
      <c r="F46" s="42"/>
      <c r="G46" s="42"/>
      <c r="H46" s="42"/>
      <c r="I46" s="42"/>
      <c r="J46" s="42"/>
      <c r="K46" s="42"/>
      <c r="L46" s="42"/>
    </row>
    <row r="47" spans="2:13" x14ac:dyDescent="0.35">
      <c r="B47" s="47">
        <f>B5</f>
        <v>2026</v>
      </c>
      <c r="C47" s="47"/>
      <c r="D47" s="48">
        <f t="shared" ref="D47:I47" si="13">D40/30*365/12</f>
        <v>51.638839126595883</v>
      </c>
      <c r="E47" s="48">
        <f t="shared" si="13"/>
        <v>42.357691151974159</v>
      </c>
      <c r="F47" s="48">
        <f t="shared" si="13"/>
        <v>45.828945366211208</v>
      </c>
      <c r="G47" s="48">
        <f t="shared" si="13"/>
        <v>64.873651266677925</v>
      </c>
      <c r="H47" s="48">
        <f t="shared" si="13"/>
        <v>1147.4540176759724</v>
      </c>
      <c r="I47" s="48">
        <f t="shared" si="13"/>
        <v>5079.4831455412213</v>
      </c>
      <c r="J47" s="48">
        <f>(J41*J11/(J11/1.8)/30*365/12)</f>
        <v>3.7753822269647674</v>
      </c>
      <c r="K47" s="48">
        <f>((K41/30*365*K11)+(K40/30*365*K10))/K11/12</f>
        <v>1.337094579442635</v>
      </c>
      <c r="L47" s="42"/>
      <c r="M47" s="42"/>
    </row>
    <row r="48" spans="2:13" x14ac:dyDescent="0.35">
      <c r="B48" s="47">
        <f>B47-1</f>
        <v>2025</v>
      </c>
      <c r="C48" s="47"/>
      <c r="D48" s="48">
        <f t="shared" ref="D48:I48" si="14">D17/30*365/12</f>
        <v>49.923888888888889</v>
      </c>
      <c r="E48" s="48">
        <f t="shared" si="14"/>
        <v>40.950972222222227</v>
      </c>
      <c r="F48" s="48">
        <f t="shared" si="14"/>
        <v>44.306944444444447</v>
      </c>
      <c r="G48" s="48">
        <f t="shared" si="14"/>
        <v>62.719166666666666</v>
      </c>
      <c r="H48" s="48">
        <f t="shared" si="14"/>
        <v>1109.346527777778</v>
      </c>
      <c r="I48" s="48">
        <f t="shared" si="14"/>
        <v>4910.7911111111116</v>
      </c>
      <c r="J48" s="48">
        <v>3.6500000000000004</v>
      </c>
      <c r="K48" s="48">
        <v>1.2926890369161985</v>
      </c>
      <c r="L48" s="42"/>
      <c r="M48" s="42"/>
    </row>
    <row r="49" spans="2:13" x14ac:dyDescent="0.35">
      <c r="B49" s="47" t="s">
        <v>33</v>
      </c>
      <c r="C49" s="47"/>
      <c r="D49" s="48">
        <v>22.528549376511233</v>
      </c>
      <c r="E49" s="48">
        <v>18.124035156451161</v>
      </c>
      <c r="F49" s="48">
        <v>37.108762718968784</v>
      </c>
      <c r="G49" s="48">
        <v>81.963017722679282</v>
      </c>
      <c r="H49" s="48">
        <v>155.54195945741739</v>
      </c>
      <c r="I49" s="48">
        <v>503.19092839543282</v>
      </c>
      <c r="J49" s="48">
        <v>6.0847383893711786</v>
      </c>
      <c r="K49" s="48">
        <v>8.6693404109514649</v>
      </c>
      <c r="L49" s="42"/>
      <c r="M49" s="42"/>
    </row>
    <row r="50" spans="2:13" x14ac:dyDescent="0.35">
      <c r="B50" s="47" t="s">
        <v>34</v>
      </c>
      <c r="C50" s="47"/>
      <c r="D50" s="48">
        <v>6.3750532244949163</v>
      </c>
      <c r="E50" s="48">
        <v>4.0621972308346725</v>
      </c>
      <c r="F50" s="48">
        <v>14.194360131758557</v>
      </c>
      <c r="G50" s="48">
        <v>30.276193332111479</v>
      </c>
      <c r="H50" s="48">
        <v>42.753267433655815</v>
      </c>
      <c r="I50" s="48">
        <v>152.04947841163616</v>
      </c>
      <c r="J50" s="48">
        <v>0.57433021012311625</v>
      </c>
      <c r="K50" s="48">
        <v>0.7005196485277172</v>
      </c>
      <c r="L50" s="42"/>
      <c r="M50" s="42"/>
    </row>
    <row r="51" spans="2:13" x14ac:dyDescent="0.35">
      <c r="B51" s="47" t="s">
        <v>35</v>
      </c>
      <c r="C51" s="47"/>
      <c r="D51" s="49" t="s">
        <v>36</v>
      </c>
      <c r="E51" s="49" t="s">
        <v>36</v>
      </c>
      <c r="F51" s="49" t="b">
        <f t="shared" ref="F51:H51" si="15">OR(F47&gt;F49)</f>
        <v>1</v>
      </c>
      <c r="G51" s="49" t="b">
        <f t="shared" si="15"/>
        <v>0</v>
      </c>
      <c r="H51" s="49" t="b">
        <f t="shared" si="15"/>
        <v>1</v>
      </c>
      <c r="I51" s="49" t="b">
        <f>OR(I47&gt;I49)</f>
        <v>1</v>
      </c>
      <c r="J51" s="49" t="b">
        <f>OR(J47&gt;J49)</f>
        <v>0</v>
      </c>
      <c r="K51" s="49" t="b">
        <f>OR(K47&gt;K49)</f>
        <v>0</v>
      </c>
      <c r="L51" s="42"/>
      <c r="M51" s="42"/>
    </row>
    <row r="52" spans="2:13" x14ac:dyDescent="0.35">
      <c r="B52" s="47" t="s">
        <v>37</v>
      </c>
      <c r="C52" s="47"/>
      <c r="D52" s="49" t="s">
        <v>36</v>
      </c>
      <c r="E52" s="49" t="s">
        <v>36</v>
      </c>
      <c r="F52" s="49" t="b">
        <f t="shared" ref="F52:H52" si="16">OR(F47&lt;F50)</f>
        <v>0</v>
      </c>
      <c r="G52" s="49" t="b">
        <f t="shared" si="16"/>
        <v>0</v>
      </c>
      <c r="H52" s="49" t="b">
        <f t="shared" si="16"/>
        <v>0</v>
      </c>
      <c r="I52" s="49" t="b">
        <f>OR(I47&lt;I50)</f>
        <v>0</v>
      </c>
      <c r="J52" s="49" t="b">
        <f>OR(J47&lt;J50)</f>
        <v>0</v>
      </c>
      <c r="K52" s="49" t="b">
        <f>OR(K47&lt;K50)</f>
        <v>0</v>
      </c>
      <c r="L52" s="42"/>
      <c r="M52" s="42"/>
    </row>
    <row r="53" spans="2:13" x14ac:dyDescent="0.35">
      <c r="B53" s="50" t="s">
        <v>38</v>
      </c>
      <c r="C53" s="50"/>
      <c r="D53" s="51">
        <f>IF(D51=TRUE,D48,D47)</f>
        <v>51.638839126595883</v>
      </c>
      <c r="E53" s="51">
        <f t="shared" ref="E53:K53" si="17">IF(E51=TRUE,E48,E47)</f>
        <v>42.357691151974159</v>
      </c>
      <c r="F53" s="51">
        <f t="shared" si="17"/>
        <v>44.306944444444447</v>
      </c>
      <c r="G53" s="51">
        <f t="shared" si="17"/>
        <v>64.873651266677925</v>
      </c>
      <c r="H53" s="51">
        <f t="shared" si="17"/>
        <v>1109.346527777778</v>
      </c>
      <c r="I53" s="51">
        <f t="shared" si="17"/>
        <v>4910.7911111111116</v>
      </c>
      <c r="J53" s="51">
        <f>IF(J51=TRUE,J48,(J47*(J11/1.8)/J11))</f>
        <v>2.0974345705359823</v>
      </c>
      <c r="K53" s="51">
        <f t="shared" si="17"/>
        <v>1.337094579442635</v>
      </c>
      <c r="L53" s="43"/>
      <c r="M53" s="42"/>
    </row>
    <row r="54" spans="2:13" x14ac:dyDescent="0.35">
      <c r="B54" s="47"/>
      <c r="C54" s="47"/>
      <c r="D54" s="52"/>
      <c r="E54" s="52"/>
      <c r="F54" s="52"/>
      <c r="G54" s="52"/>
      <c r="H54" s="52"/>
      <c r="I54" s="52"/>
      <c r="J54" s="52"/>
      <c r="K54" s="52"/>
      <c r="L54" s="42"/>
      <c r="M54" s="42"/>
    </row>
    <row r="55" spans="2:13" x14ac:dyDescent="0.35">
      <c r="B55" s="47" t="s">
        <v>40</v>
      </c>
      <c r="C55" s="47"/>
      <c r="D55" s="53">
        <f t="shared" ref="D55:I55" si="18">+D53*12*D10</f>
        <v>383990444.7527402</v>
      </c>
      <c r="E55" s="53">
        <f t="shared" si="18"/>
        <v>50583402.921105146</v>
      </c>
      <c r="F55" s="53">
        <f t="shared" si="18"/>
        <v>38909401.222907282</v>
      </c>
      <c r="G55" s="53">
        <f t="shared" si="18"/>
        <v>7755108.0825861311</v>
      </c>
      <c r="H55" s="53">
        <f t="shared" si="18"/>
        <v>6424225.7423611125</v>
      </c>
      <c r="I55" s="53">
        <f t="shared" si="18"/>
        <v>2853169.6355555556</v>
      </c>
      <c r="J55" s="6">
        <v>0</v>
      </c>
      <c r="K55" s="53">
        <f>((K53*K11*12)*K25/(K25+K28))</f>
        <v>76947.701166733939</v>
      </c>
      <c r="L55" s="42">
        <f>SUM(D55:K55)</f>
        <v>490592700.05842221</v>
      </c>
      <c r="M55" s="42"/>
    </row>
    <row r="56" spans="2:13" x14ac:dyDescent="0.35">
      <c r="B56" s="47" t="s">
        <v>41</v>
      </c>
      <c r="C56" s="47"/>
      <c r="D56" s="53">
        <v>0</v>
      </c>
      <c r="E56" s="53">
        <v>0</v>
      </c>
      <c r="F56" s="53">
        <v>0</v>
      </c>
      <c r="G56" s="53">
        <v>0</v>
      </c>
      <c r="H56" s="53">
        <v>0</v>
      </c>
      <c r="I56" s="6">
        <v>0</v>
      </c>
      <c r="J56" s="53">
        <f>+J53*12*J11</f>
        <v>4361237.6512068799</v>
      </c>
      <c r="K56" s="53">
        <f>((K53*K11*12)*K28/(K25+K28))</f>
        <v>129601.32108724654</v>
      </c>
      <c r="L56" s="42">
        <f>SUM(D56:K56)</f>
        <v>4490838.9722941266</v>
      </c>
      <c r="M56" s="42"/>
    </row>
    <row r="57" spans="2:13" x14ac:dyDescent="0.35">
      <c r="B57" s="47" t="s">
        <v>42</v>
      </c>
      <c r="C57" s="47"/>
      <c r="D57" s="53">
        <f t="shared" ref="D57:G57" si="19">D36-D55-D56-D58</f>
        <v>0</v>
      </c>
      <c r="E57" s="53">
        <f t="shared" si="19"/>
        <v>0</v>
      </c>
      <c r="F57" s="53">
        <f t="shared" si="19"/>
        <v>114237307.77149695</v>
      </c>
      <c r="G57" s="53">
        <f t="shared" si="19"/>
        <v>246740385.39125448</v>
      </c>
      <c r="H57" s="53">
        <f>H36-H55-H56-H58</f>
        <v>75977209.079079494</v>
      </c>
      <c r="I57" s="53">
        <f t="shared" ref="I57:K57" si="20">I36-I55-I56-I58</f>
        <v>38127029.822190315</v>
      </c>
      <c r="J57" s="53">
        <f t="shared" si="20"/>
        <v>16610500.385931492</v>
      </c>
      <c r="K57" s="53">
        <f t="shared" si="20"/>
        <v>4238661.6377210114</v>
      </c>
      <c r="L57" s="42">
        <f>SUM(D57:K57)</f>
        <v>495931094.08767372</v>
      </c>
      <c r="M57" s="42"/>
    </row>
    <row r="58" spans="2:13" x14ac:dyDescent="0.35">
      <c r="B58" s="47" t="s">
        <v>39</v>
      </c>
      <c r="C58" s="47"/>
      <c r="D58" s="53">
        <f t="shared" ref="D58:K58" si="21">+D8</f>
        <v>0</v>
      </c>
      <c r="E58" s="53">
        <f t="shared" si="21"/>
        <v>0</v>
      </c>
      <c r="F58" s="53">
        <f t="shared" si="21"/>
        <v>0</v>
      </c>
      <c r="G58" s="53">
        <f t="shared" si="21"/>
        <v>-4646949.2218531081</v>
      </c>
      <c r="H58" s="53">
        <f t="shared" si="21"/>
        <v>-4804446.5857128939</v>
      </c>
      <c r="I58" s="53">
        <f t="shared" si="21"/>
        <v>-2418283.6184403924</v>
      </c>
      <c r="J58" s="53">
        <f t="shared" si="21"/>
        <v>0</v>
      </c>
      <c r="K58" s="53">
        <f t="shared" si="21"/>
        <v>0</v>
      </c>
      <c r="L58" s="42">
        <f>SUM(D58:K58)</f>
        <v>-11869679.426006395</v>
      </c>
      <c r="M58" s="42"/>
    </row>
    <row r="59" spans="2:13" x14ac:dyDescent="0.35">
      <c r="B59" s="50" t="s">
        <v>28</v>
      </c>
      <c r="C59" s="50"/>
      <c r="D59" s="54">
        <f>SUM(D55:D58)</f>
        <v>383990444.7527402</v>
      </c>
      <c r="E59" s="54">
        <f t="shared" ref="E59:L59" si="22">SUM(E55:E58)</f>
        <v>50583402.921105146</v>
      </c>
      <c r="F59" s="54">
        <f t="shared" si="22"/>
        <v>153146708.99440423</v>
      </c>
      <c r="G59" s="54">
        <f t="shared" si="22"/>
        <v>249848544.25198752</v>
      </c>
      <c r="H59" s="54">
        <f t="shared" si="22"/>
        <v>77596988.235727713</v>
      </c>
      <c r="I59" s="54">
        <f t="shared" si="22"/>
        <v>38561915.839305483</v>
      </c>
      <c r="J59" s="54">
        <f t="shared" si="22"/>
        <v>20971738.037138373</v>
      </c>
      <c r="K59" s="54">
        <f t="shared" si="22"/>
        <v>4445210.6599749923</v>
      </c>
      <c r="L59" s="54">
        <f t="shared" si="22"/>
        <v>979144953.69238365</v>
      </c>
      <c r="M59" s="42"/>
    </row>
    <row r="60" spans="2:13" x14ac:dyDescent="0.35">
      <c r="B60" s="55"/>
      <c r="C60" s="55"/>
      <c r="D60" s="55"/>
      <c r="E60" s="55"/>
      <c r="F60" s="55"/>
      <c r="G60" s="55"/>
      <c r="H60" s="55"/>
      <c r="I60" s="55"/>
      <c r="J60" s="55"/>
      <c r="K60" s="55"/>
      <c r="L60" s="55"/>
    </row>
    <row r="61" spans="2:13" x14ac:dyDescent="0.35">
      <c r="B61" s="30" t="str">
        <f>_xlfn.CONCAT(B5," Year Final Rates (DOS Adjusted)")</f>
        <v>2026 Year Final Rates (DOS Adjusted)</v>
      </c>
      <c r="C61"/>
      <c r="D61"/>
      <c r="E61"/>
      <c r="F61"/>
      <c r="G61"/>
      <c r="H61" s="56"/>
      <c r="I61" s="57"/>
      <c r="J61" s="57"/>
      <c r="K61"/>
      <c r="L61"/>
    </row>
    <row r="62" spans="2:13" x14ac:dyDescent="0.35">
      <c r="B62" s="30" t="s">
        <v>18</v>
      </c>
      <c r="C62" s="30"/>
      <c r="D62" s="58"/>
      <c r="E62" s="58"/>
      <c r="F62" s="58"/>
      <c r="G62" s="58"/>
      <c r="H62" s="59"/>
      <c r="I62" s="59"/>
      <c r="J62" s="58"/>
      <c r="K62" s="58"/>
      <c r="L62" s="8"/>
    </row>
    <row r="63" spans="2:13" x14ac:dyDescent="0.35">
      <c r="B63" s="30" t="s">
        <v>19</v>
      </c>
      <c r="C63" s="30"/>
      <c r="D63" s="60">
        <f t="shared" ref="D63:I63" si="23">ROUND((((D55/(D10*12))*12)/365)*30,2)</f>
        <v>50.93</v>
      </c>
      <c r="E63" s="60">
        <f t="shared" si="23"/>
        <v>41.78</v>
      </c>
      <c r="F63" s="60">
        <f t="shared" si="23"/>
        <v>43.7</v>
      </c>
      <c r="G63" s="60">
        <f t="shared" si="23"/>
        <v>63.98</v>
      </c>
      <c r="H63" s="61">
        <f t="shared" si="23"/>
        <v>1094.1500000000001</v>
      </c>
      <c r="I63" s="62">
        <f t="shared" si="23"/>
        <v>4843.5200000000004</v>
      </c>
      <c r="J63" s="63">
        <v>0</v>
      </c>
      <c r="K63" s="64">
        <f>ROUND(((((K55)/(K10*12))*12)/365)*30,2)</f>
        <v>8</v>
      </c>
      <c r="L63"/>
    </row>
    <row r="64" spans="2:13" x14ac:dyDescent="0.35">
      <c r="B64" s="30" t="s">
        <v>20</v>
      </c>
      <c r="C64" s="30"/>
      <c r="D64" s="63">
        <v>0</v>
      </c>
      <c r="E64" s="63">
        <v>0</v>
      </c>
      <c r="F64" s="63">
        <v>0</v>
      </c>
      <c r="G64" s="63">
        <v>0</v>
      </c>
      <c r="H64" s="63">
        <v>0</v>
      </c>
      <c r="I64" s="63">
        <v>0</v>
      </c>
      <c r="J64" s="65">
        <f>ROUND((((J56/(J11*12))*12)/365)*30,2)</f>
        <v>2.0699999999999998</v>
      </c>
      <c r="K64" s="66">
        <f>ROUND(((((K56)/(K11*12))*12)/365)*30,2)</f>
        <v>0.83</v>
      </c>
      <c r="L64"/>
    </row>
    <row r="65" spans="2:12" x14ac:dyDescent="0.35">
      <c r="B65" s="30" t="s">
        <v>21</v>
      </c>
      <c r="C65" s="30"/>
      <c r="D65" s="30"/>
      <c r="E65" s="30"/>
      <c r="F65" s="30"/>
      <c r="G65" s="30"/>
      <c r="H65" s="30"/>
      <c r="I65" s="67"/>
      <c r="J65" s="30"/>
      <c r="K65" s="68"/>
      <c r="L65"/>
    </row>
    <row r="66" spans="2:12" x14ac:dyDescent="0.35">
      <c r="B66" s="30" t="s">
        <v>22</v>
      </c>
      <c r="C66" s="30"/>
      <c r="D66" s="63">
        <v>0</v>
      </c>
      <c r="E66" s="63">
        <v>0</v>
      </c>
      <c r="F66" s="63">
        <v>0</v>
      </c>
      <c r="G66" s="69">
        <f>ROUND((((G57/(G12))*12)/365)*30,4)</f>
        <v>10.4664</v>
      </c>
      <c r="H66" s="69">
        <f>ROUND((((H57/(H12))*12)/365)*30,4)</f>
        <v>8.6875</v>
      </c>
      <c r="I66" s="70">
        <f>ROUND((((I57/(I12))*12)/365)*30,4)</f>
        <v>9.3948999999999998</v>
      </c>
      <c r="J66" s="71">
        <f>ROUND((((J57/(J12))*12)/365)*30,4)</f>
        <v>46.221299999999999</v>
      </c>
      <c r="K66" s="63">
        <v>0</v>
      </c>
      <c r="L66"/>
    </row>
    <row r="67" spans="2:12" x14ac:dyDescent="0.35">
      <c r="B67" s="30" t="s">
        <v>23</v>
      </c>
      <c r="C67" s="30"/>
      <c r="D67" s="63">
        <v>0</v>
      </c>
      <c r="E67" s="63">
        <v>0</v>
      </c>
      <c r="F67" s="72">
        <f>ROUND(F57/F13,5)</f>
        <v>4.7460000000000002E-2</v>
      </c>
      <c r="G67" s="63">
        <v>0</v>
      </c>
      <c r="H67" s="63">
        <v>0</v>
      </c>
      <c r="I67" s="63">
        <v>0</v>
      </c>
      <c r="J67" s="63">
        <v>0</v>
      </c>
      <c r="K67" s="73">
        <f>ROUND(K57/K13,5)</f>
        <v>0.1007</v>
      </c>
      <c r="L67"/>
    </row>
    <row r="68" spans="2:12" x14ac:dyDescent="0.35">
      <c r="B68" s="74"/>
      <c r="C68" s="74"/>
      <c r="D68" s="74"/>
      <c r="E68" s="74"/>
      <c r="F68" s="74"/>
      <c r="G68" s="74"/>
      <c r="H68" s="74"/>
      <c r="I68" s="74"/>
      <c r="J68" s="74"/>
      <c r="K68" s="74"/>
      <c r="L68" s="74"/>
    </row>
    <row r="69" spans="2:12" x14ac:dyDescent="0.35">
      <c r="B69" s="18"/>
      <c r="C69" s="18"/>
      <c r="D69" s="18"/>
      <c r="E69" s="18"/>
      <c r="F69" s="18"/>
      <c r="G69" s="75"/>
      <c r="H69" s="75"/>
      <c r="I69" s="75"/>
      <c r="J69" s="75"/>
      <c r="K69" s="75"/>
      <c r="L69" s="75"/>
    </row>
    <row r="70" spans="2:12" ht="31" x14ac:dyDescent="0.35">
      <c r="B70" s="1"/>
      <c r="C70" s="2"/>
      <c r="D70" s="3" t="str">
        <f t="shared" ref="D70:L70" si="24">D3</f>
        <v>Residential</v>
      </c>
      <c r="E70" s="3" t="str">
        <f t="shared" si="24"/>
        <v>CSMUR</v>
      </c>
      <c r="F70" s="3" t="str">
        <f t="shared" si="24"/>
        <v>GS &lt;50 kW</v>
      </c>
      <c r="G70" s="3" t="str">
        <f t="shared" si="24"/>
        <v>GS 50-999 kW</v>
      </c>
      <c r="H70" s="3" t="str">
        <f t="shared" si="24"/>
        <v>GS 1000-4999 kW</v>
      </c>
      <c r="I70" s="3" t="str">
        <f t="shared" si="24"/>
        <v>Large User</v>
      </c>
      <c r="J70" s="3" t="str">
        <f t="shared" si="24"/>
        <v>Street lighting</v>
      </c>
      <c r="K70" s="3" t="str">
        <f t="shared" si="24"/>
        <v>USL</v>
      </c>
      <c r="L70" s="4" t="str">
        <f t="shared" si="24"/>
        <v>TOTAL</v>
      </c>
    </row>
    <row r="71" spans="2:12" x14ac:dyDescent="0.35">
      <c r="B71" s="84"/>
      <c r="C71" s="84"/>
      <c r="D71" s="85"/>
      <c r="E71" s="85"/>
      <c r="F71" s="85"/>
      <c r="G71" s="85"/>
      <c r="H71" s="85"/>
      <c r="I71" s="85"/>
      <c r="J71" s="85"/>
      <c r="K71" s="85"/>
      <c r="L71" s="85"/>
    </row>
    <row r="72" spans="2:12" ht="18.5" x14ac:dyDescent="0.45">
      <c r="B72" s="7">
        <f>+B5+1</f>
        <v>2027</v>
      </c>
      <c r="C72" s="8"/>
      <c r="D72" s="9" t="s">
        <v>10</v>
      </c>
      <c r="E72" s="10"/>
      <c r="F72" s="11">
        <v>1005092294.9652318</v>
      </c>
      <c r="G72"/>
      <c r="H72"/>
      <c r="I72" s="12"/>
      <c r="J72"/>
      <c r="K72"/>
      <c r="L72"/>
    </row>
    <row r="73" spans="2:12" x14ac:dyDescent="0.35">
      <c r="B73" s="13" t="str">
        <f>+B6</f>
        <v>Tx Credit Rate</v>
      </c>
      <c r="C73" s="13"/>
      <c r="D73" s="13"/>
      <c r="E73" s="14"/>
      <c r="F73" s="14"/>
      <c r="G73" s="15">
        <f>ROUND(-0.62/30*365/12,2)</f>
        <v>-0.63</v>
      </c>
      <c r="H73" s="15">
        <f>ROUND(-0.62/30*365/12,2)</f>
        <v>-0.63</v>
      </c>
      <c r="I73" s="15">
        <f>ROUND(-0.62/30*365/12,2)</f>
        <v>-0.63</v>
      </c>
      <c r="J73" s="14"/>
      <c r="K73" s="14"/>
      <c r="L73" s="14"/>
    </row>
    <row r="74" spans="2:12" x14ac:dyDescent="0.35">
      <c r="B74" t="str">
        <f>+B7</f>
        <v>Tx Credit kVa</v>
      </c>
      <c r="C74"/>
      <c r="D74" s="16"/>
      <c r="E74" s="16"/>
      <c r="F74" s="16"/>
      <c r="G74" s="17">
        <v>7532642.3988051349</v>
      </c>
      <c r="H74" s="17">
        <v>7607965.6783447172</v>
      </c>
      <c r="I74" s="17">
        <v>3708019.2379199243</v>
      </c>
      <c r="J74" s="16"/>
      <c r="K74" s="16"/>
      <c r="L74" s="16"/>
    </row>
    <row r="75" spans="2:12" x14ac:dyDescent="0.35">
      <c r="B75" t="str">
        <f>+B8</f>
        <v>Tx Credit Dollars</v>
      </c>
      <c r="C75"/>
      <c r="D75" s="16"/>
      <c r="E75" s="16"/>
      <c r="F75" s="16"/>
      <c r="G75" s="76">
        <f>+G74*G73</f>
        <v>-4745564.7112472346</v>
      </c>
      <c r="H75" s="76">
        <f>+H74*H73</f>
        <v>-4793018.3773571718</v>
      </c>
      <c r="I75" s="76">
        <f>+I74*I73</f>
        <v>-2336052.1198895522</v>
      </c>
      <c r="J75" s="16"/>
      <c r="K75" s="16"/>
      <c r="L75" s="16"/>
    </row>
    <row r="76" spans="2:12" x14ac:dyDescent="0.35">
      <c r="B76"/>
      <c r="C76"/>
      <c r="D76" s="21"/>
      <c r="E76" s="21"/>
      <c r="F76" s="21"/>
      <c r="G76" s="21"/>
      <c r="H76" s="21"/>
      <c r="I76" s="21"/>
      <c r="J76" s="21"/>
      <c r="K76" s="21"/>
      <c r="L76"/>
    </row>
    <row r="77" spans="2:12" x14ac:dyDescent="0.35">
      <c r="B77" t="str">
        <f>B10</f>
        <v>Customer Numbers</v>
      </c>
      <c r="C77"/>
      <c r="D77" s="22">
        <v>620466.38599045761</v>
      </c>
      <c r="E77" s="22">
        <v>101359.10399594759</v>
      </c>
      <c r="F77" s="22">
        <v>73376.94292252844</v>
      </c>
      <c r="G77" s="22">
        <v>9982.3104958437161</v>
      </c>
      <c r="H77" s="22">
        <v>480.58333333333331</v>
      </c>
      <c r="I77" s="22">
        <v>47.416666666666664</v>
      </c>
      <c r="J77" s="23">
        <v>1</v>
      </c>
      <c r="K77" s="22">
        <v>791</v>
      </c>
      <c r="L77" s="24">
        <f>SUM(D77:K77)</f>
        <v>806504.74340477749</v>
      </c>
    </row>
    <row r="78" spans="2:12" x14ac:dyDescent="0.35">
      <c r="B78" t="str">
        <f>B11</f>
        <v>Connections/ Devices</v>
      </c>
      <c r="C78"/>
      <c r="D78" s="25"/>
      <c r="E78" s="25"/>
      <c r="F78" s="25"/>
      <c r="G78" s="25"/>
      <c r="H78" s="25"/>
      <c r="I78" s="25"/>
      <c r="J78" s="22">
        <v>173772.66666666677</v>
      </c>
      <c r="K78" s="22">
        <v>12873</v>
      </c>
      <c r="L78" s="24">
        <f>SUM(D78:K78)</f>
        <v>186645.66666666677</v>
      </c>
    </row>
    <row r="79" spans="2:12" x14ac:dyDescent="0.35">
      <c r="B79" t="str">
        <f>B12</f>
        <v>kVA (Including WMP)</v>
      </c>
      <c r="C79"/>
      <c r="D79" s="25"/>
      <c r="E79" s="25"/>
      <c r="F79" s="25"/>
      <c r="G79" s="22">
        <v>23188307.153777774</v>
      </c>
      <c r="H79" s="22">
        <v>8584398.5260950662</v>
      </c>
      <c r="I79" s="22">
        <v>3918231.3653509575</v>
      </c>
      <c r="J79" s="22">
        <v>345448.49084214307</v>
      </c>
      <c r="K79" s="25"/>
      <c r="L79" s="24">
        <f>SUM(D79:K79)</f>
        <v>36036385.536065936</v>
      </c>
    </row>
    <row r="80" spans="2:12" x14ac:dyDescent="0.35">
      <c r="B80" s="18" t="str">
        <f>B13</f>
        <v>kWh (Excluding WMP; Including line losses)</v>
      </c>
      <c r="C80" s="18"/>
      <c r="D80" s="26">
        <v>5022637621.5585833</v>
      </c>
      <c r="E80" s="26">
        <v>360341615.91214514</v>
      </c>
      <c r="F80" s="26">
        <v>2436888150.7262273</v>
      </c>
      <c r="G80" s="27">
        <v>9535907421.5028515</v>
      </c>
      <c r="H80" s="27">
        <v>4006656606.7733412</v>
      </c>
      <c r="I80" s="27">
        <v>1531260208.3059421</v>
      </c>
      <c r="J80" s="27">
        <v>118890846.22181763</v>
      </c>
      <c r="K80" s="26">
        <v>42090115.886468768</v>
      </c>
      <c r="L80" s="28">
        <f>SUM(D80:K80)</f>
        <v>23054672586.887375</v>
      </c>
    </row>
    <row r="81" spans="2:12" x14ac:dyDescent="0.35">
      <c r="B81"/>
      <c r="C81"/>
      <c r="D81" s="29"/>
      <c r="E81" s="29"/>
      <c r="F81" s="29"/>
      <c r="G81" s="29"/>
      <c r="H81" s="29"/>
      <c r="I81" s="29"/>
      <c r="J81" s="29"/>
      <c r="K81" s="29"/>
      <c r="L81"/>
    </row>
    <row r="82" spans="2:12" x14ac:dyDescent="0.35">
      <c r="B82" s="30" t="str">
        <f>_xlfn.CONCAT("Rates Prior Year - ",B72-1)</f>
        <v>Rates Prior Year - 2026</v>
      </c>
      <c r="C82"/>
      <c r="D82" s="29"/>
      <c r="E82" s="29"/>
      <c r="F82" s="29"/>
      <c r="G82" s="29"/>
      <c r="H82" s="29"/>
      <c r="I82" s="29"/>
      <c r="J82" s="29"/>
      <c r="K82" s="29"/>
      <c r="L82"/>
    </row>
    <row r="83" spans="2:12" x14ac:dyDescent="0.35">
      <c r="B83" s="31" t="s">
        <v>18</v>
      </c>
      <c r="C83" s="31"/>
      <c r="D83" s="32"/>
      <c r="E83" s="32"/>
      <c r="F83" s="32"/>
      <c r="G83" s="32"/>
      <c r="H83" s="33"/>
      <c r="I83" s="33"/>
      <c r="J83" s="32"/>
      <c r="K83" s="32"/>
      <c r="L83"/>
    </row>
    <row r="84" spans="2:12" x14ac:dyDescent="0.35">
      <c r="B84" s="31" t="s">
        <v>19</v>
      </c>
      <c r="C84" s="31"/>
      <c r="D84" s="34">
        <f t="shared" ref="D84:K85" si="25">+D63</f>
        <v>50.93</v>
      </c>
      <c r="E84" s="34">
        <f t="shared" si="25"/>
        <v>41.78</v>
      </c>
      <c r="F84" s="34">
        <f t="shared" si="25"/>
        <v>43.7</v>
      </c>
      <c r="G84" s="34">
        <f t="shared" si="25"/>
        <v>63.98</v>
      </c>
      <c r="H84" s="34">
        <f t="shared" si="25"/>
        <v>1094.1500000000001</v>
      </c>
      <c r="I84" s="34">
        <f t="shared" si="25"/>
        <v>4843.5200000000004</v>
      </c>
      <c r="J84" s="35">
        <f t="shared" si="25"/>
        <v>0</v>
      </c>
      <c r="K84" s="34">
        <f t="shared" si="25"/>
        <v>8</v>
      </c>
      <c r="L84"/>
    </row>
    <row r="85" spans="2:12" x14ac:dyDescent="0.35">
      <c r="B85" s="31" t="s">
        <v>20</v>
      </c>
      <c r="C85" s="31"/>
      <c r="D85" s="35">
        <f t="shared" si="25"/>
        <v>0</v>
      </c>
      <c r="E85" s="35">
        <f t="shared" si="25"/>
        <v>0</v>
      </c>
      <c r="F85" s="35">
        <f t="shared" si="25"/>
        <v>0</v>
      </c>
      <c r="G85" s="35">
        <f t="shared" si="25"/>
        <v>0</v>
      </c>
      <c r="H85" s="35">
        <f t="shared" si="25"/>
        <v>0</v>
      </c>
      <c r="I85" s="35">
        <f t="shared" si="25"/>
        <v>0</v>
      </c>
      <c r="J85" s="36">
        <f t="shared" si="25"/>
        <v>2.0699999999999998</v>
      </c>
      <c r="K85" s="36">
        <f t="shared" si="25"/>
        <v>0.83</v>
      </c>
      <c r="L85"/>
    </row>
    <row r="86" spans="2:12" x14ac:dyDescent="0.35">
      <c r="B86" s="31" t="s">
        <v>21</v>
      </c>
      <c r="C86" s="31"/>
      <c r="D86" s="31"/>
      <c r="E86" s="31"/>
      <c r="F86" s="31"/>
      <c r="G86" s="31"/>
      <c r="H86" s="31"/>
      <c r="I86" s="37"/>
      <c r="J86" s="31"/>
      <c r="K86" s="38"/>
      <c r="L86"/>
    </row>
    <row r="87" spans="2:12" x14ac:dyDescent="0.35">
      <c r="B87" s="31" t="s">
        <v>22</v>
      </c>
      <c r="C87" s="31"/>
      <c r="D87" s="35">
        <f t="shared" ref="D87:K88" si="26">+D66</f>
        <v>0</v>
      </c>
      <c r="E87" s="35">
        <f t="shared" si="26"/>
        <v>0</v>
      </c>
      <c r="F87" s="35">
        <f t="shared" si="26"/>
        <v>0</v>
      </c>
      <c r="G87" s="39">
        <f t="shared" si="26"/>
        <v>10.4664</v>
      </c>
      <c r="H87" s="39">
        <f t="shared" si="26"/>
        <v>8.6875</v>
      </c>
      <c r="I87" s="39">
        <f t="shared" si="26"/>
        <v>9.3948999999999998</v>
      </c>
      <c r="J87" s="39">
        <f t="shared" si="26"/>
        <v>46.221299999999999</v>
      </c>
      <c r="K87" s="35">
        <f t="shared" si="26"/>
        <v>0</v>
      </c>
      <c r="L87"/>
    </row>
    <row r="88" spans="2:12" x14ac:dyDescent="0.35">
      <c r="B88" s="31" t="s">
        <v>23</v>
      </c>
      <c r="C88" s="31"/>
      <c r="D88" s="35">
        <f t="shared" si="26"/>
        <v>0</v>
      </c>
      <c r="E88" s="35">
        <f t="shared" si="26"/>
        <v>0</v>
      </c>
      <c r="F88" s="40">
        <f t="shared" si="26"/>
        <v>4.7460000000000002E-2</v>
      </c>
      <c r="G88" s="35">
        <f t="shared" si="26"/>
        <v>0</v>
      </c>
      <c r="H88" s="35">
        <f t="shared" si="26"/>
        <v>0</v>
      </c>
      <c r="I88" s="35">
        <f t="shared" si="26"/>
        <v>0</v>
      </c>
      <c r="J88" s="35">
        <f t="shared" si="26"/>
        <v>0</v>
      </c>
      <c r="K88" s="40">
        <f t="shared" si="26"/>
        <v>0.1007</v>
      </c>
      <c r="L88"/>
    </row>
    <row r="89" spans="2:12" x14ac:dyDescent="0.35">
      <c r="B89" s="18"/>
      <c r="C89" s="18"/>
      <c r="D89" s="41"/>
      <c r="E89" s="41"/>
      <c r="F89" s="41"/>
      <c r="G89" s="41"/>
      <c r="H89" s="41"/>
      <c r="I89" s="41"/>
      <c r="J89" s="41"/>
      <c r="K89" s="41"/>
      <c r="L89" s="18"/>
    </row>
    <row r="90" spans="2:12" x14ac:dyDescent="0.35">
      <c r="B90"/>
      <c r="C90"/>
      <c r="D90" s="29"/>
      <c r="E90" s="29"/>
      <c r="F90" s="29"/>
      <c r="G90" s="29"/>
      <c r="H90" s="29"/>
      <c r="I90" s="29"/>
      <c r="J90" s="29"/>
      <c r="K90" s="29"/>
      <c r="L90"/>
    </row>
    <row r="91" spans="2:12" x14ac:dyDescent="0.35">
      <c r="B91" s="30" t="str">
        <f>_xlfn.CONCAT("Revenue based on ",B72-1," rates and ",B72," load/ customer")</f>
        <v>Revenue based on 2026 rates and 2027 load/ customer</v>
      </c>
      <c r="C91"/>
      <c r="D91" s="29"/>
      <c r="E91" s="29"/>
      <c r="F91" s="29"/>
      <c r="G91" s="29"/>
      <c r="H91" s="29"/>
      <c r="I91" s="29"/>
      <c r="J91" s="29"/>
      <c r="K91" s="29"/>
      <c r="L91"/>
    </row>
    <row r="92" spans="2:12" x14ac:dyDescent="0.35">
      <c r="B92" t="s">
        <v>18</v>
      </c>
      <c r="C92"/>
      <c r="D92" s="42">
        <f t="shared" ref="D92:K92" si="27">D84/30*365*D77</f>
        <v>384470961.96834373</v>
      </c>
      <c r="E92" s="42">
        <f t="shared" si="27"/>
        <v>51523197.606900066</v>
      </c>
      <c r="F92" s="42">
        <f t="shared" si="27"/>
        <v>39013297.602859668</v>
      </c>
      <c r="G92" s="42">
        <f t="shared" si="27"/>
        <v>7770463.4105429854</v>
      </c>
      <c r="H92" s="42">
        <f t="shared" si="27"/>
        <v>6397601.4256944451</v>
      </c>
      <c r="I92" s="42">
        <f t="shared" si="27"/>
        <v>2794240.1422222224</v>
      </c>
      <c r="J92" s="42">
        <f t="shared" si="27"/>
        <v>0</v>
      </c>
      <c r="K92" s="42">
        <f t="shared" si="27"/>
        <v>76990.666666666657</v>
      </c>
      <c r="L92" s="42">
        <f>SUM(D92:K92)</f>
        <v>492046752.82322985</v>
      </c>
    </row>
    <row r="93" spans="2:12" x14ac:dyDescent="0.35">
      <c r="B93" t="s">
        <v>24</v>
      </c>
      <c r="C93"/>
      <c r="D93" s="42">
        <f t="shared" ref="D93:K93" si="28">D88*D80</f>
        <v>0</v>
      </c>
      <c r="E93" s="42">
        <f t="shared" si="28"/>
        <v>0</v>
      </c>
      <c r="F93" s="42">
        <f t="shared" si="28"/>
        <v>115654711.63346675</v>
      </c>
      <c r="G93" s="42">
        <f t="shared" si="28"/>
        <v>0</v>
      </c>
      <c r="H93" s="42">
        <f t="shared" si="28"/>
        <v>0</v>
      </c>
      <c r="I93" s="42">
        <f t="shared" si="28"/>
        <v>0</v>
      </c>
      <c r="J93" s="42">
        <f t="shared" si="28"/>
        <v>0</v>
      </c>
      <c r="K93" s="42">
        <f t="shared" si="28"/>
        <v>4238474.6697674049</v>
      </c>
      <c r="L93" s="42">
        <f t="shared" ref="L93:L98" si="29">SUM(D93:K93)</f>
        <v>119893186.30323416</v>
      </c>
    </row>
    <row r="94" spans="2:12" x14ac:dyDescent="0.35">
      <c r="B94" t="s">
        <v>25</v>
      </c>
      <c r="C94"/>
      <c r="D94" s="42">
        <f t="shared" ref="D94:K94" si="30">D87*D79/360*365</f>
        <v>0</v>
      </c>
      <c r="E94" s="42">
        <f t="shared" si="30"/>
        <v>0</v>
      </c>
      <c r="F94" s="42">
        <f t="shared" si="30"/>
        <v>0</v>
      </c>
      <c r="G94" s="42">
        <f t="shared" si="30"/>
        <v>246068904.91088721</v>
      </c>
      <c r="H94" s="42">
        <f t="shared" si="30"/>
        <v>75612753.337054372</v>
      </c>
      <c r="I94" s="42">
        <f t="shared" si="30"/>
        <v>37322661.18564593</v>
      </c>
      <c r="J94" s="42">
        <f t="shared" si="30"/>
        <v>16188843.306564195</v>
      </c>
      <c r="K94" s="42">
        <f t="shared" si="30"/>
        <v>0</v>
      </c>
      <c r="L94" s="42">
        <f t="shared" si="29"/>
        <v>375193162.74015176</v>
      </c>
    </row>
    <row r="95" spans="2:12" x14ac:dyDescent="0.35">
      <c r="B95" t="s">
        <v>26</v>
      </c>
      <c r="C95"/>
      <c r="D95" s="42">
        <f t="shared" ref="D95:K95" si="31">D85/30*365*D78</f>
        <v>0</v>
      </c>
      <c r="E95" s="42">
        <f t="shared" si="31"/>
        <v>0</v>
      </c>
      <c r="F95" s="42">
        <f t="shared" si="31"/>
        <v>0</v>
      </c>
      <c r="G95" s="42">
        <f t="shared" si="31"/>
        <v>0</v>
      </c>
      <c r="H95" s="42">
        <f t="shared" si="31"/>
        <v>0</v>
      </c>
      <c r="I95" s="42">
        <f t="shared" si="31"/>
        <v>0</v>
      </c>
      <c r="J95" s="42">
        <f t="shared" si="31"/>
        <v>4376464.6100000022</v>
      </c>
      <c r="K95" s="42">
        <f t="shared" si="31"/>
        <v>129995.84499999999</v>
      </c>
      <c r="L95" s="42">
        <f t="shared" si="29"/>
        <v>4506460.4550000019</v>
      </c>
    </row>
    <row r="96" spans="2:12" x14ac:dyDescent="0.35">
      <c r="B96" t="s">
        <v>9</v>
      </c>
      <c r="C96"/>
      <c r="D96" s="42">
        <f>SUM(D92:D95)</f>
        <v>384470961.96834373</v>
      </c>
      <c r="E96" s="42">
        <f t="shared" ref="E96:K96" si="32">SUM(E92:E95)</f>
        <v>51523197.606900066</v>
      </c>
      <c r="F96" s="42">
        <f t="shared" si="32"/>
        <v>154668009.23632643</v>
      </c>
      <c r="G96" s="42">
        <f t="shared" si="32"/>
        <v>253839368.32143021</v>
      </c>
      <c r="H96" s="42">
        <f t="shared" si="32"/>
        <v>82010354.762748823</v>
      </c>
      <c r="I96" s="42">
        <f t="shared" si="32"/>
        <v>40116901.327868156</v>
      </c>
      <c r="J96" s="42">
        <f t="shared" si="32"/>
        <v>20565307.916564196</v>
      </c>
      <c r="K96" s="42">
        <f t="shared" si="32"/>
        <v>4445461.1814340716</v>
      </c>
      <c r="L96" s="42">
        <f t="shared" si="29"/>
        <v>991639562.3216157</v>
      </c>
    </row>
    <row r="97" spans="2:12" x14ac:dyDescent="0.35">
      <c r="B97" t="s">
        <v>27</v>
      </c>
      <c r="C97"/>
      <c r="D97" s="42">
        <f t="shared" ref="D97:K97" si="33">D75</f>
        <v>0</v>
      </c>
      <c r="E97" s="42">
        <f t="shared" si="33"/>
        <v>0</v>
      </c>
      <c r="F97" s="42">
        <f t="shared" si="33"/>
        <v>0</v>
      </c>
      <c r="G97" s="42">
        <f t="shared" si="33"/>
        <v>-4745564.7112472346</v>
      </c>
      <c r="H97" s="42">
        <f t="shared" si="33"/>
        <v>-4793018.3773571718</v>
      </c>
      <c r="I97" s="42">
        <f t="shared" si="33"/>
        <v>-2336052.1198895522</v>
      </c>
      <c r="J97" s="42">
        <f t="shared" si="33"/>
        <v>0</v>
      </c>
      <c r="K97" s="42">
        <f t="shared" si="33"/>
        <v>0</v>
      </c>
      <c r="L97" s="42">
        <f t="shared" si="29"/>
        <v>-11874635.208493957</v>
      </c>
    </row>
    <row r="98" spans="2:12" x14ac:dyDescent="0.35">
      <c r="B98" s="18" t="s">
        <v>28</v>
      </c>
      <c r="C98" s="18"/>
      <c r="D98" s="43">
        <f>SUM(D96:D97)</f>
        <v>384470961.96834373</v>
      </c>
      <c r="E98" s="43">
        <f t="shared" ref="E98:K98" si="34">SUM(E96:E97)</f>
        <v>51523197.606900066</v>
      </c>
      <c r="F98" s="43">
        <f t="shared" si="34"/>
        <v>154668009.23632643</v>
      </c>
      <c r="G98" s="43">
        <f t="shared" si="34"/>
        <v>249093803.61018297</v>
      </c>
      <c r="H98" s="43">
        <f t="shared" si="34"/>
        <v>77217336.385391653</v>
      </c>
      <c r="I98" s="43">
        <f t="shared" si="34"/>
        <v>37780849.207978606</v>
      </c>
      <c r="J98" s="43">
        <f t="shared" si="34"/>
        <v>20565307.916564196</v>
      </c>
      <c r="K98" s="43">
        <f t="shared" si="34"/>
        <v>4445461.1814340716</v>
      </c>
      <c r="L98" s="43">
        <f t="shared" si="29"/>
        <v>979764927.11312175</v>
      </c>
    </row>
    <row r="99" spans="2:12" x14ac:dyDescent="0.35">
      <c r="B99"/>
      <c r="C99"/>
      <c r="D99" s="42"/>
      <c r="E99" s="42"/>
      <c r="F99" s="42"/>
      <c r="G99" s="42"/>
      <c r="H99" s="42"/>
      <c r="I99" s="42"/>
      <c r="J99" s="42"/>
      <c r="K99" s="42"/>
      <c r="L99" s="42"/>
    </row>
    <row r="100" spans="2:12" x14ac:dyDescent="0.35">
      <c r="B100" t="str">
        <f>_xlfn.CONCAT(B72, " Revenue Requirement")</f>
        <v>2027 Revenue Requirement</v>
      </c>
      <c r="C100"/>
      <c r="D100" s="42"/>
      <c r="E100" s="42"/>
      <c r="F100" s="42"/>
      <c r="G100" s="42"/>
      <c r="H100" s="42"/>
      <c r="I100" s="42"/>
      <c r="J100" s="42"/>
      <c r="K100" s="42"/>
      <c r="L100" s="42">
        <f>F72</f>
        <v>1005092294.9652318</v>
      </c>
    </row>
    <row r="101" spans="2:12" x14ac:dyDescent="0.35">
      <c r="B101" t="s">
        <v>29</v>
      </c>
      <c r="C101"/>
      <c r="D101" s="42"/>
      <c r="E101" s="42"/>
      <c r="F101" s="42"/>
      <c r="G101" s="42"/>
      <c r="H101" s="42"/>
      <c r="I101" s="42"/>
      <c r="J101" s="42"/>
      <c r="K101" s="42"/>
      <c r="L101" s="42">
        <f>L100-L98</f>
        <v>25327367.852110028</v>
      </c>
    </row>
    <row r="102" spans="2:12" x14ac:dyDescent="0.35">
      <c r="B102" s="18" t="s">
        <v>30</v>
      </c>
      <c r="C102" s="18"/>
      <c r="D102" s="43"/>
      <c r="E102" s="43"/>
      <c r="F102" s="43"/>
      <c r="G102" s="43"/>
      <c r="H102" s="43"/>
      <c r="I102" s="43"/>
      <c r="J102" s="43"/>
      <c r="K102" s="43"/>
      <c r="L102" s="44">
        <f>L100/L98</f>
        <v>1.0258504536662045</v>
      </c>
    </row>
    <row r="103" spans="2:12" x14ac:dyDescent="0.35">
      <c r="B103" s="45" t="s">
        <v>31</v>
      </c>
      <c r="C103" s="45"/>
      <c r="D103" s="46">
        <f>D98*$L102</f>
        <v>394409710.75670749</v>
      </c>
      <c r="E103" s="46">
        <f t="shared" ref="E103:K103" si="35">E98*$L102</f>
        <v>52855095.639371939</v>
      </c>
      <c r="F103" s="46">
        <f t="shared" si="35"/>
        <v>158666247.44273418</v>
      </c>
      <c r="G103" s="46">
        <f t="shared" si="35"/>
        <v>255532991.43894666</v>
      </c>
      <c r="H103" s="46">
        <f t="shared" si="35"/>
        <v>79213439.561849952</v>
      </c>
      <c r="I103" s="46">
        <f t="shared" si="35"/>
        <v>38757501.299899317</v>
      </c>
      <c r="J103" s="46">
        <f t="shared" si="35"/>
        <v>21096930.455992568</v>
      </c>
      <c r="K103" s="46">
        <f t="shared" si="35"/>
        <v>4560378.3697296437</v>
      </c>
      <c r="L103" s="46">
        <f>SUM(D103:K103)</f>
        <v>1005092294.9652318</v>
      </c>
    </row>
    <row r="104" spans="2:12" x14ac:dyDescent="0.35">
      <c r="B104"/>
      <c r="C104"/>
      <c r="D104" s="42"/>
      <c r="E104" s="42"/>
      <c r="F104" s="42"/>
      <c r="G104" s="42"/>
      <c r="H104" s="42"/>
      <c r="I104" s="42"/>
      <c r="J104" s="42"/>
      <c r="K104" s="42"/>
      <c r="L104" s="42"/>
    </row>
    <row r="105" spans="2:12" x14ac:dyDescent="0.35">
      <c r="B105" s="30" t="str">
        <f>_xlfn.CONCAT("Esclated Rates ",B72)</f>
        <v>Esclated Rates 2027</v>
      </c>
      <c r="C105"/>
      <c r="D105" s="29"/>
      <c r="E105" s="29"/>
      <c r="F105" s="29"/>
      <c r="G105" s="29"/>
      <c r="H105" s="29"/>
      <c r="I105" s="29"/>
      <c r="J105" s="29"/>
      <c r="K105" s="29"/>
      <c r="L105"/>
    </row>
    <row r="106" spans="2:12" x14ac:dyDescent="0.35">
      <c r="B106" s="31" t="s">
        <v>18</v>
      </c>
      <c r="C106" s="31"/>
      <c r="D106" s="32"/>
      <c r="E106" s="32"/>
      <c r="F106" s="32"/>
      <c r="G106" s="32"/>
      <c r="H106" s="33"/>
      <c r="I106" s="33"/>
      <c r="J106" s="32"/>
      <c r="K106" s="32"/>
      <c r="L106"/>
    </row>
    <row r="107" spans="2:12" x14ac:dyDescent="0.35">
      <c r="B107" s="31" t="s">
        <v>19</v>
      </c>
      <c r="C107" s="31"/>
      <c r="D107" s="34">
        <f>D84*$L102</f>
        <v>52.246563605219798</v>
      </c>
      <c r="E107" s="34">
        <f t="shared" ref="E107:K107" si="36">E84*$L102</f>
        <v>42.860031954174026</v>
      </c>
      <c r="F107" s="34">
        <f t="shared" si="36"/>
        <v>44.829664825213143</v>
      </c>
      <c r="G107" s="34">
        <f t="shared" si="36"/>
        <v>65.63391202556376</v>
      </c>
      <c r="H107" s="34">
        <f t="shared" si="36"/>
        <v>1122.4342738788778</v>
      </c>
      <c r="I107" s="34">
        <f t="shared" si="36"/>
        <v>4968.7271893413354</v>
      </c>
      <c r="J107" s="35">
        <f t="shared" si="36"/>
        <v>0</v>
      </c>
      <c r="K107" s="34">
        <f t="shared" si="36"/>
        <v>8.2068036293296363</v>
      </c>
      <c r="L107"/>
    </row>
    <row r="108" spans="2:12" x14ac:dyDescent="0.35">
      <c r="B108" s="31" t="s">
        <v>20</v>
      </c>
      <c r="C108" s="31"/>
      <c r="D108" s="35">
        <f>D85*$L102</f>
        <v>0</v>
      </c>
      <c r="E108" s="35">
        <f t="shared" ref="E108:K108" si="37">E85*$L102</f>
        <v>0</v>
      </c>
      <c r="F108" s="35">
        <f t="shared" si="37"/>
        <v>0</v>
      </c>
      <c r="G108" s="35">
        <f t="shared" si="37"/>
        <v>0</v>
      </c>
      <c r="H108" s="35">
        <f t="shared" si="37"/>
        <v>0</v>
      </c>
      <c r="I108" s="35">
        <f t="shared" si="37"/>
        <v>0</v>
      </c>
      <c r="J108" s="36">
        <f t="shared" si="37"/>
        <v>2.1235104390890434</v>
      </c>
      <c r="K108" s="36">
        <f t="shared" si="37"/>
        <v>0.85145587654294974</v>
      </c>
      <c r="L108"/>
    </row>
    <row r="109" spans="2:12" x14ac:dyDescent="0.35">
      <c r="B109" s="31" t="s">
        <v>21</v>
      </c>
      <c r="C109" s="31"/>
      <c r="D109" s="31"/>
      <c r="E109" s="31"/>
      <c r="F109" s="31"/>
      <c r="G109" s="31"/>
      <c r="H109" s="31"/>
      <c r="I109" s="37"/>
      <c r="J109" s="31"/>
      <c r="K109" s="38"/>
      <c r="L109"/>
    </row>
    <row r="110" spans="2:12" x14ac:dyDescent="0.35">
      <c r="B110" s="31" t="s">
        <v>22</v>
      </c>
      <c r="C110" s="31"/>
      <c r="D110" s="35">
        <f>D87*$L102</f>
        <v>0</v>
      </c>
      <c r="E110" s="35">
        <f t="shared" ref="E110:K110" si="38">E87*$L102</f>
        <v>0</v>
      </c>
      <c r="F110" s="35">
        <f t="shared" si="38"/>
        <v>0</v>
      </c>
      <c r="G110" s="39">
        <f t="shared" si="38"/>
        <v>10.736961188251962</v>
      </c>
      <c r="H110" s="39">
        <f t="shared" si="38"/>
        <v>8.9120758162251512</v>
      </c>
      <c r="I110" s="39">
        <f t="shared" si="38"/>
        <v>9.6377624271486244</v>
      </c>
      <c r="J110" s="39">
        <f t="shared" si="38"/>
        <v>47.416141574041738</v>
      </c>
      <c r="K110" s="35">
        <f t="shared" si="38"/>
        <v>0</v>
      </c>
      <c r="L110"/>
    </row>
    <row r="111" spans="2:12" x14ac:dyDescent="0.35">
      <c r="B111" s="31" t="s">
        <v>23</v>
      </c>
      <c r="C111" s="31"/>
      <c r="D111" s="35">
        <f>D88*$L102</f>
        <v>0</v>
      </c>
      <c r="E111" s="35">
        <f t="shared" ref="E111:K111" si="39">E88*$L102</f>
        <v>0</v>
      </c>
      <c r="F111" s="40">
        <f t="shared" si="39"/>
        <v>4.8686862530998069E-2</v>
      </c>
      <c r="G111" s="35">
        <f t="shared" si="39"/>
        <v>0</v>
      </c>
      <c r="H111" s="35">
        <f t="shared" si="39"/>
        <v>0</v>
      </c>
      <c r="I111" s="35">
        <f t="shared" si="39"/>
        <v>0</v>
      </c>
      <c r="J111" s="35">
        <f t="shared" si="39"/>
        <v>0</v>
      </c>
      <c r="K111" s="40">
        <f t="shared" si="39"/>
        <v>0.10330314068418679</v>
      </c>
      <c r="L111"/>
    </row>
    <row r="112" spans="2:12" x14ac:dyDescent="0.35">
      <c r="B112"/>
      <c r="C112"/>
      <c r="D112" s="42"/>
      <c r="E112" s="42"/>
      <c r="F112" s="42"/>
      <c r="G112" s="42"/>
      <c r="H112" s="42"/>
      <c r="I112" s="42"/>
      <c r="J112" s="42"/>
      <c r="K112" s="42"/>
      <c r="L112" s="42"/>
    </row>
    <row r="113" spans="2:13" x14ac:dyDescent="0.35">
      <c r="B113" s="30" t="s">
        <v>32</v>
      </c>
      <c r="C113"/>
      <c r="D113" s="42"/>
      <c r="E113" s="42"/>
      <c r="F113" s="42"/>
      <c r="G113" s="42"/>
      <c r="H113" s="42"/>
      <c r="I113" s="42"/>
      <c r="J113" s="42"/>
      <c r="K113" s="42"/>
      <c r="L113" s="42"/>
    </row>
    <row r="114" spans="2:13" x14ac:dyDescent="0.35">
      <c r="B114" s="47">
        <f>B72</f>
        <v>2027</v>
      </c>
      <c r="C114" s="47"/>
      <c r="D114" s="48">
        <f t="shared" ref="D114:I114" si="40">D107/30*365/12</f>
        <v>52.972210321958961</v>
      </c>
      <c r="E114" s="48">
        <f t="shared" si="40"/>
        <v>43.455310175759784</v>
      </c>
      <c r="F114" s="48">
        <f t="shared" si="40"/>
        <v>45.452299058896649</v>
      </c>
      <c r="G114" s="48">
        <f t="shared" si="40"/>
        <v>66.545494137029934</v>
      </c>
      <c r="H114" s="48">
        <f t="shared" si="40"/>
        <v>1138.0236387938623</v>
      </c>
      <c r="I114" s="48">
        <f t="shared" si="40"/>
        <v>5037.7372891932982</v>
      </c>
      <c r="J114" s="48">
        <f>(J108*J78/(J78/1.8)/30*365/12)</f>
        <v>3.8754065513375049</v>
      </c>
      <c r="K114" s="48">
        <f>((K108/30*365*K78)+(K107/30*365*K77))/K78/12</f>
        <v>1.3745643782596335</v>
      </c>
      <c r="L114" s="42"/>
      <c r="M114" s="42"/>
    </row>
    <row r="115" spans="2:13" x14ac:dyDescent="0.35">
      <c r="B115" s="47">
        <f>B114-1</f>
        <v>2026</v>
      </c>
      <c r="C115" s="47"/>
      <c r="D115" s="48">
        <f t="shared" ref="D115:I115" si="41">D84/30*365/12</f>
        <v>51.637361111111112</v>
      </c>
      <c r="E115" s="48">
        <f t="shared" si="41"/>
        <v>42.360277777777782</v>
      </c>
      <c r="F115" s="48">
        <f t="shared" si="41"/>
        <v>44.306944444444447</v>
      </c>
      <c r="G115" s="48">
        <f t="shared" si="41"/>
        <v>64.868611111111122</v>
      </c>
      <c r="H115" s="48">
        <f t="shared" si="41"/>
        <v>1109.346527777778</v>
      </c>
      <c r="I115" s="48">
        <f t="shared" si="41"/>
        <v>4910.7911111111116</v>
      </c>
      <c r="J115" s="48">
        <f>(J85*J11/(J11/1.8)/30*365/12)</f>
        <v>3.7777499999999997</v>
      </c>
      <c r="K115" s="48">
        <f>((K85/30*365*K11)+(K84/30*365*K10))/K11/12</f>
        <v>1.3399266660624736</v>
      </c>
      <c r="L115" s="42"/>
      <c r="M115" s="42"/>
    </row>
    <row r="116" spans="2:13" x14ac:dyDescent="0.35">
      <c r="B116" s="47" t="s">
        <v>33</v>
      </c>
      <c r="C116" s="47"/>
      <c r="D116" s="48">
        <f t="shared" ref="D116:K117" si="42">+D49</f>
        <v>22.528549376511233</v>
      </c>
      <c r="E116" s="48">
        <f t="shared" si="42"/>
        <v>18.124035156451161</v>
      </c>
      <c r="F116" s="48">
        <f t="shared" si="42"/>
        <v>37.108762718968784</v>
      </c>
      <c r="G116" s="48">
        <f t="shared" si="42"/>
        <v>81.963017722679282</v>
      </c>
      <c r="H116" s="48">
        <f t="shared" si="42"/>
        <v>155.54195945741739</v>
      </c>
      <c r="I116" s="48">
        <f t="shared" si="42"/>
        <v>503.19092839543282</v>
      </c>
      <c r="J116" s="48">
        <f t="shared" si="42"/>
        <v>6.0847383893711786</v>
      </c>
      <c r="K116" s="48">
        <f t="shared" si="42"/>
        <v>8.6693404109514649</v>
      </c>
      <c r="L116" s="42"/>
      <c r="M116" s="42"/>
    </row>
    <row r="117" spans="2:13" x14ac:dyDescent="0.35">
      <c r="B117" s="47" t="s">
        <v>34</v>
      </c>
      <c r="C117" s="47"/>
      <c r="D117" s="48">
        <f t="shared" si="42"/>
        <v>6.3750532244949163</v>
      </c>
      <c r="E117" s="48">
        <f t="shared" si="42"/>
        <v>4.0621972308346725</v>
      </c>
      <c r="F117" s="48">
        <f t="shared" si="42"/>
        <v>14.194360131758557</v>
      </c>
      <c r="G117" s="48">
        <f t="shared" si="42"/>
        <v>30.276193332111479</v>
      </c>
      <c r="H117" s="48">
        <f t="shared" si="42"/>
        <v>42.753267433655815</v>
      </c>
      <c r="I117" s="48">
        <f t="shared" si="42"/>
        <v>152.04947841163616</v>
      </c>
      <c r="J117" s="48">
        <f t="shared" si="42"/>
        <v>0.57433021012311625</v>
      </c>
      <c r="K117" s="48">
        <f t="shared" si="42"/>
        <v>0.7005196485277172</v>
      </c>
      <c r="L117" s="42"/>
      <c r="M117" s="42"/>
    </row>
    <row r="118" spans="2:13" x14ac:dyDescent="0.35">
      <c r="B118" s="47" t="s">
        <v>35</v>
      </c>
      <c r="C118" s="47"/>
      <c r="D118" s="49" t="s">
        <v>36</v>
      </c>
      <c r="E118" s="49" t="s">
        <v>36</v>
      </c>
      <c r="F118" s="49" t="b">
        <f t="shared" ref="F118:H118" si="43">OR(F114&gt;F116)</f>
        <v>1</v>
      </c>
      <c r="G118" s="49" t="b">
        <f t="shared" si="43"/>
        <v>0</v>
      </c>
      <c r="H118" s="49" t="b">
        <f t="shared" si="43"/>
        <v>1</v>
      </c>
      <c r="I118" s="49" t="b">
        <f>OR(I114&gt;I116)</f>
        <v>1</v>
      </c>
      <c r="J118" s="49" t="b">
        <f>OR(J114&gt;J116)</f>
        <v>0</v>
      </c>
      <c r="K118" s="49" t="b">
        <f>OR(K114&gt;K116)</f>
        <v>0</v>
      </c>
      <c r="L118" s="42"/>
      <c r="M118" s="42"/>
    </row>
    <row r="119" spans="2:13" x14ac:dyDescent="0.35">
      <c r="B119" s="47" t="s">
        <v>37</v>
      </c>
      <c r="C119" s="47"/>
      <c r="D119" s="49" t="s">
        <v>36</v>
      </c>
      <c r="E119" s="49" t="s">
        <v>36</v>
      </c>
      <c r="F119" s="49" t="b">
        <f t="shared" ref="F119:H119" si="44">OR(F114&lt;F117)</f>
        <v>0</v>
      </c>
      <c r="G119" s="49" t="b">
        <f t="shared" si="44"/>
        <v>0</v>
      </c>
      <c r="H119" s="49" t="b">
        <f t="shared" si="44"/>
        <v>0</v>
      </c>
      <c r="I119" s="49" t="b">
        <f>OR(I114&lt;I117)</f>
        <v>0</v>
      </c>
      <c r="J119" s="49" t="b">
        <f>OR(J114&lt;J117)</f>
        <v>0</v>
      </c>
      <c r="K119" s="49" t="b">
        <f>OR(K114&lt;K117)</f>
        <v>0</v>
      </c>
      <c r="L119" s="42"/>
      <c r="M119" s="42"/>
    </row>
    <row r="120" spans="2:13" x14ac:dyDescent="0.35">
      <c r="B120" s="50" t="s">
        <v>38</v>
      </c>
      <c r="C120" s="50"/>
      <c r="D120" s="51">
        <f>IF(D118=TRUE,D115,D114)</f>
        <v>52.972210321958961</v>
      </c>
      <c r="E120" s="51">
        <f t="shared" ref="E120:I120" si="45">IF(E118=TRUE,E115,E114)</f>
        <v>43.455310175759784</v>
      </c>
      <c r="F120" s="51">
        <f t="shared" si="45"/>
        <v>44.306944444444447</v>
      </c>
      <c r="G120" s="51">
        <f t="shared" si="45"/>
        <v>66.545494137029934</v>
      </c>
      <c r="H120" s="51">
        <f t="shared" si="45"/>
        <v>1109.346527777778</v>
      </c>
      <c r="I120" s="51">
        <f t="shared" si="45"/>
        <v>4910.7911111111116</v>
      </c>
      <c r="J120" s="51">
        <f>IF(J118=TRUE,J115,(J114*(J78/1.8)/J78))</f>
        <v>2.153003639631947</v>
      </c>
      <c r="K120" s="51">
        <f t="shared" ref="K120" si="46">IF(K118=TRUE,K115,K114)</f>
        <v>1.3745643782596335</v>
      </c>
      <c r="L120" s="43"/>
      <c r="M120" s="42"/>
    </row>
    <row r="121" spans="2:13" x14ac:dyDescent="0.35">
      <c r="B121" s="47"/>
      <c r="C121" s="47"/>
      <c r="D121" s="52"/>
      <c r="E121" s="52"/>
      <c r="F121" s="52"/>
      <c r="G121" s="52"/>
      <c r="H121" s="52"/>
      <c r="I121" s="52"/>
      <c r="J121" s="52"/>
      <c r="K121" s="52"/>
      <c r="L121" s="42"/>
      <c r="M121" s="42"/>
    </row>
    <row r="122" spans="2:13" x14ac:dyDescent="0.35">
      <c r="B122" s="47" t="str">
        <f>+B55</f>
        <v>Revenue - Fixed (Customer)</v>
      </c>
      <c r="C122" s="47"/>
      <c r="D122" s="53">
        <f t="shared" ref="D122:I122" si="47">+D120*12*D77</f>
        <v>394409710.75670749</v>
      </c>
      <c r="E122" s="53">
        <f t="shared" si="47"/>
        <v>52855095.639371946</v>
      </c>
      <c r="F122" s="53">
        <f t="shared" si="47"/>
        <v>39013297.602859668</v>
      </c>
      <c r="G122" s="53">
        <f t="shared" si="47"/>
        <v>7971333.4149021637</v>
      </c>
      <c r="H122" s="53">
        <f t="shared" si="47"/>
        <v>6397601.4256944461</v>
      </c>
      <c r="I122" s="53">
        <f t="shared" si="47"/>
        <v>2794240.1422222224</v>
      </c>
      <c r="J122" s="6">
        <v>0</v>
      </c>
      <c r="K122" s="53">
        <f>((K120*K78*12)*K92/(K92+K95))</f>
        <v>78980.910328063532</v>
      </c>
      <c r="L122" s="42">
        <f>SUM(D122:K122)</f>
        <v>503520259.89208603</v>
      </c>
      <c r="M122" s="42"/>
    </row>
    <row r="123" spans="2:13" x14ac:dyDescent="0.35">
      <c r="B123" s="47" t="str">
        <f>+B56</f>
        <v>Revenue -  Connections</v>
      </c>
      <c r="C123" s="47"/>
      <c r="D123" s="53">
        <v>0</v>
      </c>
      <c r="E123" s="53">
        <v>0</v>
      </c>
      <c r="F123" s="53">
        <v>0</v>
      </c>
      <c r="G123" s="53">
        <v>0</v>
      </c>
      <c r="H123" s="53">
        <v>0</v>
      </c>
      <c r="I123" s="6">
        <v>0</v>
      </c>
      <c r="J123" s="53">
        <f>+J120*12*J78</f>
        <v>4489598.205622592</v>
      </c>
      <c r="K123" s="53">
        <f>((K120*K78*12)*K95/(K92+K95))</f>
        <v>133356.29656797161</v>
      </c>
      <c r="L123" s="42">
        <f>SUM(D123:K123)</f>
        <v>4622954.5021905638</v>
      </c>
      <c r="M123" s="42"/>
    </row>
    <row r="124" spans="2:13" x14ac:dyDescent="0.35">
      <c r="B124" s="47" t="str">
        <f>+B57</f>
        <v>Revenue -  Variable</v>
      </c>
      <c r="C124" s="47"/>
      <c r="D124" s="53">
        <f t="shared" ref="D124:G124" si="48">D103-D122-D123-D125</f>
        <v>0</v>
      </c>
      <c r="E124" s="53">
        <f t="shared" si="48"/>
        <v>-7.4505805969238281E-9</v>
      </c>
      <c r="F124" s="53">
        <f t="shared" si="48"/>
        <v>119652949.83987451</v>
      </c>
      <c r="G124" s="53">
        <f t="shared" si="48"/>
        <v>252307222.73529175</v>
      </c>
      <c r="H124" s="53">
        <f>H103-H122-H123-H125</f>
        <v>77608856.513512671</v>
      </c>
      <c r="I124" s="53">
        <f t="shared" ref="I124:K124" si="49">I103-I122-I123-I125</f>
        <v>38299313.277566642</v>
      </c>
      <c r="J124" s="53">
        <f t="shared" si="49"/>
        <v>16607332.250369977</v>
      </c>
      <c r="K124" s="53">
        <f t="shared" si="49"/>
        <v>4348041.1628336087</v>
      </c>
      <c r="L124" s="42">
        <f>SUM(D124:K124)</f>
        <v>508823715.77944911</v>
      </c>
      <c r="M124" s="42"/>
    </row>
    <row r="125" spans="2:13" x14ac:dyDescent="0.35">
      <c r="B125" s="47" t="str">
        <f>+B58</f>
        <v>Revenue - Variable Tx Allow</v>
      </c>
      <c r="C125" s="47"/>
      <c r="D125" s="53">
        <f>+D75</f>
        <v>0</v>
      </c>
      <c r="E125" s="53">
        <f t="shared" ref="E125:K125" si="50">+E75</f>
        <v>0</v>
      </c>
      <c r="F125" s="53">
        <f t="shared" si="50"/>
        <v>0</v>
      </c>
      <c r="G125" s="53">
        <f t="shared" si="50"/>
        <v>-4745564.7112472346</v>
      </c>
      <c r="H125" s="53">
        <f t="shared" si="50"/>
        <v>-4793018.3773571718</v>
      </c>
      <c r="I125" s="53">
        <f t="shared" si="50"/>
        <v>-2336052.1198895522</v>
      </c>
      <c r="J125" s="53">
        <f t="shared" si="50"/>
        <v>0</v>
      </c>
      <c r="K125" s="53">
        <f t="shared" si="50"/>
        <v>0</v>
      </c>
      <c r="L125" s="42">
        <f>SUM(D125:K125)</f>
        <v>-11874635.208493957</v>
      </c>
      <c r="M125" s="42"/>
    </row>
    <row r="126" spans="2:13" x14ac:dyDescent="0.35">
      <c r="B126" s="50" t="str">
        <f>+B59</f>
        <v>Total</v>
      </c>
      <c r="C126" s="50"/>
      <c r="D126" s="54">
        <f>SUM(D122:D125)</f>
        <v>394409710.75670749</v>
      </c>
      <c r="E126" s="54">
        <f t="shared" ref="E126:L126" si="51">SUM(E122:E125)</f>
        <v>52855095.639371939</v>
      </c>
      <c r="F126" s="54">
        <f t="shared" si="51"/>
        <v>158666247.44273418</v>
      </c>
      <c r="G126" s="54">
        <f t="shared" si="51"/>
        <v>255532991.43894666</v>
      </c>
      <c r="H126" s="54">
        <f t="shared" si="51"/>
        <v>79213439.561849952</v>
      </c>
      <c r="I126" s="54">
        <f t="shared" si="51"/>
        <v>38757501.299899317</v>
      </c>
      <c r="J126" s="54">
        <f t="shared" si="51"/>
        <v>21096930.455992568</v>
      </c>
      <c r="K126" s="54">
        <f t="shared" si="51"/>
        <v>4560378.3697296437</v>
      </c>
      <c r="L126" s="54">
        <f t="shared" si="51"/>
        <v>1005092294.9652318</v>
      </c>
      <c r="M126" s="42"/>
    </row>
    <row r="127" spans="2:13" x14ac:dyDescent="0.35">
      <c r="B127" s="55"/>
      <c r="C127" s="55"/>
      <c r="D127" s="55"/>
      <c r="E127" s="55"/>
      <c r="F127" s="55"/>
      <c r="G127" s="55"/>
      <c r="H127" s="55"/>
      <c r="I127" s="55"/>
      <c r="J127" s="55"/>
      <c r="K127" s="55"/>
      <c r="L127" s="55"/>
    </row>
    <row r="128" spans="2:13" x14ac:dyDescent="0.35">
      <c r="B128" s="30" t="str">
        <f>_xlfn.CONCAT(B72," Year Final Rates (DOS Adjusted)")</f>
        <v>2027 Year Final Rates (DOS Adjusted)</v>
      </c>
      <c r="C128"/>
      <c r="D128"/>
      <c r="E128"/>
      <c r="F128"/>
      <c r="G128"/>
      <c r="H128" s="56"/>
      <c r="I128" s="57"/>
      <c r="J128" s="57"/>
      <c r="K128"/>
      <c r="L128"/>
    </row>
    <row r="129" spans="2:12" x14ac:dyDescent="0.35">
      <c r="B129" s="30" t="s">
        <v>18</v>
      </c>
      <c r="C129" s="30"/>
      <c r="D129" s="58"/>
      <c r="E129" s="58"/>
      <c r="F129" s="58"/>
      <c r="G129" s="58"/>
      <c r="H129" s="59"/>
      <c r="I129" s="59"/>
      <c r="J129" s="58"/>
      <c r="K129" s="58"/>
      <c r="L129" s="8"/>
    </row>
    <row r="130" spans="2:12" x14ac:dyDescent="0.35">
      <c r="B130" s="30" t="s">
        <v>19</v>
      </c>
      <c r="C130" s="30"/>
      <c r="D130" s="60">
        <f t="shared" ref="D130:I130" si="52">ROUND((((D122/(D77*12))*12)/365)*30,2)</f>
        <v>52.25</v>
      </c>
      <c r="E130" s="60">
        <f t="shared" si="52"/>
        <v>42.86</v>
      </c>
      <c r="F130" s="60">
        <f t="shared" si="52"/>
        <v>43.7</v>
      </c>
      <c r="G130" s="60">
        <f t="shared" si="52"/>
        <v>65.63</v>
      </c>
      <c r="H130" s="61">
        <f t="shared" si="52"/>
        <v>1094.1500000000001</v>
      </c>
      <c r="I130" s="62">
        <f t="shared" si="52"/>
        <v>4843.5200000000004</v>
      </c>
      <c r="J130" s="63">
        <v>0</v>
      </c>
      <c r="K130" s="64">
        <f>ROUND(((((K122)/(K77*12))*12)/365)*30,2)</f>
        <v>8.2100000000000009</v>
      </c>
      <c r="L130"/>
    </row>
    <row r="131" spans="2:12" x14ac:dyDescent="0.35">
      <c r="B131" s="30" t="s">
        <v>20</v>
      </c>
      <c r="C131" s="30"/>
      <c r="D131" s="63">
        <v>0</v>
      </c>
      <c r="E131" s="63">
        <v>0</v>
      </c>
      <c r="F131" s="63">
        <v>0</v>
      </c>
      <c r="G131" s="63">
        <v>0</v>
      </c>
      <c r="H131" s="63">
        <v>0</v>
      </c>
      <c r="I131" s="63">
        <v>0</v>
      </c>
      <c r="J131" s="65">
        <f>ROUND((((J123/(J78*12))*12)/365)*30,2)</f>
        <v>2.12</v>
      </c>
      <c r="K131" s="66">
        <f>ROUND(((((K123)/(K78*12))*12)/365)*30,2)</f>
        <v>0.85</v>
      </c>
      <c r="L131"/>
    </row>
    <row r="132" spans="2:12" x14ac:dyDescent="0.35">
      <c r="B132" s="30" t="s">
        <v>21</v>
      </c>
      <c r="C132" s="30"/>
      <c r="D132" s="30"/>
      <c r="E132" s="30"/>
      <c r="F132" s="30"/>
      <c r="G132" s="30"/>
      <c r="H132" s="30"/>
      <c r="I132" s="67"/>
      <c r="J132" s="30"/>
      <c r="K132" s="68"/>
      <c r="L132"/>
    </row>
    <row r="133" spans="2:12" x14ac:dyDescent="0.35">
      <c r="B133" s="30" t="s">
        <v>22</v>
      </c>
      <c r="C133" s="30"/>
      <c r="D133" s="63">
        <v>0</v>
      </c>
      <c r="E133" s="63">
        <v>0</v>
      </c>
      <c r="F133" s="63">
        <v>0</v>
      </c>
      <c r="G133" s="69">
        <f>ROUND((((G124/(G79))*12)/365)*30,4)</f>
        <v>10.7317</v>
      </c>
      <c r="H133" s="69">
        <f>ROUND((((H124/(H79))*12)/365)*30,4)</f>
        <v>8.9168000000000003</v>
      </c>
      <c r="I133" s="70">
        <f>ROUND((((I124/(I79))*12)/365)*30,4)</f>
        <v>9.6407000000000007</v>
      </c>
      <c r="J133" s="71">
        <f>ROUND((((J124/(J79))*12)/365)*30,4)</f>
        <v>47.4161</v>
      </c>
      <c r="K133" s="63">
        <v>0</v>
      </c>
      <c r="L133"/>
    </row>
    <row r="134" spans="2:12" x14ac:dyDescent="0.35">
      <c r="B134" s="30" t="s">
        <v>23</v>
      </c>
      <c r="C134" s="30"/>
      <c r="D134" s="63">
        <v>0</v>
      </c>
      <c r="E134" s="63">
        <v>0</v>
      </c>
      <c r="F134" s="72">
        <f>ROUND(F124/F80,5)</f>
        <v>4.9099999999999998E-2</v>
      </c>
      <c r="G134" s="63">
        <v>0</v>
      </c>
      <c r="H134" s="63">
        <v>0</v>
      </c>
      <c r="I134" s="63">
        <v>0</v>
      </c>
      <c r="J134" s="63">
        <v>0</v>
      </c>
      <c r="K134" s="73">
        <f>ROUND(K124/K80,5)</f>
        <v>0.1033</v>
      </c>
      <c r="L134"/>
    </row>
    <row r="135" spans="2:12" x14ac:dyDescent="0.35">
      <c r="B135" s="74"/>
      <c r="C135" s="74"/>
      <c r="D135" s="74"/>
      <c r="E135" s="74"/>
      <c r="F135" s="74"/>
      <c r="G135" s="74"/>
      <c r="H135" s="74"/>
      <c r="I135" s="74"/>
      <c r="J135" s="74"/>
      <c r="K135" s="74"/>
      <c r="L135" s="74"/>
    </row>
    <row r="136" spans="2:12" x14ac:dyDescent="0.35">
      <c r="B136" s="18"/>
      <c r="C136" s="18"/>
      <c r="D136" s="18"/>
      <c r="E136" s="18"/>
      <c r="F136" s="18"/>
      <c r="G136" s="75"/>
      <c r="H136" s="75"/>
      <c r="I136" s="75"/>
      <c r="J136" s="75"/>
      <c r="K136" s="75"/>
      <c r="L136" s="75"/>
    </row>
    <row r="137" spans="2:12" ht="31" x14ac:dyDescent="0.35">
      <c r="B137" s="1"/>
      <c r="C137" s="2"/>
      <c r="D137" s="3" t="str">
        <f t="shared" ref="D137:L137" si="53">D3</f>
        <v>Residential</v>
      </c>
      <c r="E137" s="3" t="str">
        <f t="shared" si="53"/>
        <v>CSMUR</v>
      </c>
      <c r="F137" s="3" t="str">
        <f t="shared" si="53"/>
        <v>GS &lt;50 kW</v>
      </c>
      <c r="G137" s="3" t="str">
        <f t="shared" si="53"/>
        <v>GS 50-999 kW</v>
      </c>
      <c r="H137" s="3" t="str">
        <f t="shared" si="53"/>
        <v>GS 1000-4999 kW</v>
      </c>
      <c r="I137" s="3" t="str">
        <f t="shared" si="53"/>
        <v>Large User</v>
      </c>
      <c r="J137" s="3" t="str">
        <f t="shared" si="53"/>
        <v>Street lighting</v>
      </c>
      <c r="K137" s="3" t="str">
        <f t="shared" si="53"/>
        <v>USL</v>
      </c>
      <c r="L137" s="4" t="str">
        <f t="shared" si="53"/>
        <v>TOTAL</v>
      </c>
    </row>
    <row r="138" spans="2:12" x14ac:dyDescent="0.35">
      <c r="B138" s="84"/>
      <c r="C138" s="84"/>
      <c r="D138" s="85"/>
      <c r="E138" s="85"/>
      <c r="F138" s="85"/>
      <c r="G138" s="85"/>
      <c r="H138" s="85"/>
      <c r="I138" s="85"/>
      <c r="J138" s="85"/>
      <c r="K138" s="85"/>
      <c r="L138" s="85"/>
    </row>
    <row r="139" spans="2:12" ht="18.5" x14ac:dyDescent="0.45">
      <c r="B139" s="77">
        <f>+B72+1</f>
        <v>2028</v>
      </c>
      <c r="C139" s="8"/>
      <c r="D139" s="9" t="s">
        <v>10</v>
      </c>
      <c r="E139" s="10"/>
      <c r="F139" s="11">
        <v>1079067087.8746727</v>
      </c>
      <c r="G139"/>
      <c r="H139"/>
      <c r="I139" s="12"/>
      <c r="J139"/>
      <c r="K139"/>
      <c r="L139"/>
    </row>
    <row r="140" spans="2:12" x14ac:dyDescent="0.35">
      <c r="B140" s="13" t="str">
        <f>+B73</f>
        <v>Tx Credit Rate</v>
      </c>
      <c r="C140" s="13"/>
      <c r="D140" s="13"/>
      <c r="E140" s="14"/>
      <c r="F140" s="14"/>
      <c r="G140" s="15">
        <f>ROUND(-0.62/30*365/12,2)</f>
        <v>-0.63</v>
      </c>
      <c r="H140" s="15">
        <f>ROUND(-0.62/30*365/12,2)</f>
        <v>-0.63</v>
      </c>
      <c r="I140" s="15">
        <f>ROUND(-0.62/30*365/12,2)</f>
        <v>-0.63</v>
      </c>
      <c r="J140" s="14"/>
      <c r="K140" s="14"/>
      <c r="L140" s="14"/>
    </row>
    <row r="141" spans="2:12" x14ac:dyDescent="0.35">
      <c r="B141" t="str">
        <f>+B74</f>
        <v>Tx Credit kVa</v>
      </c>
      <c r="C141"/>
      <c r="D141" s="16"/>
      <c r="E141" s="16"/>
      <c r="F141" s="16"/>
      <c r="G141" s="17">
        <v>7712612.3132827859</v>
      </c>
      <c r="H141" s="17">
        <v>7625434.1406617444</v>
      </c>
      <c r="I141" s="17">
        <v>3592034.0116050891</v>
      </c>
      <c r="J141" s="16"/>
      <c r="K141" s="16"/>
      <c r="L141" s="16"/>
    </row>
    <row r="142" spans="2:12" x14ac:dyDescent="0.35">
      <c r="B142" t="str">
        <f>+B75</f>
        <v>Tx Credit Dollars</v>
      </c>
      <c r="C142"/>
      <c r="D142" s="16"/>
      <c r="E142" s="16"/>
      <c r="F142" s="16"/>
      <c r="G142" s="76">
        <f>+G141*G140</f>
        <v>-4858945.7573681548</v>
      </c>
      <c r="H142" s="76">
        <f>+H141*H140</f>
        <v>-4804023.5086168991</v>
      </c>
      <c r="I142" s="76">
        <f>+I141*I140</f>
        <v>-2262981.4273112062</v>
      </c>
      <c r="J142" s="16"/>
      <c r="K142" s="16"/>
      <c r="L142" s="16"/>
    </row>
    <row r="143" spans="2:12" x14ac:dyDescent="0.35">
      <c r="B143"/>
      <c r="C143"/>
      <c r="D143" s="21"/>
      <c r="E143" s="21"/>
      <c r="F143" s="21"/>
      <c r="G143" s="21"/>
      <c r="H143" s="21"/>
      <c r="I143" s="21"/>
      <c r="J143" s="21"/>
      <c r="K143" s="21"/>
      <c r="L143"/>
    </row>
    <row r="144" spans="2:12" x14ac:dyDescent="0.35">
      <c r="B144" t="str">
        <f>B77</f>
        <v>Customer Numbers</v>
      </c>
      <c r="C144"/>
      <c r="D144" s="22">
        <v>621094.35026580945</v>
      </c>
      <c r="E144" s="22">
        <v>103245.87157615904</v>
      </c>
      <c r="F144" s="22">
        <v>73531.433225530651</v>
      </c>
      <c r="G144" s="22">
        <v>10002.972637290362</v>
      </c>
      <c r="H144" s="22">
        <v>483.58333333333331</v>
      </c>
      <c r="I144" s="22">
        <v>46.416666666666664</v>
      </c>
      <c r="J144" s="23">
        <v>1</v>
      </c>
      <c r="K144" s="22">
        <v>791</v>
      </c>
      <c r="L144" s="24">
        <f>SUM(D144:K144)</f>
        <v>809196.62770478951</v>
      </c>
    </row>
    <row r="145" spans="2:12" x14ac:dyDescent="0.35">
      <c r="B145" t="str">
        <f>B78</f>
        <v>Connections/ Devices</v>
      </c>
      <c r="C145"/>
      <c r="D145" s="25"/>
      <c r="E145" s="25"/>
      <c r="F145" s="25"/>
      <c r="G145" s="25"/>
      <c r="H145" s="25"/>
      <c r="I145" s="25"/>
      <c r="J145" s="22">
        <v>174268.66666666672</v>
      </c>
      <c r="K145" s="22">
        <v>12873</v>
      </c>
      <c r="L145" s="24">
        <f>SUM(D145:K145)</f>
        <v>187141.66666666672</v>
      </c>
    </row>
    <row r="146" spans="2:12" x14ac:dyDescent="0.35">
      <c r="B146" t="str">
        <f>B79</f>
        <v>kVA (Including WMP)</v>
      </c>
      <c r="C146"/>
      <c r="D146" s="25"/>
      <c r="E146" s="25"/>
      <c r="F146" s="25"/>
      <c r="G146" s="22">
        <v>23196811.675994541</v>
      </c>
      <c r="H146" s="22">
        <v>8592287.0674108658</v>
      </c>
      <c r="I146" s="22">
        <v>3855751.4667033539</v>
      </c>
      <c r="J146" s="22">
        <v>336528.49346957018</v>
      </c>
      <c r="K146" s="25"/>
      <c r="L146" s="24">
        <f>SUM(D146:K146)</f>
        <v>35981378.703578338</v>
      </c>
    </row>
    <row r="147" spans="2:12" x14ac:dyDescent="0.35">
      <c r="B147" s="18" t="str">
        <f>B80</f>
        <v>kWh (Excluding WMP; Including line losses)</v>
      </c>
      <c r="C147" s="18"/>
      <c r="D147" s="26">
        <v>5121663990.8365793</v>
      </c>
      <c r="E147" s="26">
        <v>369800907.54864007</v>
      </c>
      <c r="F147" s="26">
        <v>2475321186.0985827</v>
      </c>
      <c r="G147" s="27">
        <v>9575328080.0257492</v>
      </c>
      <c r="H147" s="27">
        <v>4021067656.1671381</v>
      </c>
      <c r="I147" s="27">
        <v>1495558233.178947</v>
      </c>
      <c r="J147" s="27">
        <v>119603593.83898431</v>
      </c>
      <c r="K147" s="26">
        <v>42205431.27245909</v>
      </c>
      <c r="L147" s="28">
        <f>SUM(D147:K147)</f>
        <v>23220549078.967083</v>
      </c>
    </row>
    <row r="148" spans="2:12" x14ac:dyDescent="0.35">
      <c r="B148"/>
      <c r="C148"/>
      <c r="D148" s="29"/>
      <c r="E148" s="29"/>
      <c r="F148" s="29"/>
      <c r="G148" s="29"/>
      <c r="H148" s="29"/>
      <c r="I148" s="29"/>
      <c r="J148" s="29"/>
      <c r="K148" s="29"/>
      <c r="L148"/>
    </row>
    <row r="149" spans="2:12" x14ac:dyDescent="0.35">
      <c r="B149" s="30" t="str">
        <f>_xlfn.CONCAT("Rates Prior Year - ",B139-1)</f>
        <v>Rates Prior Year - 2027</v>
      </c>
      <c r="C149"/>
      <c r="D149" s="29"/>
      <c r="E149" s="29"/>
      <c r="F149" s="29"/>
      <c r="G149" s="29"/>
      <c r="H149" s="29"/>
      <c r="I149" s="29"/>
      <c r="J149" s="29"/>
      <c r="K149" s="29"/>
      <c r="L149"/>
    </row>
    <row r="150" spans="2:12" x14ac:dyDescent="0.35">
      <c r="B150" s="31" t="s">
        <v>18</v>
      </c>
      <c r="C150" s="31"/>
      <c r="D150" s="32"/>
      <c r="E150" s="32"/>
      <c r="F150" s="32"/>
      <c r="G150" s="32"/>
      <c r="H150" s="33"/>
      <c r="I150" s="33"/>
      <c r="J150" s="32"/>
      <c r="K150" s="32"/>
      <c r="L150"/>
    </row>
    <row r="151" spans="2:12" x14ac:dyDescent="0.35">
      <c r="B151" s="31" t="s">
        <v>19</v>
      </c>
      <c r="C151" s="31"/>
      <c r="D151" s="34">
        <f t="shared" ref="D151:K152" si="54">+D130</f>
        <v>52.25</v>
      </c>
      <c r="E151" s="34">
        <f t="shared" si="54"/>
        <v>42.86</v>
      </c>
      <c r="F151" s="34">
        <f t="shared" si="54"/>
        <v>43.7</v>
      </c>
      <c r="G151" s="34">
        <f t="shared" si="54"/>
        <v>65.63</v>
      </c>
      <c r="H151" s="34">
        <f t="shared" si="54"/>
        <v>1094.1500000000001</v>
      </c>
      <c r="I151" s="34">
        <f t="shared" si="54"/>
        <v>4843.5200000000004</v>
      </c>
      <c r="J151" s="35">
        <f t="shared" si="54"/>
        <v>0</v>
      </c>
      <c r="K151" s="34">
        <f t="shared" si="54"/>
        <v>8.2100000000000009</v>
      </c>
      <c r="L151"/>
    </row>
    <row r="152" spans="2:12" x14ac:dyDescent="0.35">
      <c r="B152" s="31" t="s">
        <v>20</v>
      </c>
      <c r="C152" s="31"/>
      <c r="D152" s="35">
        <f t="shared" si="54"/>
        <v>0</v>
      </c>
      <c r="E152" s="35">
        <f t="shared" si="54"/>
        <v>0</v>
      </c>
      <c r="F152" s="35">
        <f t="shared" si="54"/>
        <v>0</v>
      </c>
      <c r="G152" s="35">
        <f t="shared" si="54"/>
        <v>0</v>
      </c>
      <c r="H152" s="35">
        <f t="shared" si="54"/>
        <v>0</v>
      </c>
      <c r="I152" s="35">
        <f t="shared" si="54"/>
        <v>0</v>
      </c>
      <c r="J152" s="36">
        <f t="shared" si="54"/>
        <v>2.12</v>
      </c>
      <c r="K152" s="36">
        <f t="shared" si="54"/>
        <v>0.85</v>
      </c>
      <c r="L152"/>
    </row>
    <row r="153" spans="2:12" x14ac:dyDescent="0.35">
      <c r="B153" s="31" t="s">
        <v>21</v>
      </c>
      <c r="C153" s="31"/>
      <c r="D153" s="31"/>
      <c r="E153" s="31"/>
      <c r="F153" s="31"/>
      <c r="G153" s="31"/>
      <c r="H153" s="31"/>
      <c r="I153" s="37"/>
      <c r="J153" s="31"/>
      <c r="K153" s="38"/>
      <c r="L153"/>
    </row>
    <row r="154" spans="2:12" x14ac:dyDescent="0.35">
      <c r="B154" s="31" t="s">
        <v>22</v>
      </c>
      <c r="C154" s="31"/>
      <c r="D154" s="35">
        <f t="shared" ref="D154:K155" si="55">+D133</f>
        <v>0</v>
      </c>
      <c r="E154" s="35">
        <f t="shared" si="55"/>
        <v>0</v>
      </c>
      <c r="F154" s="35">
        <f t="shared" si="55"/>
        <v>0</v>
      </c>
      <c r="G154" s="39">
        <f t="shared" si="55"/>
        <v>10.7317</v>
      </c>
      <c r="H154" s="39">
        <f t="shared" si="55"/>
        <v>8.9168000000000003</v>
      </c>
      <c r="I154" s="39">
        <f t="shared" si="55"/>
        <v>9.6407000000000007</v>
      </c>
      <c r="J154" s="39">
        <f t="shared" si="55"/>
        <v>47.4161</v>
      </c>
      <c r="K154" s="35">
        <f t="shared" si="55"/>
        <v>0</v>
      </c>
      <c r="L154"/>
    </row>
    <row r="155" spans="2:12" x14ac:dyDescent="0.35">
      <c r="B155" s="31" t="s">
        <v>23</v>
      </c>
      <c r="C155" s="31"/>
      <c r="D155" s="35">
        <f t="shared" si="55"/>
        <v>0</v>
      </c>
      <c r="E155" s="35">
        <f t="shared" si="55"/>
        <v>0</v>
      </c>
      <c r="F155" s="40">
        <f t="shared" si="55"/>
        <v>4.9099999999999998E-2</v>
      </c>
      <c r="G155" s="35">
        <f t="shared" si="55"/>
        <v>0</v>
      </c>
      <c r="H155" s="35">
        <f t="shared" si="55"/>
        <v>0</v>
      </c>
      <c r="I155" s="35">
        <f t="shared" si="55"/>
        <v>0</v>
      </c>
      <c r="J155" s="35">
        <f t="shared" si="55"/>
        <v>0</v>
      </c>
      <c r="K155" s="40">
        <f t="shared" si="55"/>
        <v>0.1033</v>
      </c>
      <c r="L155"/>
    </row>
    <row r="156" spans="2:12" x14ac:dyDescent="0.35">
      <c r="B156" s="18"/>
      <c r="C156" s="18"/>
      <c r="D156" s="41"/>
      <c r="E156" s="41"/>
      <c r="F156" s="41"/>
      <c r="G156" s="41"/>
      <c r="H156" s="41"/>
      <c r="I156" s="41"/>
      <c r="J156" s="41"/>
      <c r="K156" s="41"/>
      <c r="L156" s="18"/>
    </row>
    <row r="157" spans="2:12" x14ac:dyDescent="0.35">
      <c r="B157"/>
      <c r="C157"/>
      <c r="D157" s="29"/>
      <c r="E157" s="29"/>
      <c r="F157" s="29"/>
      <c r="G157" s="29"/>
      <c r="H157" s="29"/>
      <c r="I157" s="29"/>
      <c r="J157" s="29"/>
      <c r="K157" s="29"/>
      <c r="L157"/>
    </row>
    <row r="158" spans="2:12" x14ac:dyDescent="0.35">
      <c r="B158" s="30" t="str">
        <f>_xlfn.CONCAT("Revenue based on ",B139-1," rates and ",B139," load/ customer")</f>
        <v>Revenue based on 2027 rates and 2028 load/ customer</v>
      </c>
      <c r="C158"/>
      <c r="D158" s="29"/>
      <c r="E158" s="29"/>
      <c r="F158" s="29"/>
      <c r="G158" s="29"/>
      <c r="H158" s="29"/>
      <c r="I158" s="29"/>
      <c r="J158" s="29"/>
      <c r="K158" s="29"/>
      <c r="L158"/>
    </row>
    <row r="159" spans="2:12" x14ac:dyDescent="0.35">
      <c r="B159" t="s">
        <v>18</v>
      </c>
      <c r="C159"/>
      <c r="D159" s="42">
        <f t="shared" ref="D159:K159" si="56">D151/30*366*D144</f>
        <v>395916593.57694024</v>
      </c>
      <c r="E159" s="42">
        <f t="shared" si="56"/>
        <v>53986440.280200958</v>
      </c>
      <c r="F159" s="42">
        <f t="shared" si="56"/>
        <v>39202548.30985941</v>
      </c>
      <c r="G159" s="42">
        <f t="shared" si="56"/>
        <v>8009240.1490614703</v>
      </c>
      <c r="H159" s="42">
        <f t="shared" si="56"/>
        <v>6455174.9908333337</v>
      </c>
      <c r="I159" s="42">
        <f t="shared" si="56"/>
        <v>2742804.6506666667</v>
      </c>
      <c r="J159" s="42">
        <f t="shared" si="56"/>
        <v>0</v>
      </c>
      <c r="K159" s="42">
        <f t="shared" si="56"/>
        <v>79228.142000000007</v>
      </c>
      <c r="L159" s="42">
        <f>SUM(D159:K159)</f>
        <v>506392030.09956205</v>
      </c>
    </row>
    <row r="160" spans="2:12" x14ac:dyDescent="0.35">
      <c r="B160" t="s">
        <v>24</v>
      </c>
      <c r="C160"/>
      <c r="D160" s="42">
        <f t="shared" ref="D160:K160" si="57">D155*D147</f>
        <v>0</v>
      </c>
      <c r="E160" s="42">
        <f t="shared" si="57"/>
        <v>0</v>
      </c>
      <c r="F160" s="42">
        <f t="shared" si="57"/>
        <v>121538270.23744041</v>
      </c>
      <c r="G160" s="42">
        <f t="shared" si="57"/>
        <v>0</v>
      </c>
      <c r="H160" s="42">
        <f t="shared" si="57"/>
        <v>0</v>
      </c>
      <c r="I160" s="42">
        <f t="shared" si="57"/>
        <v>0</v>
      </c>
      <c r="J160" s="42">
        <f t="shared" si="57"/>
        <v>0</v>
      </c>
      <c r="K160" s="42">
        <f t="shared" si="57"/>
        <v>4359821.0504450239</v>
      </c>
      <c r="L160" s="42">
        <f t="shared" ref="L160:L165" si="58">SUM(D160:K160)</f>
        <v>125898091.28788543</v>
      </c>
    </row>
    <row r="161" spans="2:12" x14ac:dyDescent="0.35">
      <c r="B161" t="s">
        <v>25</v>
      </c>
      <c r="C161"/>
      <c r="D161" s="42">
        <f t="shared" ref="D161:K161" si="59">D154*D146/360*366</f>
        <v>0</v>
      </c>
      <c r="E161" s="42">
        <f t="shared" si="59"/>
        <v>0</v>
      </c>
      <c r="F161" s="42">
        <f t="shared" si="59"/>
        <v>0</v>
      </c>
      <c r="G161" s="42">
        <f t="shared" si="59"/>
        <v>253090244.26099175</v>
      </c>
      <c r="H161" s="42">
        <f t="shared" si="59"/>
        <v>77892633.744734019</v>
      </c>
      <c r="I161" s="42">
        <f t="shared" si="59"/>
        <v>37791678.884464473</v>
      </c>
      <c r="J161" s="42">
        <f t="shared" si="59"/>
        <v>16222816.510855861</v>
      </c>
      <c r="K161" s="42">
        <f t="shared" si="59"/>
        <v>0</v>
      </c>
      <c r="L161" s="42">
        <f t="shared" si="58"/>
        <v>384997373.4010461</v>
      </c>
    </row>
    <row r="162" spans="2:12" x14ac:dyDescent="0.35">
      <c r="B162" t="s">
        <v>26</v>
      </c>
      <c r="C162"/>
      <c r="D162" s="42">
        <f t="shared" ref="D162:K162" si="60">D152/30*366*D145</f>
        <v>0</v>
      </c>
      <c r="E162" s="42">
        <f t="shared" si="60"/>
        <v>0</v>
      </c>
      <c r="F162" s="42">
        <f t="shared" si="60"/>
        <v>0</v>
      </c>
      <c r="G162" s="42">
        <f t="shared" si="60"/>
        <v>0</v>
      </c>
      <c r="H162" s="42">
        <f t="shared" si="60"/>
        <v>0</v>
      </c>
      <c r="I162" s="42">
        <f t="shared" si="60"/>
        <v>0</v>
      </c>
      <c r="J162" s="42">
        <f t="shared" si="60"/>
        <v>4507284.7946666684</v>
      </c>
      <c r="K162" s="42">
        <f t="shared" si="60"/>
        <v>133493.00999999998</v>
      </c>
      <c r="L162" s="42">
        <f t="shared" si="58"/>
        <v>4640777.8046666682</v>
      </c>
    </row>
    <row r="163" spans="2:12" x14ac:dyDescent="0.35">
      <c r="B163" t="s">
        <v>9</v>
      </c>
      <c r="C163"/>
      <c r="D163" s="42">
        <f>SUM(D159:D162)</f>
        <v>395916593.57694024</v>
      </c>
      <c r="E163" s="42">
        <f t="shared" ref="E163:K163" si="61">SUM(E159:E162)</f>
        <v>53986440.280200958</v>
      </c>
      <c r="F163" s="42">
        <f t="shared" si="61"/>
        <v>160740818.5472998</v>
      </c>
      <c r="G163" s="42">
        <f t="shared" si="61"/>
        <v>261099484.41005322</v>
      </c>
      <c r="H163" s="42">
        <f t="shared" si="61"/>
        <v>84347808.735567346</v>
      </c>
      <c r="I163" s="42">
        <f t="shared" si="61"/>
        <v>40534483.535131142</v>
      </c>
      <c r="J163" s="42">
        <f t="shared" si="61"/>
        <v>20730101.305522531</v>
      </c>
      <c r="K163" s="42">
        <f t="shared" si="61"/>
        <v>4572542.2024450237</v>
      </c>
      <c r="L163" s="42">
        <f t="shared" si="58"/>
        <v>1021928272.5931603</v>
      </c>
    </row>
    <row r="164" spans="2:12" x14ac:dyDescent="0.35">
      <c r="B164" t="s">
        <v>27</v>
      </c>
      <c r="C164"/>
      <c r="D164" s="42">
        <f t="shared" ref="D164:K164" si="62">D142</f>
        <v>0</v>
      </c>
      <c r="E164" s="42">
        <f t="shared" si="62"/>
        <v>0</v>
      </c>
      <c r="F164" s="42">
        <f t="shared" si="62"/>
        <v>0</v>
      </c>
      <c r="G164" s="42">
        <f t="shared" si="62"/>
        <v>-4858945.7573681548</v>
      </c>
      <c r="H164" s="42">
        <f t="shared" si="62"/>
        <v>-4804023.5086168991</v>
      </c>
      <c r="I164" s="42">
        <f t="shared" si="62"/>
        <v>-2262981.4273112062</v>
      </c>
      <c r="J164" s="42">
        <f t="shared" si="62"/>
        <v>0</v>
      </c>
      <c r="K164" s="42">
        <f t="shared" si="62"/>
        <v>0</v>
      </c>
      <c r="L164" s="42">
        <f t="shared" si="58"/>
        <v>-11925950.693296259</v>
      </c>
    </row>
    <row r="165" spans="2:12" x14ac:dyDescent="0.35">
      <c r="B165" s="18" t="s">
        <v>28</v>
      </c>
      <c r="C165" s="18"/>
      <c r="D165" s="43">
        <f>SUM(D163:D164)</f>
        <v>395916593.57694024</v>
      </c>
      <c r="E165" s="43">
        <f t="shared" ref="E165:K165" si="63">SUM(E163:E164)</f>
        <v>53986440.280200958</v>
      </c>
      <c r="F165" s="43">
        <f t="shared" si="63"/>
        <v>160740818.5472998</v>
      </c>
      <c r="G165" s="43">
        <f t="shared" si="63"/>
        <v>256240538.65268508</v>
      </c>
      <c r="H165" s="43">
        <f t="shared" si="63"/>
        <v>79543785.226950452</v>
      </c>
      <c r="I165" s="43">
        <f t="shared" si="63"/>
        <v>38271502.107819937</v>
      </c>
      <c r="J165" s="43">
        <f t="shared" si="63"/>
        <v>20730101.305522531</v>
      </c>
      <c r="K165" s="43">
        <f t="shared" si="63"/>
        <v>4572542.2024450237</v>
      </c>
      <c r="L165" s="43">
        <f t="shared" si="58"/>
        <v>1010002321.899864</v>
      </c>
    </row>
    <row r="166" spans="2:12" x14ac:dyDescent="0.35">
      <c r="B166"/>
      <c r="C166"/>
      <c r="D166" s="42"/>
      <c r="E166" s="42"/>
      <c r="F166" s="42"/>
      <c r="G166" s="42"/>
      <c r="H166" s="42"/>
      <c r="I166" s="42"/>
      <c r="J166" s="42"/>
      <c r="K166" s="42"/>
      <c r="L166" s="42"/>
    </row>
    <row r="167" spans="2:12" x14ac:dyDescent="0.35">
      <c r="B167" t="str">
        <f>_xlfn.CONCAT(B139, " Revenue Requirement")</f>
        <v>2028 Revenue Requirement</v>
      </c>
      <c r="C167"/>
      <c r="D167" s="42"/>
      <c r="E167" s="42"/>
      <c r="F167" s="42"/>
      <c r="G167" s="42"/>
      <c r="H167" s="42"/>
      <c r="I167" s="42"/>
      <c r="J167" s="42"/>
      <c r="K167" s="42"/>
      <c r="L167" s="42">
        <f>F139</f>
        <v>1079067087.8746727</v>
      </c>
    </row>
    <row r="168" spans="2:12" x14ac:dyDescent="0.35">
      <c r="B168" t="s">
        <v>29</v>
      </c>
      <c r="C168"/>
      <c r="D168" s="42"/>
      <c r="E168" s="42"/>
      <c r="F168" s="42"/>
      <c r="G168" s="42"/>
      <c r="H168" s="42"/>
      <c r="I168" s="42"/>
      <c r="J168" s="42"/>
      <c r="K168" s="42"/>
      <c r="L168" s="42">
        <f>L167-L165</f>
        <v>69064765.974808693</v>
      </c>
    </row>
    <row r="169" spans="2:12" x14ac:dyDescent="0.35">
      <c r="B169" s="18" t="s">
        <v>30</v>
      </c>
      <c r="C169" s="18"/>
      <c r="D169" s="43"/>
      <c r="E169" s="43"/>
      <c r="F169" s="43"/>
      <c r="G169" s="43"/>
      <c r="H169" s="43"/>
      <c r="I169" s="43"/>
      <c r="J169" s="43"/>
      <c r="K169" s="43"/>
      <c r="L169" s="44">
        <f>L167/L165</f>
        <v>1.0683807992093468</v>
      </c>
    </row>
    <row r="170" spans="2:12" x14ac:dyDescent="0.35">
      <c r="B170" s="45" t="s">
        <v>31</v>
      </c>
      <c r="C170" s="45"/>
      <c r="D170" s="46">
        <f>D165*$L169</f>
        <v>422989686.66597354</v>
      </c>
      <c r="E170" s="46">
        <f t="shared" ref="E170:K170" si="64">E165*$L169</f>
        <v>57678076.213028774</v>
      </c>
      <c r="F170" s="46">
        <f t="shared" si="64"/>
        <v>171732404.18512875</v>
      </c>
      <c r="G170" s="46">
        <f t="shared" si="64"/>
        <v>273762471.47558922</v>
      </c>
      <c r="H170" s="46">
        <f t="shared" si="64"/>
        <v>84983052.832905963</v>
      </c>
      <c r="I170" s="46">
        <f t="shared" si="64"/>
        <v>40888538.008894868</v>
      </c>
      <c r="J170" s="46">
        <f t="shared" si="64"/>
        <v>22147642.200484887</v>
      </c>
      <c r="K170" s="46">
        <f t="shared" si="64"/>
        <v>4885216.2926666811</v>
      </c>
      <c r="L170" s="46">
        <f>SUM(D170:K170)</f>
        <v>1079067087.8746729</v>
      </c>
    </row>
    <row r="171" spans="2:12" x14ac:dyDescent="0.35">
      <c r="B171"/>
      <c r="C171"/>
      <c r="D171" s="42"/>
      <c r="E171" s="42"/>
      <c r="F171" s="42"/>
      <c r="G171" s="42"/>
      <c r="H171" s="42"/>
      <c r="I171" s="42"/>
      <c r="J171" s="42"/>
      <c r="K171" s="42"/>
      <c r="L171" s="42"/>
    </row>
    <row r="172" spans="2:12" x14ac:dyDescent="0.35">
      <c r="B172" s="30" t="str">
        <f>_xlfn.CONCAT("Esclated Rates ",B139)</f>
        <v>Esclated Rates 2028</v>
      </c>
      <c r="C172"/>
      <c r="D172" s="29"/>
      <c r="E172" s="29"/>
      <c r="F172" s="29"/>
      <c r="G172" s="29"/>
      <c r="H172" s="29"/>
      <c r="I172" s="29"/>
      <c r="J172" s="29"/>
      <c r="K172" s="29"/>
      <c r="L172"/>
    </row>
    <row r="173" spans="2:12" x14ac:dyDescent="0.35">
      <c r="B173" s="31" t="s">
        <v>18</v>
      </c>
      <c r="C173" s="31"/>
      <c r="D173" s="32"/>
      <c r="E173" s="32"/>
      <c r="F173" s="32"/>
      <c r="G173" s="32"/>
      <c r="H173" s="33"/>
      <c r="I173" s="33"/>
      <c r="J173" s="32"/>
      <c r="K173" s="32"/>
      <c r="L173"/>
    </row>
    <row r="174" spans="2:12" x14ac:dyDescent="0.35">
      <c r="B174" s="31" t="s">
        <v>19</v>
      </c>
      <c r="C174" s="31"/>
      <c r="D174" s="34">
        <f>D151*$L169</f>
        <v>55.822896758688373</v>
      </c>
      <c r="E174" s="34">
        <f t="shared" ref="E174:K174" si="65">E151*$L169</f>
        <v>45.790801054112606</v>
      </c>
      <c r="F174" s="34">
        <f t="shared" si="65"/>
        <v>46.688240925448461</v>
      </c>
      <c r="G174" s="34">
        <f t="shared" si="65"/>
        <v>70.117831852109433</v>
      </c>
      <c r="H174" s="34">
        <f t="shared" si="65"/>
        <v>1168.9688514549068</v>
      </c>
      <c r="I174" s="34">
        <f t="shared" si="65"/>
        <v>5174.7237685864557</v>
      </c>
      <c r="J174" s="35">
        <f t="shared" si="65"/>
        <v>0</v>
      </c>
      <c r="K174" s="34">
        <f t="shared" si="65"/>
        <v>8.7714063615087383</v>
      </c>
      <c r="L174"/>
    </row>
    <row r="175" spans="2:12" x14ac:dyDescent="0.35">
      <c r="B175" s="31" t="s">
        <v>20</v>
      </c>
      <c r="C175" s="31"/>
      <c r="D175" s="35">
        <f>D152*$L169</f>
        <v>0</v>
      </c>
      <c r="E175" s="35">
        <f t="shared" ref="E175:K175" si="66">E152*$L169</f>
        <v>0</v>
      </c>
      <c r="F175" s="35">
        <f t="shared" si="66"/>
        <v>0</v>
      </c>
      <c r="G175" s="35">
        <f t="shared" si="66"/>
        <v>0</v>
      </c>
      <c r="H175" s="35">
        <f t="shared" si="66"/>
        <v>0</v>
      </c>
      <c r="I175" s="35">
        <f t="shared" si="66"/>
        <v>0</v>
      </c>
      <c r="J175" s="36">
        <f t="shared" si="66"/>
        <v>2.2649672943238155</v>
      </c>
      <c r="K175" s="36">
        <f t="shared" si="66"/>
        <v>0.9081236793279448</v>
      </c>
      <c r="L175"/>
    </row>
    <row r="176" spans="2:12" x14ac:dyDescent="0.35">
      <c r="B176" s="31" t="s">
        <v>21</v>
      </c>
      <c r="C176" s="31"/>
      <c r="D176" s="31"/>
      <c r="E176" s="31"/>
      <c r="F176" s="31"/>
      <c r="G176" s="31"/>
      <c r="H176" s="31"/>
      <c r="I176" s="37"/>
      <c r="J176" s="31"/>
      <c r="K176" s="38"/>
      <c r="L176"/>
    </row>
    <row r="177" spans="2:13" x14ac:dyDescent="0.35">
      <c r="B177" s="31" t="s">
        <v>22</v>
      </c>
      <c r="C177" s="31"/>
      <c r="D177" s="35">
        <f>D154*$L169</f>
        <v>0</v>
      </c>
      <c r="E177" s="35">
        <f t="shared" ref="E177:K177" si="67">E154*$L169</f>
        <v>0</v>
      </c>
      <c r="F177" s="35">
        <f t="shared" si="67"/>
        <v>0</v>
      </c>
      <c r="G177" s="39">
        <f t="shared" si="67"/>
        <v>11.465542222874948</v>
      </c>
      <c r="H177" s="39">
        <f t="shared" si="67"/>
        <v>9.5265379103899033</v>
      </c>
      <c r="I177" s="39">
        <f t="shared" si="67"/>
        <v>10.299938770937551</v>
      </c>
      <c r="J177" s="39">
        <f t="shared" si="67"/>
        <v>50.65845081339031</v>
      </c>
      <c r="K177" s="35">
        <f t="shared" si="67"/>
        <v>0</v>
      </c>
      <c r="L177"/>
    </row>
    <row r="178" spans="2:13" x14ac:dyDescent="0.35">
      <c r="B178" s="31" t="s">
        <v>23</v>
      </c>
      <c r="C178" s="31"/>
      <c r="D178" s="35">
        <f>D155*$L169</f>
        <v>0</v>
      </c>
      <c r="E178" s="35">
        <f t="shared" ref="E178:K178" si="68">E155*$L169</f>
        <v>0</v>
      </c>
      <c r="F178" s="40">
        <f t="shared" si="68"/>
        <v>5.2457497241178923E-2</v>
      </c>
      <c r="G178" s="35">
        <f t="shared" si="68"/>
        <v>0</v>
      </c>
      <c r="H178" s="35">
        <f t="shared" si="68"/>
        <v>0</v>
      </c>
      <c r="I178" s="35">
        <f t="shared" si="68"/>
        <v>0</v>
      </c>
      <c r="J178" s="35">
        <f t="shared" si="68"/>
        <v>0</v>
      </c>
      <c r="K178" s="40">
        <f t="shared" si="68"/>
        <v>0.11036373655832553</v>
      </c>
      <c r="L178"/>
    </row>
    <row r="179" spans="2:13" x14ac:dyDescent="0.35">
      <c r="B179"/>
      <c r="C179"/>
      <c r="D179" s="42"/>
      <c r="E179" s="42"/>
      <c r="F179" s="42"/>
      <c r="G179" s="42"/>
      <c r="H179" s="42"/>
      <c r="I179" s="42"/>
      <c r="J179" s="42"/>
      <c r="K179" s="42"/>
      <c r="L179" s="42"/>
    </row>
    <row r="180" spans="2:13" x14ac:dyDescent="0.35">
      <c r="B180" s="30" t="s">
        <v>32</v>
      </c>
      <c r="C180"/>
      <c r="D180" s="42"/>
      <c r="E180" s="42"/>
      <c r="F180" s="42"/>
      <c r="G180" s="42"/>
      <c r="H180" s="42"/>
      <c r="I180" s="42"/>
      <c r="J180" s="42"/>
      <c r="K180" s="42"/>
      <c r="L180" s="42"/>
    </row>
    <row r="181" spans="2:13" x14ac:dyDescent="0.35">
      <c r="B181" s="47">
        <f>B139</f>
        <v>2028</v>
      </c>
      <c r="C181" s="47"/>
      <c r="D181" s="48">
        <f t="shared" ref="D181:I181" si="69">D174/30*366/12</f>
        <v>56.753278371333181</v>
      </c>
      <c r="E181" s="48">
        <f t="shared" si="69"/>
        <v>46.553981071681157</v>
      </c>
      <c r="F181" s="48">
        <f t="shared" si="69"/>
        <v>47.466378274205937</v>
      </c>
      <c r="G181" s="48">
        <f t="shared" si="69"/>
        <v>71.286462382977916</v>
      </c>
      <c r="H181" s="48">
        <f t="shared" si="69"/>
        <v>1188.451665645822</v>
      </c>
      <c r="I181" s="48">
        <f t="shared" si="69"/>
        <v>5260.9691647295631</v>
      </c>
      <c r="J181" s="48">
        <f>(J175*J145/(J145/1.8)/30*366/12)</f>
        <v>4.1448901486125829</v>
      </c>
      <c r="K181" s="48">
        <f>((K175/30*366*K145)+(K174/30*366*K144))/K145/12</f>
        <v>1.4712136149466126</v>
      </c>
      <c r="L181" s="42"/>
      <c r="M181" s="42"/>
    </row>
    <row r="182" spans="2:13" s="82" customFormat="1" x14ac:dyDescent="0.25">
      <c r="B182" s="78">
        <f>B181-1</f>
        <v>2027</v>
      </c>
      <c r="C182" s="79"/>
      <c r="D182" s="80">
        <f t="shared" ref="D182:I182" si="70">D151/30*366/12</f>
        <v>53.120833333333337</v>
      </c>
      <c r="E182" s="80">
        <f t="shared" si="70"/>
        <v>43.574333333333335</v>
      </c>
      <c r="F182" s="80">
        <f t="shared" si="70"/>
        <v>44.428333333333335</v>
      </c>
      <c r="G182" s="80">
        <f t="shared" si="70"/>
        <v>66.723833333333332</v>
      </c>
      <c r="H182" s="80">
        <f t="shared" si="70"/>
        <v>1112.3858333333335</v>
      </c>
      <c r="I182" s="80">
        <f t="shared" si="70"/>
        <v>4924.2453333333333</v>
      </c>
      <c r="J182" s="80">
        <f>(J152*J78/(J78/1.8)/30*366/12)</f>
        <v>3.8795999999999999</v>
      </c>
      <c r="K182" s="80">
        <f>((K152/30*366*K78)+(K151/30*366*K77))/K78/12</f>
        <v>1.3770498459307596</v>
      </c>
      <c r="L182" s="81"/>
      <c r="M182" s="81"/>
    </row>
    <row r="183" spans="2:13" x14ac:dyDescent="0.35">
      <c r="B183" s="47" t="s">
        <v>33</v>
      </c>
      <c r="C183" s="47"/>
      <c r="D183" s="48">
        <f t="shared" ref="D183:K184" si="71">+D116</f>
        <v>22.528549376511233</v>
      </c>
      <c r="E183" s="48">
        <f t="shared" si="71"/>
        <v>18.124035156451161</v>
      </c>
      <c r="F183" s="48">
        <f t="shared" si="71"/>
        <v>37.108762718968784</v>
      </c>
      <c r="G183" s="48">
        <f t="shared" si="71"/>
        <v>81.963017722679282</v>
      </c>
      <c r="H183" s="48">
        <f t="shared" si="71"/>
        <v>155.54195945741739</v>
      </c>
      <c r="I183" s="48">
        <f t="shared" si="71"/>
        <v>503.19092839543282</v>
      </c>
      <c r="J183" s="48">
        <f t="shared" si="71"/>
        <v>6.0847383893711786</v>
      </c>
      <c r="K183" s="48">
        <f t="shared" si="71"/>
        <v>8.6693404109514649</v>
      </c>
      <c r="L183" s="42"/>
      <c r="M183" s="42"/>
    </row>
    <row r="184" spans="2:13" x14ac:dyDescent="0.35">
      <c r="B184" s="47" t="s">
        <v>34</v>
      </c>
      <c r="C184" s="47"/>
      <c r="D184" s="48">
        <f t="shared" si="71"/>
        <v>6.3750532244949163</v>
      </c>
      <c r="E184" s="48">
        <f t="shared" si="71"/>
        <v>4.0621972308346725</v>
      </c>
      <c r="F184" s="48">
        <f t="shared" si="71"/>
        <v>14.194360131758557</v>
      </c>
      <c r="G184" s="48">
        <f t="shared" si="71"/>
        <v>30.276193332111479</v>
      </c>
      <c r="H184" s="48">
        <f t="shared" si="71"/>
        <v>42.753267433655815</v>
      </c>
      <c r="I184" s="48">
        <f t="shared" si="71"/>
        <v>152.04947841163616</v>
      </c>
      <c r="J184" s="48">
        <f t="shared" si="71"/>
        <v>0.57433021012311625</v>
      </c>
      <c r="K184" s="48">
        <f t="shared" si="71"/>
        <v>0.7005196485277172</v>
      </c>
      <c r="L184" s="42"/>
      <c r="M184" s="42"/>
    </row>
    <row r="185" spans="2:13" x14ac:dyDescent="0.35">
      <c r="B185" s="47" t="s">
        <v>35</v>
      </c>
      <c r="C185" s="47"/>
      <c r="D185" s="49" t="s">
        <v>36</v>
      </c>
      <c r="E185" s="49" t="s">
        <v>36</v>
      </c>
      <c r="F185" s="49" t="b">
        <f t="shared" ref="F185:H185" si="72">OR(F181&gt;F183)</f>
        <v>1</v>
      </c>
      <c r="G185" s="49" t="b">
        <f t="shared" si="72"/>
        <v>0</v>
      </c>
      <c r="H185" s="49" t="b">
        <f t="shared" si="72"/>
        <v>1</v>
      </c>
      <c r="I185" s="49" t="b">
        <f>OR(I181&gt;I183)</f>
        <v>1</v>
      </c>
      <c r="J185" s="49" t="b">
        <f>OR(J181&gt;J183)</f>
        <v>0</v>
      </c>
      <c r="K185" s="49" t="b">
        <f>OR(K181&gt;K183)</f>
        <v>0</v>
      </c>
      <c r="L185" s="42"/>
      <c r="M185" s="42"/>
    </row>
    <row r="186" spans="2:13" x14ac:dyDescent="0.35">
      <c r="B186" s="47" t="s">
        <v>37</v>
      </c>
      <c r="C186" s="47"/>
      <c r="D186" s="49" t="s">
        <v>36</v>
      </c>
      <c r="E186" s="49" t="s">
        <v>36</v>
      </c>
      <c r="F186" s="49" t="b">
        <f t="shared" ref="F186:H186" si="73">OR(F181&lt;F184)</f>
        <v>0</v>
      </c>
      <c r="G186" s="49" t="b">
        <f t="shared" si="73"/>
        <v>0</v>
      </c>
      <c r="H186" s="49" t="b">
        <f t="shared" si="73"/>
        <v>0</v>
      </c>
      <c r="I186" s="49" t="b">
        <f>OR(I181&lt;I184)</f>
        <v>0</v>
      </c>
      <c r="J186" s="49" t="b">
        <f>OR(J181&lt;J184)</f>
        <v>0</v>
      </c>
      <c r="K186" s="49" t="b">
        <f>OR(K181&lt;K184)</f>
        <v>0</v>
      </c>
      <c r="L186" s="42"/>
      <c r="M186" s="42"/>
    </row>
    <row r="187" spans="2:13" x14ac:dyDescent="0.35">
      <c r="B187" s="50" t="s">
        <v>38</v>
      </c>
      <c r="C187" s="50"/>
      <c r="D187" s="51">
        <f>IF(D185=TRUE,D182,D181)</f>
        <v>56.753278371333181</v>
      </c>
      <c r="E187" s="51">
        <f t="shared" ref="E187:I187" si="74">IF(E185=TRUE,E182,E181)</f>
        <v>46.553981071681157</v>
      </c>
      <c r="F187" s="51">
        <f t="shared" si="74"/>
        <v>44.428333333333335</v>
      </c>
      <c r="G187" s="51">
        <f t="shared" si="74"/>
        <v>71.286462382977916</v>
      </c>
      <c r="H187" s="51">
        <f t="shared" si="74"/>
        <v>1112.3858333333335</v>
      </c>
      <c r="I187" s="51">
        <f t="shared" si="74"/>
        <v>4924.2453333333333</v>
      </c>
      <c r="J187" s="51">
        <f>IF(J185=TRUE,J182,(J181*(J145/1.8)/J145))</f>
        <v>2.3027167492292131</v>
      </c>
      <c r="K187" s="51">
        <f t="shared" ref="K187" si="75">IF(K185=TRUE,K182,K181)</f>
        <v>1.4712136149466126</v>
      </c>
      <c r="L187" s="43"/>
      <c r="M187" s="42"/>
    </row>
    <row r="188" spans="2:13" x14ac:dyDescent="0.35">
      <c r="B188" s="47"/>
      <c r="C188" s="47"/>
      <c r="D188" s="52"/>
      <c r="E188" s="52"/>
      <c r="F188" s="52"/>
      <c r="G188" s="52"/>
      <c r="H188" s="52"/>
      <c r="I188" s="52"/>
      <c r="J188" s="52"/>
      <c r="K188" s="52"/>
      <c r="L188" s="42"/>
      <c r="M188" s="42"/>
    </row>
    <row r="189" spans="2:13" x14ac:dyDescent="0.35">
      <c r="B189" s="47" t="str">
        <f>+B122</f>
        <v>Revenue - Fixed (Customer)</v>
      </c>
      <c r="C189" s="47"/>
      <c r="D189" s="53">
        <f t="shared" ref="D189:I189" si="76">+D187*12*D144</f>
        <v>422989686.6659736</v>
      </c>
      <c r="E189" s="53">
        <f t="shared" si="76"/>
        <v>57678076.213028781</v>
      </c>
      <c r="F189" s="53">
        <f t="shared" si="76"/>
        <v>39202548.30985941</v>
      </c>
      <c r="G189" s="53">
        <f t="shared" si="76"/>
        <v>8556918.3915138822</v>
      </c>
      <c r="H189" s="53">
        <f t="shared" si="76"/>
        <v>6455174.9908333337</v>
      </c>
      <c r="I189" s="53">
        <f t="shared" si="76"/>
        <v>2742804.6506666667</v>
      </c>
      <c r="J189" s="6">
        <v>0</v>
      </c>
      <c r="K189" s="53">
        <f>((K187*K145*12)*K159/(K159+K162))</f>
        <v>84645.825669831625</v>
      </c>
      <c r="L189" s="42">
        <f>SUM(D189:K189)</f>
        <v>537709855.04754555</v>
      </c>
      <c r="M189" s="42"/>
    </row>
    <row r="190" spans="2:13" x14ac:dyDescent="0.35">
      <c r="B190" s="47" t="str">
        <f>+B123</f>
        <v>Revenue -  Connections</v>
      </c>
      <c r="C190" s="47"/>
      <c r="D190" s="53">
        <v>0</v>
      </c>
      <c r="E190" s="53">
        <v>0</v>
      </c>
      <c r="F190" s="53">
        <v>0</v>
      </c>
      <c r="G190" s="53">
        <v>0</v>
      </c>
      <c r="H190" s="53">
        <v>0</v>
      </c>
      <c r="I190" s="6">
        <v>0</v>
      </c>
      <c r="J190" s="53">
        <f>+J187*12*J145</f>
        <v>4815496.5311901132</v>
      </c>
      <c r="K190" s="53">
        <f>((K187*K145*12)*K162/(K159+K162))</f>
        <v>142621.36871266129</v>
      </c>
      <c r="L190" s="42">
        <f>SUM(D190:K190)</f>
        <v>4958117.899902774</v>
      </c>
      <c r="M190" s="42"/>
    </row>
    <row r="191" spans="2:13" x14ac:dyDescent="0.35">
      <c r="B191" s="47" t="str">
        <f>+B124</f>
        <v>Revenue -  Variable</v>
      </c>
      <c r="C191" s="47"/>
      <c r="D191" s="53">
        <f t="shared" ref="D191:G191" si="77">D170-D189-D190-D192</f>
        <v>-5.9604644775390625E-8</v>
      </c>
      <c r="E191" s="53">
        <f t="shared" si="77"/>
        <v>-7.4505805969238281E-9</v>
      </c>
      <c r="F191" s="53">
        <f t="shared" si="77"/>
        <v>132529855.87526934</v>
      </c>
      <c r="G191" s="53">
        <f t="shared" si="77"/>
        <v>270064498.84144348</v>
      </c>
      <c r="H191" s="53">
        <f>H170-H189-H190-H192</f>
        <v>83331901.35068953</v>
      </c>
      <c r="I191" s="53">
        <f t="shared" ref="I191:K191" si="78">I170-I189-I190-I192</f>
        <v>40408714.785539404</v>
      </c>
      <c r="J191" s="53">
        <f t="shared" si="78"/>
        <v>17332145.669294775</v>
      </c>
      <c r="K191" s="53">
        <f t="shared" si="78"/>
        <v>4657949.0982841887</v>
      </c>
      <c r="L191" s="42">
        <f>SUM(D191:K191)</f>
        <v>548325065.62052059</v>
      </c>
      <c r="M191" s="42"/>
    </row>
    <row r="192" spans="2:13" x14ac:dyDescent="0.35">
      <c r="B192" s="47" t="str">
        <f>+B125</f>
        <v>Revenue - Variable Tx Allow</v>
      </c>
      <c r="C192" s="47"/>
      <c r="D192" s="53">
        <f>+D142</f>
        <v>0</v>
      </c>
      <c r="E192" s="53">
        <f t="shared" ref="E192:K192" si="79">+E142</f>
        <v>0</v>
      </c>
      <c r="F192" s="53">
        <f t="shared" si="79"/>
        <v>0</v>
      </c>
      <c r="G192" s="53">
        <f t="shared" si="79"/>
        <v>-4858945.7573681548</v>
      </c>
      <c r="H192" s="53">
        <f t="shared" si="79"/>
        <v>-4804023.5086168991</v>
      </c>
      <c r="I192" s="53">
        <f t="shared" si="79"/>
        <v>-2262981.4273112062</v>
      </c>
      <c r="J192" s="53">
        <f t="shared" si="79"/>
        <v>0</v>
      </c>
      <c r="K192" s="53">
        <f t="shared" si="79"/>
        <v>0</v>
      </c>
      <c r="L192" s="42">
        <f>SUM(D192:K192)</f>
        <v>-11925950.693296259</v>
      </c>
      <c r="M192" s="42"/>
    </row>
    <row r="193" spans="2:13" x14ac:dyDescent="0.35">
      <c r="B193" s="50" t="str">
        <f>+B126</f>
        <v>Total</v>
      </c>
      <c r="C193" s="50"/>
      <c r="D193" s="54">
        <f>SUM(D189:D192)</f>
        <v>422989686.66597354</v>
      </c>
      <c r="E193" s="54">
        <f t="shared" ref="E193:L193" si="80">SUM(E189:E192)</f>
        <v>57678076.213028774</v>
      </c>
      <c r="F193" s="54">
        <f t="shared" si="80"/>
        <v>171732404.18512875</v>
      </c>
      <c r="G193" s="54">
        <f t="shared" si="80"/>
        <v>273762471.47558922</v>
      </c>
      <c r="H193" s="54">
        <f t="shared" si="80"/>
        <v>84983052.832905963</v>
      </c>
      <c r="I193" s="54">
        <f t="shared" si="80"/>
        <v>40888538.008894868</v>
      </c>
      <c r="J193" s="54">
        <f t="shared" si="80"/>
        <v>22147642.200484887</v>
      </c>
      <c r="K193" s="54">
        <f t="shared" si="80"/>
        <v>4885216.2926666811</v>
      </c>
      <c r="L193" s="54">
        <f t="shared" si="80"/>
        <v>1079067087.8746727</v>
      </c>
      <c r="M193" s="42"/>
    </row>
    <row r="194" spans="2:13" x14ac:dyDescent="0.35">
      <c r="B194" s="55"/>
      <c r="C194" s="55"/>
      <c r="D194" s="55"/>
      <c r="E194" s="55"/>
      <c r="F194" s="55"/>
      <c r="G194" s="55"/>
      <c r="H194" s="55"/>
      <c r="I194" s="55"/>
      <c r="J194" s="55"/>
      <c r="K194" s="55"/>
      <c r="L194" s="55"/>
    </row>
    <row r="195" spans="2:13" x14ac:dyDescent="0.35">
      <c r="B195" s="30" t="str">
        <f>_xlfn.CONCAT(B139," Year Final Rates (DOS Adjusted)")</f>
        <v>2028 Year Final Rates (DOS Adjusted)</v>
      </c>
      <c r="C195"/>
      <c r="D195"/>
      <c r="E195"/>
      <c r="F195"/>
      <c r="G195"/>
      <c r="H195" s="56"/>
      <c r="I195" s="57"/>
      <c r="J195" s="57"/>
      <c r="K195"/>
      <c r="L195"/>
    </row>
    <row r="196" spans="2:13" x14ac:dyDescent="0.35">
      <c r="B196" s="30" t="s">
        <v>18</v>
      </c>
      <c r="C196" s="30"/>
      <c r="D196" s="58"/>
      <c r="E196" s="58"/>
      <c r="F196" s="58"/>
      <c r="G196" s="58"/>
      <c r="H196" s="59"/>
      <c r="I196" s="59"/>
      <c r="J196" s="58"/>
      <c r="K196" s="58"/>
      <c r="L196" s="8"/>
    </row>
    <row r="197" spans="2:13" x14ac:dyDescent="0.35">
      <c r="B197" s="30" t="s">
        <v>19</v>
      </c>
      <c r="C197" s="30"/>
      <c r="D197" s="60">
        <f t="shared" ref="D197:I197" si="81">ROUND((((D189/(D144*12))*12)/366)*30,2)</f>
        <v>55.82</v>
      </c>
      <c r="E197" s="60">
        <f t="shared" si="81"/>
        <v>45.79</v>
      </c>
      <c r="F197" s="60">
        <f t="shared" si="81"/>
        <v>43.7</v>
      </c>
      <c r="G197" s="60">
        <f t="shared" si="81"/>
        <v>70.12</v>
      </c>
      <c r="H197" s="61">
        <f t="shared" si="81"/>
        <v>1094.1500000000001</v>
      </c>
      <c r="I197" s="62">
        <f t="shared" si="81"/>
        <v>4843.5200000000004</v>
      </c>
      <c r="J197" s="63">
        <v>0</v>
      </c>
      <c r="K197" s="64">
        <f>ROUND(((((K189)/(K144*12))*12)/366)*30,2)</f>
        <v>8.77</v>
      </c>
      <c r="L197"/>
    </row>
    <row r="198" spans="2:13" x14ac:dyDescent="0.35">
      <c r="B198" s="30" t="s">
        <v>20</v>
      </c>
      <c r="C198" s="30"/>
      <c r="D198" s="63">
        <v>0</v>
      </c>
      <c r="E198" s="63">
        <v>0</v>
      </c>
      <c r="F198" s="63">
        <v>0</v>
      </c>
      <c r="G198" s="63">
        <v>0</v>
      </c>
      <c r="H198" s="63">
        <v>0</v>
      </c>
      <c r="I198" s="63">
        <v>0</v>
      </c>
      <c r="J198" s="65">
        <f>ROUND((((J190/(J145*12))*12)/366)*30,2)</f>
        <v>2.2599999999999998</v>
      </c>
      <c r="K198" s="66">
        <f>ROUND(((((K190)/(K145*12))*12)/366)*30,2)</f>
        <v>0.91</v>
      </c>
      <c r="L198"/>
    </row>
    <row r="199" spans="2:13" x14ac:dyDescent="0.35">
      <c r="B199" s="30" t="s">
        <v>21</v>
      </c>
      <c r="C199" s="30"/>
      <c r="D199" s="30"/>
      <c r="E199" s="30"/>
      <c r="F199" s="30"/>
      <c r="G199" s="30"/>
      <c r="H199" s="30"/>
      <c r="I199" s="67"/>
      <c r="J199" s="30"/>
      <c r="K199" s="68"/>
      <c r="L199"/>
    </row>
    <row r="200" spans="2:13" x14ac:dyDescent="0.35">
      <c r="B200" s="30" t="s">
        <v>22</v>
      </c>
      <c r="C200" s="30"/>
      <c r="D200" s="63">
        <v>0</v>
      </c>
      <c r="E200" s="63">
        <v>0</v>
      </c>
      <c r="F200" s="63">
        <v>0</v>
      </c>
      <c r="G200" s="69">
        <f>ROUND((((G191/(G146))*12)/366)*30,4)</f>
        <v>11.451499999999999</v>
      </c>
      <c r="H200" s="69">
        <f>ROUND((((H191/(H146))*12)/366)*30,4)</f>
        <v>9.5395000000000003</v>
      </c>
      <c r="I200" s="70">
        <f>ROUND((((I191/(I146))*12)/366)*30,4)</f>
        <v>10.308299999999999</v>
      </c>
      <c r="J200" s="71">
        <f>ROUND((((J191/(J146))*12)/366)*30,4)</f>
        <v>50.658499999999997</v>
      </c>
      <c r="K200" s="63">
        <v>0</v>
      </c>
      <c r="L200"/>
    </row>
    <row r="201" spans="2:13" x14ac:dyDescent="0.35">
      <c r="B201" s="30" t="s">
        <v>23</v>
      </c>
      <c r="C201" s="30"/>
      <c r="D201" s="63">
        <v>0</v>
      </c>
      <c r="E201" s="63">
        <v>0</v>
      </c>
      <c r="F201" s="72">
        <f>ROUND(F191/F147,5)</f>
        <v>5.3539999999999997E-2</v>
      </c>
      <c r="G201" s="63">
        <v>0</v>
      </c>
      <c r="H201" s="63">
        <v>0</v>
      </c>
      <c r="I201" s="63">
        <v>0</v>
      </c>
      <c r="J201" s="63">
        <v>0</v>
      </c>
      <c r="K201" s="73">
        <f>ROUND(K191/K147,5)</f>
        <v>0.11036</v>
      </c>
      <c r="L201"/>
    </row>
    <row r="202" spans="2:13" x14ac:dyDescent="0.35">
      <c r="B202" s="74"/>
      <c r="C202" s="74"/>
      <c r="D202" s="74"/>
      <c r="E202" s="74"/>
      <c r="F202" s="74"/>
      <c r="G202" s="74"/>
      <c r="H202" s="74"/>
      <c r="I202" s="74"/>
      <c r="J202" s="74"/>
      <c r="K202" s="74"/>
      <c r="L202" s="74"/>
    </row>
    <row r="203" spans="2:13" x14ac:dyDescent="0.35">
      <c r="B203" s="18"/>
      <c r="C203" s="18"/>
      <c r="D203" s="18"/>
      <c r="E203" s="18"/>
      <c r="F203" s="18"/>
      <c r="G203" s="75"/>
      <c r="H203" s="75"/>
      <c r="I203" s="75"/>
      <c r="J203" s="75"/>
      <c r="K203" s="75"/>
      <c r="L203" s="75"/>
    </row>
    <row r="204" spans="2:13" ht="31" x14ac:dyDescent="0.35">
      <c r="B204" s="1"/>
      <c r="C204" s="2"/>
      <c r="D204" s="3" t="str">
        <f t="shared" ref="D204:L204" si="82">D3</f>
        <v>Residential</v>
      </c>
      <c r="E204" s="3" t="str">
        <f t="shared" si="82"/>
        <v>CSMUR</v>
      </c>
      <c r="F204" s="3" t="str">
        <f t="shared" si="82"/>
        <v>GS &lt;50 kW</v>
      </c>
      <c r="G204" s="3" t="str">
        <f t="shared" si="82"/>
        <v>GS 50-999 kW</v>
      </c>
      <c r="H204" s="3" t="str">
        <f t="shared" si="82"/>
        <v>GS 1000-4999 kW</v>
      </c>
      <c r="I204" s="3" t="str">
        <f t="shared" si="82"/>
        <v>Large User</v>
      </c>
      <c r="J204" s="3" t="str">
        <f t="shared" si="82"/>
        <v>Street lighting</v>
      </c>
      <c r="K204" s="3" t="str">
        <f t="shared" si="82"/>
        <v>USL</v>
      </c>
      <c r="L204" s="4" t="str">
        <f t="shared" si="82"/>
        <v>TOTAL</v>
      </c>
    </row>
    <row r="205" spans="2:13" x14ac:dyDescent="0.35">
      <c r="B205" s="84"/>
      <c r="C205" s="84"/>
      <c r="D205" s="85"/>
      <c r="E205" s="85"/>
      <c r="F205" s="85"/>
      <c r="G205" s="85"/>
      <c r="H205" s="85"/>
      <c r="I205" s="85"/>
      <c r="J205" s="85"/>
      <c r="K205" s="85"/>
      <c r="L205" s="85"/>
    </row>
    <row r="206" spans="2:13" ht="18.5" x14ac:dyDescent="0.45">
      <c r="B206" s="7">
        <f>+B72+2</f>
        <v>2029</v>
      </c>
      <c r="C206" s="8"/>
      <c r="D206" s="9" t="s">
        <v>10</v>
      </c>
      <c r="E206" s="10"/>
      <c r="F206" s="11">
        <v>1100864243.049741</v>
      </c>
      <c r="G206"/>
      <c r="H206"/>
      <c r="I206" s="12"/>
      <c r="J206"/>
      <c r="K206"/>
      <c r="L206"/>
    </row>
    <row r="207" spans="2:13" x14ac:dyDescent="0.35">
      <c r="B207" s="13" t="str">
        <f>+B140</f>
        <v>Tx Credit Rate</v>
      </c>
      <c r="C207" s="13"/>
      <c r="D207" s="13"/>
      <c r="E207" s="14"/>
      <c r="F207" s="14"/>
      <c r="G207" s="15">
        <f>ROUND(-0.62/30*365/12,2)</f>
        <v>-0.63</v>
      </c>
      <c r="H207" s="15">
        <f>ROUND(-0.62/30*365/12,2)</f>
        <v>-0.63</v>
      </c>
      <c r="I207" s="15">
        <f>ROUND(-0.62/30*365/12,2)</f>
        <v>-0.63</v>
      </c>
      <c r="J207" s="14"/>
      <c r="K207" s="14"/>
      <c r="L207" s="14"/>
    </row>
    <row r="208" spans="2:13" x14ac:dyDescent="0.35">
      <c r="B208" t="str">
        <f>+B141</f>
        <v>Tx Credit kVa</v>
      </c>
      <c r="C208"/>
      <c r="D208" s="16"/>
      <c r="E208" s="16"/>
      <c r="F208" s="16"/>
      <c r="G208" s="17">
        <v>7852809.3808322912</v>
      </c>
      <c r="H208" s="17">
        <v>7475447.8015846172</v>
      </c>
      <c r="I208" s="17">
        <v>3415249.4925636109</v>
      </c>
      <c r="J208" s="16"/>
      <c r="K208" s="16"/>
      <c r="L208" s="16"/>
    </row>
    <row r="209" spans="2:12" x14ac:dyDescent="0.35">
      <c r="B209" t="str">
        <f>+B142</f>
        <v>Tx Credit Dollars</v>
      </c>
      <c r="C209"/>
      <c r="D209" s="16"/>
      <c r="E209" s="16"/>
      <c r="F209" s="16"/>
      <c r="G209" s="76">
        <f>+G208*G207</f>
        <v>-4947269.9099243432</v>
      </c>
      <c r="H209" s="76">
        <f>+H208*H207</f>
        <v>-4709532.1149983089</v>
      </c>
      <c r="I209" s="76">
        <f>+I208*I207</f>
        <v>-2151607.180315075</v>
      </c>
      <c r="J209" s="16"/>
      <c r="K209" s="16"/>
      <c r="L209" s="16"/>
    </row>
    <row r="210" spans="2:12" x14ac:dyDescent="0.35">
      <c r="B210"/>
      <c r="C210"/>
      <c r="D210" s="21"/>
      <c r="E210" s="21"/>
      <c r="F210" s="21"/>
      <c r="G210" s="21"/>
      <c r="H210" s="21"/>
      <c r="I210" s="21"/>
      <c r="J210" s="21"/>
      <c r="K210" s="21"/>
      <c r="L210"/>
    </row>
    <row r="211" spans="2:12" x14ac:dyDescent="0.35">
      <c r="B211" t="str">
        <f>B144</f>
        <v>Customer Numbers</v>
      </c>
      <c r="C211"/>
      <c r="D211" s="22">
        <v>622058.25953744852</v>
      </c>
      <c r="E211" s="22">
        <v>105115.37390446576</v>
      </c>
      <c r="F211" s="22">
        <v>73858.109548704975</v>
      </c>
      <c r="G211" s="22">
        <v>10021.566444751181</v>
      </c>
      <c r="H211" s="22">
        <v>481.58333333333331</v>
      </c>
      <c r="I211" s="22">
        <v>45.416666666666664</v>
      </c>
      <c r="J211" s="23">
        <v>1</v>
      </c>
      <c r="K211" s="22">
        <v>791</v>
      </c>
      <c r="L211" s="24">
        <f>SUM(D211:K211)</f>
        <v>812372.30943537049</v>
      </c>
    </row>
    <row r="212" spans="2:12" x14ac:dyDescent="0.35">
      <c r="B212" t="str">
        <f>B145</f>
        <v>Connections/ Devices</v>
      </c>
      <c r="C212"/>
      <c r="D212" s="25"/>
      <c r="E212" s="25"/>
      <c r="F212" s="25"/>
      <c r="G212" s="25"/>
      <c r="H212" s="25"/>
      <c r="I212" s="25"/>
      <c r="J212" s="22">
        <v>174764.66666666674</v>
      </c>
      <c r="K212" s="22">
        <v>12873</v>
      </c>
      <c r="L212" s="24">
        <f>SUM(D212:K212)</f>
        <v>187637.66666666674</v>
      </c>
    </row>
    <row r="213" spans="2:12" x14ac:dyDescent="0.35">
      <c r="B213" t="str">
        <f>B146</f>
        <v>kVA (Including WMP)</v>
      </c>
      <c r="C213"/>
      <c r="D213" s="25"/>
      <c r="E213" s="25"/>
      <c r="F213" s="25"/>
      <c r="G213" s="22">
        <v>23072788.768999197</v>
      </c>
      <c r="H213" s="22">
        <v>8418184.0253603291</v>
      </c>
      <c r="I213" s="22">
        <v>3734264.5265182387</v>
      </c>
      <c r="J213" s="22">
        <v>327684.31097986002</v>
      </c>
      <c r="K213" s="25"/>
      <c r="L213" s="24">
        <f>SUM(D213:K213)</f>
        <v>35552921.631857626</v>
      </c>
    </row>
    <row r="214" spans="2:12" x14ac:dyDescent="0.35">
      <c r="B214" s="18" t="str">
        <f>B147</f>
        <v>kWh (Excluding WMP; Including line losses)</v>
      </c>
      <c r="C214" s="18"/>
      <c r="D214" s="26">
        <v>5194083910.4658356</v>
      </c>
      <c r="E214" s="26">
        <v>377080464.10327113</v>
      </c>
      <c r="F214" s="26">
        <v>2482574694.7113614</v>
      </c>
      <c r="G214" s="27">
        <v>9560412129.9776268</v>
      </c>
      <c r="H214" s="27">
        <v>3950862439.6073742</v>
      </c>
      <c r="I214" s="27">
        <v>1438392060.8929737</v>
      </c>
      <c r="J214" s="27">
        <v>119569533.95238131</v>
      </c>
      <c r="K214" s="26">
        <v>42090115.886468768</v>
      </c>
      <c r="L214" s="28">
        <f>SUM(D214:K214)</f>
        <v>23165065349.597294</v>
      </c>
    </row>
    <row r="215" spans="2:12" x14ac:dyDescent="0.35">
      <c r="B215"/>
      <c r="C215"/>
      <c r="D215" s="29"/>
      <c r="E215" s="29"/>
      <c r="F215" s="29"/>
      <c r="G215" s="29"/>
      <c r="H215" s="29"/>
      <c r="I215" s="29"/>
      <c r="J215" s="29"/>
      <c r="K215" s="29"/>
      <c r="L215"/>
    </row>
    <row r="216" spans="2:12" x14ac:dyDescent="0.35">
      <c r="B216" s="30" t="str">
        <f>_xlfn.CONCAT("Rates Prior Year - ",B206-1)</f>
        <v>Rates Prior Year - 2028</v>
      </c>
      <c r="C216"/>
      <c r="D216" s="29"/>
      <c r="E216" s="29"/>
      <c r="F216" s="29"/>
      <c r="G216" s="29"/>
      <c r="H216" s="29"/>
      <c r="I216" s="29"/>
      <c r="J216" s="29"/>
      <c r="K216" s="29"/>
      <c r="L216"/>
    </row>
    <row r="217" spans="2:12" x14ac:dyDescent="0.35">
      <c r="B217" s="31" t="s">
        <v>18</v>
      </c>
      <c r="C217" s="31"/>
      <c r="D217" s="32"/>
      <c r="E217" s="32"/>
      <c r="F217" s="32"/>
      <c r="G217" s="32"/>
      <c r="H217" s="33"/>
      <c r="I217" s="33"/>
      <c r="J217" s="32"/>
      <c r="K217" s="32"/>
      <c r="L217"/>
    </row>
    <row r="218" spans="2:12" x14ac:dyDescent="0.35">
      <c r="B218" s="31" t="s">
        <v>19</v>
      </c>
      <c r="C218" s="31"/>
      <c r="D218" s="34">
        <f t="shared" ref="D218:K219" si="83">+D197</f>
        <v>55.82</v>
      </c>
      <c r="E218" s="34">
        <f t="shared" si="83"/>
        <v>45.79</v>
      </c>
      <c r="F218" s="34">
        <f t="shared" si="83"/>
        <v>43.7</v>
      </c>
      <c r="G218" s="34">
        <f t="shared" si="83"/>
        <v>70.12</v>
      </c>
      <c r="H218" s="34">
        <f t="shared" si="83"/>
        <v>1094.1500000000001</v>
      </c>
      <c r="I218" s="34">
        <f t="shared" si="83"/>
        <v>4843.5200000000004</v>
      </c>
      <c r="J218" s="35">
        <f t="shared" si="83"/>
        <v>0</v>
      </c>
      <c r="K218" s="34">
        <f t="shared" si="83"/>
        <v>8.77</v>
      </c>
      <c r="L218"/>
    </row>
    <row r="219" spans="2:12" x14ac:dyDescent="0.35">
      <c r="B219" s="31" t="s">
        <v>20</v>
      </c>
      <c r="C219" s="31"/>
      <c r="D219" s="35">
        <f t="shared" si="83"/>
        <v>0</v>
      </c>
      <c r="E219" s="35">
        <f t="shared" si="83"/>
        <v>0</v>
      </c>
      <c r="F219" s="35">
        <f t="shared" si="83"/>
        <v>0</v>
      </c>
      <c r="G219" s="35">
        <f t="shared" si="83"/>
        <v>0</v>
      </c>
      <c r="H219" s="35">
        <f t="shared" si="83"/>
        <v>0</v>
      </c>
      <c r="I219" s="35">
        <f t="shared" si="83"/>
        <v>0</v>
      </c>
      <c r="J219" s="36">
        <f t="shared" si="83"/>
        <v>2.2599999999999998</v>
      </c>
      <c r="K219" s="36">
        <f t="shared" si="83"/>
        <v>0.91</v>
      </c>
      <c r="L219"/>
    </row>
    <row r="220" spans="2:12" x14ac:dyDescent="0.35">
      <c r="B220" s="31" t="s">
        <v>21</v>
      </c>
      <c r="C220" s="31"/>
      <c r="D220" s="31"/>
      <c r="E220" s="31"/>
      <c r="F220" s="31"/>
      <c r="G220" s="31"/>
      <c r="H220" s="31"/>
      <c r="I220" s="37"/>
      <c r="J220" s="31"/>
      <c r="K220" s="38"/>
      <c r="L220"/>
    </row>
    <row r="221" spans="2:12" x14ac:dyDescent="0.35">
      <c r="B221" s="31" t="s">
        <v>22</v>
      </c>
      <c r="C221" s="31"/>
      <c r="D221" s="35">
        <f t="shared" ref="D221:K222" si="84">+D200</f>
        <v>0</v>
      </c>
      <c r="E221" s="35">
        <f t="shared" si="84"/>
        <v>0</v>
      </c>
      <c r="F221" s="35">
        <f t="shared" si="84"/>
        <v>0</v>
      </c>
      <c r="G221" s="39">
        <f t="shared" si="84"/>
        <v>11.451499999999999</v>
      </c>
      <c r="H221" s="39">
        <f t="shared" si="84"/>
        <v>9.5395000000000003</v>
      </c>
      <c r="I221" s="39">
        <f t="shared" si="84"/>
        <v>10.308299999999999</v>
      </c>
      <c r="J221" s="39">
        <f t="shared" si="84"/>
        <v>50.658499999999997</v>
      </c>
      <c r="K221" s="35">
        <f t="shared" si="84"/>
        <v>0</v>
      </c>
      <c r="L221"/>
    </row>
    <row r="222" spans="2:12" x14ac:dyDescent="0.35">
      <c r="B222" s="31" t="s">
        <v>23</v>
      </c>
      <c r="C222" s="31"/>
      <c r="D222" s="35">
        <f t="shared" si="84"/>
        <v>0</v>
      </c>
      <c r="E222" s="35">
        <f t="shared" si="84"/>
        <v>0</v>
      </c>
      <c r="F222" s="40">
        <f t="shared" si="84"/>
        <v>5.3539999999999997E-2</v>
      </c>
      <c r="G222" s="35">
        <f t="shared" si="84"/>
        <v>0</v>
      </c>
      <c r="H222" s="35">
        <f t="shared" si="84"/>
        <v>0</v>
      </c>
      <c r="I222" s="35">
        <f t="shared" si="84"/>
        <v>0</v>
      </c>
      <c r="J222" s="35">
        <f t="shared" si="84"/>
        <v>0</v>
      </c>
      <c r="K222" s="40">
        <f t="shared" si="84"/>
        <v>0.11036</v>
      </c>
      <c r="L222"/>
    </row>
    <row r="223" spans="2:12" x14ac:dyDescent="0.35">
      <c r="B223" s="18"/>
      <c r="C223" s="18"/>
      <c r="D223" s="41"/>
      <c r="E223" s="41"/>
      <c r="F223" s="41"/>
      <c r="G223" s="41"/>
      <c r="H223" s="41"/>
      <c r="I223" s="41"/>
      <c r="J223" s="41"/>
      <c r="K223" s="41"/>
      <c r="L223" s="18"/>
    </row>
    <row r="224" spans="2:12" x14ac:dyDescent="0.35">
      <c r="B224"/>
      <c r="C224"/>
      <c r="D224" s="29"/>
      <c r="E224" s="29"/>
      <c r="F224" s="29"/>
      <c r="G224" s="29"/>
      <c r="H224" s="29"/>
      <c r="I224" s="29"/>
      <c r="J224" s="29"/>
      <c r="K224" s="29"/>
      <c r="L224"/>
    </row>
    <row r="225" spans="2:12" x14ac:dyDescent="0.35">
      <c r="B225" s="30" t="str">
        <f>_xlfn.CONCAT("Revenue based on ",B206-1," rates and ",B206," load/ customer")</f>
        <v>Revenue based on 2028 rates and 2029 load/ customer</v>
      </c>
      <c r="C225"/>
      <c r="D225" s="29"/>
      <c r="E225" s="29"/>
      <c r="F225" s="29"/>
      <c r="G225" s="29"/>
      <c r="H225" s="29"/>
      <c r="I225" s="29"/>
      <c r="J225" s="29"/>
      <c r="K225" s="29"/>
      <c r="L225"/>
    </row>
    <row r="226" spans="2:12" x14ac:dyDescent="0.35">
      <c r="B226" t="s">
        <v>18</v>
      </c>
      <c r="C226"/>
      <c r="D226" s="42">
        <f t="shared" ref="D226:K226" si="85">D218/30*365*D211</f>
        <v>422466719.90979457</v>
      </c>
      <c r="E226" s="42">
        <f t="shared" si="85"/>
        <v>58561001.148206763</v>
      </c>
      <c r="F226" s="42">
        <f t="shared" si="85"/>
        <v>39269125.878553964</v>
      </c>
      <c r="G226" s="42">
        <f t="shared" si="85"/>
        <v>8549665.575789094</v>
      </c>
      <c r="H226" s="42">
        <f t="shared" si="85"/>
        <v>6410913.5840277784</v>
      </c>
      <c r="I226" s="42">
        <f t="shared" si="85"/>
        <v>2676381.1555555556</v>
      </c>
      <c r="J226" s="42">
        <f t="shared" si="85"/>
        <v>0</v>
      </c>
      <c r="K226" s="42">
        <f t="shared" si="85"/>
        <v>84401.018333333341</v>
      </c>
      <c r="L226" s="42">
        <f>SUM(D226:K226)</f>
        <v>538018208.27026105</v>
      </c>
    </row>
    <row r="227" spans="2:12" x14ac:dyDescent="0.35">
      <c r="B227" t="s">
        <v>24</v>
      </c>
      <c r="C227"/>
      <c r="D227" s="42">
        <f t="shared" ref="D227:K227" si="86">D222*D214</f>
        <v>0</v>
      </c>
      <c r="E227" s="42">
        <f t="shared" si="86"/>
        <v>0</v>
      </c>
      <c r="F227" s="42">
        <f t="shared" si="86"/>
        <v>132917049.15484628</v>
      </c>
      <c r="G227" s="42">
        <f t="shared" si="86"/>
        <v>0</v>
      </c>
      <c r="H227" s="42">
        <f t="shared" si="86"/>
        <v>0</v>
      </c>
      <c r="I227" s="42">
        <f t="shared" si="86"/>
        <v>0</v>
      </c>
      <c r="J227" s="42">
        <f t="shared" si="86"/>
        <v>0</v>
      </c>
      <c r="K227" s="42">
        <f t="shared" si="86"/>
        <v>4645065.1892306935</v>
      </c>
      <c r="L227" s="42">
        <f t="shared" ref="L227:L232" si="87">SUM(D227:K227)</f>
        <v>137562114.34407696</v>
      </c>
    </row>
    <row r="228" spans="2:12" x14ac:dyDescent="0.35">
      <c r="B228" t="s">
        <v>25</v>
      </c>
      <c r="C228"/>
      <c r="D228" s="42">
        <f t="shared" ref="D228:K228" si="88">D221*D213/360*365</f>
        <v>0</v>
      </c>
      <c r="E228" s="42">
        <f t="shared" si="88"/>
        <v>0</v>
      </c>
      <c r="F228" s="42">
        <f t="shared" si="88"/>
        <v>0</v>
      </c>
      <c r="G228" s="42">
        <f t="shared" si="88"/>
        <v>267887735.59636363</v>
      </c>
      <c r="H228" s="42">
        <f t="shared" si="88"/>
        <v>81420617.433673814</v>
      </c>
      <c r="I228" s="42">
        <f t="shared" si="88"/>
        <v>39028556.782856673</v>
      </c>
      <c r="J228" s="42">
        <f t="shared" si="88"/>
        <v>16830551.163158976</v>
      </c>
      <c r="K228" s="42">
        <f t="shared" si="88"/>
        <v>0</v>
      </c>
      <c r="L228" s="42">
        <f t="shared" si="87"/>
        <v>405167460.97605306</v>
      </c>
    </row>
    <row r="229" spans="2:12" x14ac:dyDescent="0.35">
      <c r="B229" t="s">
        <v>26</v>
      </c>
      <c r="C229"/>
      <c r="D229" s="42">
        <f t="shared" ref="D229:K229" si="89">D219/30*365*D212</f>
        <v>0</v>
      </c>
      <c r="E229" s="42">
        <f t="shared" si="89"/>
        <v>0</v>
      </c>
      <c r="F229" s="42">
        <f t="shared" si="89"/>
        <v>0</v>
      </c>
      <c r="G229" s="42">
        <f t="shared" si="89"/>
        <v>0</v>
      </c>
      <c r="H229" s="42">
        <f t="shared" si="89"/>
        <v>0</v>
      </c>
      <c r="I229" s="42">
        <f t="shared" si="89"/>
        <v>0</v>
      </c>
      <c r="J229" s="42">
        <f t="shared" si="89"/>
        <v>4805445.7844444457</v>
      </c>
      <c r="K229" s="42">
        <f t="shared" si="89"/>
        <v>142525.565</v>
      </c>
      <c r="L229" s="42">
        <f t="shared" si="87"/>
        <v>4947971.3494444462</v>
      </c>
    </row>
    <row r="230" spans="2:12" x14ac:dyDescent="0.35">
      <c r="B230" t="s">
        <v>9</v>
      </c>
      <c r="C230"/>
      <c r="D230" s="42">
        <f>SUM(D226:D229)</f>
        <v>422466719.90979457</v>
      </c>
      <c r="E230" s="42">
        <f t="shared" ref="E230:K230" si="90">SUM(E226:E229)</f>
        <v>58561001.148206763</v>
      </c>
      <c r="F230" s="42">
        <f t="shared" si="90"/>
        <v>172186175.03340024</v>
      </c>
      <c r="G230" s="42">
        <f t="shared" si="90"/>
        <v>276437401.17215276</v>
      </c>
      <c r="H230" s="42">
        <f t="shared" si="90"/>
        <v>87831531.017701596</v>
      </c>
      <c r="I230" s="42">
        <f t="shared" si="90"/>
        <v>41704937.938412227</v>
      </c>
      <c r="J230" s="42">
        <f t="shared" si="90"/>
        <v>21635996.947603419</v>
      </c>
      <c r="K230" s="42">
        <f t="shared" si="90"/>
        <v>4871991.7725640275</v>
      </c>
      <c r="L230" s="42">
        <f t="shared" si="87"/>
        <v>1085695754.9398355</v>
      </c>
    </row>
    <row r="231" spans="2:12" x14ac:dyDescent="0.35">
      <c r="B231" t="s">
        <v>27</v>
      </c>
      <c r="C231"/>
      <c r="D231" s="42">
        <f t="shared" ref="D231:K231" si="91">D209</f>
        <v>0</v>
      </c>
      <c r="E231" s="42">
        <f t="shared" si="91"/>
        <v>0</v>
      </c>
      <c r="F231" s="42">
        <f t="shared" si="91"/>
        <v>0</v>
      </c>
      <c r="G231" s="42">
        <f t="shared" si="91"/>
        <v>-4947269.9099243432</v>
      </c>
      <c r="H231" s="42">
        <f t="shared" si="91"/>
        <v>-4709532.1149983089</v>
      </c>
      <c r="I231" s="42">
        <f t="shared" si="91"/>
        <v>-2151607.180315075</v>
      </c>
      <c r="J231" s="42">
        <f t="shared" si="91"/>
        <v>0</v>
      </c>
      <c r="K231" s="42">
        <f t="shared" si="91"/>
        <v>0</v>
      </c>
      <c r="L231" s="42">
        <f t="shared" si="87"/>
        <v>-11808409.205237728</v>
      </c>
    </row>
    <row r="232" spans="2:12" x14ac:dyDescent="0.35">
      <c r="B232" s="18" t="s">
        <v>28</v>
      </c>
      <c r="C232" s="18"/>
      <c r="D232" s="43">
        <f>SUM(D230:D231)</f>
        <v>422466719.90979457</v>
      </c>
      <c r="E232" s="43">
        <f t="shared" ref="E232:K232" si="92">SUM(E230:E231)</f>
        <v>58561001.148206763</v>
      </c>
      <c r="F232" s="43">
        <f t="shared" si="92"/>
        <v>172186175.03340024</v>
      </c>
      <c r="G232" s="43">
        <f t="shared" si="92"/>
        <v>271490131.26222843</v>
      </c>
      <c r="H232" s="43">
        <f t="shared" si="92"/>
        <v>83121998.902703285</v>
      </c>
      <c r="I232" s="43">
        <f t="shared" si="92"/>
        <v>39553330.758097149</v>
      </c>
      <c r="J232" s="43">
        <f t="shared" si="92"/>
        <v>21635996.947603419</v>
      </c>
      <c r="K232" s="43">
        <f t="shared" si="92"/>
        <v>4871991.7725640275</v>
      </c>
      <c r="L232" s="43">
        <f t="shared" si="87"/>
        <v>1073887345.7345979</v>
      </c>
    </row>
    <row r="233" spans="2:12" x14ac:dyDescent="0.35">
      <c r="B233"/>
      <c r="C233"/>
      <c r="D233" s="42"/>
      <c r="E233" s="42"/>
      <c r="F233" s="42"/>
      <c r="G233" s="42"/>
      <c r="H233" s="42"/>
      <c r="I233" s="42"/>
      <c r="J233" s="42"/>
      <c r="K233" s="42"/>
      <c r="L233" s="42"/>
    </row>
    <row r="234" spans="2:12" x14ac:dyDescent="0.35">
      <c r="B234" t="str">
        <f>_xlfn.CONCAT(B206, " Revenue Requirement")</f>
        <v>2029 Revenue Requirement</v>
      </c>
      <c r="C234"/>
      <c r="D234" s="42"/>
      <c r="E234" s="42"/>
      <c r="F234" s="42"/>
      <c r="G234" s="42"/>
      <c r="H234" s="42"/>
      <c r="I234" s="42"/>
      <c r="J234" s="42"/>
      <c r="K234" s="42"/>
      <c r="L234" s="42">
        <f>F206</f>
        <v>1100864243.049741</v>
      </c>
    </row>
    <row r="235" spans="2:12" x14ac:dyDescent="0.35">
      <c r="B235" t="s">
        <v>29</v>
      </c>
      <c r="C235"/>
      <c r="D235" s="42"/>
      <c r="E235" s="42"/>
      <c r="F235" s="42"/>
      <c r="G235" s="42"/>
      <c r="H235" s="42"/>
      <c r="I235" s="42"/>
      <c r="J235" s="42"/>
      <c r="K235" s="42"/>
      <c r="L235" s="42">
        <f>L234-L232</f>
        <v>26976897.315143108</v>
      </c>
    </row>
    <row r="236" spans="2:12" x14ac:dyDescent="0.35">
      <c r="B236" s="18" t="s">
        <v>30</v>
      </c>
      <c r="C236" s="18"/>
      <c r="D236" s="43"/>
      <c r="E236" s="43"/>
      <c r="F236" s="43"/>
      <c r="G236" s="43"/>
      <c r="H236" s="43"/>
      <c r="I236" s="43"/>
      <c r="J236" s="43"/>
      <c r="K236" s="43"/>
      <c r="L236" s="44">
        <f>L234/L232</f>
        <v>1.0251207889005243</v>
      </c>
    </row>
    <row r="237" spans="2:12" x14ac:dyDescent="0.35">
      <c r="B237" s="45" t="s">
        <v>31</v>
      </c>
      <c r="C237" s="45"/>
      <c r="D237" s="46">
        <f>D232*$L236</f>
        <v>433079417.19814545</v>
      </c>
      <c r="E237" s="46">
        <f t="shared" ref="E237:K237" si="93">E232*$L236</f>
        <v>60032099.695854224</v>
      </c>
      <c r="F237" s="46">
        <f t="shared" si="93"/>
        <v>176511627.58800301</v>
      </c>
      <c r="G237" s="46">
        <f t="shared" si="93"/>
        <v>278310177.53824252</v>
      </c>
      <c r="H237" s="46">
        <f t="shared" si="93"/>
        <v>85210089.090127707</v>
      </c>
      <c r="I237" s="46">
        <f t="shared" si="93"/>
        <v>40546941.630383924</v>
      </c>
      <c r="J237" s="46">
        <f t="shared" si="93"/>
        <v>22179510.259576552</v>
      </c>
      <c r="K237" s="46">
        <f t="shared" si="93"/>
        <v>4994380.0494076991</v>
      </c>
      <c r="L237" s="46">
        <f>SUM(D237:K237)</f>
        <v>1100864243.0497413</v>
      </c>
    </row>
    <row r="238" spans="2:12" x14ac:dyDescent="0.35">
      <c r="B238"/>
      <c r="C238"/>
      <c r="D238" s="42"/>
      <c r="E238" s="42"/>
      <c r="F238" s="42"/>
      <c r="G238" s="42"/>
      <c r="H238" s="42"/>
      <c r="I238" s="42"/>
      <c r="J238" s="42"/>
      <c r="K238" s="42"/>
      <c r="L238" s="42"/>
    </row>
    <row r="239" spans="2:12" x14ac:dyDescent="0.35">
      <c r="B239" s="30" t="str">
        <f>_xlfn.CONCAT("Esclated Rates ",B206)</f>
        <v>Esclated Rates 2029</v>
      </c>
      <c r="C239"/>
      <c r="D239" s="29"/>
      <c r="E239" s="29"/>
      <c r="F239" s="29"/>
      <c r="G239" s="29"/>
      <c r="H239" s="29"/>
      <c r="I239" s="29"/>
      <c r="J239" s="29"/>
      <c r="K239" s="29"/>
      <c r="L239"/>
    </row>
    <row r="240" spans="2:12" x14ac:dyDescent="0.35">
      <c r="B240" s="31" t="s">
        <v>18</v>
      </c>
      <c r="C240" s="31"/>
      <c r="D240" s="32"/>
      <c r="E240" s="32"/>
      <c r="F240" s="32"/>
      <c r="G240" s="32"/>
      <c r="H240" s="33"/>
      <c r="I240" s="33"/>
      <c r="J240" s="32"/>
      <c r="K240" s="32"/>
      <c r="L240"/>
    </row>
    <row r="241" spans="2:13" x14ac:dyDescent="0.35">
      <c r="B241" s="31" t="s">
        <v>19</v>
      </c>
      <c r="C241" s="31"/>
      <c r="D241" s="34">
        <f>D218*$L236</f>
        <v>57.222242436427265</v>
      </c>
      <c r="E241" s="34">
        <f t="shared" ref="E241:K241" si="94">E218*$L236</f>
        <v>46.940280923755004</v>
      </c>
      <c r="F241" s="34">
        <f t="shared" si="94"/>
        <v>44.797778474952914</v>
      </c>
      <c r="G241" s="34">
        <f t="shared" si="94"/>
        <v>71.881469717704761</v>
      </c>
      <c r="H241" s="34">
        <f t="shared" si="94"/>
        <v>1121.6359111755087</v>
      </c>
      <c r="I241" s="34">
        <f t="shared" si="94"/>
        <v>4965.1930434554679</v>
      </c>
      <c r="J241" s="35">
        <f t="shared" si="94"/>
        <v>0</v>
      </c>
      <c r="K241" s="34">
        <f t="shared" si="94"/>
        <v>8.990309318657598</v>
      </c>
      <c r="L241"/>
    </row>
    <row r="242" spans="2:13" x14ac:dyDescent="0.35">
      <c r="B242" s="31" t="s">
        <v>20</v>
      </c>
      <c r="C242" s="31"/>
      <c r="D242" s="35">
        <f>D219*$L236</f>
        <v>0</v>
      </c>
      <c r="E242" s="35">
        <f t="shared" ref="E242:K242" si="95">E219*$L236</f>
        <v>0</v>
      </c>
      <c r="F242" s="35">
        <f t="shared" si="95"/>
        <v>0</v>
      </c>
      <c r="G242" s="35">
        <f t="shared" si="95"/>
        <v>0</v>
      </c>
      <c r="H242" s="35">
        <f t="shared" si="95"/>
        <v>0</v>
      </c>
      <c r="I242" s="35">
        <f t="shared" si="95"/>
        <v>0</v>
      </c>
      <c r="J242" s="36">
        <f t="shared" si="95"/>
        <v>2.3167729829151846</v>
      </c>
      <c r="K242" s="36">
        <f t="shared" si="95"/>
        <v>0.93285991789947709</v>
      </c>
      <c r="L242"/>
    </row>
    <row r="243" spans="2:13" x14ac:dyDescent="0.35">
      <c r="B243" s="31" t="s">
        <v>21</v>
      </c>
      <c r="C243" s="31"/>
      <c r="D243" s="31"/>
      <c r="E243" s="31"/>
      <c r="F243" s="31"/>
      <c r="G243" s="31"/>
      <c r="H243" s="31"/>
      <c r="I243" s="37"/>
      <c r="J243" s="31"/>
      <c r="K243" s="38"/>
      <c r="L243"/>
    </row>
    <row r="244" spans="2:13" x14ac:dyDescent="0.35">
      <c r="B244" s="31" t="s">
        <v>22</v>
      </c>
      <c r="C244" s="31"/>
      <c r="D244" s="35">
        <f>D221*$L236</f>
        <v>0</v>
      </c>
      <c r="E244" s="35">
        <f t="shared" ref="E244:K244" si="96">E221*$L236</f>
        <v>0</v>
      </c>
      <c r="F244" s="35">
        <f t="shared" si="96"/>
        <v>0</v>
      </c>
      <c r="G244" s="39">
        <f t="shared" si="96"/>
        <v>11.739170714094353</v>
      </c>
      <c r="H244" s="39">
        <f t="shared" si="96"/>
        <v>9.7791397657165522</v>
      </c>
      <c r="I244" s="39">
        <f t="shared" si="96"/>
        <v>10.567252628223274</v>
      </c>
      <c r="J244" s="39">
        <f t="shared" si="96"/>
        <v>51.931081484517208</v>
      </c>
      <c r="K244" s="35">
        <f t="shared" si="96"/>
        <v>0</v>
      </c>
      <c r="L244"/>
    </row>
    <row r="245" spans="2:13" x14ac:dyDescent="0.35">
      <c r="B245" s="31" t="s">
        <v>23</v>
      </c>
      <c r="C245" s="31"/>
      <c r="D245" s="35">
        <f>D222*$L236</f>
        <v>0</v>
      </c>
      <c r="E245" s="35">
        <f t="shared" ref="E245:K245" si="97">E222*$L236</f>
        <v>0</v>
      </c>
      <c r="F245" s="40">
        <f t="shared" si="97"/>
        <v>5.4884967037734066E-2</v>
      </c>
      <c r="G245" s="35">
        <f t="shared" si="97"/>
        <v>0</v>
      </c>
      <c r="H245" s="35">
        <f t="shared" si="97"/>
        <v>0</v>
      </c>
      <c r="I245" s="35">
        <f t="shared" si="97"/>
        <v>0</v>
      </c>
      <c r="J245" s="35">
        <f t="shared" si="97"/>
        <v>0</v>
      </c>
      <c r="K245" s="40">
        <f t="shared" si="97"/>
        <v>0.11313233026306185</v>
      </c>
      <c r="L245"/>
    </row>
    <row r="246" spans="2:13" x14ac:dyDescent="0.35">
      <c r="B246"/>
      <c r="C246"/>
      <c r="D246" s="42"/>
      <c r="E246" s="42"/>
      <c r="F246" s="42"/>
      <c r="G246" s="42"/>
      <c r="H246" s="42"/>
      <c r="I246" s="42"/>
      <c r="J246" s="42"/>
      <c r="K246" s="42"/>
      <c r="L246" s="42"/>
    </row>
    <row r="247" spans="2:13" x14ac:dyDescent="0.35">
      <c r="B247" s="30" t="s">
        <v>32</v>
      </c>
      <c r="C247"/>
      <c r="D247" s="42"/>
      <c r="E247" s="42"/>
      <c r="F247" s="42"/>
      <c r="G247" s="42"/>
      <c r="H247" s="42"/>
      <c r="I247" s="42"/>
      <c r="J247" s="42"/>
      <c r="K247" s="42"/>
      <c r="L247" s="42"/>
    </row>
    <row r="248" spans="2:13" x14ac:dyDescent="0.35">
      <c r="B248" s="47">
        <f>B206</f>
        <v>2029</v>
      </c>
      <c r="C248" s="47"/>
      <c r="D248" s="48">
        <f t="shared" ref="D248:I248" si="98">D241/30*365/12</f>
        <v>58.016995803599862</v>
      </c>
      <c r="E248" s="48">
        <f t="shared" si="98"/>
        <v>47.592229269918271</v>
      </c>
      <c r="F248" s="48">
        <f t="shared" si="98"/>
        <v>45.419969842660599</v>
      </c>
      <c r="G248" s="48">
        <f t="shared" si="98"/>
        <v>72.879823463783993</v>
      </c>
      <c r="H248" s="48">
        <f t="shared" si="98"/>
        <v>1137.2141877196129</v>
      </c>
      <c r="I248" s="48">
        <f t="shared" si="98"/>
        <v>5034.1540579479051</v>
      </c>
      <c r="J248" s="48">
        <f>(J242*J212/(J212/1.8)/30*365/12)</f>
        <v>4.228110693820212</v>
      </c>
      <c r="K248" s="48">
        <f>((K242/30*365*K212)+(K241/30*365*K211))/K212/12</f>
        <v>1.5059113268673918</v>
      </c>
      <c r="L248" s="42"/>
      <c r="M248" s="42"/>
    </row>
    <row r="249" spans="2:13" x14ac:dyDescent="0.35">
      <c r="B249" s="78">
        <f>B248-1</f>
        <v>2028</v>
      </c>
      <c r="C249" s="79"/>
      <c r="D249" s="80">
        <f t="shared" ref="D249:I249" si="99">D218/30*365/12</f>
        <v>56.595277777777774</v>
      </c>
      <c r="E249" s="80">
        <f t="shared" si="99"/>
        <v>46.425972222222221</v>
      </c>
      <c r="F249" s="80">
        <f t="shared" si="99"/>
        <v>44.306944444444447</v>
      </c>
      <c r="G249" s="80">
        <f t="shared" si="99"/>
        <v>71.093888888888898</v>
      </c>
      <c r="H249" s="80">
        <f t="shared" si="99"/>
        <v>1109.346527777778</v>
      </c>
      <c r="I249" s="80">
        <f t="shared" si="99"/>
        <v>4910.7911111111116</v>
      </c>
      <c r="J249" s="80">
        <f>(J219*J145/(J145/1.8)/30*365/12)</f>
        <v>4.1245000000000003</v>
      </c>
      <c r="K249" s="80">
        <f>((K219/30*365*K145)+(K218/30*365*K144))/K145/12</f>
        <v>1.4690086701709868</v>
      </c>
      <c r="L249" s="42"/>
      <c r="M249" s="42"/>
    </row>
    <row r="250" spans="2:13" x14ac:dyDescent="0.35">
      <c r="B250" s="47" t="s">
        <v>33</v>
      </c>
      <c r="C250" s="47"/>
      <c r="D250" s="48">
        <f t="shared" ref="D250:K251" si="100">+D183</f>
        <v>22.528549376511233</v>
      </c>
      <c r="E250" s="48">
        <f t="shared" si="100"/>
        <v>18.124035156451161</v>
      </c>
      <c r="F250" s="48">
        <f t="shared" si="100"/>
        <v>37.108762718968784</v>
      </c>
      <c r="G250" s="48">
        <f t="shared" si="100"/>
        <v>81.963017722679282</v>
      </c>
      <c r="H250" s="48">
        <f t="shared" si="100"/>
        <v>155.54195945741739</v>
      </c>
      <c r="I250" s="48">
        <f t="shared" si="100"/>
        <v>503.19092839543282</v>
      </c>
      <c r="J250" s="48">
        <f t="shared" si="100"/>
        <v>6.0847383893711786</v>
      </c>
      <c r="K250" s="48">
        <f t="shared" si="100"/>
        <v>8.6693404109514649</v>
      </c>
      <c r="L250" s="42"/>
      <c r="M250" s="42"/>
    </row>
    <row r="251" spans="2:13" x14ac:dyDescent="0.35">
      <c r="B251" s="47" t="s">
        <v>34</v>
      </c>
      <c r="C251" s="47"/>
      <c r="D251" s="48">
        <f t="shared" si="100"/>
        <v>6.3750532244949163</v>
      </c>
      <c r="E251" s="48">
        <f t="shared" si="100"/>
        <v>4.0621972308346725</v>
      </c>
      <c r="F251" s="48">
        <f t="shared" si="100"/>
        <v>14.194360131758557</v>
      </c>
      <c r="G251" s="48">
        <f t="shared" si="100"/>
        <v>30.276193332111479</v>
      </c>
      <c r="H251" s="48">
        <f t="shared" si="100"/>
        <v>42.753267433655815</v>
      </c>
      <c r="I251" s="48">
        <f t="shared" si="100"/>
        <v>152.04947841163616</v>
      </c>
      <c r="J251" s="48">
        <f t="shared" si="100"/>
        <v>0.57433021012311625</v>
      </c>
      <c r="K251" s="48">
        <f t="shared" si="100"/>
        <v>0.7005196485277172</v>
      </c>
      <c r="L251" s="42"/>
      <c r="M251" s="42"/>
    </row>
    <row r="252" spans="2:13" x14ac:dyDescent="0.35">
      <c r="B252" s="47" t="s">
        <v>35</v>
      </c>
      <c r="C252" s="47"/>
      <c r="D252" s="49" t="s">
        <v>36</v>
      </c>
      <c r="E252" s="49" t="s">
        <v>36</v>
      </c>
      <c r="F252" s="49" t="b">
        <f t="shared" ref="F252:H252" si="101">OR(F248&gt;F250)</f>
        <v>1</v>
      </c>
      <c r="G252" s="49" t="b">
        <f t="shared" si="101"/>
        <v>0</v>
      </c>
      <c r="H252" s="49" t="b">
        <f t="shared" si="101"/>
        <v>1</v>
      </c>
      <c r="I252" s="49" t="b">
        <f>OR(I248&gt;I250)</f>
        <v>1</v>
      </c>
      <c r="J252" s="49" t="b">
        <f>OR(J248&gt;J250)</f>
        <v>0</v>
      </c>
      <c r="K252" s="49" t="b">
        <f>OR(K248&gt;K250)</f>
        <v>0</v>
      </c>
      <c r="L252" s="42"/>
      <c r="M252" s="42"/>
    </row>
    <row r="253" spans="2:13" x14ac:dyDescent="0.35">
      <c r="B253" s="47" t="s">
        <v>37</v>
      </c>
      <c r="C253" s="47"/>
      <c r="D253" s="49" t="s">
        <v>36</v>
      </c>
      <c r="E253" s="49" t="s">
        <v>36</v>
      </c>
      <c r="F253" s="49" t="b">
        <f t="shared" ref="F253:H253" si="102">OR(F248&lt;F251)</f>
        <v>0</v>
      </c>
      <c r="G253" s="49" t="b">
        <f t="shared" si="102"/>
        <v>0</v>
      </c>
      <c r="H253" s="49" t="b">
        <f t="shared" si="102"/>
        <v>0</v>
      </c>
      <c r="I253" s="49" t="b">
        <f>OR(I248&lt;I251)</f>
        <v>0</v>
      </c>
      <c r="J253" s="49" t="b">
        <f>OR(J248&lt;J251)</f>
        <v>0</v>
      </c>
      <c r="K253" s="49" t="b">
        <f>OR(K248&lt;K251)</f>
        <v>0</v>
      </c>
      <c r="L253" s="42"/>
      <c r="M253" s="42"/>
    </row>
    <row r="254" spans="2:13" x14ac:dyDescent="0.35">
      <c r="B254" s="50" t="s">
        <v>38</v>
      </c>
      <c r="C254" s="50"/>
      <c r="D254" s="51">
        <f>IF(D252=TRUE,D249,D248)</f>
        <v>58.016995803599862</v>
      </c>
      <c r="E254" s="51">
        <f t="shared" ref="E254:I254" si="103">IF(E252=TRUE,E249,E248)</f>
        <v>47.592229269918271</v>
      </c>
      <c r="F254" s="51">
        <f t="shared" si="103"/>
        <v>44.306944444444447</v>
      </c>
      <c r="G254" s="51">
        <f t="shared" si="103"/>
        <v>72.879823463783993</v>
      </c>
      <c r="H254" s="51">
        <f t="shared" si="103"/>
        <v>1109.346527777778</v>
      </c>
      <c r="I254" s="51">
        <f t="shared" si="103"/>
        <v>4910.7911111111116</v>
      </c>
      <c r="J254" s="51">
        <f>IF(J252=TRUE,J249,(J248*(J212/1.8)/J212))</f>
        <v>2.348950385455673</v>
      </c>
      <c r="K254" s="51">
        <f t="shared" ref="K254" si="104">IF(K252=TRUE,K249,K248)</f>
        <v>1.5059113268673918</v>
      </c>
      <c r="L254" s="43"/>
      <c r="M254" s="42"/>
    </row>
    <row r="255" spans="2:13" x14ac:dyDescent="0.35">
      <c r="B255" s="47"/>
      <c r="C255" s="47"/>
      <c r="D255" s="52"/>
      <c r="E255" s="52"/>
      <c r="F255" s="52"/>
      <c r="G255" s="52"/>
      <c r="H255" s="52"/>
      <c r="I255" s="52"/>
      <c r="J255" s="52"/>
      <c r="K255" s="52"/>
      <c r="L255" s="42"/>
      <c r="M255" s="42"/>
    </row>
    <row r="256" spans="2:13" x14ac:dyDescent="0.35">
      <c r="B256" s="47" t="str">
        <f>+B189</f>
        <v>Revenue - Fixed (Customer)</v>
      </c>
      <c r="C256" s="47"/>
      <c r="D256" s="53">
        <f t="shared" ref="D256:I256" si="105">+D254*12*D211</f>
        <v>433079417.19814545</v>
      </c>
      <c r="E256" s="53">
        <f t="shared" si="105"/>
        <v>60032099.695854217</v>
      </c>
      <c r="F256" s="53">
        <f t="shared" si="105"/>
        <v>39269125.878553964</v>
      </c>
      <c r="G256" s="53">
        <f t="shared" si="105"/>
        <v>8764439.919888569</v>
      </c>
      <c r="H256" s="53">
        <f t="shared" si="105"/>
        <v>6410913.5840277793</v>
      </c>
      <c r="I256" s="53">
        <f t="shared" si="105"/>
        <v>2676381.1555555556</v>
      </c>
      <c r="J256" s="6">
        <v>0</v>
      </c>
      <c r="K256" s="53">
        <f>((K254*K212*12)*K226/(K226+K229))</f>
        <v>86521.238497874278</v>
      </c>
      <c r="L256" s="42">
        <f>SUM(D256:K256)</f>
        <v>550318898.67052352</v>
      </c>
      <c r="M256" s="42"/>
    </row>
    <row r="257" spans="2:13" x14ac:dyDescent="0.35">
      <c r="B257" s="47" t="str">
        <f>+B190</f>
        <v>Revenue -  Connections</v>
      </c>
      <c r="C257" s="47"/>
      <c r="D257" s="53">
        <v>0</v>
      </c>
      <c r="E257" s="53">
        <v>0</v>
      </c>
      <c r="F257" s="53">
        <v>0</v>
      </c>
      <c r="G257" s="53">
        <v>0</v>
      </c>
      <c r="H257" s="53">
        <v>0</v>
      </c>
      <c r="I257" s="6">
        <v>0</v>
      </c>
      <c r="J257" s="53">
        <f>+J254*12*J212</f>
        <v>4926162.3735683886</v>
      </c>
      <c r="K257" s="53">
        <f>((K254*K212*12)*K229/(K226+K229))</f>
        <v>146105.91963129296</v>
      </c>
      <c r="L257" s="42">
        <f>SUM(D257:K257)</f>
        <v>5072268.2931996817</v>
      </c>
      <c r="M257" s="42"/>
    </row>
    <row r="258" spans="2:13" x14ac:dyDescent="0.35">
      <c r="B258" s="47" t="str">
        <f>+B191</f>
        <v>Revenue -  Variable</v>
      </c>
      <c r="C258" s="47"/>
      <c r="D258" s="53">
        <f t="shared" ref="D258:G258" si="106">D237-D256-D257-D259</f>
        <v>0</v>
      </c>
      <c r="E258" s="53">
        <f t="shared" si="106"/>
        <v>7.4505805969238281E-9</v>
      </c>
      <c r="F258" s="53">
        <f t="shared" si="106"/>
        <v>137242501.70944905</v>
      </c>
      <c r="G258" s="53">
        <f t="shared" si="106"/>
        <v>274493007.52827829</v>
      </c>
      <c r="H258" s="53">
        <f>H237-H256-H257-H259</f>
        <v>83508707.621098235</v>
      </c>
      <c r="I258" s="53">
        <f t="shared" ref="I258:K258" si="107">I237-I256-I257-I259</f>
        <v>40022167.655143447</v>
      </c>
      <c r="J258" s="53">
        <f t="shared" si="107"/>
        <v>17253347.886008162</v>
      </c>
      <c r="K258" s="53">
        <f t="shared" si="107"/>
        <v>4761752.8912785314</v>
      </c>
      <c r="L258" s="42">
        <f>SUM(D258:K258)</f>
        <v>557281485.29125571</v>
      </c>
      <c r="M258" s="42"/>
    </row>
    <row r="259" spans="2:13" x14ac:dyDescent="0.35">
      <c r="B259" s="47" t="str">
        <f>+B192</f>
        <v>Revenue - Variable Tx Allow</v>
      </c>
      <c r="C259" s="47"/>
      <c r="D259" s="53">
        <f>+D209</f>
        <v>0</v>
      </c>
      <c r="E259" s="53">
        <f t="shared" ref="E259:K259" si="108">+E209</f>
        <v>0</v>
      </c>
      <c r="F259" s="53">
        <f t="shared" si="108"/>
        <v>0</v>
      </c>
      <c r="G259" s="53">
        <f t="shared" si="108"/>
        <v>-4947269.9099243432</v>
      </c>
      <c r="H259" s="53">
        <f t="shared" si="108"/>
        <v>-4709532.1149983089</v>
      </c>
      <c r="I259" s="53">
        <f t="shared" si="108"/>
        <v>-2151607.180315075</v>
      </c>
      <c r="J259" s="53">
        <f t="shared" si="108"/>
        <v>0</v>
      </c>
      <c r="K259" s="53">
        <f t="shared" si="108"/>
        <v>0</v>
      </c>
      <c r="L259" s="42">
        <f>SUM(D259:K259)</f>
        <v>-11808409.205237728</v>
      </c>
      <c r="M259" s="42"/>
    </row>
    <row r="260" spans="2:13" x14ac:dyDescent="0.35">
      <c r="B260" s="50" t="str">
        <f>+B193</f>
        <v>Total</v>
      </c>
      <c r="C260" s="50"/>
      <c r="D260" s="54">
        <f>SUM(D256:D259)</f>
        <v>433079417.19814545</v>
      </c>
      <c r="E260" s="54">
        <f t="shared" ref="E260:L260" si="109">SUM(E256:E259)</f>
        <v>60032099.695854224</v>
      </c>
      <c r="F260" s="54">
        <f t="shared" si="109"/>
        <v>176511627.58800301</v>
      </c>
      <c r="G260" s="54">
        <f t="shared" si="109"/>
        <v>278310177.53824252</v>
      </c>
      <c r="H260" s="54">
        <f t="shared" si="109"/>
        <v>85210089.090127707</v>
      </c>
      <c r="I260" s="54">
        <f t="shared" si="109"/>
        <v>40546941.630383924</v>
      </c>
      <c r="J260" s="54">
        <f t="shared" si="109"/>
        <v>22179510.259576552</v>
      </c>
      <c r="K260" s="54">
        <f t="shared" si="109"/>
        <v>4994380.0494076982</v>
      </c>
      <c r="L260" s="54">
        <f t="shared" si="109"/>
        <v>1100864243.0497413</v>
      </c>
      <c r="M260" s="42"/>
    </row>
    <row r="261" spans="2:13" x14ac:dyDescent="0.35">
      <c r="B261" s="55"/>
      <c r="C261" s="55"/>
      <c r="D261" s="55"/>
      <c r="E261" s="55"/>
      <c r="F261" s="55"/>
      <c r="G261" s="55"/>
      <c r="H261" s="55"/>
      <c r="I261" s="55"/>
      <c r="J261" s="55"/>
      <c r="K261" s="55"/>
      <c r="L261" s="55"/>
    </row>
    <row r="262" spans="2:13" x14ac:dyDescent="0.35">
      <c r="B262" s="30" t="str">
        <f>_xlfn.CONCAT(B206," Year Final Rates (DOS Adjusted)")</f>
        <v>2029 Year Final Rates (DOS Adjusted)</v>
      </c>
      <c r="C262"/>
      <c r="D262"/>
      <c r="E262"/>
      <c r="F262"/>
      <c r="G262"/>
      <c r="H262" s="56"/>
      <c r="I262" s="57"/>
      <c r="J262" s="57"/>
      <c r="K262"/>
      <c r="L262"/>
    </row>
    <row r="263" spans="2:13" x14ac:dyDescent="0.35">
      <c r="B263" s="30" t="s">
        <v>18</v>
      </c>
      <c r="C263" s="30"/>
      <c r="D263" s="58"/>
      <c r="E263" s="58"/>
      <c r="F263" s="58"/>
      <c r="G263" s="58"/>
      <c r="H263" s="59"/>
      <c r="I263" s="59"/>
      <c r="J263" s="58"/>
      <c r="K263" s="58"/>
      <c r="L263" s="8"/>
    </row>
    <row r="264" spans="2:13" x14ac:dyDescent="0.35">
      <c r="B264" s="30" t="s">
        <v>19</v>
      </c>
      <c r="C264" s="30"/>
      <c r="D264" s="60">
        <f t="shared" ref="D264:I264" si="110">ROUND((((D256/(D211*12))*12)/365)*30,2)</f>
        <v>57.22</v>
      </c>
      <c r="E264" s="60">
        <f t="shared" si="110"/>
        <v>46.94</v>
      </c>
      <c r="F264" s="60">
        <f t="shared" si="110"/>
        <v>43.7</v>
      </c>
      <c r="G264" s="60">
        <f t="shared" si="110"/>
        <v>71.88</v>
      </c>
      <c r="H264" s="61">
        <f t="shared" si="110"/>
        <v>1094.1500000000001</v>
      </c>
      <c r="I264" s="62">
        <f t="shared" si="110"/>
        <v>4843.5200000000004</v>
      </c>
      <c r="J264" s="63">
        <v>0</v>
      </c>
      <c r="K264" s="64">
        <f>ROUND(((((K256)/(K211*12))*12)/365)*30,2)</f>
        <v>8.99</v>
      </c>
      <c r="L264"/>
    </row>
    <row r="265" spans="2:13" x14ac:dyDescent="0.35">
      <c r="B265" s="30" t="s">
        <v>20</v>
      </c>
      <c r="C265" s="30"/>
      <c r="D265" s="63">
        <v>0</v>
      </c>
      <c r="E265" s="63">
        <v>0</v>
      </c>
      <c r="F265" s="63">
        <v>0</v>
      </c>
      <c r="G265" s="63">
        <v>0</v>
      </c>
      <c r="H265" s="63">
        <v>0</v>
      </c>
      <c r="I265" s="63">
        <v>0</v>
      </c>
      <c r="J265" s="65">
        <f>ROUND((((J257/(J212*12))*12)/365)*30,2)</f>
        <v>2.3199999999999998</v>
      </c>
      <c r="K265" s="66">
        <f>ROUND(((((K257)/(K212*12))*12)/365)*30,2)</f>
        <v>0.93</v>
      </c>
      <c r="L265"/>
    </row>
    <row r="266" spans="2:13" x14ac:dyDescent="0.35">
      <c r="B266" s="30" t="s">
        <v>21</v>
      </c>
      <c r="C266" s="30"/>
      <c r="D266" s="30"/>
      <c r="E266" s="30"/>
      <c r="F266" s="30"/>
      <c r="G266" s="30"/>
      <c r="H266" s="30"/>
      <c r="I266" s="67"/>
      <c r="J266" s="30"/>
      <c r="K266" s="68"/>
      <c r="L266"/>
    </row>
    <row r="267" spans="2:13" x14ac:dyDescent="0.35">
      <c r="B267" s="30" t="s">
        <v>22</v>
      </c>
      <c r="C267" s="30"/>
      <c r="D267" s="63">
        <v>0</v>
      </c>
      <c r="E267" s="63">
        <v>0</v>
      </c>
      <c r="F267" s="63">
        <v>0</v>
      </c>
      <c r="G267" s="69">
        <f>ROUND((((G258/(G213))*12)/365)*30,4)</f>
        <v>11.7339</v>
      </c>
      <c r="H267" s="69">
        <f>ROUND((((H258/(H213))*12)/365)*30,4)</f>
        <v>9.7841000000000005</v>
      </c>
      <c r="I267" s="70">
        <f>ROUND((((I258/(I213))*12)/365)*30,4)</f>
        <v>10.5707</v>
      </c>
      <c r="J267" s="71">
        <f>ROUND((((J258/(J213))*12)/365)*30,4)</f>
        <v>51.931100000000001</v>
      </c>
      <c r="K267" s="63">
        <v>0</v>
      </c>
      <c r="L267"/>
    </row>
    <row r="268" spans="2:13" x14ac:dyDescent="0.35">
      <c r="B268" s="30" t="s">
        <v>23</v>
      </c>
      <c r="C268" s="30"/>
      <c r="D268" s="63">
        <v>0</v>
      </c>
      <c r="E268" s="63">
        <v>0</v>
      </c>
      <c r="F268" s="72">
        <f>ROUND(F258/F214,5)</f>
        <v>5.5280000000000003E-2</v>
      </c>
      <c r="G268" s="63">
        <v>0</v>
      </c>
      <c r="H268" s="63">
        <v>0</v>
      </c>
      <c r="I268" s="63">
        <v>0</v>
      </c>
      <c r="J268" s="63">
        <v>0</v>
      </c>
      <c r="K268" s="73">
        <f>ROUND(K258/K214,5)</f>
        <v>0.11312999999999999</v>
      </c>
      <c r="L268"/>
    </row>
    <row r="269" spans="2:13" x14ac:dyDescent="0.35">
      <c r="B269" s="74"/>
      <c r="C269" s="74"/>
      <c r="D269" s="74"/>
      <c r="E269" s="74"/>
      <c r="F269" s="74"/>
      <c r="G269" s="74"/>
      <c r="H269" s="74"/>
      <c r="I269" s="74"/>
      <c r="J269" s="74"/>
      <c r="K269" s="74"/>
      <c r="L269" s="74"/>
    </row>
  </sheetData>
  <pageMargins left="0.196850393700787" right="0.196850393700787" top="0.39370078740157499" bottom="0.472441" header="0.196850393700787" footer="9.8425200000000004E-2"/>
  <pageSetup scale="10" orientation="landscape" r:id="rId1"/>
  <headerFooter>
    <oddHeader>&amp;R&amp;6&amp;K00-049Date: &amp;D
Time: &amp;T</oddHeader>
    <oddFooter>&amp;L&amp;6&amp;K00-049Path: &amp;Z
File: &amp;F
Tab: &amp;A&amp;R&amp;6&amp;K00-049Page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843879-D3EF-4ABD-9DB4-5EDBABED3528}">
  <ds:schemaRefs>
    <ds:schemaRef ds:uri="http://schemas.microsoft.com/sharepoint/v3/contenttype/forms"/>
  </ds:schemaRefs>
</ds:datastoreItem>
</file>

<file path=customXml/itemProps2.xml><?xml version="1.0" encoding="utf-8"?>
<ds:datastoreItem xmlns:ds="http://schemas.openxmlformats.org/officeDocument/2006/customXml" ds:itemID="{36E8FB41-BFB4-4614-AB3A-E110AEF6C1A4}"/>
</file>

<file path=customXml/itemProps3.xml><?xml version="1.0" encoding="utf-8"?>
<ds:datastoreItem xmlns:ds="http://schemas.openxmlformats.org/officeDocument/2006/customXml" ds:itemID="{6544DC93-51E0-4C49-BB08-72D9C8C98031}">
  <ds:schemaRef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d178a8d1-16ff-473a-8ed0-d41f4478457a"/>
    <ds:schemaRef ds:uri="http://purl.org/dc/terms/"/>
    <ds:schemaRef ds:uri="http://schemas.microsoft.com/sharepoint/v3/fields"/>
    <ds:schemaRef ds:uri="12f68b52-648b-46a0-8463-d3282342a49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2026-2029 Rates Design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Gulshan Malhotra</dc:creator>
  <cp:lastModifiedBy>Lisa Phin</cp:lastModifiedBy>
  <dcterms:created xsi:type="dcterms:W3CDTF">2024-11-14T14:55:23Z</dcterms:created>
  <dcterms:modified xsi:type="dcterms:W3CDTF">2024-11-26T14:52:12Z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2024-11-14T14:55:58Z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9d46e54b-fa29-4847-9bd1-9e2742e4e989</vt:lpwstr>
  </property>
  <property fmtid="{D5CDD505-2E9C-101B-9397-08002B2CF9AE}" pid="8" name="MSIP_Label_569b6d35-9428-45a2-885e-7b22f796d882_ContentBits">
    <vt:lpwstr>0</vt:lpwstr>
  </property>
  <property fmtid="{D5CDD505-2E9C-101B-9397-08002B2CF9AE}" pid="9" name="ContentTypeId">
    <vt:lpwstr>0x0101002EDAACFF67256049A485179023DD9F32</vt:lpwstr>
  </property>
</Properties>
</file>