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9968" windowHeight="10164" activeTab="1"/>
  </bookViews>
  <sheets>
    <sheet name="Combined" sheetId="1" r:id="rId1"/>
    <sheet name="Fort Erie" sheetId="2" r:id="rId2"/>
    <sheet name="Gananoque" sheetId="3" r:id="rId3"/>
    <sheet name="Port Colborne" sheetId="4" r:id="rId4"/>
  </sheets>
  <definedNames/>
  <calcPr fullCalcOnLoad="1"/>
</workbook>
</file>

<file path=xl/sharedStrings.xml><?xml version="1.0" encoding="utf-8"?>
<sst xmlns="http://schemas.openxmlformats.org/spreadsheetml/2006/main" count="113" uniqueCount="32">
  <si>
    <t>Fort Erie Revenue Requirement and Deficiency</t>
  </si>
  <si>
    <t>Operating Costs</t>
  </si>
  <si>
    <t>Operating</t>
  </si>
  <si>
    <t>Maintenance</t>
  </si>
  <si>
    <t>Billing and Collections</t>
  </si>
  <si>
    <t>Community Relations</t>
  </si>
  <si>
    <t>Admin/Gen (excl. PC Lease)</t>
  </si>
  <si>
    <t>TOTAL OM&amp;A</t>
  </si>
  <si>
    <t>2006    Actual</t>
  </si>
  <si>
    <t>2006         Bd. Approved</t>
  </si>
  <si>
    <t>Port Colborne Revenue Requirement and Deficiency</t>
  </si>
  <si>
    <t xml:space="preserve">2007     Actual  </t>
  </si>
  <si>
    <t>2008     Bridge Year</t>
  </si>
  <si>
    <t>2009        Test Year</t>
  </si>
  <si>
    <t>Depreciation and Amortization</t>
  </si>
  <si>
    <t>Property Taxes</t>
  </si>
  <si>
    <t>Capital Taxes</t>
  </si>
  <si>
    <t>SUBTOTAL</t>
  </si>
  <si>
    <t>Cost of Capital</t>
  </si>
  <si>
    <t>Port Colborne Lease</t>
  </si>
  <si>
    <t>Return on Equity</t>
  </si>
  <si>
    <t>PILS</t>
  </si>
  <si>
    <t>TOTAL COST OF CAPITAL</t>
  </si>
  <si>
    <t>TOTAL REVENUE REQUIREMENT</t>
  </si>
  <si>
    <t>ACTUAL/FORECAST REVENUE</t>
  </si>
  <si>
    <t>SUFFICIENCY/(DEFICIENCY)</t>
  </si>
  <si>
    <t>Interest Expense</t>
  </si>
  <si>
    <t>Eastern Ontario Power Revenue Requirement and Deficiency</t>
  </si>
  <si>
    <t>Combined Revenue Requirement and Deficiency</t>
  </si>
  <si>
    <t>RATE BASE</t>
  </si>
  <si>
    <t>Increase from 2006</t>
  </si>
  <si>
    <t>Source:  Compiled from the prefiled evidence for all three franchise areas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</si>
</sst>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wrapText="1"/>
    </xf>
    <xf numFmtId="5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workbookViewId="0" topLeftCell="A1">
      <selection activeCell="G24" sqref="G24"/>
    </sheetView>
  </sheetViews>
  <sheetFormatPr defaultColWidth="9.140625" defaultRowHeight="12.75"/>
  <cols>
    <col min="1" max="1" width="4.421875" style="0" customWidth="1"/>
    <col min="2" max="4" width="10.7109375" style="0" customWidth="1"/>
    <col min="5" max="9" width="11.7109375" style="0" customWidth="1"/>
    <col min="10" max="11" width="10.7109375" style="0" customWidth="1"/>
  </cols>
  <sheetData>
    <row r="2" ht="15">
      <c r="A2" s="1" t="s">
        <v>28</v>
      </c>
    </row>
    <row r="4" spans="5:10" ht="39">
      <c r="E4" s="2" t="s">
        <v>9</v>
      </c>
      <c r="F4" s="2" t="s">
        <v>8</v>
      </c>
      <c r="G4" s="2" t="s">
        <v>11</v>
      </c>
      <c r="H4" s="2" t="s">
        <v>12</v>
      </c>
      <c r="I4" s="2" t="s">
        <v>13</v>
      </c>
      <c r="J4" s="2" t="s">
        <v>30</v>
      </c>
    </row>
    <row r="5" spans="5:10" ht="12.75">
      <c r="E5" s="2"/>
      <c r="F5" s="2"/>
      <c r="G5" s="2"/>
      <c r="H5" s="2"/>
      <c r="I5" s="2"/>
      <c r="J5" s="2"/>
    </row>
    <row r="6" spans="1:9" ht="12.75">
      <c r="A6" t="s">
        <v>1</v>
      </c>
      <c r="E6" s="3"/>
      <c r="F6" s="3"/>
      <c r="G6" s="3"/>
      <c r="H6" s="3"/>
      <c r="I6" s="3"/>
    </row>
    <row r="7" spans="2:10" ht="12.75">
      <c r="B7" t="s">
        <v>2</v>
      </c>
      <c r="E7" s="3">
        <f>+'Fort Erie'!E7+Gananoque!E7+'Port Colborne'!E7</f>
        <v>1300594</v>
      </c>
      <c r="F7" s="3">
        <f>+'Fort Erie'!F7+Gananoque!F7+'Port Colborne'!F7</f>
        <v>2063637</v>
      </c>
      <c r="G7" s="3">
        <f>+'Fort Erie'!G7+Gananoque!G7+'Port Colborne'!G7</f>
        <v>1639936</v>
      </c>
      <c r="H7" s="3">
        <f>+'Fort Erie'!H7+Gananoque!H7+'Port Colborne'!H7</f>
        <v>1427616</v>
      </c>
      <c r="I7" s="3">
        <f>+'Fort Erie'!I7+Gananoque!I7+'Port Colborne'!I7</f>
        <v>1502868</v>
      </c>
      <c r="J7" s="4">
        <f aca="true" t="shared" si="0" ref="J7:J12">+(I7-E7)/E7</f>
        <v>0.15552432196365662</v>
      </c>
    </row>
    <row r="8" spans="2:10" ht="12.75">
      <c r="B8" t="s">
        <v>3</v>
      </c>
      <c r="E8" s="3">
        <f>+'Fort Erie'!E8+Gananoque!E8+'Port Colborne'!E8</f>
        <v>1478418</v>
      </c>
      <c r="F8" s="3">
        <f>+'Fort Erie'!F8+Gananoque!F8+'Port Colborne'!F8</f>
        <v>1221100</v>
      </c>
      <c r="G8" s="3">
        <f>+'Fort Erie'!G8+Gananoque!G8+'Port Colborne'!G8</f>
        <v>1667359</v>
      </c>
      <c r="H8" s="3">
        <f>+'Fort Erie'!H8+Gananoque!H8+'Port Colborne'!H8</f>
        <v>1725390</v>
      </c>
      <c r="I8" s="3">
        <f>+'Fort Erie'!I8+Gananoque!I8+'Port Colborne'!I8</f>
        <v>1764739</v>
      </c>
      <c r="J8" s="4">
        <f t="shared" si="0"/>
        <v>0.19366714961533207</v>
      </c>
    </row>
    <row r="9" spans="2:10" ht="12.75">
      <c r="B9" t="s">
        <v>4</v>
      </c>
      <c r="E9" s="3">
        <f>+'Fort Erie'!E9+Gananoque!E9+'Port Colborne'!E9</f>
        <v>1691961</v>
      </c>
      <c r="F9" s="3">
        <f>+'Fort Erie'!F9+Gananoque!F9+'Port Colborne'!F9</f>
        <v>1848213</v>
      </c>
      <c r="G9" s="3">
        <f>+'Fort Erie'!G9+Gananoque!G9+'Port Colborne'!G9</f>
        <v>1944944</v>
      </c>
      <c r="H9" s="3">
        <f>+'Fort Erie'!H9+Gananoque!H9+'Port Colborne'!H9</f>
        <v>1875709</v>
      </c>
      <c r="I9" s="3">
        <f>+'Fort Erie'!I9+Gananoque!I9+'Port Colborne'!I9</f>
        <v>1827760</v>
      </c>
      <c r="J9" s="4">
        <f t="shared" si="0"/>
        <v>0.08026130625942324</v>
      </c>
    </row>
    <row r="10" spans="2:10" ht="12.75">
      <c r="B10" t="s">
        <v>5</v>
      </c>
      <c r="E10" s="3">
        <f>+'Fort Erie'!E10+Gananoque!E10+'Port Colborne'!E10</f>
        <v>6402</v>
      </c>
      <c r="F10" s="3">
        <f>+'Fort Erie'!F10+Gananoque!F10+'Port Colborne'!F10</f>
        <v>2661</v>
      </c>
      <c r="G10" s="3">
        <f>+'Fort Erie'!G10+Gananoque!G10+'Port Colborne'!G10</f>
        <v>9586</v>
      </c>
      <c r="H10" s="3">
        <f>+'Fort Erie'!H10+Gananoque!H10+'Port Colborne'!H10</f>
        <v>23250</v>
      </c>
      <c r="I10" s="3">
        <f>+'Fort Erie'!I10+Gananoque!I10+'Port Colborne'!I10</f>
        <v>71528</v>
      </c>
      <c r="J10" s="4">
        <f t="shared" si="0"/>
        <v>10.172758512964698</v>
      </c>
    </row>
    <row r="11" spans="2:10" ht="12.75">
      <c r="B11" t="s">
        <v>6</v>
      </c>
      <c r="E11" s="3">
        <f>+'Fort Erie'!E11+Gananoque!E11+'Port Colborne'!E11</f>
        <v>3377981</v>
      </c>
      <c r="F11" s="3">
        <f>+'Fort Erie'!F11+Gananoque!F11+'Port Colborne'!F11</f>
        <v>3019792</v>
      </c>
      <c r="G11" s="3">
        <f>+'Fort Erie'!G11+Gananoque!G11+'Port Colborne'!G11</f>
        <v>3319999</v>
      </c>
      <c r="H11" s="3">
        <f>+'Fort Erie'!H11+Gananoque!H11+'Port Colborne'!H11</f>
        <v>2970978</v>
      </c>
      <c r="I11" s="3">
        <f>+'Fort Erie'!I11+Gananoque!I11+'Port Colborne'!I11</f>
        <v>3071959</v>
      </c>
      <c r="J11" s="4">
        <f t="shared" si="0"/>
        <v>-0.09059316793078469</v>
      </c>
    </row>
    <row r="12" spans="2:10" ht="12.75">
      <c r="B12" t="s">
        <v>7</v>
      </c>
      <c r="E12" s="3">
        <f>SUM(E7:E11)</f>
        <v>7855356</v>
      </c>
      <c r="F12" s="3">
        <f>SUM(F7:F11)</f>
        <v>8155403</v>
      </c>
      <c r="G12" s="3">
        <f>SUM(G7:G11)</f>
        <v>8581824</v>
      </c>
      <c r="H12" s="3">
        <f>SUM(H7:H11)</f>
        <v>8022943</v>
      </c>
      <c r="I12" s="3">
        <f>SUM(I7:I11)</f>
        <v>8238854</v>
      </c>
      <c r="J12" s="4">
        <f t="shared" si="0"/>
        <v>0.0488199389053787</v>
      </c>
    </row>
    <row r="13" spans="5:9" ht="12.75">
      <c r="E13" s="3"/>
      <c r="F13" s="3"/>
      <c r="G13" s="3"/>
      <c r="H13" s="3"/>
      <c r="I13" s="3"/>
    </row>
    <row r="14" spans="1:10" ht="12.75">
      <c r="A14" t="s">
        <v>14</v>
      </c>
      <c r="E14" s="3">
        <f>+'Fort Erie'!E14+Gananoque!E14+'Port Colborne'!E14</f>
        <v>2318961</v>
      </c>
      <c r="F14" s="3">
        <f>+'Fort Erie'!F14+Gananoque!F14+'Port Colborne'!F14</f>
        <v>2792418</v>
      </c>
      <c r="G14" s="3">
        <f>+'Fort Erie'!G14+Gananoque!G14+'Port Colborne'!G14</f>
        <v>2737857</v>
      </c>
      <c r="H14" s="3">
        <f>+'Fort Erie'!H14+Gananoque!H14+'Port Colborne'!H14</f>
        <v>2921002</v>
      </c>
      <c r="I14" s="3">
        <f>+'Fort Erie'!I14+Gananoque!I14+'Port Colborne'!I14</f>
        <v>3113687</v>
      </c>
      <c r="J14" s="4">
        <f>+(I14-E14)/E14</f>
        <v>0.3427077902560673</v>
      </c>
    </row>
    <row r="15" spans="1:10" ht="12.75">
      <c r="A15" t="s">
        <v>15</v>
      </c>
      <c r="E15" s="3">
        <f>+'Fort Erie'!E15+Gananoque!E15+'Port Colborne'!E15</f>
        <v>124941</v>
      </c>
      <c r="F15" s="3">
        <f>+'Fort Erie'!F15+Gananoque!F15+'Port Colborne'!F15</f>
        <v>123170</v>
      </c>
      <c r="G15" s="3">
        <f>+'Fort Erie'!G15+Gananoque!G15+'Port Colborne'!G15</f>
        <v>118744</v>
      </c>
      <c r="H15" s="3">
        <f>+'Fort Erie'!H15+Gananoque!H15+'Port Colborne'!H15</f>
        <v>130000</v>
      </c>
      <c r="I15" s="3">
        <f>+'Fort Erie'!I15+Gananoque!I15+'Port Colborne'!I15</f>
        <v>129000</v>
      </c>
      <c r="J15" s="4">
        <f>+(I15-E15)/E15</f>
        <v>0.032487334021658223</v>
      </c>
    </row>
    <row r="16" spans="1:10" ht="12.75">
      <c r="A16" t="s">
        <v>16</v>
      </c>
      <c r="E16" s="3">
        <f>+'Fort Erie'!E16+Gananoque!E16+'Port Colborne'!E16</f>
        <v>144513</v>
      </c>
      <c r="F16" s="3">
        <f>+'Fort Erie'!F16+Gananoque!F16+'Port Colborne'!F16</f>
        <v>147598</v>
      </c>
      <c r="G16" s="3">
        <f>+'Fort Erie'!G16+Gananoque!G16+'Port Colborne'!G16</f>
        <v>144423</v>
      </c>
      <c r="H16" s="3">
        <f>+'Fort Erie'!H16+Gananoque!H16+'Port Colborne'!H16</f>
        <v>151456</v>
      </c>
      <c r="I16" s="3">
        <f>+'Fort Erie'!I16+Gananoque!I16+'Port Colborne'!I16</f>
        <v>124962</v>
      </c>
      <c r="J16" s="4">
        <f>+(I16-E16)/E16</f>
        <v>-0.1352888667455523</v>
      </c>
    </row>
    <row r="17" spans="1:10" ht="12.75">
      <c r="A17" t="s">
        <v>19</v>
      </c>
      <c r="E17" s="3">
        <f>+'Fort Erie'!E17+Gananoque!E17+'Port Colborne'!E17</f>
        <v>1528200</v>
      </c>
      <c r="F17" s="3">
        <f>+'Fort Erie'!F17+Gananoque!F17+'Port Colborne'!F17</f>
        <v>1528200</v>
      </c>
      <c r="G17" s="3">
        <f>+'Fort Erie'!G17+Gananoque!G17+'Port Colborne'!G17</f>
        <v>1528200</v>
      </c>
      <c r="H17" s="3">
        <f>+'Fort Erie'!H17+Gananoque!H17+'Port Colborne'!H17</f>
        <v>1528200</v>
      </c>
      <c r="I17" s="3">
        <f>+'Fort Erie'!I17+Gananoque!I17+'Port Colborne'!I17</f>
        <v>1528200</v>
      </c>
      <c r="J17" s="4">
        <f>+(I17-E17)/E17</f>
        <v>0</v>
      </c>
    </row>
    <row r="18" spans="5:9" ht="12.75">
      <c r="E18" s="3"/>
      <c r="F18" s="3"/>
      <c r="G18" s="3"/>
      <c r="H18" s="3"/>
      <c r="I18" s="3"/>
    </row>
    <row r="19" spans="1:10" ht="12.75">
      <c r="A19" t="s">
        <v>17</v>
      </c>
      <c r="E19" s="3">
        <f>SUM(E12:E17)</f>
        <v>11971971</v>
      </c>
      <c r="F19" s="3">
        <f>SUM(F12:F17)</f>
        <v>12746789</v>
      </c>
      <c r="G19" s="3">
        <f>SUM(G12:G17)</f>
        <v>13111048</v>
      </c>
      <c r="H19" s="3">
        <f>SUM(H12:H17)</f>
        <v>12753601</v>
      </c>
      <c r="I19" s="3">
        <f>SUM(I12:I17)</f>
        <v>13134703</v>
      </c>
      <c r="J19" s="4">
        <f>+(I19-E19)/E19</f>
        <v>0.09712118413918644</v>
      </c>
    </row>
    <row r="20" spans="5:9" ht="12.75">
      <c r="E20" s="3"/>
      <c r="F20" s="3"/>
      <c r="G20" s="3"/>
      <c r="H20" s="3"/>
      <c r="I20" s="3"/>
    </row>
    <row r="21" spans="1:9" ht="12.75">
      <c r="A21" t="s">
        <v>18</v>
      </c>
      <c r="E21" s="3"/>
      <c r="F21" s="3"/>
      <c r="G21" s="3"/>
      <c r="H21" s="3"/>
      <c r="I21" s="3"/>
    </row>
    <row r="22" spans="2:10" ht="12.75">
      <c r="B22" t="s">
        <v>26</v>
      </c>
      <c r="E22" s="3">
        <f>+'Fort Erie'!E22+Gananoque!E22+'Port Colborne'!E22</f>
        <v>1400965.4006999999</v>
      </c>
      <c r="F22" s="3">
        <f>+'Fort Erie'!F22+Gananoque!F22+'Port Colborne'!F22</f>
        <v>1729955.2053</v>
      </c>
      <c r="G22" s="3">
        <f>+'Fort Erie'!G22+Gananoque!G22+'Port Colborne'!G22</f>
        <v>1807818.3185999999</v>
      </c>
      <c r="H22" s="3">
        <f>+'Fort Erie'!H22+Gananoque!H22+'Port Colborne'!H22</f>
        <v>2063045.7531733331</v>
      </c>
      <c r="I22" s="3">
        <f>+'Fort Erie'!I22+Gananoque!I22+'Port Colborne'!I22</f>
        <v>2180943.561753333</v>
      </c>
      <c r="J22" s="4">
        <f>+(I22-E22)/E22</f>
        <v>0.5567433433142696</v>
      </c>
    </row>
    <row r="23" spans="2:10" ht="12.75">
      <c r="B23" t="s">
        <v>20</v>
      </c>
      <c r="E23" s="3">
        <f>+'Fort Erie'!E23+Gananoque!E23+'Port Colborne'!E23</f>
        <v>1859688.585</v>
      </c>
      <c r="F23" s="3">
        <f>+'Fort Erie'!F23+Gananoque!F23+'Port Colborne'!F23</f>
        <v>2296400.715</v>
      </c>
      <c r="G23" s="3">
        <f>+'Fort Erie'!G23+Gananoque!G23+'Port Colborne'!G23</f>
        <v>2399758.83</v>
      </c>
      <c r="H23" s="3">
        <f>+'Fort Erie'!H23+Gananoque!H23+'Port Colborne'!H23</f>
        <v>2361407.748</v>
      </c>
      <c r="I23" s="3">
        <f>+'Fort Erie'!I23+Gananoque!I23+'Port Colborne'!I23</f>
        <v>2127459.613283332</v>
      </c>
      <c r="J23" s="4">
        <f>+(I23-E23)/E23</f>
        <v>0.14398702580805056</v>
      </c>
    </row>
    <row r="24" spans="2:10" ht="12.75">
      <c r="B24" t="s">
        <v>21</v>
      </c>
      <c r="E24" s="3">
        <f>+'Fort Erie'!E24+Gananoque!E24+'Port Colborne'!E24</f>
        <v>139759</v>
      </c>
      <c r="F24" s="3">
        <f>+'Fort Erie'!F24+Gananoque!F24+'Port Colborne'!F24</f>
        <v>139759</v>
      </c>
      <c r="G24" s="3">
        <f>+'Fort Erie'!G24+Gananoque!G24+'Port Colborne'!G24</f>
        <v>-2275</v>
      </c>
      <c r="H24" s="3">
        <f>+'Fort Erie'!H24+Gananoque!H24+'Port Colborne'!H24</f>
        <v>17016</v>
      </c>
      <c r="I24" s="3">
        <f>+'Fort Erie'!I24+Gananoque!I24+'Port Colborne'!I24</f>
        <v>715597</v>
      </c>
      <c r="J24" s="4">
        <f>+(I24-E24)/E24</f>
        <v>4.120221237988251</v>
      </c>
    </row>
    <row r="25" spans="2:10" ht="12.75">
      <c r="B25" t="s">
        <v>22</v>
      </c>
      <c r="E25" s="3">
        <f>SUM(E22:E24)</f>
        <v>3400412.9857</v>
      </c>
      <c r="F25" s="3">
        <f>SUM(F22:F24)</f>
        <v>4166114.9203</v>
      </c>
      <c r="G25" s="3">
        <f>SUM(G22:G24)</f>
        <v>4205302.1486</v>
      </c>
      <c r="H25" s="3">
        <f>SUM(H22:H24)</f>
        <v>4441469.501173333</v>
      </c>
      <c r="I25" s="3">
        <f>SUM(I22:I24)</f>
        <v>5024000.175036665</v>
      </c>
      <c r="J25" s="4">
        <f>+(I25-E25)/E25</f>
        <v>0.47746764765469735</v>
      </c>
    </row>
    <row r="26" spans="5:9" ht="12.75">
      <c r="E26" s="3"/>
      <c r="F26" s="3"/>
      <c r="G26" s="3"/>
      <c r="H26" s="3"/>
      <c r="I26" s="3"/>
    </row>
    <row r="27" spans="1:10" ht="12.75">
      <c r="A27" t="s">
        <v>23</v>
      </c>
      <c r="E27" s="3">
        <f>+E25+E19</f>
        <v>15372383.9857</v>
      </c>
      <c r="F27" s="3">
        <f>+F25+F19</f>
        <v>16912903.9203</v>
      </c>
      <c r="G27" s="3">
        <f>+G25+G19</f>
        <v>17316350.1486</v>
      </c>
      <c r="H27" s="3">
        <f>+H25+H19</f>
        <v>17195070.501173332</v>
      </c>
      <c r="I27" s="3">
        <f>+I25+I19</f>
        <v>18158703.175036665</v>
      </c>
      <c r="J27" s="4">
        <f>+(I27-E27)/E27</f>
        <v>0.18125485233315855</v>
      </c>
    </row>
    <row r="28" spans="5:9" ht="12.75">
      <c r="E28" s="3"/>
      <c r="F28" s="3"/>
      <c r="G28" s="3"/>
      <c r="H28" s="3"/>
      <c r="I28" s="3"/>
    </row>
    <row r="29" spans="1:10" ht="12.75">
      <c r="A29" t="s">
        <v>24</v>
      </c>
      <c r="E29" s="3">
        <f>+'Fort Erie'!E29+Gananoque!E29+'Port Colborne'!E29</f>
        <v>15236895</v>
      </c>
      <c r="F29" s="3">
        <f>+'Fort Erie'!F29+Gananoque!F29+'Port Colborne'!F29</f>
        <v>15117962</v>
      </c>
      <c r="G29" s="3">
        <f>+'Fort Erie'!G29+Gananoque!G29+'Port Colborne'!G29</f>
        <v>15715266</v>
      </c>
      <c r="H29" s="3">
        <f>+'Fort Erie'!H29+Gananoque!H29+'Port Colborne'!H29</f>
        <v>15728841</v>
      </c>
      <c r="I29" s="3">
        <f>+'Fort Erie'!I29+Gananoque!I29+'Port Colborne'!I29</f>
        <v>15678095</v>
      </c>
      <c r="J29" s="4">
        <f>+(I29-E29)/E29</f>
        <v>0.028956030739858744</v>
      </c>
    </row>
    <row r="30" spans="5:9" ht="12.75">
      <c r="E30" s="3"/>
      <c r="F30" s="3"/>
      <c r="G30" s="3"/>
      <c r="H30" s="3"/>
      <c r="I30" s="3"/>
    </row>
    <row r="31" spans="1:10" ht="12.75">
      <c r="A31" t="s">
        <v>25</v>
      </c>
      <c r="E31" s="3">
        <f>+E29-E27</f>
        <v>-135488.98570000008</v>
      </c>
      <c r="F31" s="3">
        <f>+F29-F27</f>
        <v>-1794941.9202999994</v>
      </c>
      <c r="G31" s="3">
        <f>+G29-G27</f>
        <v>-1601084.148600001</v>
      </c>
      <c r="H31" s="3">
        <f>+H29-H27</f>
        <v>-1466229.5011733323</v>
      </c>
      <c r="I31" s="3">
        <f>+I29-I27</f>
        <v>-2480608.175036665</v>
      </c>
      <c r="J31" s="4"/>
    </row>
    <row r="32" spans="5:9" ht="12.75">
      <c r="E32" s="3"/>
      <c r="F32" s="3"/>
      <c r="G32" s="3"/>
      <c r="H32" s="3"/>
      <c r="I32" s="3"/>
    </row>
    <row r="33" spans="1:10" ht="12.75">
      <c r="A33" t="s">
        <v>29</v>
      </c>
      <c r="E33" s="3">
        <f>+'Fort Erie'!E33+Gananoque!E33+'Port Colborne'!E33</f>
        <v>41326413</v>
      </c>
      <c r="F33" s="3">
        <f>+'Fort Erie'!F33+Gananoque!F33+'Port Colborne'!F33</f>
        <v>51031127</v>
      </c>
      <c r="G33" s="3">
        <f>+'Fort Erie'!G33+Gananoque!G33+'Port Colborne'!G33</f>
        <v>53327974</v>
      </c>
      <c r="H33" s="3">
        <f>+'Fort Erie'!H33+Gananoque!H33+'Port Colborne'!H33</f>
        <v>56223994</v>
      </c>
      <c r="I33" s="3">
        <f>+'Fort Erie'!I33+Gananoque!I33+'Port Colborne'!I33</f>
        <v>58516355</v>
      </c>
      <c r="J33" s="4">
        <f>+(I33-E33)/E33</f>
        <v>0.4159553358768398</v>
      </c>
    </row>
    <row r="34" spans="5:9" ht="12.75">
      <c r="E34" s="3"/>
      <c r="F34" s="3"/>
      <c r="G34" s="3"/>
      <c r="H34" s="3"/>
      <c r="I34" s="3"/>
    </row>
    <row r="35" spans="1:9" ht="12.75">
      <c r="A35" t="s">
        <v>31</v>
      </c>
      <c r="E35" s="3"/>
      <c r="F35" s="3"/>
      <c r="G35" s="3"/>
      <c r="H35" s="3"/>
      <c r="I35" s="3"/>
    </row>
    <row r="36" spans="5:9" ht="12.75">
      <c r="E36" s="3"/>
      <c r="F36" s="3"/>
      <c r="G36" s="3"/>
      <c r="H36" s="3"/>
      <c r="I36" s="3"/>
    </row>
    <row r="37" spans="5:9" ht="12.75">
      <c r="E37" s="3"/>
      <c r="F37" s="3"/>
      <c r="G37" s="3"/>
      <c r="H37" s="3"/>
      <c r="I37" s="3"/>
    </row>
    <row r="38" spans="5:9" ht="12.75">
      <c r="E38" s="3"/>
      <c r="F38" s="3"/>
      <c r="G38" s="3"/>
      <c r="H38" s="3"/>
      <c r="I38" s="3"/>
    </row>
    <row r="39" spans="5:9" ht="12.75">
      <c r="E39" s="3"/>
      <c r="F39" s="3"/>
      <c r="G39" s="3"/>
      <c r="H39" s="3"/>
      <c r="I39" s="3"/>
    </row>
    <row r="40" spans="5:9" ht="12.75">
      <c r="E40" s="3"/>
      <c r="F40" s="3"/>
      <c r="G40" s="3"/>
      <c r="H40" s="3"/>
      <c r="I40" s="3"/>
    </row>
    <row r="41" spans="5:9" ht="12.75">
      <c r="E41" s="3"/>
      <c r="F41" s="3"/>
      <c r="G41" s="3"/>
      <c r="H41" s="3"/>
      <c r="I41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tabSelected="1" workbookViewId="0" topLeftCell="A2">
      <selection activeCell="I27" sqref="I27"/>
    </sheetView>
  </sheetViews>
  <sheetFormatPr defaultColWidth="9.140625" defaultRowHeight="12.75"/>
  <cols>
    <col min="1" max="1" width="4.421875" style="0" customWidth="1"/>
    <col min="2" max="4" width="10.7109375" style="0" customWidth="1"/>
    <col min="5" max="9" width="11.7109375" style="0" customWidth="1"/>
    <col min="10" max="11" width="10.7109375" style="0" customWidth="1"/>
  </cols>
  <sheetData>
    <row r="2" ht="15">
      <c r="A2" s="1" t="s">
        <v>0</v>
      </c>
    </row>
    <row r="4" spans="5:10" ht="39">
      <c r="E4" s="2" t="s">
        <v>9</v>
      </c>
      <c r="F4" s="2" t="s">
        <v>8</v>
      </c>
      <c r="G4" s="2" t="s">
        <v>11</v>
      </c>
      <c r="H4" s="2" t="s">
        <v>12</v>
      </c>
      <c r="I4" s="2" t="s">
        <v>13</v>
      </c>
      <c r="J4" s="2" t="s">
        <v>30</v>
      </c>
    </row>
    <row r="5" spans="5:10" ht="12.75">
      <c r="E5" s="2"/>
      <c r="F5" s="2"/>
      <c r="G5" s="2"/>
      <c r="H5" s="2"/>
      <c r="I5" s="2"/>
      <c r="J5" s="2"/>
    </row>
    <row r="6" spans="1:9" ht="12.75">
      <c r="A6" t="s">
        <v>1</v>
      </c>
      <c r="E6" s="3"/>
      <c r="F6" s="3"/>
      <c r="G6" s="3"/>
      <c r="H6" s="3"/>
      <c r="I6" s="3"/>
    </row>
    <row r="7" spans="2:10" ht="12.75">
      <c r="B7" t="s">
        <v>2</v>
      </c>
      <c r="E7" s="3">
        <v>714745</v>
      </c>
      <c r="F7" s="3">
        <v>1356505</v>
      </c>
      <c r="G7" s="3">
        <v>914403</v>
      </c>
      <c r="H7" s="3">
        <v>791762</v>
      </c>
      <c r="I7" s="3">
        <v>841410</v>
      </c>
      <c r="J7" s="4">
        <f aca="true" t="shared" si="0" ref="J7:J12">+(I7-E7)/E7</f>
        <v>0.17721704943721187</v>
      </c>
    </row>
    <row r="8" spans="2:10" ht="12.75">
      <c r="B8" t="s">
        <v>3</v>
      </c>
      <c r="E8" s="3">
        <v>934204</v>
      </c>
      <c r="F8" s="3">
        <v>686312</v>
      </c>
      <c r="G8" s="3">
        <v>1021025</v>
      </c>
      <c r="H8" s="3">
        <v>1015734</v>
      </c>
      <c r="I8" s="3">
        <v>1013416</v>
      </c>
      <c r="J8" s="4">
        <f t="shared" si="0"/>
        <v>0.08479090220123228</v>
      </c>
    </row>
    <row r="9" spans="2:10" ht="12.75">
      <c r="B9" t="s">
        <v>4</v>
      </c>
      <c r="E9" s="3">
        <v>796730</v>
      </c>
      <c r="F9" s="3">
        <v>1034116</v>
      </c>
      <c r="G9" s="3">
        <v>1019329</v>
      </c>
      <c r="H9" s="3">
        <v>1021251</v>
      </c>
      <c r="I9" s="3">
        <v>946160</v>
      </c>
      <c r="J9" s="4">
        <f t="shared" si="0"/>
        <v>0.18755412749614048</v>
      </c>
    </row>
    <row r="10" spans="2:10" ht="12.75">
      <c r="B10" t="s">
        <v>5</v>
      </c>
      <c r="E10" s="3">
        <v>4234</v>
      </c>
      <c r="F10" s="3">
        <v>2661</v>
      </c>
      <c r="G10" s="3">
        <v>6788</v>
      </c>
      <c r="H10" s="3">
        <v>14500</v>
      </c>
      <c r="I10" s="3">
        <v>43830</v>
      </c>
      <c r="J10" s="4">
        <f t="shared" si="0"/>
        <v>9.351913084553614</v>
      </c>
    </row>
    <row r="11" spans="2:10" ht="12.75">
      <c r="B11" t="s">
        <v>6</v>
      </c>
      <c r="E11" s="3">
        <f>1869376</f>
        <v>1869376</v>
      </c>
      <c r="F11" s="3">
        <v>1464801</v>
      </c>
      <c r="G11" s="3">
        <v>1872730</v>
      </c>
      <c r="H11" s="3">
        <v>1588543</v>
      </c>
      <c r="I11" s="3">
        <v>1645174</v>
      </c>
      <c r="J11" s="4">
        <f t="shared" si="0"/>
        <v>-0.1199341384504776</v>
      </c>
    </row>
    <row r="12" spans="2:10" ht="12.75">
      <c r="B12" t="s">
        <v>7</v>
      </c>
      <c r="E12" s="3">
        <f>SUM(E7:E11)</f>
        <v>4319289</v>
      </c>
      <c r="F12" s="3">
        <f>SUM(F7:F11)</f>
        <v>4544395</v>
      </c>
      <c r="G12" s="3">
        <f>SUM(G7:G11)</f>
        <v>4834275</v>
      </c>
      <c r="H12" s="3">
        <f>SUM(H7:H11)</f>
        <v>4431790</v>
      </c>
      <c r="I12" s="3">
        <f>SUM(I7:I11)</f>
        <v>4489990</v>
      </c>
      <c r="J12" s="4">
        <f t="shared" si="0"/>
        <v>0.039520624806536446</v>
      </c>
    </row>
    <row r="13" spans="5:9" ht="12.75">
      <c r="E13" s="3"/>
      <c r="F13" s="3"/>
      <c r="G13" s="3"/>
      <c r="H13" s="3"/>
      <c r="I13" s="3"/>
    </row>
    <row r="14" spans="1:10" ht="12.75">
      <c r="A14" t="s">
        <v>14</v>
      </c>
      <c r="E14" s="3">
        <v>1688660</v>
      </c>
      <c r="F14" s="3">
        <v>1965950</v>
      </c>
      <c r="G14" s="3">
        <v>1862300</v>
      </c>
      <c r="H14" s="3">
        <v>1882884</v>
      </c>
      <c r="I14" s="3">
        <v>1987933</v>
      </c>
      <c r="J14" s="4">
        <f>+(I14-E14)/E14</f>
        <v>0.17722513709094787</v>
      </c>
    </row>
    <row r="15" spans="1:10" ht="12.75">
      <c r="A15" t="s">
        <v>15</v>
      </c>
      <c r="E15" s="3">
        <v>50189</v>
      </c>
      <c r="F15" s="3">
        <v>56032</v>
      </c>
      <c r="G15" s="3">
        <v>50617</v>
      </c>
      <c r="H15" s="3">
        <v>55000</v>
      </c>
      <c r="I15" s="3">
        <v>54000</v>
      </c>
      <c r="J15" s="4">
        <f>+(I15-E15)/E15</f>
        <v>0.07593297336069657</v>
      </c>
    </row>
    <row r="16" spans="1:10" ht="12.75">
      <c r="A16" t="s">
        <v>16</v>
      </c>
      <c r="E16" s="3">
        <v>102003</v>
      </c>
      <c r="F16" s="3">
        <v>103361</v>
      </c>
      <c r="G16" s="3">
        <v>96768</v>
      </c>
      <c r="H16" s="3">
        <v>98641</v>
      </c>
      <c r="I16" s="3">
        <v>80004</v>
      </c>
      <c r="J16" s="4">
        <f>+(I16-E16)/E16</f>
        <v>-0.2156701273491956</v>
      </c>
    </row>
    <row r="17" spans="1:10" ht="12.75">
      <c r="A17" t="s">
        <v>19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4" t="e">
        <f>+(I17-E17)/E17</f>
        <v>#DIV/0!</v>
      </c>
    </row>
    <row r="18" spans="5:9" ht="12.75">
      <c r="E18" s="3"/>
      <c r="F18" s="3"/>
      <c r="G18" s="3"/>
      <c r="H18" s="3"/>
      <c r="I18" s="3"/>
    </row>
    <row r="19" spans="1:10" ht="12.75">
      <c r="A19" t="s">
        <v>17</v>
      </c>
      <c r="E19" s="3">
        <f>SUM(E12:E17)</f>
        <v>6160141</v>
      </c>
      <c r="F19" s="3">
        <f>SUM(F12:F17)</f>
        <v>6669738</v>
      </c>
      <c r="G19" s="3">
        <f>SUM(G12:G17)</f>
        <v>6843960</v>
      </c>
      <c r="H19" s="3">
        <f>SUM(H12:H17)</f>
        <v>6468315</v>
      </c>
      <c r="I19" s="3">
        <f>SUM(I12:I17)</f>
        <v>6611927</v>
      </c>
      <c r="J19" s="4">
        <f>+(I19-E19)/E19</f>
        <v>0.07334020438817877</v>
      </c>
    </row>
    <row r="20" spans="5:9" ht="12.75">
      <c r="E20" s="3"/>
      <c r="F20" s="3"/>
      <c r="G20" s="3"/>
      <c r="H20" s="3"/>
      <c r="I20" s="3"/>
    </row>
    <row r="21" spans="1:9" ht="12.75">
      <c r="A21" t="s">
        <v>18</v>
      </c>
      <c r="E21" s="3"/>
      <c r="F21" s="3"/>
      <c r="G21" s="3"/>
      <c r="H21" s="3"/>
      <c r="I21" s="3"/>
    </row>
    <row r="22" spans="2:10" ht="12.75">
      <c r="B22" t="s">
        <v>26</v>
      </c>
      <c r="E22" s="3">
        <f>+E33*0.5*0.0678</f>
        <v>1022354.3694</v>
      </c>
      <c r="F22" s="3">
        <f>+F33*0.5*0.0678</f>
        <v>1211463.7227</v>
      </c>
      <c r="G22" s="3">
        <f>+G33*0.5*0.0678</f>
        <v>1211296.8669</v>
      </c>
      <c r="H22" s="3">
        <f>+H33*16/30*0.0688</f>
        <v>1343631.0493866666</v>
      </c>
      <c r="I22" s="3">
        <f>+(+I33*(17/30-0.04)*0.0682)+(+I33*0.04*0.0338)</f>
        <v>1396304.789828</v>
      </c>
      <c r="J22" s="4">
        <f>+(I22-E22)/E22</f>
        <v>0.36577377827168106</v>
      </c>
    </row>
    <row r="23" spans="2:10" ht="12.75">
      <c r="B23" t="s">
        <v>20</v>
      </c>
      <c r="E23" s="3">
        <f>+E33*0.5*0.09</f>
        <v>1357107.57</v>
      </c>
      <c r="F23" s="3">
        <f>+F33*0.5*0.09</f>
        <v>1608137.685</v>
      </c>
      <c r="G23" s="3">
        <f>+G33*0.5*0.09</f>
        <v>1607916.1949999998</v>
      </c>
      <c r="H23" s="3">
        <f>+H33*14/30*0.09</f>
        <v>1537949.784</v>
      </c>
      <c r="I23" s="3">
        <f>+I33*0.433333333333333*0.0839</f>
        <v>1362062.778829999</v>
      </c>
      <c r="J23" s="4">
        <f>+(I23-E23)/E23</f>
        <v>0.0036513014439960496</v>
      </c>
    </row>
    <row r="24" spans="2:10" ht="12.75">
      <c r="B24" t="s">
        <v>21</v>
      </c>
      <c r="E24" s="3">
        <v>97871</v>
      </c>
      <c r="F24" s="3">
        <v>97871</v>
      </c>
      <c r="G24" s="3">
        <v>-1525</v>
      </c>
      <c r="H24" s="3">
        <v>11082</v>
      </c>
      <c r="I24" s="3">
        <v>458147</v>
      </c>
      <c r="J24" s="4">
        <f>+(I24-E24)/E24</f>
        <v>3.681131285058904</v>
      </c>
    </row>
    <row r="25" spans="2:10" ht="12.75">
      <c r="B25" t="s">
        <v>22</v>
      </c>
      <c r="E25" s="3">
        <f>SUM(E22:E24)</f>
        <v>2477332.9394</v>
      </c>
      <c r="F25" s="3">
        <f>SUM(F22:F24)</f>
        <v>2917472.4077000003</v>
      </c>
      <c r="G25" s="3">
        <f>SUM(G22:G24)</f>
        <v>2817688.0619</v>
      </c>
      <c r="H25" s="3">
        <f>SUM(H22:H24)</f>
        <v>2892662.8333866666</v>
      </c>
      <c r="I25" s="3">
        <f>SUM(I22:I24)</f>
        <v>3216514.568657999</v>
      </c>
      <c r="J25" s="4">
        <f>+(I25-E25)/E25</f>
        <v>0.2983779925184484</v>
      </c>
    </row>
    <row r="26" spans="5:9" ht="12.75">
      <c r="E26" s="3"/>
      <c r="F26" s="3"/>
      <c r="G26" s="3"/>
      <c r="H26" s="3"/>
      <c r="I26" s="3"/>
    </row>
    <row r="27" spans="1:10" ht="12.75">
      <c r="A27" t="s">
        <v>23</v>
      </c>
      <c r="E27" s="3">
        <f>+E25+E19</f>
        <v>8637473.9394</v>
      </c>
      <c r="F27" s="3">
        <f>+F25+F19</f>
        <v>9587210.4077</v>
      </c>
      <c r="G27" s="3">
        <f>+G25+G19</f>
        <v>9661648.061900001</v>
      </c>
      <c r="H27" s="3">
        <f>+H25+H19</f>
        <v>9360977.833386667</v>
      </c>
      <c r="I27" s="3">
        <f>+I25+I19</f>
        <v>9828441.568657998</v>
      </c>
      <c r="J27" s="4">
        <f>+(I27-E27)/E27</f>
        <v>0.13788378843325663</v>
      </c>
    </row>
    <row r="28" spans="5:9" ht="12.75">
      <c r="E28" s="3"/>
      <c r="F28" s="3"/>
      <c r="G28" s="3"/>
      <c r="H28" s="3"/>
      <c r="I28" s="3"/>
    </row>
    <row r="29" spans="1:10" ht="12.75">
      <c r="A29" t="s">
        <v>24</v>
      </c>
      <c r="E29" s="3">
        <f>8065671+427410</f>
        <v>8493081</v>
      </c>
      <c r="F29" s="3">
        <v>8939112</v>
      </c>
      <c r="G29" s="3">
        <v>8939112</v>
      </c>
      <c r="H29" s="3">
        <v>8939112</v>
      </c>
      <c r="I29" s="3">
        <v>8939112</v>
      </c>
      <c r="J29" s="4">
        <f>+(I29-E29)/E29</f>
        <v>0.05251698411919067</v>
      </c>
    </row>
    <row r="30" spans="5:9" ht="12.75">
      <c r="E30" s="3"/>
      <c r="F30" s="3"/>
      <c r="G30" s="3"/>
      <c r="H30" s="3"/>
      <c r="I30" s="3"/>
    </row>
    <row r="31" spans="1:10" ht="12.75">
      <c r="A31" t="s">
        <v>25</v>
      </c>
      <c r="E31" s="3">
        <f>+E29-E27</f>
        <v>-144392.9394000005</v>
      </c>
      <c r="F31" s="3">
        <f>+F29-F27</f>
        <v>-648098.4077000003</v>
      </c>
      <c r="G31" s="3">
        <f>+G29-G27</f>
        <v>-722536.061900001</v>
      </c>
      <c r="H31" s="3">
        <f>+H29-H27</f>
        <v>-421865.8333866671</v>
      </c>
      <c r="I31" s="3">
        <f>+I29-I27</f>
        <v>-889329.568657998</v>
      </c>
      <c r="J31" s="4"/>
    </row>
    <row r="32" spans="5:9" ht="12.75">
      <c r="E32" s="3"/>
      <c r="F32" s="3"/>
      <c r="G32" s="3"/>
      <c r="H32" s="3"/>
      <c r="I32" s="3"/>
    </row>
    <row r="33" spans="1:10" ht="12.75">
      <c r="A33" t="s">
        <v>29</v>
      </c>
      <c r="E33" s="3">
        <v>30157946</v>
      </c>
      <c r="F33" s="3">
        <v>35736393</v>
      </c>
      <c r="G33" s="3">
        <v>35731471</v>
      </c>
      <c r="H33" s="3">
        <v>36617852</v>
      </c>
      <c r="I33" s="3">
        <v>37463907</v>
      </c>
      <c r="J33" s="4">
        <f>+(I33-E33)/E33</f>
        <v>0.24225658471568323</v>
      </c>
    </row>
    <row r="34" spans="5:9" ht="12.75">
      <c r="E34" s="3"/>
      <c r="F34" s="3"/>
      <c r="G34" s="3"/>
      <c r="H34" s="3"/>
      <c r="I34" s="3"/>
    </row>
    <row r="35" spans="5:9" ht="12.75">
      <c r="E35" s="3"/>
      <c r="F35" s="3"/>
      <c r="G35" s="3"/>
      <c r="H35" s="3"/>
      <c r="I35" s="3"/>
    </row>
    <row r="36" spans="5:9" ht="12.75">
      <c r="E36" s="3"/>
      <c r="F36" s="3"/>
      <c r="G36" s="3"/>
      <c r="H36" s="3"/>
      <c r="I36" s="3"/>
    </row>
    <row r="37" spans="5:9" ht="12.75">
      <c r="E37" s="3"/>
      <c r="F37" s="3"/>
      <c r="G37" s="3"/>
      <c r="H37" s="3"/>
      <c r="I37" s="3"/>
    </row>
    <row r="38" spans="5:9" ht="12.75">
      <c r="E38" s="3"/>
      <c r="F38" s="3"/>
      <c r="G38" s="3"/>
      <c r="H38" s="3"/>
      <c r="I38" s="3"/>
    </row>
    <row r="39" spans="5:9" ht="12.75">
      <c r="E39" s="3"/>
      <c r="F39" s="3"/>
      <c r="G39" s="3"/>
      <c r="H39" s="3"/>
      <c r="I39" s="3"/>
    </row>
    <row r="40" spans="5:9" ht="12.75">
      <c r="E40" s="3"/>
      <c r="F40" s="3"/>
      <c r="G40" s="3"/>
      <c r="H40" s="3"/>
      <c r="I40" s="3"/>
    </row>
    <row r="41" spans="5:9" ht="12.75">
      <c r="E41" s="3"/>
      <c r="F41" s="3"/>
      <c r="G41" s="3"/>
      <c r="H41" s="3"/>
      <c r="I41" s="3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1"/>
  <sheetViews>
    <sheetView workbookViewId="0" topLeftCell="A1">
      <selection activeCell="I27" sqref="I27"/>
    </sheetView>
  </sheetViews>
  <sheetFormatPr defaultColWidth="9.140625" defaultRowHeight="12.75"/>
  <cols>
    <col min="1" max="1" width="4.421875" style="0" customWidth="1"/>
    <col min="2" max="4" width="10.7109375" style="0" customWidth="1"/>
    <col min="5" max="9" width="11.7109375" style="0" customWidth="1"/>
    <col min="10" max="11" width="10.7109375" style="0" customWidth="1"/>
  </cols>
  <sheetData>
    <row r="2" ht="15">
      <c r="A2" s="1" t="s">
        <v>27</v>
      </c>
    </row>
    <row r="4" spans="5:10" ht="39">
      <c r="E4" s="2" t="s">
        <v>9</v>
      </c>
      <c r="F4" s="2" t="s">
        <v>8</v>
      </c>
      <c r="G4" s="2" t="s">
        <v>11</v>
      </c>
      <c r="H4" s="2" t="s">
        <v>12</v>
      </c>
      <c r="I4" s="2" t="s">
        <v>13</v>
      </c>
      <c r="J4" s="2" t="s">
        <v>30</v>
      </c>
    </row>
    <row r="5" spans="5:10" ht="12.75">
      <c r="E5" s="2"/>
      <c r="F5" s="2"/>
      <c r="G5" s="2"/>
      <c r="H5" s="2"/>
      <c r="I5" s="2"/>
      <c r="J5" s="2"/>
    </row>
    <row r="6" spans="1:9" ht="12.75">
      <c r="A6" t="s">
        <v>1</v>
      </c>
      <c r="E6" s="3"/>
      <c r="F6" s="3"/>
      <c r="G6" s="3"/>
      <c r="H6" s="3"/>
      <c r="I6" s="3"/>
    </row>
    <row r="7" spans="2:10" ht="12.75">
      <c r="B7" t="s">
        <v>2</v>
      </c>
      <c r="E7" s="3">
        <v>257502</v>
      </c>
      <c r="F7" s="3">
        <v>286543</v>
      </c>
      <c r="G7" s="3">
        <v>211361</v>
      </c>
      <c r="H7" s="3">
        <v>234418</v>
      </c>
      <c r="I7" s="3">
        <v>250755</v>
      </c>
      <c r="J7" s="4">
        <f aca="true" t="shared" si="0" ref="J7:J12">+(I7-E7)/E7</f>
        <v>-0.0262017382389263</v>
      </c>
    </row>
    <row r="8" spans="2:10" ht="12.75">
      <c r="B8" t="s">
        <v>3</v>
      </c>
      <c r="E8" s="3">
        <v>173348</v>
      </c>
      <c r="F8" s="3">
        <v>155026</v>
      </c>
      <c r="G8" s="3">
        <v>192808</v>
      </c>
      <c r="H8" s="3">
        <v>242150</v>
      </c>
      <c r="I8" s="3">
        <v>205570</v>
      </c>
      <c r="J8" s="4">
        <f t="shared" si="0"/>
        <v>0.18588042550245748</v>
      </c>
    </row>
    <row r="9" spans="2:10" ht="12.75">
      <c r="B9" t="s">
        <v>4</v>
      </c>
      <c r="E9" s="3">
        <v>310698</v>
      </c>
      <c r="F9" s="3">
        <v>286279</v>
      </c>
      <c r="G9" s="3">
        <v>267986</v>
      </c>
      <c r="H9" s="3">
        <v>258419</v>
      </c>
      <c r="I9" s="3">
        <v>269081</v>
      </c>
      <c r="J9" s="4">
        <f t="shared" si="0"/>
        <v>-0.13394679077432103</v>
      </c>
    </row>
    <row r="10" spans="2:10" ht="12.75">
      <c r="B10" t="s">
        <v>5</v>
      </c>
      <c r="E10" s="3">
        <v>2168</v>
      </c>
      <c r="F10" s="3">
        <v>0</v>
      </c>
      <c r="G10" s="3">
        <v>951</v>
      </c>
      <c r="H10" s="3">
        <v>2450</v>
      </c>
      <c r="I10" s="3">
        <v>4000</v>
      </c>
      <c r="J10" s="4">
        <f t="shared" si="0"/>
        <v>0.8450184501845018</v>
      </c>
    </row>
    <row r="11" spans="2:10" ht="12.75">
      <c r="B11" t="s">
        <v>6</v>
      </c>
      <c r="E11" s="3">
        <v>575355</v>
      </c>
      <c r="F11" s="3">
        <v>656664</v>
      </c>
      <c r="G11" s="3">
        <v>514893</v>
      </c>
      <c r="H11" s="3">
        <v>424408</v>
      </c>
      <c r="I11" s="3">
        <v>462469</v>
      </c>
      <c r="J11" s="4">
        <f t="shared" si="0"/>
        <v>-0.19620234463939654</v>
      </c>
    </row>
    <row r="12" spans="2:10" ht="12.75">
      <c r="B12" t="s">
        <v>7</v>
      </c>
      <c r="E12" s="3">
        <f>SUM(E7:E11)</f>
        <v>1319071</v>
      </c>
      <c r="F12" s="3">
        <f>SUM(F7:F11)</f>
        <v>1384512</v>
      </c>
      <c r="G12" s="3">
        <f>SUM(G7:G11)</f>
        <v>1187999</v>
      </c>
      <c r="H12" s="3">
        <f>SUM(H7:H11)</f>
        <v>1161845</v>
      </c>
      <c r="I12" s="3">
        <f>SUM(I7:I11)</f>
        <v>1191875</v>
      </c>
      <c r="J12" s="4">
        <f t="shared" si="0"/>
        <v>-0.09642847124984175</v>
      </c>
    </row>
    <row r="13" spans="5:9" ht="12.75">
      <c r="E13" s="3"/>
      <c r="F13" s="3"/>
      <c r="G13" s="3"/>
      <c r="H13" s="3"/>
      <c r="I13" s="3"/>
    </row>
    <row r="14" spans="1:10" ht="12.75">
      <c r="A14" t="s">
        <v>14</v>
      </c>
      <c r="E14" s="3">
        <v>227179</v>
      </c>
      <c r="F14" s="3">
        <v>298940</v>
      </c>
      <c r="G14" s="3">
        <v>356862</v>
      </c>
      <c r="H14" s="3">
        <v>452930</v>
      </c>
      <c r="I14" s="3">
        <v>480538</v>
      </c>
      <c r="J14" s="4">
        <f>+(I14-E14)/E14</f>
        <v>1.1152395247800193</v>
      </c>
    </row>
    <row r="15" spans="1:10" ht="12.75">
      <c r="A15" t="s">
        <v>15</v>
      </c>
      <c r="E15" s="3">
        <v>21215</v>
      </c>
      <c r="F15" s="3">
        <v>603</v>
      </c>
      <c r="G15" s="3">
        <v>2213</v>
      </c>
      <c r="H15" s="3">
        <v>5000</v>
      </c>
      <c r="I15" s="3">
        <v>5000</v>
      </c>
      <c r="J15" s="4">
        <f>+(I15-E15)/E15</f>
        <v>-0.7643176997407495</v>
      </c>
    </row>
    <row r="16" spans="1:10" ht="12.75">
      <c r="A16" t="s">
        <v>16</v>
      </c>
      <c r="E16" s="3">
        <v>14260</v>
      </c>
      <c r="F16" s="3">
        <v>15141</v>
      </c>
      <c r="G16" s="3">
        <v>15835</v>
      </c>
      <c r="H16" s="3">
        <v>19800</v>
      </c>
      <c r="I16" s="3">
        <v>16565</v>
      </c>
      <c r="J16" s="4">
        <f>+(I16-E16)/E16</f>
        <v>0.16164095371669004</v>
      </c>
    </row>
    <row r="17" spans="1:10" ht="12.75">
      <c r="A17" t="s">
        <v>19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4" t="e">
        <f>+(I17-E17)/E17</f>
        <v>#DIV/0!</v>
      </c>
    </row>
    <row r="18" spans="5:9" ht="12.75">
      <c r="E18" s="3"/>
      <c r="F18" s="3"/>
      <c r="G18" s="3"/>
      <c r="H18" s="3"/>
      <c r="I18" s="3"/>
    </row>
    <row r="19" spans="1:10" ht="12.75">
      <c r="A19" t="s">
        <v>17</v>
      </c>
      <c r="E19" s="3">
        <f>SUM(E12:E17)</f>
        <v>1581725</v>
      </c>
      <c r="F19" s="3">
        <f>SUM(F12:F17)</f>
        <v>1699196</v>
      </c>
      <c r="G19" s="3">
        <f>SUM(G12:G17)</f>
        <v>1562909</v>
      </c>
      <c r="H19" s="3">
        <f>SUM(H12:H17)</f>
        <v>1639575</v>
      </c>
      <c r="I19" s="3">
        <f>SUM(I12:I17)</f>
        <v>1693978</v>
      </c>
      <c r="J19" s="4">
        <f>+(I19-E19)/E19</f>
        <v>0.07096872085855632</v>
      </c>
    </row>
    <row r="20" spans="5:9" ht="12.75">
      <c r="E20" s="3"/>
      <c r="F20" s="3"/>
      <c r="G20" s="3"/>
      <c r="H20" s="3"/>
      <c r="I20" s="3"/>
    </row>
    <row r="21" spans="1:9" ht="12.75">
      <c r="A21" t="s">
        <v>18</v>
      </c>
      <c r="E21" s="3"/>
      <c r="F21" s="3"/>
      <c r="G21" s="3"/>
      <c r="H21" s="3"/>
      <c r="I21" s="3"/>
    </row>
    <row r="22" spans="2:10" ht="12.75">
      <c r="B22" t="s">
        <v>26</v>
      </c>
      <c r="E22" s="3">
        <f>+E33*0.5*0.0678</f>
        <v>124363.5738</v>
      </c>
      <c r="F22" s="3">
        <f>+F33*0.5*0.0678</f>
        <v>177463.21169999999</v>
      </c>
      <c r="G22" s="3">
        <f>+G33*0.5*0.0678</f>
        <v>198214.3509</v>
      </c>
      <c r="H22" s="3">
        <f>+H33*16/30*0.0688</f>
        <v>269702.6048</v>
      </c>
      <c r="I22" s="3">
        <f>+(+I33*(17/30-0.04)*0.0682)+(+I33*0.04*0.0338)</f>
        <v>289102.22531999997</v>
      </c>
      <c r="J22" s="4">
        <f>+(I22-E22)/E22</f>
        <v>1.3246535660428242</v>
      </c>
    </row>
    <row r="23" spans="2:10" ht="12.75">
      <c r="B23" t="s">
        <v>20</v>
      </c>
      <c r="E23" s="3">
        <f>+E33*0.5*0.09</f>
        <v>165084.38999999998</v>
      </c>
      <c r="F23" s="3">
        <f>+F33*0.5*0.09</f>
        <v>235570.63499999998</v>
      </c>
      <c r="G23" s="3">
        <f>+G33*0.5*0.09</f>
        <v>263116.395</v>
      </c>
      <c r="H23" s="3">
        <f>+H33*14/30*0.09</f>
        <v>308707.56</v>
      </c>
      <c r="I23" s="3">
        <f>+I33*0.433333333333333*0.0839</f>
        <v>282012.4826999998</v>
      </c>
      <c r="J23" s="4">
        <f>+(I23-E23)/E23</f>
        <v>0.7082928476762693</v>
      </c>
    </row>
    <row r="24" spans="2:10" ht="12.75">
      <c r="B24" t="s">
        <v>21</v>
      </c>
      <c r="E24" s="3">
        <v>14337</v>
      </c>
      <c r="F24" s="3">
        <v>14337</v>
      </c>
      <c r="G24" s="3">
        <v>-249</v>
      </c>
      <c r="H24" s="3">
        <v>2225</v>
      </c>
      <c r="I24" s="3">
        <v>94858</v>
      </c>
      <c r="J24" s="4">
        <f>+(I24-E24)/E24</f>
        <v>5.616307456232127</v>
      </c>
    </row>
    <row r="25" spans="2:10" ht="12.75">
      <c r="B25" t="s">
        <v>22</v>
      </c>
      <c r="E25" s="3">
        <f>SUM(E22:E24)</f>
        <v>303784.96379999997</v>
      </c>
      <c r="F25" s="3">
        <f>SUM(F22:F24)</f>
        <v>427370.8467</v>
      </c>
      <c r="G25" s="3">
        <f>SUM(G22:G24)</f>
        <v>461081.7459</v>
      </c>
      <c r="H25" s="3">
        <f>SUM(H22:H24)</f>
        <v>580635.1647999999</v>
      </c>
      <c r="I25" s="3">
        <f>SUM(I22:I24)</f>
        <v>665972.7080199998</v>
      </c>
      <c r="J25" s="4">
        <f>+(I25-E25)/E25</f>
        <v>1.1922503987341846</v>
      </c>
    </row>
    <row r="26" spans="5:9" ht="12.75">
      <c r="E26" s="3"/>
      <c r="F26" s="3"/>
      <c r="G26" s="3"/>
      <c r="H26" s="3"/>
      <c r="I26" s="3"/>
    </row>
    <row r="27" spans="1:10" ht="12.75">
      <c r="A27" t="s">
        <v>23</v>
      </c>
      <c r="E27" s="3">
        <f>+E25+E19</f>
        <v>1885509.9638</v>
      </c>
      <c r="F27" s="3">
        <f>+F25+F19</f>
        <v>2126566.8467</v>
      </c>
      <c r="G27" s="3">
        <f>+G25+G19</f>
        <v>2023990.7459</v>
      </c>
      <c r="H27" s="3">
        <f>+H25+H19</f>
        <v>2220210.1648</v>
      </c>
      <c r="I27" s="3">
        <f>+I25+I19</f>
        <v>2359950.70802</v>
      </c>
      <c r="J27" s="4">
        <f>+(I27-E27)/E27</f>
        <v>0.25162462852427797</v>
      </c>
    </row>
    <row r="28" spans="5:9" ht="12.75">
      <c r="E28" s="3"/>
      <c r="F28" s="3"/>
      <c r="G28" s="3"/>
      <c r="H28" s="3"/>
      <c r="I28" s="3"/>
    </row>
    <row r="29" spans="1:10" ht="12.75">
      <c r="A29" t="s">
        <v>24</v>
      </c>
      <c r="E29" s="3">
        <f>1745260+90495</f>
        <v>1835755</v>
      </c>
      <c r="F29" s="3">
        <v>1964266</v>
      </c>
      <c r="G29" s="3">
        <v>1917002</v>
      </c>
      <c r="H29" s="3">
        <v>1970139</v>
      </c>
      <c r="I29" s="3">
        <v>1906646</v>
      </c>
      <c r="J29" s="4">
        <f>+(I29-E29)/E29</f>
        <v>0.03861680888789626</v>
      </c>
    </row>
    <row r="30" spans="5:9" ht="12.75">
      <c r="E30" s="3"/>
      <c r="F30" s="3"/>
      <c r="G30" s="3"/>
      <c r="H30" s="3"/>
      <c r="I30" s="3"/>
    </row>
    <row r="31" spans="1:10" ht="12.75">
      <c r="A31" t="s">
        <v>25</v>
      </c>
      <c r="E31" s="3">
        <f>+E29-E27</f>
        <v>-49754.96380000003</v>
      </c>
      <c r="F31" s="3">
        <f>+F29-F27</f>
        <v>-162300.8467000001</v>
      </c>
      <c r="G31" s="3">
        <f>+G29-G27</f>
        <v>-106988.74589999998</v>
      </c>
      <c r="H31" s="3">
        <f>+H29-H27</f>
        <v>-250071.1647999999</v>
      </c>
      <c r="I31" s="3">
        <f>+I29-I27</f>
        <v>-453304.7080199998</v>
      </c>
      <c r="J31" s="4"/>
    </row>
    <row r="32" spans="5:9" ht="12.75">
      <c r="E32" s="3"/>
      <c r="F32" s="3"/>
      <c r="G32" s="3"/>
      <c r="H32" s="3"/>
      <c r="I32" s="3"/>
    </row>
    <row r="33" spans="1:10" ht="12.75">
      <c r="A33" t="s">
        <v>29</v>
      </c>
      <c r="E33" s="3">
        <v>3668542</v>
      </c>
      <c r="F33" s="3">
        <v>5234903</v>
      </c>
      <c r="G33" s="3">
        <v>5847031</v>
      </c>
      <c r="H33" s="3">
        <v>7350180</v>
      </c>
      <c r="I33" s="3">
        <v>7756830</v>
      </c>
      <c r="J33" s="4">
        <f>+(I33-E33)/E33</f>
        <v>1.1144176623846749</v>
      </c>
    </row>
    <row r="34" spans="5:9" ht="12.75">
      <c r="E34" s="3"/>
      <c r="F34" s="3"/>
      <c r="G34" s="3"/>
      <c r="H34" s="3"/>
      <c r="I34" s="3"/>
    </row>
    <row r="35" spans="5:9" ht="12.75">
      <c r="E35" s="3"/>
      <c r="F35" s="3"/>
      <c r="G35" s="3"/>
      <c r="H35" s="3"/>
      <c r="I35" s="3"/>
    </row>
    <row r="36" spans="5:9" ht="12.75">
      <c r="E36" s="3"/>
      <c r="F36" s="3"/>
      <c r="G36" s="3"/>
      <c r="H36" s="3"/>
      <c r="I36" s="3"/>
    </row>
    <row r="37" spans="5:9" ht="12.75">
      <c r="E37" s="3"/>
      <c r="F37" s="3"/>
      <c r="G37" s="3"/>
      <c r="H37" s="3"/>
      <c r="I37" s="3"/>
    </row>
    <row r="38" spans="5:9" ht="12.75">
      <c r="E38" s="3"/>
      <c r="F38" s="3"/>
      <c r="G38" s="3"/>
      <c r="H38" s="3"/>
      <c r="I38" s="3"/>
    </row>
    <row r="39" spans="5:9" ht="12.75">
      <c r="E39" s="3"/>
      <c r="F39" s="3"/>
      <c r="G39" s="3"/>
      <c r="H39" s="3"/>
      <c r="I39" s="3"/>
    </row>
    <row r="40" spans="5:9" ht="12.75">
      <c r="E40" s="3"/>
      <c r="F40" s="3"/>
      <c r="G40" s="3"/>
      <c r="H40" s="3"/>
      <c r="I40" s="3"/>
    </row>
    <row r="41" spans="5:9" ht="12.75">
      <c r="E41" s="3"/>
      <c r="F41" s="3"/>
      <c r="G41" s="3"/>
      <c r="H41" s="3"/>
      <c r="I41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1"/>
  <sheetViews>
    <sheetView workbookViewId="0" topLeftCell="A1">
      <selection activeCell="K27" sqref="K27"/>
    </sheetView>
  </sheetViews>
  <sheetFormatPr defaultColWidth="9.140625" defaultRowHeight="12.75"/>
  <cols>
    <col min="1" max="1" width="4.421875" style="0" customWidth="1"/>
    <col min="2" max="4" width="10.7109375" style="0" customWidth="1"/>
    <col min="5" max="9" width="11.7109375" style="0" customWidth="1"/>
    <col min="10" max="11" width="10.7109375" style="0" customWidth="1"/>
  </cols>
  <sheetData>
    <row r="2" ht="15">
      <c r="A2" s="1" t="s">
        <v>10</v>
      </c>
    </row>
    <row r="4" spans="5:10" ht="39">
      <c r="E4" s="2" t="s">
        <v>9</v>
      </c>
      <c r="F4" s="2" t="s">
        <v>8</v>
      </c>
      <c r="G4" s="2" t="s">
        <v>11</v>
      </c>
      <c r="H4" s="2" t="s">
        <v>12</v>
      </c>
      <c r="I4" s="2" t="s">
        <v>13</v>
      </c>
      <c r="J4" s="2" t="s">
        <v>30</v>
      </c>
    </row>
    <row r="5" spans="5:10" ht="12.75">
      <c r="E5" s="2"/>
      <c r="F5" s="2"/>
      <c r="G5" s="2"/>
      <c r="H5" s="2"/>
      <c r="I5" s="2"/>
      <c r="J5" s="2"/>
    </row>
    <row r="6" spans="1:9" ht="12.75">
      <c r="A6" t="s">
        <v>1</v>
      </c>
      <c r="E6" s="3"/>
      <c r="F6" s="3"/>
      <c r="G6" s="3"/>
      <c r="H6" s="3"/>
      <c r="I6" s="3"/>
    </row>
    <row r="7" spans="2:10" ht="12.75">
      <c r="B7" t="s">
        <v>2</v>
      </c>
      <c r="E7" s="3">
        <v>328347</v>
      </c>
      <c r="F7" s="3">
        <v>420589</v>
      </c>
      <c r="G7" s="3">
        <v>514172</v>
      </c>
      <c r="H7" s="3">
        <v>401436</v>
      </c>
      <c r="I7" s="3">
        <v>410703</v>
      </c>
      <c r="J7" s="4">
        <f aca="true" t="shared" si="0" ref="J7:J12">+(I7-E7)/E7</f>
        <v>0.2508200166287495</v>
      </c>
    </row>
    <row r="8" spans="2:10" ht="12.75">
      <c r="B8" t="s">
        <v>3</v>
      </c>
      <c r="E8" s="3">
        <v>370866</v>
      </c>
      <c r="F8" s="3">
        <v>379762</v>
      </c>
      <c r="G8" s="3">
        <v>453526</v>
      </c>
      <c r="H8" s="3">
        <v>467506</v>
      </c>
      <c r="I8" s="3">
        <v>545753</v>
      </c>
      <c r="J8" s="4">
        <f t="shared" si="0"/>
        <v>0.47156385325157874</v>
      </c>
    </row>
    <row r="9" spans="2:10" ht="12.75">
      <c r="B9" t="s">
        <v>4</v>
      </c>
      <c r="E9" s="3">
        <v>584533</v>
      </c>
      <c r="F9" s="3">
        <v>527818</v>
      </c>
      <c r="G9" s="3">
        <v>657629</v>
      </c>
      <c r="H9" s="3">
        <v>596039</v>
      </c>
      <c r="I9" s="3">
        <v>612519</v>
      </c>
      <c r="J9" s="4">
        <f t="shared" si="0"/>
        <v>0.04787753642651484</v>
      </c>
    </row>
    <row r="10" spans="2:10" ht="12.75">
      <c r="B10" t="s">
        <v>5</v>
      </c>
      <c r="E10" s="3">
        <v>0</v>
      </c>
      <c r="F10" s="3">
        <v>0</v>
      </c>
      <c r="G10" s="3">
        <v>1847</v>
      </c>
      <c r="H10" s="3">
        <v>6300</v>
      </c>
      <c r="I10" s="3">
        <v>23698</v>
      </c>
      <c r="J10" s="4" t="e">
        <f t="shared" si="0"/>
        <v>#DIV/0!</v>
      </c>
    </row>
    <row r="11" spans="2:10" ht="12.75">
      <c r="B11" t="s">
        <v>6</v>
      </c>
      <c r="E11" s="3">
        <f>2461450-E17</f>
        <v>933250</v>
      </c>
      <c r="F11" s="3">
        <f>2426527-F17</f>
        <v>898327</v>
      </c>
      <c r="G11" s="3">
        <f>2460576-G17</f>
        <v>932376</v>
      </c>
      <c r="H11" s="3">
        <f>2486227-H17</f>
        <v>958027</v>
      </c>
      <c r="I11" s="3">
        <f>2492516-I17</f>
        <v>964316</v>
      </c>
      <c r="J11" s="4">
        <f t="shared" si="0"/>
        <v>0.03328797214036967</v>
      </c>
    </row>
    <row r="12" spans="2:10" ht="12.75">
      <c r="B12" t="s">
        <v>7</v>
      </c>
      <c r="E12" s="3">
        <f>SUM(E7:E11)</f>
        <v>2216996</v>
      </c>
      <c r="F12" s="3">
        <f>SUM(F7:F11)</f>
        <v>2226496</v>
      </c>
      <c r="G12" s="3">
        <f>SUM(G7:G11)</f>
        <v>2559550</v>
      </c>
      <c r="H12" s="3">
        <f>SUM(H7:H11)</f>
        <v>2429308</v>
      </c>
      <c r="I12" s="3">
        <f>SUM(I7:I11)</f>
        <v>2556989</v>
      </c>
      <c r="J12" s="4">
        <f t="shared" si="0"/>
        <v>0.15335751620661472</v>
      </c>
    </row>
    <row r="13" spans="5:9" ht="12.75">
      <c r="E13" s="3"/>
      <c r="F13" s="3"/>
      <c r="G13" s="3"/>
      <c r="H13" s="3"/>
      <c r="I13" s="3"/>
    </row>
    <row r="14" spans="1:10" ht="12.75">
      <c r="A14" t="s">
        <v>14</v>
      </c>
      <c r="E14" s="3">
        <v>403122</v>
      </c>
      <c r="F14" s="3">
        <v>527528</v>
      </c>
      <c r="G14" s="3">
        <v>518695</v>
      </c>
      <c r="H14" s="3">
        <v>585188</v>
      </c>
      <c r="I14" s="3">
        <v>645216</v>
      </c>
      <c r="J14" s="4">
        <f>+(I14-E14)/E14</f>
        <v>0.6005477250063256</v>
      </c>
    </row>
    <row r="15" spans="1:10" ht="12.75">
      <c r="A15" t="s">
        <v>15</v>
      </c>
      <c r="E15" s="3">
        <v>53537</v>
      </c>
      <c r="F15" s="3">
        <v>66535</v>
      </c>
      <c r="G15" s="3">
        <v>65914</v>
      </c>
      <c r="H15" s="3">
        <v>70000</v>
      </c>
      <c r="I15" s="3">
        <v>70000</v>
      </c>
      <c r="J15" s="4">
        <f>+(I15-E15)/E15</f>
        <v>0.30750695780488263</v>
      </c>
    </row>
    <row r="16" spans="1:10" ht="12.75">
      <c r="A16" t="s">
        <v>16</v>
      </c>
      <c r="E16" s="3">
        <v>28250</v>
      </c>
      <c r="F16" s="3">
        <v>29096</v>
      </c>
      <c r="G16" s="3">
        <v>31820</v>
      </c>
      <c r="H16" s="3">
        <v>33015</v>
      </c>
      <c r="I16" s="3">
        <v>28393</v>
      </c>
      <c r="J16" s="4">
        <f>+(I16-E16)/E16</f>
        <v>0.005061946902654867</v>
      </c>
    </row>
    <row r="17" spans="1:10" ht="12.75">
      <c r="A17" t="s">
        <v>19</v>
      </c>
      <c r="E17" s="3">
        <v>1528200</v>
      </c>
      <c r="F17" s="3">
        <v>1528200</v>
      </c>
      <c r="G17" s="3">
        <v>1528200</v>
      </c>
      <c r="H17" s="3">
        <v>1528200</v>
      </c>
      <c r="I17" s="3">
        <v>1528200</v>
      </c>
      <c r="J17" s="4">
        <f>+(I17-E17)/E17</f>
        <v>0</v>
      </c>
    </row>
    <row r="18" spans="5:9" ht="12.75">
      <c r="E18" s="3"/>
      <c r="F18" s="3"/>
      <c r="G18" s="3"/>
      <c r="H18" s="3"/>
      <c r="I18" s="3"/>
    </row>
    <row r="19" spans="1:10" ht="12.75">
      <c r="A19" t="s">
        <v>17</v>
      </c>
      <c r="E19" s="3">
        <f>SUM(E12:E17)</f>
        <v>4230105</v>
      </c>
      <c r="F19" s="3">
        <f>SUM(F12:F17)</f>
        <v>4377855</v>
      </c>
      <c r="G19" s="3">
        <f>SUM(G12:G17)</f>
        <v>4704179</v>
      </c>
      <c r="H19" s="3">
        <f>SUM(H12:H17)</f>
        <v>4645711</v>
      </c>
      <c r="I19" s="3">
        <f>SUM(I12:I17)</f>
        <v>4828798</v>
      </c>
      <c r="J19" s="4">
        <f>+(I19-E19)/E19</f>
        <v>0.1415314749870275</v>
      </c>
    </row>
    <row r="20" spans="5:9" ht="12.75">
      <c r="E20" s="3"/>
      <c r="F20" s="3"/>
      <c r="G20" s="3"/>
      <c r="H20" s="3"/>
      <c r="I20" s="3"/>
    </row>
    <row r="21" spans="1:9" ht="12.75">
      <c r="A21" t="s">
        <v>18</v>
      </c>
      <c r="E21" s="3"/>
      <c r="F21" s="3"/>
      <c r="G21" s="3"/>
      <c r="H21" s="3"/>
      <c r="I21" s="3"/>
    </row>
    <row r="22" spans="2:10" ht="12.75">
      <c r="B22" t="s">
        <v>26</v>
      </c>
      <c r="E22" s="3">
        <f>+E33*0.5*0.0678</f>
        <v>254247.4575</v>
      </c>
      <c r="F22" s="3">
        <f>+F33*0.5*0.0678</f>
        <v>341028.2709</v>
      </c>
      <c r="G22" s="3">
        <f>+G33*0.5*0.0678</f>
        <v>398307.1008</v>
      </c>
      <c r="H22" s="3">
        <f>+H33*16/30*0.0688</f>
        <v>449712.09898666665</v>
      </c>
      <c r="I22" s="3">
        <f>+(+I33*(17/30-0.04)*0.0682)+(+I33*0.04*0.0338)</f>
        <v>495536.5466053333</v>
      </c>
      <c r="J22" s="4">
        <f>+(I22-E22)/E22</f>
        <v>0.9490324563239075</v>
      </c>
    </row>
    <row r="23" spans="2:10" ht="12.75">
      <c r="B23" t="s">
        <v>20</v>
      </c>
      <c r="E23" s="3">
        <f>+E33*0.5*0.09</f>
        <v>337496.625</v>
      </c>
      <c r="F23" s="3">
        <f>+F33*0.5*0.09</f>
        <v>452692.39499999996</v>
      </c>
      <c r="G23" s="3">
        <f>+G33*0.5*0.09</f>
        <v>528726.24</v>
      </c>
      <c r="H23" s="3">
        <f>+H33*14/30*0.09</f>
        <v>514750.404</v>
      </c>
      <c r="I23" s="3">
        <f>+I33*0.433333333333333*0.0839</f>
        <v>483384.35175333294</v>
      </c>
      <c r="J23" s="4">
        <f>+(I23-E23)/E23</f>
        <v>0.4322642537635241</v>
      </c>
    </row>
    <row r="24" spans="2:10" ht="12.75">
      <c r="B24" t="s">
        <v>21</v>
      </c>
      <c r="E24" s="3">
        <v>27551</v>
      </c>
      <c r="F24" s="3">
        <v>27551</v>
      </c>
      <c r="G24" s="3">
        <v>-501</v>
      </c>
      <c r="H24" s="3">
        <v>3709</v>
      </c>
      <c r="I24" s="3">
        <v>162592</v>
      </c>
      <c r="J24" s="4">
        <f>+(I24-E24)/E24</f>
        <v>4.901491778882799</v>
      </c>
    </row>
    <row r="25" spans="2:10" ht="12.75">
      <c r="B25" t="s">
        <v>22</v>
      </c>
      <c r="E25" s="3">
        <f>SUM(E22:E24)</f>
        <v>619295.0825</v>
      </c>
      <c r="F25" s="3">
        <f>SUM(F22:F24)</f>
        <v>821271.6658999999</v>
      </c>
      <c r="G25" s="3">
        <f>SUM(G22:G24)</f>
        <v>926532.3408</v>
      </c>
      <c r="H25" s="3">
        <f>SUM(H22:H24)</f>
        <v>968171.5029866666</v>
      </c>
      <c r="I25" s="3">
        <f>SUM(I22:I24)</f>
        <v>1141512.8983586663</v>
      </c>
      <c r="J25" s="4">
        <f>+(I25-E25)/E25</f>
        <v>0.8432455393486292</v>
      </c>
    </row>
    <row r="26" spans="5:9" ht="12.75">
      <c r="E26" s="3"/>
      <c r="F26" s="3"/>
      <c r="G26" s="3"/>
      <c r="H26" s="3"/>
      <c r="I26" s="3"/>
    </row>
    <row r="27" spans="1:10" ht="12.75">
      <c r="A27" t="s">
        <v>23</v>
      </c>
      <c r="E27" s="3">
        <f>+E25+E19</f>
        <v>4849400.0825</v>
      </c>
      <c r="F27" s="3">
        <f>+F25+F19</f>
        <v>5199126.665899999</v>
      </c>
      <c r="G27" s="3">
        <f>+G25+G19</f>
        <v>5630711.3408</v>
      </c>
      <c r="H27" s="3">
        <f>+H25+H19</f>
        <v>5613882.502986667</v>
      </c>
      <c r="I27" s="3">
        <f>+I25+I19</f>
        <v>5970310.898358666</v>
      </c>
      <c r="J27" s="4">
        <f>+(I27-E27)/E27</f>
        <v>0.23114422336562634</v>
      </c>
    </row>
    <row r="28" spans="5:9" ht="12.75">
      <c r="E28" s="3"/>
      <c r="F28" s="3"/>
      <c r="G28" s="3"/>
      <c r="H28" s="3"/>
      <c r="I28" s="3"/>
    </row>
    <row r="29" spans="1:10" ht="12.75">
      <c r="A29" t="s">
        <v>24</v>
      </c>
      <c r="E29" s="3">
        <f>4455831+452228</f>
        <v>4908059</v>
      </c>
      <c r="F29" s="3">
        <v>4214584</v>
      </c>
      <c r="G29" s="3">
        <v>4859152</v>
      </c>
      <c r="H29" s="3">
        <v>4819590</v>
      </c>
      <c r="I29" s="3">
        <v>4832337</v>
      </c>
      <c r="J29" s="4">
        <f>+(I29-E29)/E29</f>
        <v>-0.015428094894539777</v>
      </c>
    </row>
    <row r="30" spans="5:9" ht="12.75">
      <c r="E30" s="3"/>
      <c r="F30" s="3"/>
      <c r="G30" s="3"/>
      <c r="H30" s="3"/>
      <c r="I30" s="3"/>
    </row>
    <row r="31" spans="1:10" ht="12.75">
      <c r="A31" t="s">
        <v>25</v>
      </c>
      <c r="E31" s="3">
        <f>+E29-E27</f>
        <v>58658.91750000045</v>
      </c>
      <c r="F31" s="3">
        <f>+F29-F27</f>
        <v>-984542.6658999994</v>
      </c>
      <c r="G31" s="3">
        <f>+G29-G27</f>
        <v>-771559.3408000004</v>
      </c>
      <c r="H31" s="3">
        <f>+H29-H27</f>
        <v>-794292.5029866667</v>
      </c>
      <c r="I31" s="3">
        <f>+I29-I27</f>
        <v>-1137973.8983586663</v>
      </c>
      <c r="J31" s="4"/>
    </row>
    <row r="32" spans="5:9" ht="12.75">
      <c r="E32" s="3"/>
      <c r="F32" s="3"/>
      <c r="G32" s="3"/>
      <c r="H32" s="3"/>
      <c r="I32" s="3"/>
    </row>
    <row r="33" spans="1:10" ht="12.75">
      <c r="A33" t="s">
        <v>29</v>
      </c>
      <c r="E33" s="3">
        <v>7499925</v>
      </c>
      <c r="F33" s="3">
        <v>10059831</v>
      </c>
      <c r="G33" s="3">
        <v>11749472</v>
      </c>
      <c r="H33" s="3">
        <v>12255962</v>
      </c>
      <c r="I33" s="3">
        <v>13295618</v>
      </c>
      <c r="J33" s="4">
        <f>+(I33-E33)/E33</f>
        <v>0.77276679433461</v>
      </c>
    </row>
    <row r="34" spans="5:9" ht="12.75">
      <c r="E34" s="3"/>
      <c r="F34" s="3"/>
      <c r="G34" s="3"/>
      <c r="H34" s="3"/>
      <c r="I34" s="3"/>
    </row>
    <row r="35" spans="5:9" ht="12.75">
      <c r="E35" s="3"/>
      <c r="F35" s="3"/>
      <c r="G35" s="3"/>
      <c r="H35" s="3"/>
      <c r="I35" s="3"/>
    </row>
    <row r="36" spans="5:9" ht="12.75">
      <c r="E36" s="3"/>
      <c r="F36" s="3"/>
      <c r="G36" s="3"/>
      <c r="H36" s="3"/>
      <c r="I36" s="3"/>
    </row>
    <row r="37" spans="5:9" ht="12.75">
      <c r="E37" s="3"/>
      <c r="F37" s="3"/>
      <c r="G37" s="3"/>
      <c r="H37" s="3"/>
      <c r="I37" s="3"/>
    </row>
    <row r="38" spans="5:9" ht="12.75">
      <c r="E38" s="3"/>
      <c r="F38" s="3"/>
      <c r="G38" s="3"/>
      <c r="H38" s="3"/>
      <c r="I38" s="3"/>
    </row>
    <row r="39" spans="5:9" ht="12.75">
      <c r="E39" s="3"/>
      <c r="F39" s="3"/>
      <c r="G39" s="3"/>
      <c r="H39" s="3"/>
      <c r="I39" s="3"/>
    </row>
    <row r="40" spans="5:9" ht="12.75">
      <c r="E40" s="3"/>
      <c r="F40" s="3"/>
      <c r="G40" s="3"/>
      <c r="H40" s="3"/>
      <c r="I40" s="3"/>
    </row>
    <row r="41" spans="5:9" ht="12.75">
      <c r="E41" s="3"/>
      <c r="F41" s="3"/>
      <c r="G41" s="3"/>
      <c r="H41" s="3"/>
      <c r="I41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Shepherd</dc:creator>
  <cp:keywords/>
  <dc:description/>
  <cp:lastModifiedBy>Jay Shepherd</cp:lastModifiedBy>
  <dcterms:created xsi:type="dcterms:W3CDTF">2008-10-25T18:54:22Z</dcterms:created>
  <dcterms:modified xsi:type="dcterms:W3CDTF">2008-10-25T22:42:38Z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