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Draft Rate Order/"/>
    </mc:Choice>
  </mc:AlternateContent>
  <xr:revisionPtr revIDLastSave="217" documentId="13_ncr:1_{5245CF78-D0C4-4431-857B-813DBFFBB22C}" xr6:coauthVersionLast="47" xr6:coauthVersionMax="47" xr10:uidLastSave="{4E6BAF8E-67AE-4C50-8EC6-ED21321E6B98}"/>
  <bookViews>
    <workbookView xWindow="-120" yWindow="-120" windowWidth="29040" windowHeight="15840" xr2:uid="{32C028A1-FEEF-4A08-8D4A-DF49EDA3A82A}"/>
  </bookViews>
  <sheets>
    <sheet name="2025" sheetId="1" r:id="rId1"/>
  </sheets>
  <definedNames>
    <definedName name="_xlnm.Print_Area" localSheetId="0">'2025'!$A$3:$X$42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S22" i="1" s="1"/>
  <c r="X28" i="1"/>
  <c r="X25" i="1"/>
  <c r="X21" i="1"/>
  <c r="X17" i="1"/>
  <c r="X15" i="1"/>
  <c r="U28" i="1"/>
  <c r="U25" i="1"/>
  <c r="U21" i="1"/>
  <c r="U17" i="1"/>
  <c r="U15" i="1"/>
  <c r="T27" i="1"/>
  <c r="T24" i="1"/>
  <c r="T20" i="1"/>
  <c r="T19" i="1"/>
  <c r="T18" i="1"/>
  <c r="T16" i="1"/>
  <c r="T14" i="1"/>
  <c r="T12" i="1"/>
  <c r="S12" i="1"/>
  <c r="S11" i="1"/>
  <c r="S14" i="1"/>
  <c r="S15" i="1"/>
  <c r="S16" i="1"/>
  <c r="S17" i="1"/>
  <c r="S18" i="1"/>
  <c r="S19" i="1"/>
  <c r="S20" i="1"/>
  <c r="S21" i="1"/>
  <c r="S23" i="1"/>
  <c r="S24" i="1"/>
  <c r="S25" i="1"/>
  <c r="S26" i="1"/>
  <c r="S27" i="1"/>
  <c r="S28" i="1"/>
  <c r="S10" i="1"/>
  <c r="R28" i="1"/>
  <c r="R27" i="1"/>
  <c r="R26" i="1"/>
  <c r="R25" i="1"/>
  <c r="R24" i="1"/>
  <c r="R23" i="1"/>
  <c r="Q26" i="1"/>
  <c r="Q23" i="1"/>
  <c r="R14" i="1"/>
  <c r="R15" i="1"/>
  <c r="R16" i="1"/>
  <c r="R17" i="1"/>
  <c r="R18" i="1"/>
  <c r="R19" i="1"/>
  <c r="R20" i="1"/>
  <c r="R21" i="1"/>
  <c r="R13" i="1"/>
  <c r="R12" i="1"/>
  <c r="R11" i="1"/>
  <c r="R10" i="1"/>
  <c r="Q11" i="1"/>
  <c r="Q10" i="1"/>
  <c r="Q13" i="1"/>
  <c r="Q12" i="1"/>
  <c r="O33" i="1"/>
  <c r="N33" i="1"/>
  <c r="L33" i="1"/>
  <c r="Q28" i="1"/>
  <c r="Q27" i="1"/>
  <c r="Q25" i="1"/>
  <c r="Q24" i="1"/>
  <c r="Q15" i="1"/>
  <c r="Q16" i="1"/>
  <c r="Q17" i="1"/>
  <c r="Q18" i="1"/>
  <c r="Q19" i="1"/>
  <c r="Q20" i="1"/>
  <c r="Q21" i="1"/>
  <c r="Q14" i="1"/>
  <c r="O28" i="1"/>
  <c r="O27" i="1"/>
  <c r="O25" i="1"/>
  <c r="O24" i="1"/>
  <c r="O19" i="1"/>
  <c r="O20" i="1"/>
  <c r="O21" i="1"/>
  <c r="O22" i="1"/>
  <c r="O18" i="1"/>
  <c r="O17" i="1"/>
  <c r="O16" i="1"/>
  <c r="O15" i="1"/>
  <c r="O14" i="1"/>
  <c r="N28" i="1"/>
  <c r="N27" i="1"/>
  <c r="N25" i="1"/>
  <c r="N24" i="1"/>
  <c r="N22" i="1"/>
  <c r="N21" i="1"/>
  <c r="N20" i="1"/>
  <c r="N19" i="1"/>
  <c r="N18" i="1"/>
  <c r="N17" i="1"/>
  <c r="N16" i="1"/>
  <c r="N15" i="1"/>
  <c r="N14" i="1"/>
  <c r="I28" i="1"/>
  <c r="I27" i="1"/>
  <c r="I26" i="1"/>
  <c r="I25" i="1"/>
  <c r="I24" i="1"/>
  <c r="I23" i="1"/>
  <c r="I22" i="1"/>
  <c r="I21" i="1"/>
  <c r="I20" i="1"/>
  <c r="I18" i="1"/>
  <c r="I19" i="1"/>
  <c r="I17" i="1"/>
  <c r="I16" i="1"/>
  <c r="I15" i="1"/>
  <c r="I14" i="1"/>
  <c r="I12" i="1"/>
  <c r="I11" i="1"/>
  <c r="I10" i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E38" i="1"/>
  <c r="L28" i="1"/>
  <c r="P28" i="1" s="1"/>
  <c r="L25" i="1"/>
  <c r="P25" i="1" s="1"/>
  <c r="L22" i="1"/>
  <c r="P22" i="1" s="1"/>
  <c r="L16" i="1"/>
  <c r="P16" i="1" s="1"/>
  <c r="L24" i="1"/>
  <c r="E39" i="1"/>
  <c r="L27" i="1"/>
  <c r="P27" i="1" s="1"/>
  <c r="L20" i="1"/>
  <c r="L15" i="1"/>
  <c r="L14" i="1" l="1"/>
  <c r="E37" i="1"/>
  <c r="L21" i="1"/>
  <c r="P21" i="1" s="1"/>
  <c r="L18" i="1"/>
  <c r="P18" i="1" s="1"/>
  <c r="L17" i="1"/>
  <c r="P17" i="1" s="1"/>
  <c r="P24" i="1"/>
  <c r="P14" i="1"/>
  <c r="E30" i="1"/>
  <c r="B30" i="1"/>
  <c r="F30" i="1"/>
  <c r="S30" i="1"/>
  <c r="D30" i="1"/>
  <c r="G30" i="1"/>
  <c r="L19" i="1"/>
  <c r="P19" i="1" s="1"/>
  <c r="C30" i="1"/>
  <c r="R30" i="1"/>
  <c r="H30" i="1"/>
  <c r="S34" i="1" s="1"/>
  <c r="I30" i="1"/>
  <c r="P15" i="1"/>
  <c r="P20" i="1"/>
  <c r="S33" i="1" l="1"/>
  <c r="S35" i="1" s="1"/>
</calcChain>
</file>

<file path=xl/sharedStrings.xml><?xml version="1.0" encoding="utf-8"?>
<sst xmlns="http://schemas.openxmlformats.org/spreadsheetml/2006/main" count="87" uniqueCount="85">
  <si>
    <t>2025 Rate Design</t>
  </si>
  <si>
    <t>Derivation of 2025 Fixed Charge for Non-Residential Classes</t>
  </si>
  <si>
    <t>Number of Customers</t>
  </si>
  <si>
    <t>GWh*</t>
  </si>
  <si>
    <t>kWs</t>
  </si>
  <si>
    <t>Revenue - with 2024 Rates and 2025 Charge Determinants</t>
  </si>
  <si>
    <t>2024 Revenue</t>
  </si>
  <si>
    <t>2025 Rates Revenue Requirement</t>
  </si>
  <si>
    <t>2025 Misc Revenue</t>
  </si>
  <si>
    <t>2025 Total Revenue</t>
  </si>
  <si>
    <t>Current (2024) Fixed Charge  for Non-Residential Classes ($/month)</t>
  </si>
  <si>
    <t>Fixed Charge Ceiling for Non-Residential Classes from CAM ($/month)</t>
  </si>
  <si>
    <t>Is Current Fixed Charge higher than CAM Ceiling?</t>
  </si>
  <si>
    <t>Current (2024) F/V Split for Non-Residential Classes</t>
  </si>
  <si>
    <t>2025 Revenue from Fixed Charge using Current F/V Split</t>
  </si>
  <si>
    <t>2025 Fixed Charge Using Current F/V Split ($/month)*</t>
  </si>
  <si>
    <t>2025 Base Fixed Charge for Non-Residential Classes ($/month)</t>
  </si>
  <si>
    <t>Base Fixed Charge ($/month)</t>
  </si>
  <si>
    <t>Revenue from Fixed Charge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</si>
  <si>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</si>
  <si>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</si>
  <si>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</si>
  <si>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</si>
  <si>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</si>
  <si>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</si>
  <si>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(Y)</t>
  </si>
  <si>
    <t>(Z)</t>
  </si>
  <si>
    <r>
      <t>(A) = Y*X</t>
    </r>
    <r>
      <rPr>
        <vertAlign val="subscript"/>
        <sz val="10"/>
        <rFont val="Arial"/>
        <family val="2"/>
      </rPr>
      <t>RevReq</t>
    </r>
  </si>
  <si>
    <r>
      <t>(B) = C</t>
    </r>
    <r>
      <rPr>
        <vertAlign val="subscript"/>
        <sz val="10"/>
        <rFont val="Arial"/>
        <family val="2"/>
      </rPr>
      <t>2024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</si>
  <si>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(C) = A+B</t>
  </si>
  <si>
    <t>(D)</t>
  </si>
  <si>
    <t>(E)</t>
  </si>
  <si>
    <t xml:space="preserve"> (F) If D &gt; E then "Yes" else "No"</t>
  </si>
  <si>
    <t>(G)</t>
  </si>
  <si>
    <t>(H) = A x G</t>
  </si>
  <si>
    <t>(I) = H / Number of Customers / 12</t>
  </si>
  <si>
    <t>(J) If F="Yes" then fixed charge = Min(D, I), else fixed charge = I</t>
  </si>
  <si>
    <t>(K): UR, R1, AUR, and AR = 100% Fixed; R2 &amp; Seas-R2 = See table below; Non-Residential Classes = J</t>
  </si>
  <si>
    <t>(L) = K x Number of Customers x 12</t>
  </si>
  <si>
    <t>(M) = A - L</t>
  </si>
  <si>
    <t>(N) = M/kWh</t>
  </si>
  <si>
    <t>(O) = M/kW</t>
  </si>
  <si>
    <t>(P)</t>
  </si>
  <si>
    <t>(Q)</t>
  </si>
  <si>
    <t>(R) = O+P+Q</t>
  </si>
  <si>
    <t>UR</t>
  </si>
  <si>
    <t>R1</t>
  </si>
  <si>
    <t>R2</t>
  </si>
  <si>
    <t>Seasonal-R2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</si>
  <si>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</si>
  <si>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</si>
  <si>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</si>
  <si>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</si>
  <si>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</si>
  <si>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</si>
  <si>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</si>
  <si>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</si>
  <si>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</si>
  <si>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N/A**</t>
  </si>
  <si>
    <t>AUR</t>
  </si>
  <si>
    <t>AUGe</t>
  </si>
  <si>
    <t>AUGd</t>
  </si>
  <si>
    <t>AR</t>
  </si>
  <si>
    <t>AGSe</t>
  </si>
  <si>
    <t>AGSd</t>
  </si>
  <si>
    <t>TOTAL</t>
  </si>
  <si>
    <t>Derivation of 2025 Mitigated Fixed Charge for Seasonal Customers Moving to R2 Class</t>
  </si>
  <si>
    <t>* GWh shown for R2 class includes consumption associaed with former seasonal customers that have moved to the R2 class.</t>
  </si>
  <si>
    <r>
      <t>Current (2024) Fixed Charge for Seasonal-R2 Customers ($/month)</t>
    </r>
    <r>
      <rPr>
        <sz val="10"/>
        <rFont val="Arial"/>
        <family val="2"/>
      </rPr>
      <t xml:space="preserve"> (A1)</t>
    </r>
  </si>
  <si>
    <r>
      <t xml:space="preserve">All-Fixed Distribution Charge for R2 Class ($/month) </t>
    </r>
    <r>
      <rPr>
        <sz val="10"/>
        <rFont val="Arial"/>
        <family val="2"/>
      </rPr>
      <t>(B1 = A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</si>
  <si>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>Phase-in Period (in years)</t>
    </r>
    <r>
      <rPr>
        <sz val="10"/>
        <rFont val="Arial"/>
        <family val="2"/>
      </rPr>
      <t xml:space="preserve"> (C1)</t>
    </r>
  </si>
  <si>
    <r>
      <t xml:space="preserve">Annual Increase in Seasonal-R2  Fixed Charge ($) </t>
    </r>
    <r>
      <rPr>
        <sz val="10"/>
        <rFont val="Arial"/>
        <family val="2"/>
      </rPr>
      <t>(D1 = (B1-A1)/C1)</t>
    </r>
  </si>
  <si>
    <r>
      <t xml:space="preserve">2025 Fixed Charge for Seasonal Customers Moving to R2 Class ($/month) </t>
    </r>
    <r>
      <rPr>
        <sz val="10"/>
        <rFont val="Arial"/>
        <family val="2"/>
      </rPr>
      <t>(E1=A1+D1)</t>
    </r>
  </si>
  <si>
    <t>** ST fixed charge shown here is a proxy rate used for rate design purposes. Final ST rates are provided in Exhibit A-4-1, Attachment 7.</t>
  </si>
  <si>
    <t>Total Revenue from Rates (L+M)</t>
  </si>
  <si>
    <t>2025 Adjustments (from 2024 Revenue Requirement) by Rate Class</t>
  </si>
  <si>
    <t>Miscellaneous Revenue (B)</t>
  </si>
  <si>
    <t>%</t>
  </si>
  <si>
    <t>Total Revenue Reqquirement (L+M+B)</t>
  </si>
  <si>
    <t>(X)</t>
  </si>
  <si>
    <t>Rates Revenue Requirement***</t>
  </si>
  <si>
    <t>Alloc Cost</t>
  </si>
  <si>
    <t>Misc Revenue</t>
  </si>
  <si>
    <t xml:space="preserve">*** 2024: Revenue with 2024 rates and 2025 charge determinants
</t>
  </si>
  <si>
    <t xml:space="preserve">    2025: Per Exhibit A-04-01, 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</si>
</sst>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0_);_(&quot;$&quot;* \(#,##0.0000\);_(&quot;$&quot;* &quot;-&quot;??_);_(@_)"/>
    <numFmt numFmtId="168" formatCode="0.0000"/>
    <numFmt numFmtId="169" formatCode="_(* #,##0.0000000000_);_(* \(#,##0.0000000000\);_(* &quot;-&quot;??_);_(@_)"/>
    <numFmt numFmtId="170" formatCode="0.0000%"/>
    <numFmt numFmtId="171" formatCode="&quot;$&quot;#,##0.00"/>
    <numFmt numFmtId="172" formatCode="&quot;$&quot;#,##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8" fillId="2" borderId="9" xfId="1" applyNumberFormat="1" applyFont="1" applyFill="1" applyBorder="1"/>
    <xf numFmtId="165" fontId="2" fillId="2" borderId="9" xfId="2" applyNumberFormat="1" applyFill="1" applyBorder="1"/>
    <xf numFmtId="44" fontId="0" fillId="2" borderId="10" xfId="2" applyFont="1" applyFill="1" applyBorder="1"/>
    <xf numFmtId="165" fontId="0" fillId="2" borderId="9" xfId="2" applyNumberFormat="1" applyFont="1" applyFill="1" applyBorder="1"/>
    <xf numFmtId="166" fontId="0" fillId="2" borderId="9" xfId="3" applyNumberFormat="1" applyFont="1" applyFill="1" applyBorder="1" applyAlignment="1">
      <alignment horizontal="center"/>
    </xf>
    <xf numFmtId="44" fontId="2" fillId="2" borderId="9" xfId="2" applyFont="1" applyFill="1" applyBorder="1"/>
    <xf numFmtId="165" fontId="2" fillId="2" borderId="9" xfId="2" applyNumberFormat="1" applyFont="1" applyFill="1" applyBorder="1"/>
    <xf numFmtId="9" fontId="2" fillId="2" borderId="11" xfId="2" applyNumberFormat="1" applyFont="1" applyFill="1" applyBorder="1"/>
    <xf numFmtId="44" fontId="2" fillId="2" borderId="12" xfId="2" applyFont="1" applyFill="1" applyBorder="1"/>
    <xf numFmtId="165" fontId="2" fillId="2" borderId="12" xfId="2" applyNumberFormat="1" applyFont="1" applyFill="1" applyBorder="1"/>
    <xf numFmtId="167" fontId="2" fillId="2" borderId="9" xfId="2" applyNumberFormat="1" applyFont="1" applyFill="1" applyBorder="1"/>
    <xf numFmtId="44" fontId="0" fillId="2" borderId="9" xfId="2" applyFont="1" applyFill="1" applyBorder="1"/>
    <xf numFmtId="165" fontId="0" fillId="2" borderId="9" xfId="2" applyNumberFormat="1" applyFont="1" applyFill="1" applyBorder="1" applyAlignment="1">
      <alignment horizontal="center"/>
    </xf>
    <xf numFmtId="9" fontId="0" fillId="2" borderId="9" xfId="3" applyFont="1" applyFill="1" applyBorder="1" applyAlignment="1">
      <alignment horizontal="center"/>
    </xf>
    <xf numFmtId="0" fontId="0" fillId="2" borderId="13" xfId="0" applyFill="1" applyBorder="1"/>
    <xf numFmtId="44" fontId="0" fillId="2" borderId="12" xfId="2" applyFont="1" applyFill="1" applyBorder="1" applyAlignment="1">
      <alignment horizontal="right"/>
    </xf>
    <xf numFmtId="44" fontId="0" fillId="2" borderId="14" xfId="2" applyFont="1" applyFill="1" applyBorder="1"/>
    <xf numFmtId="44" fontId="0" fillId="2" borderId="15" xfId="2" applyFont="1" applyFill="1" applyBorder="1"/>
    <xf numFmtId="165" fontId="0" fillId="2" borderId="15" xfId="2" applyNumberFormat="1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165" fontId="2" fillId="2" borderId="15" xfId="2" applyNumberFormat="1" applyFont="1" applyFill="1" applyBorder="1"/>
    <xf numFmtId="0" fontId="8" fillId="2" borderId="0" xfId="0" applyFont="1" applyFill="1"/>
    <xf numFmtId="164" fontId="2" fillId="2" borderId="0" xfId="1" applyNumberFormat="1" applyFill="1" applyBorder="1"/>
    <xf numFmtId="164" fontId="9" fillId="2" borderId="0" xfId="0" applyNumberFormat="1" applyFont="1" applyFill="1"/>
    <xf numFmtId="165" fontId="9" fillId="2" borderId="0" xfId="2" applyNumberFormat="1" applyFont="1" applyFill="1" applyBorder="1"/>
    <xf numFmtId="44" fontId="0" fillId="2" borderId="0" xfId="0" applyNumberFormat="1" applyFill="1"/>
    <xf numFmtId="43" fontId="0" fillId="2" borderId="0" xfId="0" applyNumberFormat="1" applyFill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7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 wrapText="1"/>
    </xf>
    <xf numFmtId="3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8" fontId="0" fillId="2" borderId="0" xfId="0" applyNumberFormat="1" applyFill="1"/>
    <xf numFmtId="0" fontId="4" fillId="2" borderId="0" xfId="0" quotePrefix="1" applyFont="1" applyFill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9" xfId="0" quotePrefix="1" applyFill="1" applyBorder="1" applyAlignment="1">
      <alignment horizontal="left" wrapText="1"/>
    </xf>
    <xf numFmtId="165" fontId="0" fillId="2" borderId="9" xfId="0" applyNumberFormat="1" applyFill="1" applyBorder="1" applyAlignment="1">
      <alignment horizontal="center"/>
    </xf>
    <xf numFmtId="10" fontId="0" fillId="2" borderId="9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169" fontId="0" fillId="2" borderId="0" xfId="0" applyNumberFormat="1" applyFill="1"/>
    <xf numFmtId="9" fontId="0" fillId="2" borderId="0" xfId="3" applyFont="1" applyFill="1" applyBorder="1"/>
    <xf numFmtId="0" fontId="11" fillId="2" borderId="0" xfId="0" applyFont="1" applyFill="1"/>
    <xf numFmtId="165" fontId="2" fillId="2" borderId="0" xfId="2" applyNumberFormat="1" applyFill="1" applyBorder="1"/>
    <xf numFmtId="170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164" fontId="0" fillId="2" borderId="0" xfId="1" applyNumberFormat="1" applyFont="1" applyFill="1"/>
    <xf numFmtId="0" fontId="6" fillId="0" borderId="5" xfId="0" applyFont="1" applyBorder="1" applyAlignment="1">
      <alignment horizontal="center" vertical="center" wrapText="1"/>
    </xf>
    <xf numFmtId="167" fontId="0" fillId="0" borderId="9" xfId="2" applyNumberFormat="1" applyFont="1" applyFill="1" applyBorder="1"/>
    <xf numFmtId="167" fontId="0" fillId="0" borderId="9" xfId="2" quotePrefix="1" applyNumberFormat="1" applyFont="1" applyFill="1" applyBorder="1" applyAlignment="1">
      <alignment horizontal="right"/>
    </xf>
    <xf numFmtId="172" fontId="2" fillId="2" borderId="9" xfId="2" applyNumberFormat="1" applyFont="1" applyFill="1" applyBorder="1"/>
    <xf numFmtId="172" fontId="2" fillId="2" borderId="11" xfId="2" applyNumberFormat="1" applyFont="1" applyFill="1" applyBorder="1"/>
    <xf numFmtId="44" fontId="2" fillId="2" borderId="11" xfId="2" applyFont="1" applyFill="1" applyBorder="1"/>
    <xf numFmtId="44" fontId="2" fillId="2" borderId="15" xfId="2" applyFont="1" applyFill="1" applyBorder="1"/>
    <xf numFmtId="44" fontId="2" fillId="2" borderId="16" xfId="2" applyFont="1" applyFill="1" applyBorder="1"/>
    <xf numFmtId="167" fontId="0" fillId="2" borderId="9" xfId="2" quotePrefix="1" applyNumberFormat="1" applyFont="1" applyFill="1" applyBorder="1" applyAlignment="1">
      <alignment horizontal="right"/>
    </xf>
    <xf numFmtId="165" fontId="9" fillId="2" borderId="0" xfId="2" applyNumberFormat="1" applyFont="1" applyFill="1"/>
    <xf numFmtId="165" fontId="0" fillId="0" borderId="9" xfId="0" applyNumberFormat="1" applyBorder="1" applyAlignment="1">
      <alignment horizontal="center"/>
    </xf>
    <xf numFmtId="165" fontId="9" fillId="0" borderId="0" xfId="2" applyNumberFormat="1" applyFont="1" applyFill="1"/>
    <xf numFmtId="165" fontId="4" fillId="2" borderId="0" xfId="2" applyNumberFormat="1" applyFont="1" applyFill="1" applyBorder="1"/>
    <xf numFmtId="0" fontId="0" fillId="2" borderId="0" xfId="0" applyFill="1" applyAlignment="1">
      <alignment vertical="center"/>
    </xf>
    <xf numFmtId="0" fontId="0" fillId="2" borderId="9" xfId="0" quotePrefix="1" applyFill="1" applyBorder="1" applyAlignment="1">
      <alignment horizontal="left" vertical="center" wrapText="1"/>
    </xf>
    <xf numFmtId="165" fontId="0" fillId="2" borderId="9" xfId="0" applyNumberForma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2" borderId="9" xfId="3" applyNumberFormat="1" applyFont="1" applyFill="1" applyBorder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68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4" fontId="0" fillId="0" borderId="0" xfId="0" applyNumberFormat="1"/>
    <xf numFmtId="171" fontId="0" fillId="0" borderId="14" xfId="0" applyNumberFormat="1" applyBorder="1" applyAlignment="1">
      <alignment horizontal="center" vertical="center"/>
    </xf>
    <xf numFmtId="171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71" fontId="0" fillId="0" borderId="16" xfId="0" applyNumberFormat="1" applyBorder="1" applyAlignment="1">
      <alignment horizontal="center" vertical="center"/>
    </xf>
    <xf numFmtId="165" fontId="0" fillId="0" borderId="0" xfId="0" applyNumberFormat="1"/>
    <xf numFmtId="0" fontId="4" fillId="0" borderId="0" xfId="0" applyFont="1" applyAlignment="1">
      <alignment horizontal="center" wrapText="1"/>
    </xf>
    <xf numFmtId="165" fontId="4" fillId="0" borderId="0" xfId="2" applyNumberFormat="1" applyFont="1" applyFill="1" applyBorder="1"/>
    <xf numFmtId="3" fontId="0" fillId="0" borderId="0" xfId="0" applyNumberFormat="1"/>
    <xf numFmtId="2" fontId="0" fillId="0" borderId="0" xfId="0" applyNumberFormat="1"/>
    <xf numFmtId="0" fontId="0" fillId="2" borderId="0" xfId="0" quotePrefix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10" fillId="2" borderId="1" xfId="0" applyNumberFormat="1" applyFont="1" applyFill="1" applyBorder="1" applyAlignment="1">
      <alignment horizontal="center"/>
    </xf>
    <xf numFmtId="44" fontId="10" fillId="2" borderId="2" xfId="0" applyNumberFormat="1" applyFont="1" applyFill="1" applyBorder="1" applyAlignment="1">
      <alignment horizontal="center"/>
    </xf>
    <xf numFmtId="44" fontId="10" fillId="2" borderId="3" xfId="0" applyNumberFormat="1" applyFont="1" applyFill="1" applyBorder="1" applyAlignment="1">
      <alignment horizontal="center"/>
    </xf>
    <xf numFmtId="0" fontId="0" fillId="2" borderId="20" xfId="0" quotePrefix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DB40-7B2F-4E9A-BFE1-36E40C955C30}">
  <sheetPr>
    <pageSetUpPr fitToPage="1"/>
  </sheetPr>
  <dimension ref="A1:X50"/>
  <sheetViews>
    <sheetView tabSelected="1" topLeftCell="J1" zoomScale="80" zoomScaleNormal="80" zoomScaleSheetLayoutView="120" workbookViewId="0">
      <selection activeCell="G40" sqref="G40"/>
    </sheetView>
  </sheetViews>
  <sheetFormatPr defaultColWidth="8.7109375" defaultRowHeight="12.75" x14ac:dyDescent="0.2"/>
  <cols>
    <col min="1" max="1" width="12.28515625" style="2" customWidth="1"/>
    <col min="2" max="2" width="19.5703125" style="2" customWidth="1"/>
    <col min="3" max="3" width="18" style="2" bestFit="1" customWidth="1"/>
    <col min="4" max="4" width="18" style="2" customWidth="1"/>
    <col min="5" max="5" width="18.85546875" style="2" customWidth="1"/>
    <col min="6" max="6" width="17.42578125" style="2" bestFit="1" customWidth="1"/>
    <col min="7" max="7" width="17" style="2" customWidth="1"/>
    <col min="8" max="8" width="15.85546875" style="2" bestFit="1" customWidth="1"/>
    <col min="9" max="9" width="17.42578125" style="2" bestFit="1" customWidth="1"/>
    <col min="10" max="10" width="22.42578125" style="2" customWidth="1"/>
    <col min="11" max="11" width="19.5703125" style="2" customWidth="1"/>
    <col min="12" max="12" width="27.85546875" style="2" customWidth="1"/>
    <col min="13" max="13" width="16.140625" style="2" customWidth="1"/>
    <col min="14" max="14" width="17.42578125" style="2" customWidth="1"/>
    <col min="15" max="15" width="21.42578125" style="2" customWidth="1"/>
    <col min="16" max="16" width="20" style="2" customWidth="1"/>
    <col min="17" max="17" width="26.42578125" style="2" customWidth="1"/>
    <col min="18" max="18" width="20.140625" style="2" customWidth="1"/>
    <col min="19" max="19" width="17.5703125" style="2" customWidth="1"/>
    <col min="20" max="20" width="13.5703125" style="2" customWidth="1"/>
    <col min="21" max="21" width="13.140625" style="2" customWidth="1"/>
    <col min="22" max="22" width="10.5703125" style="2" customWidth="1"/>
    <col min="23" max="23" width="10.42578125" style="2" customWidth="1"/>
    <col min="24" max="24" width="13.7109375" style="2" customWidth="1"/>
    <col min="25" max="16384" width="8.7109375" style="2"/>
  </cols>
  <sheetData>
    <row r="1" spans="1:24" s="13" customFormat="1" x14ac:dyDescent="0.2"/>
    <row r="3" spans="1:24" ht="23.25" x14ac:dyDescent="0.35">
      <c r="A3" s="1" t="s">
        <v>0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24" ht="23.25" x14ac:dyDescent="0.35">
      <c r="A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4" ht="24" thickBot="1" x14ac:dyDescent="0.4">
      <c r="A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4" ht="18.75" thickBot="1" x14ac:dyDescent="0.3">
      <c r="G6" s="4"/>
      <c r="J6" s="108" t="s">
        <v>1</v>
      </c>
      <c r="K6" s="109"/>
      <c r="L6" s="109"/>
      <c r="M6" s="109"/>
      <c r="N6" s="109"/>
      <c r="O6" s="109"/>
      <c r="P6" s="110"/>
      <c r="Q6" s="5"/>
      <c r="R6" s="5"/>
    </row>
    <row r="7" spans="1:24" s="6" customFormat="1" ht="88.5" customHeight="1" x14ac:dyDescent="0.2">
      <c r="B7" s="7" t="s">
        <v>2</v>
      </c>
      <c r="C7" s="6" t="s">
        <v>3</v>
      </c>
      <c r="D7" s="6" t="s">
        <v>4</v>
      </c>
      <c r="E7" s="8" t="s">
        <v>5</v>
      </c>
      <c r="F7" s="7" t="s">
        <v>6</v>
      </c>
      <c r="G7" s="9" t="s">
        <v>7</v>
      </c>
      <c r="H7" s="7" t="s">
        <v>8</v>
      </c>
      <c r="I7" s="9" t="s">
        <v>9</v>
      </c>
      <c r="J7" s="10" t="s">
        <v>10</v>
      </c>
      <c r="K7" s="11" t="s">
        <v>11</v>
      </c>
      <c r="L7" s="11" t="s">
        <v>12</v>
      </c>
      <c r="M7" s="75" t="s">
        <v>13</v>
      </c>
      <c r="N7" s="11" t="s">
        <v>14</v>
      </c>
      <c r="O7" s="11" t="s">
        <v>15</v>
      </c>
      <c r="P7" s="12" t="s">
        <v>16</v>
      </c>
      <c r="Q7" s="7" t="s">
        <v>17</v>
      </c>
      <c r="R7" s="7" t="s">
        <v>18</v>
      </c>
      <c r="S7" s="7" t="s">
        <v>19</v>
      </c>
      <c r="T7" s="7" t="s">
        <v>20</v>
      </c>
      <c r="U7" s="7" t="s">
        <v>21</v>
      </c>
      <c r="V7" s="7" t="s">
        <v>22</v>
      </c>
      <c r="W7" s="7" t="s">
        <v>23</v>
      </c>
      <c r="X7" s="7" t="s">
        <v>24</v>
      </c>
    </row>
    <row r="8" spans="1:24" ht="56.25" customHeight="1" x14ac:dyDescent="0.3">
      <c r="E8" s="13" t="s">
        <v>25</v>
      </c>
      <c r="F8" s="13" t="s">
        <v>26</v>
      </c>
      <c r="G8" s="13" t="s">
        <v>27</v>
      </c>
      <c r="H8" s="13" t="s">
        <v>28</v>
      </c>
      <c r="I8" s="13" t="s">
        <v>29</v>
      </c>
      <c r="J8" s="14" t="s">
        <v>30</v>
      </c>
      <c r="K8" s="13" t="s">
        <v>31</v>
      </c>
      <c r="L8" s="15" t="s">
        <v>32</v>
      </c>
      <c r="M8" s="15" t="s">
        <v>33</v>
      </c>
      <c r="N8" s="15" t="s">
        <v>34</v>
      </c>
      <c r="O8" s="15" t="s">
        <v>35</v>
      </c>
      <c r="P8" s="16" t="s">
        <v>36</v>
      </c>
      <c r="Q8" s="15" t="s">
        <v>37</v>
      </c>
      <c r="R8" s="15" t="s">
        <v>38</v>
      </c>
      <c r="S8" s="13" t="s">
        <v>39</v>
      </c>
      <c r="T8" s="13" t="s">
        <v>40</v>
      </c>
      <c r="U8" s="13" t="s">
        <v>41</v>
      </c>
      <c r="V8" s="13" t="s">
        <v>42</v>
      </c>
      <c r="W8" s="13" t="s">
        <v>43</v>
      </c>
      <c r="X8" s="13" t="s">
        <v>44</v>
      </c>
    </row>
    <row r="9" spans="1:24" x14ac:dyDescent="0.2">
      <c r="J9" s="17"/>
      <c r="P9" s="18"/>
    </row>
    <row r="10" spans="1:24" x14ac:dyDescent="0.2">
      <c r="A10" s="19" t="s">
        <v>45</v>
      </c>
      <c r="B10" s="20">
        <v>252080.91639320125</v>
      </c>
      <c r="C10" s="20">
        <v>2039.9197290465886</v>
      </c>
      <c r="D10" s="20">
        <v>0</v>
      </c>
      <c r="E10" s="21">
        <v>120998839.86873659</v>
      </c>
      <c r="F10" s="21">
        <v>123999109.26384503</v>
      </c>
      <c r="G10" s="21">
        <f>E10*$E$37</f>
        <v>125864014.08513243</v>
      </c>
      <c r="H10" s="21">
        <v>4438517.8472755393</v>
      </c>
      <c r="I10" s="21">
        <f>G10+H10</f>
        <v>130302531.93240798</v>
      </c>
      <c r="J10" s="22"/>
      <c r="K10" s="23"/>
      <c r="L10" s="23"/>
      <c r="M10" s="24"/>
      <c r="N10" s="25"/>
      <c r="O10" s="26"/>
      <c r="P10" s="27"/>
      <c r="Q10" s="28">
        <f>G10/B10/12</f>
        <v>41.608337475524138</v>
      </c>
      <c r="R10" s="29">
        <f>Q10*B10*12</f>
        <v>125864014.08513242</v>
      </c>
      <c r="S10" s="26">
        <f>G10-R10</f>
        <v>0</v>
      </c>
      <c r="T10" s="30"/>
      <c r="U10" s="30"/>
      <c r="V10" s="76"/>
      <c r="W10" s="76"/>
      <c r="X10" s="76"/>
    </row>
    <row r="11" spans="1:24" x14ac:dyDescent="0.2">
      <c r="A11" s="19" t="s">
        <v>46</v>
      </c>
      <c r="B11" s="20">
        <v>553487.56093058607</v>
      </c>
      <c r="C11" s="20">
        <v>5095.9086803973414</v>
      </c>
      <c r="D11" s="20">
        <v>0</v>
      </c>
      <c r="E11" s="21">
        <v>453638404.93870836</v>
      </c>
      <c r="F11" s="21">
        <v>461882924.07071811</v>
      </c>
      <c r="G11" s="21">
        <f>E11*$E$37</f>
        <v>471878496.11370635</v>
      </c>
      <c r="H11" s="21">
        <v>12163167.961939218</v>
      </c>
      <c r="I11" s="21">
        <f>G11+H11</f>
        <v>484041664.07564557</v>
      </c>
      <c r="J11" s="22"/>
      <c r="K11" s="23"/>
      <c r="L11" s="23"/>
      <c r="M11" s="24"/>
      <c r="N11" s="25"/>
      <c r="O11" s="26"/>
      <c r="P11" s="27"/>
      <c r="Q11" s="28">
        <f>G11/B11/12</f>
        <v>71.046236239457471</v>
      </c>
      <c r="R11" s="29">
        <f>Q11*B11*12</f>
        <v>471878496.11370635</v>
      </c>
      <c r="S11" s="26">
        <f t="shared" ref="S11:S28" si="0">G11-R11</f>
        <v>0</v>
      </c>
      <c r="T11" s="30"/>
      <c r="U11" s="30"/>
      <c r="V11" s="76"/>
      <c r="W11" s="76"/>
      <c r="X11" s="76"/>
    </row>
    <row r="12" spans="1:24" x14ac:dyDescent="0.2">
      <c r="A12" s="19" t="s">
        <v>47</v>
      </c>
      <c r="B12" s="20">
        <v>341471.40430337458</v>
      </c>
      <c r="C12" s="20">
        <v>4759.7693022591548</v>
      </c>
      <c r="D12" s="20">
        <v>0</v>
      </c>
      <c r="E12" s="21">
        <v>697433386.99015629</v>
      </c>
      <c r="F12" s="21">
        <v>709902633.4344058</v>
      </c>
      <c r="G12" s="21">
        <f>E12*$E$37</f>
        <v>725476093.31460631</v>
      </c>
      <c r="H12" s="21">
        <v>14910580.315915875</v>
      </c>
      <c r="I12" s="21">
        <f>G12+H12</f>
        <v>740386673.63052213</v>
      </c>
      <c r="J12" s="22"/>
      <c r="K12" s="23"/>
      <c r="L12" s="23"/>
      <c r="M12" s="24"/>
      <c r="N12" s="25"/>
      <c r="O12" s="26"/>
      <c r="P12" s="27"/>
      <c r="Q12" s="28">
        <f>L33</f>
        <v>143.96200052104271</v>
      </c>
      <c r="R12" s="29">
        <f>Q12*B12*12</f>
        <v>589906877.81092322</v>
      </c>
      <c r="S12" s="26">
        <f>G12-(R12+R13)</f>
        <v>57744962.840044379</v>
      </c>
      <c r="T12" s="30">
        <f>S12/(C12*10^6)</f>
        <v>1.2131882697053528E-2</v>
      </c>
      <c r="U12" s="30"/>
      <c r="V12" s="76"/>
      <c r="W12" s="76"/>
      <c r="X12" s="76"/>
    </row>
    <row r="13" spans="1:24" x14ac:dyDescent="0.2">
      <c r="A13" s="19" t="s">
        <v>48</v>
      </c>
      <c r="B13" s="20">
        <v>78475.115547283553</v>
      </c>
      <c r="C13" s="20"/>
      <c r="D13" s="20"/>
      <c r="E13" s="21"/>
      <c r="F13" s="21"/>
      <c r="G13" s="21"/>
      <c r="H13" s="21"/>
      <c r="I13" s="21"/>
      <c r="J13" s="22"/>
      <c r="K13" s="23"/>
      <c r="L13" s="23"/>
      <c r="M13" s="24"/>
      <c r="N13" s="78"/>
      <c r="O13" s="78"/>
      <c r="P13" s="79"/>
      <c r="Q13" s="28">
        <f>O33</f>
        <v>82.642176993405513</v>
      </c>
      <c r="R13" s="29">
        <f>Q13*B13*12</f>
        <v>77824252.663638681</v>
      </c>
      <c r="S13" s="26"/>
      <c r="T13" s="30"/>
      <c r="U13" s="30"/>
      <c r="V13" s="76"/>
      <c r="W13" s="76"/>
      <c r="X13" s="76"/>
    </row>
    <row r="14" spans="1:24" x14ac:dyDescent="0.2">
      <c r="A14" s="19" t="s">
        <v>49</v>
      </c>
      <c r="B14" s="20">
        <v>88890.895687122989</v>
      </c>
      <c r="C14" s="20">
        <v>1945.4297505957773</v>
      </c>
      <c r="D14" s="20">
        <v>0</v>
      </c>
      <c r="E14" s="21">
        <v>177248955.98438415</v>
      </c>
      <c r="F14" s="21">
        <v>184148946.46443796</v>
      </c>
      <c r="G14" s="21">
        <f t="shared" ref="G14:G28" si="1">E14*$E$37</f>
        <v>184375859.44456449</v>
      </c>
      <c r="H14" s="21">
        <v>3656008.3723978288</v>
      </c>
      <c r="I14" s="21">
        <f t="shared" ref="I14:I28" si="2">G14+H14</f>
        <v>188031867.81696233</v>
      </c>
      <c r="J14" s="22">
        <v>32.78</v>
      </c>
      <c r="K14" s="31">
        <v>21.373323052666233</v>
      </c>
      <c r="L14" s="32" t="str">
        <f>IF(J14&gt;K14,"Yes","No")</f>
        <v>Yes</v>
      </c>
      <c r="M14" s="33">
        <v>0.19357766581677563</v>
      </c>
      <c r="N14" s="26">
        <f>G14*M14</f>
        <v>35691048.504240699</v>
      </c>
      <c r="O14" s="25">
        <f t="shared" ref="O14:O22" si="3">N14/B14/12</f>
        <v>33.459602572672893</v>
      </c>
      <c r="P14" s="80">
        <f>IF(L14="Yes",MIN(J14,O14),O14)</f>
        <v>32.78</v>
      </c>
      <c r="Q14" s="28">
        <f>P14</f>
        <v>32.78</v>
      </c>
      <c r="R14" s="29">
        <f t="shared" ref="R14:R28" si="4">Q14*B14*12</f>
        <v>34966122.7274867</v>
      </c>
      <c r="S14" s="26">
        <f t="shared" si="0"/>
        <v>149409736.71707779</v>
      </c>
      <c r="T14" s="30">
        <f>S14/(C14*10^6)</f>
        <v>7.6800376200334072E-2</v>
      </c>
      <c r="U14" s="30"/>
      <c r="V14" s="76"/>
      <c r="W14" s="76"/>
      <c r="X14" s="76"/>
    </row>
    <row r="15" spans="1:24" x14ac:dyDescent="0.2">
      <c r="A15" s="19" t="s">
        <v>50</v>
      </c>
      <c r="B15" s="20">
        <v>5439.3095242704903</v>
      </c>
      <c r="C15" s="20">
        <v>2158.2313101996119</v>
      </c>
      <c r="D15" s="20">
        <v>6917465.6982219368</v>
      </c>
      <c r="E15" s="21">
        <v>148182939.92403483</v>
      </c>
      <c r="F15" s="21">
        <v>152526607.91115001</v>
      </c>
      <c r="G15" s="21">
        <f t="shared" si="1"/>
        <v>154141144.31186402</v>
      </c>
      <c r="H15" s="21">
        <v>2147223.7393703861</v>
      </c>
      <c r="I15" s="21">
        <f t="shared" si="2"/>
        <v>156288368.05123439</v>
      </c>
      <c r="J15" s="22">
        <v>105.55</v>
      </c>
      <c r="K15" s="31">
        <v>57.285966620162633</v>
      </c>
      <c r="L15" s="32" t="str">
        <f t="shared" ref="L15:L28" si="5">IF(J15&gt;K15,"Yes","No")</f>
        <v>Yes</v>
      </c>
      <c r="M15" s="33">
        <v>4.5419261203653985E-2</v>
      </c>
      <c r="N15" s="26">
        <f>G15*M15</f>
        <v>7000976.8957306752</v>
      </c>
      <c r="O15" s="25">
        <f t="shared" si="3"/>
        <v>107.25897077701899</v>
      </c>
      <c r="P15" s="80">
        <f t="shared" ref="P15:P28" si="6">IF(L15="Yes",MIN(J15,O15),O15)</f>
        <v>105.55</v>
      </c>
      <c r="Q15" s="28">
        <f t="shared" ref="Q15:Q28" si="7">P15</f>
        <v>105.55</v>
      </c>
      <c r="R15" s="29">
        <f t="shared" si="4"/>
        <v>6889429.4434410036</v>
      </c>
      <c r="S15" s="26">
        <f t="shared" si="0"/>
        <v>147251714.86842301</v>
      </c>
      <c r="T15" s="30"/>
      <c r="U15" s="30">
        <f>S15/D15</f>
        <v>21.286945435273001</v>
      </c>
      <c r="V15" s="76">
        <v>9.7299999999999998E-2</v>
      </c>
      <c r="W15" s="76">
        <v>1.4500000000000001E-2</v>
      </c>
      <c r="X15" s="76">
        <f>U15+V15+W15</f>
        <v>21.398745435273003</v>
      </c>
    </row>
    <row r="16" spans="1:24" x14ac:dyDescent="0.2">
      <c r="A16" s="19" t="s">
        <v>51</v>
      </c>
      <c r="B16" s="20">
        <v>18620.448689442575</v>
      </c>
      <c r="C16" s="20">
        <v>540.0936284769208</v>
      </c>
      <c r="D16" s="20">
        <v>0</v>
      </c>
      <c r="E16" s="21">
        <v>24709483.741033312</v>
      </c>
      <c r="F16" s="21">
        <v>25597548.90236913</v>
      </c>
      <c r="G16" s="21">
        <f t="shared" si="1"/>
        <v>25703013.458572268</v>
      </c>
      <c r="H16" s="21">
        <v>597206.22596868081</v>
      </c>
      <c r="I16" s="21">
        <f t="shared" si="2"/>
        <v>26300219.68454095</v>
      </c>
      <c r="J16" s="22">
        <v>25.51</v>
      </c>
      <c r="K16" s="31">
        <v>12.935437039004173</v>
      </c>
      <c r="L16" s="32" t="str">
        <f t="shared" si="5"/>
        <v>Yes</v>
      </c>
      <c r="M16" s="33">
        <v>0.22679842041517972</v>
      </c>
      <c r="N16" s="26">
        <f>G16*M16</f>
        <v>5829402.8523142962</v>
      </c>
      <c r="O16" s="25">
        <f t="shared" si="3"/>
        <v>26.088714570107058</v>
      </c>
      <c r="P16" s="80">
        <f t="shared" si="6"/>
        <v>25.51</v>
      </c>
      <c r="Q16" s="28">
        <f t="shared" si="7"/>
        <v>25.51</v>
      </c>
      <c r="R16" s="29">
        <f t="shared" si="4"/>
        <v>5700091.752812162</v>
      </c>
      <c r="S16" s="26">
        <f t="shared" si="0"/>
        <v>20002921.705760106</v>
      </c>
      <c r="T16" s="30">
        <f>S16/(C16*10^6)</f>
        <v>3.7036026072310657E-2</v>
      </c>
      <c r="U16" s="30"/>
      <c r="V16" s="76"/>
      <c r="W16" s="76"/>
      <c r="X16" s="76"/>
    </row>
    <row r="17" spans="1:24" x14ac:dyDescent="0.2">
      <c r="A17" s="19" t="s">
        <v>52</v>
      </c>
      <c r="B17" s="20">
        <v>1763.8460991639438</v>
      </c>
      <c r="C17" s="20">
        <v>875.56733570024085</v>
      </c>
      <c r="D17" s="20">
        <v>2273001.8229797608</v>
      </c>
      <c r="E17" s="21">
        <v>28862628.77999521</v>
      </c>
      <c r="F17" s="21">
        <v>29754213.742821924</v>
      </c>
      <c r="G17" s="21">
        <f t="shared" si="1"/>
        <v>30023149.967720408</v>
      </c>
      <c r="H17" s="21">
        <v>444230.03925817157</v>
      </c>
      <c r="I17" s="21">
        <f t="shared" si="2"/>
        <v>30467380.006978579</v>
      </c>
      <c r="J17" s="22">
        <v>96.47</v>
      </c>
      <c r="K17" s="31">
        <v>52.52751756359563</v>
      </c>
      <c r="L17" s="32" t="str">
        <f t="shared" si="5"/>
        <v>Yes</v>
      </c>
      <c r="M17" s="33">
        <v>6.924273844694262E-2</v>
      </c>
      <c r="N17" s="26">
        <f>G17*M17</f>
        <v>2078885.1205681979</v>
      </c>
      <c r="O17" s="25">
        <f t="shared" si="3"/>
        <v>98.217427697423147</v>
      </c>
      <c r="P17" s="80">
        <f t="shared" si="6"/>
        <v>96.47</v>
      </c>
      <c r="Q17" s="28">
        <f t="shared" si="7"/>
        <v>96.47</v>
      </c>
      <c r="R17" s="29">
        <f t="shared" si="4"/>
        <v>2041898.798236148</v>
      </c>
      <c r="S17" s="26">
        <f t="shared" si="0"/>
        <v>27981251.169484261</v>
      </c>
      <c r="T17" s="30"/>
      <c r="U17" s="30">
        <f>S17/D17</f>
        <v>12.310263408765163</v>
      </c>
      <c r="V17" s="76">
        <v>0.1313</v>
      </c>
      <c r="W17" s="76"/>
      <c r="X17" s="76">
        <f>U17+V17+W17</f>
        <v>12.441563408765163</v>
      </c>
    </row>
    <row r="18" spans="1:24" x14ac:dyDescent="0.2">
      <c r="A18" s="19" t="s">
        <v>53</v>
      </c>
      <c r="B18" s="20">
        <v>5576.8593578321688</v>
      </c>
      <c r="C18" s="20">
        <v>81.714897085567927</v>
      </c>
      <c r="D18" s="20">
        <v>0</v>
      </c>
      <c r="E18" s="21">
        <v>9912288.4418699965</v>
      </c>
      <c r="F18" s="21">
        <v>10352891.756593354</v>
      </c>
      <c r="G18" s="21">
        <f t="shared" si="1"/>
        <v>10310846.066101603</v>
      </c>
      <c r="H18" s="21">
        <v>250515.04207010032</v>
      </c>
      <c r="I18" s="21">
        <f t="shared" si="2"/>
        <v>10561361.108171703</v>
      </c>
      <c r="J18" s="22">
        <v>3.27</v>
      </c>
      <c r="K18" s="31">
        <v>15.793859136426541</v>
      </c>
      <c r="L18" s="32" t="str">
        <f t="shared" si="5"/>
        <v>No</v>
      </c>
      <c r="M18" s="33">
        <v>2.1474386423055058E-2</v>
      </c>
      <c r="N18" s="26">
        <f>G18*M18</f>
        <v>221419.09277210291</v>
      </c>
      <c r="O18" s="25">
        <f t="shared" si="3"/>
        <v>3.3085989587362294</v>
      </c>
      <c r="P18" s="80">
        <f t="shared" si="6"/>
        <v>3.3085989587362294</v>
      </c>
      <c r="Q18" s="28">
        <f t="shared" si="7"/>
        <v>3.3085989587362294</v>
      </c>
      <c r="R18" s="29">
        <f t="shared" si="4"/>
        <v>221419.09277210294</v>
      </c>
      <c r="S18" s="26">
        <f t="shared" si="0"/>
        <v>10089426.973329499</v>
      </c>
      <c r="T18" s="30">
        <f>S18/(C18*10^6)</f>
        <v>0.12347108462688676</v>
      </c>
      <c r="U18" s="30"/>
      <c r="V18" s="76"/>
      <c r="W18" s="76"/>
      <c r="X18" s="76"/>
    </row>
    <row r="19" spans="1:24" x14ac:dyDescent="0.2">
      <c r="A19" s="19" t="s">
        <v>54</v>
      </c>
      <c r="B19" s="20">
        <v>18764.629459873064</v>
      </c>
      <c r="C19" s="20">
        <v>10.747417014598803</v>
      </c>
      <c r="D19" s="20">
        <v>0</v>
      </c>
      <c r="E19" s="21">
        <v>2692974.4696337413</v>
      </c>
      <c r="F19" s="21">
        <v>5538225.3584710546</v>
      </c>
      <c r="G19" s="21">
        <f t="shared" si="1"/>
        <v>2801254.7636372834</v>
      </c>
      <c r="H19" s="21">
        <v>2767679.7017902858</v>
      </c>
      <c r="I19" s="21">
        <f t="shared" si="2"/>
        <v>5568934.4654275691</v>
      </c>
      <c r="J19" s="22">
        <v>3.29</v>
      </c>
      <c r="K19" s="31">
        <v>17.969178628608486</v>
      </c>
      <c r="L19" s="32" t="str">
        <f t="shared" si="5"/>
        <v>No</v>
      </c>
      <c r="M19" s="33">
        <v>0.2707889862093884</v>
      </c>
      <c r="N19" s="26">
        <f t="shared" ref="N19:N22" si="8">G19*M19</f>
        <v>758548.93755955994</v>
      </c>
      <c r="O19" s="25">
        <f t="shared" si="3"/>
        <v>3.3687002239224753</v>
      </c>
      <c r="P19" s="80">
        <f t="shared" si="6"/>
        <v>3.3687002239224753</v>
      </c>
      <c r="Q19" s="28">
        <f t="shared" si="7"/>
        <v>3.3687002239224753</v>
      </c>
      <c r="R19" s="29">
        <f t="shared" si="4"/>
        <v>758548.93755955994</v>
      </c>
      <c r="S19" s="26">
        <f t="shared" si="0"/>
        <v>2042705.8260777234</v>
      </c>
      <c r="T19" s="30">
        <f>S19/(C19*10^6)</f>
        <v>0.19006481495069977</v>
      </c>
      <c r="U19" s="30"/>
      <c r="V19" s="76"/>
      <c r="W19" s="76"/>
      <c r="X19" s="76"/>
    </row>
    <row r="20" spans="1:24" x14ac:dyDescent="0.2">
      <c r="A20" s="19" t="s">
        <v>55</v>
      </c>
      <c r="B20" s="20">
        <v>5832.3640256449553</v>
      </c>
      <c r="C20" s="20">
        <v>32.791254391672048</v>
      </c>
      <c r="D20" s="20">
        <v>0</v>
      </c>
      <c r="E20" s="21">
        <v>3637123.1699975827</v>
      </c>
      <c r="F20" s="21">
        <v>3713798.296493643</v>
      </c>
      <c r="G20" s="21">
        <f t="shared" si="1"/>
        <v>3783366.2074326896</v>
      </c>
      <c r="H20" s="21">
        <v>87997.405559022271</v>
      </c>
      <c r="I20" s="21">
        <f t="shared" si="2"/>
        <v>3871363.6129917121</v>
      </c>
      <c r="J20" s="22">
        <v>38.29</v>
      </c>
      <c r="K20" s="31">
        <v>37.096887348874809</v>
      </c>
      <c r="L20" s="32" t="str">
        <f t="shared" si="5"/>
        <v>Yes</v>
      </c>
      <c r="M20" s="33">
        <v>0.73400554586196654</v>
      </c>
      <c r="N20" s="26">
        <f t="shared" si="8"/>
        <v>2777011.7782823495</v>
      </c>
      <c r="O20" s="25">
        <f t="shared" si="3"/>
        <v>39.678190039690662</v>
      </c>
      <c r="P20" s="80">
        <f t="shared" si="6"/>
        <v>38.29</v>
      </c>
      <c r="Q20" s="28">
        <f t="shared" si="7"/>
        <v>38.29</v>
      </c>
      <c r="R20" s="29">
        <f t="shared" si="4"/>
        <v>2679854.622503344</v>
      </c>
      <c r="S20" s="26">
        <f t="shared" si="0"/>
        <v>1103511.5849293456</v>
      </c>
      <c r="T20" s="30">
        <f>S20/(C20*10^6)</f>
        <v>3.3652618827829987E-2</v>
      </c>
      <c r="U20" s="30"/>
      <c r="V20" s="76"/>
      <c r="W20" s="76"/>
      <c r="X20" s="76"/>
    </row>
    <row r="21" spans="1:24" x14ac:dyDescent="0.2">
      <c r="A21" s="19" t="s">
        <v>56</v>
      </c>
      <c r="B21" s="20">
        <v>1661.8045209355732</v>
      </c>
      <c r="C21" s="20">
        <v>31.689236675856318</v>
      </c>
      <c r="D21" s="20">
        <v>220170.08549386336</v>
      </c>
      <c r="E21" s="21">
        <v>6703643.988835061</v>
      </c>
      <c r="F21" s="21">
        <v>6543407.5845585726</v>
      </c>
      <c r="G21" s="21">
        <f t="shared" si="1"/>
        <v>6973187.0350804497</v>
      </c>
      <c r="H21" s="21">
        <v>78396.52536181976</v>
      </c>
      <c r="I21" s="21">
        <f t="shared" si="2"/>
        <v>7051583.5604422698</v>
      </c>
      <c r="J21" s="22">
        <v>199.26</v>
      </c>
      <c r="K21" s="31">
        <v>147.79511081366698</v>
      </c>
      <c r="L21" s="32" t="str">
        <f t="shared" si="5"/>
        <v>Yes</v>
      </c>
      <c r="M21" s="33">
        <v>0.58273083119107905</v>
      </c>
      <c r="N21" s="26">
        <f t="shared" si="8"/>
        <v>4063491.0770032867</v>
      </c>
      <c r="O21" s="25">
        <f t="shared" si="3"/>
        <v>203.76900661354546</v>
      </c>
      <c r="P21" s="80">
        <f t="shared" si="6"/>
        <v>199.26</v>
      </c>
      <c r="Q21" s="28">
        <f t="shared" si="7"/>
        <v>199.26</v>
      </c>
      <c r="R21" s="29">
        <f t="shared" si="4"/>
        <v>3973574.0260994677</v>
      </c>
      <c r="S21" s="26">
        <f t="shared" si="0"/>
        <v>2999613.008980982</v>
      </c>
      <c r="T21" s="30"/>
      <c r="U21" s="30">
        <f>S21/D21</f>
        <v>13.624071600156544</v>
      </c>
      <c r="V21" s="76">
        <v>0.48970000000000002</v>
      </c>
      <c r="W21" s="76"/>
      <c r="X21" s="76">
        <f>U21+V21+W21</f>
        <v>14.113771600156543</v>
      </c>
    </row>
    <row r="22" spans="1:24" x14ac:dyDescent="0.2">
      <c r="A22" s="34" t="s">
        <v>57</v>
      </c>
      <c r="B22" s="20">
        <v>924</v>
      </c>
      <c r="C22" s="20">
        <v>15055.789448282019</v>
      </c>
      <c r="D22" s="20">
        <v>30776395.138458069</v>
      </c>
      <c r="E22" s="21">
        <v>67573277.792630196</v>
      </c>
      <c r="F22" s="21">
        <v>69172702.912597224</v>
      </c>
      <c r="G22" s="21">
        <f t="shared" si="1"/>
        <v>70290293.668077454</v>
      </c>
      <c r="H22" s="21">
        <v>1272789.2151716428</v>
      </c>
      <c r="I22" s="21">
        <f t="shared" si="2"/>
        <v>71563082.883249104</v>
      </c>
      <c r="J22" s="22">
        <v>1103.28</v>
      </c>
      <c r="K22" s="31">
        <v>55.56514968468781</v>
      </c>
      <c r="L22" s="32" t="str">
        <f t="shared" si="5"/>
        <v>Yes</v>
      </c>
      <c r="M22" s="33">
        <v>0.17878462860845193</v>
      </c>
      <c r="N22" s="26">
        <f t="shared" si="8"/>
        <v>12566824.048226248</v>
      </c>
      <c r="O22" s="25">
        <f t="shared" si="3"/>
        <v>1133.3715772209819</v>
      </c>
      <c r="P22" s="80">
        <f t="shared" si="6"/>
        <v>1103.28</v>
      </c>
      <c r="Q22" s="35" t="s">
        <v>58</v>
      </c>
      <c r="R22" s="29">
        <f>P22*B22*12</f>
        <v>12233168.640000001</v>
      </c>
      <c r="S22" s="26">
        <f t="shared" si="0"/>
        <v>58057125.028077453</v>
      </c>
      <c r="T22" s="30"/>
      <c r="U22" s="83" t="s">
        <v>58</v>
      </c>
      <c r="V22" s="77"/>
      <c r="W22" s="77"/>
      <c r="X22" s="77" t="s">
        <v>58</v>
      </c>
    </row>
    <row r="23" spans="1:24" x14ac:dyDescent="0.2">
      <c r="A23" s="19" t="s">
        <v>59</v>
      </c>
      <c r="B23" s="20">
        <v>15622.018517975714</v>
      </c>
      <c r="C23" s="20">
        <v>119.38006445312612</v>
      </c>
      <c r="D23" s="20">
        <v>0</v>
      </c>
      <c r="E23" s="21">
        <v>6191943.259784854</v>
      </c>
      <c r="F23" s="21">
        <v>6426658.1900081038</v>
      </c>
      <c r="G23" s="21">
        <f t="shared" si="1"/>
        <v>6440911.619560631</v>
      </c>
      <c r="H23" s="21">
        <v>264755.20614928781</v>
      </c>
      <c r="I23" s="21">
        <f t="shared" si="2"/>
        <v>6705666.8257099185</v>
      </c>
      <c r="J23" s="22"/>
      <c r="K23" s="31"/>
      <c r="L23" s="32"/>
      <c r="M23" s="33"/>
      <c r="N23" s="26"/>
      <c r="O23" s="25"/>
      <c r="P23" s="80"/>
      <c r="Q23" s="28">
        <f>G23/B23/12</f>
        <v>34.358084670414058</v>
      </c>
      <c r="R23" s="29">
        <f t="shared" si="4"/>
        <v>6440911.619560631</v>
      </c>
      <c r="S23" s="26">
        <f t="shared" si="0"/>
        <v>0</v>
      </c>
      <c r="T23" s="30"/>
      <c r="U23" s="83"/>
      <c r="V23" s="77"/>
      <c r="W23" s="77"/>
      <c r="X23" s="77"/>
    </row>
    <row r="24" spans="1:24" x14ac:dyDescent="0.2">
      <c r="A24" s="19" t="s">
        <v>60</v>
      </c>
      <c r="B24" s="20">
        <v>1404.0879124833584</v>
      </c>
      <c r="C24" s="20">
        <v>41.791986793840209</v>
      </c>
      <c r="D24" s="20">
        <v>0</v>
      </c>
      <c r="E24" s="21">
        <v>1134706.5420999047</v>
      </c>
      <c r="F24" s="21">
        <v>1157680.4569554459</v>
      </c>
      <c r="G24" s="21">
        <f t="shared" si="1"/>
        <v>1180331.318484447</v>
      </c>
      <c r="H24" s="21">
        <v>33572.814053347298</v>
      </c>
      <c r="I24" s="21">
        <f t="shared" si="2"/>
        <v>1213904.1325377943</v>
      </c>
      <c r="J24" s="22">
        <v>26.36</v>
      </c>
      <c r="K24" s="31">
        <v>6.7691595737891488</v>
      </c>
      <c r="L24" s="32" t="str">
        <f t="shared" si="5"/>
        <v>Yes</v>
      </c>
      <c r="M24" s="33">
        <v>0.39160038655804769</v>
      </c>
      <c r="N24" s="26">
        <f>G24*M24</f>
        <v>462218.20058507955</v>
      </c>
      <c r="O24" s="25">
        <f>N24/B24/12</f>
        <v>27.432885818356112</v>
      </c>
      <c r="P24" s="80">
        <f t="shared" si="6"/>
        <v>26.36</v>
      </c>
      <c r="Q24" s="28">
        <f t="shared" si="7"/>
        <v>26.36</v>
      </c>
      <c r="R24" s="29">
        <f t="shared" si="4"/>
        <v>444141.08847673598</v>
      </c>
      <c r="S24" s="26">
        <f t="shared" si="0"/>
        <v>736190.23000771098</v>
      </c>
      <c r="T24" s="30">
        <f>S24/(C24*10^6)</f>
        <v>1.7615583428453308E-2</v>
      </c>
      <c r="U24" s="83"/>
      <c r="V24" s="77"/>
      <c r="W24" s="77"/>
      <c r="X24" s="77"/>
    </row>
    <row r="25" spans="1:24" x14ac:dyDescent="0.2">
      <c r="A25" s="19" t="s">
        <v>61</v>
      </c>
      <c r="B25" s="20">
        <v>207.49999999999997</v>
      </c>
      <c r="C25" s="20">
        <v>118.72823170288747</v>
      </c>
      <c r="D25" s="20">
        <v>334687.21966237616</v>
      </c>
      <c r="E25" s="21">
        <v>1272764.5743371858</v>
      </c>
      <c r="F25" s="21">
        <v>1312926.213482647</v>
      </c>
      <c r="G25" s="21">
        <f t="shared" si="1"/>
        <v>1323940.4483978364</v>
      </c>
      <c r="H25" s="21">
        <v>41781.247335058921</v>
      </c>
      <c r="I25" s="21">
        <f t="shared" si="2"/>
        <v>1365721.6957328953</v>
      </c>
      <c r="J25" s="22">
        <v>146.47</v>
      </c>
      <c r="K25" s="31">
        <v>33.010826065526146</v>
      </c>
      <c r="L25" s="32" t="str">
        <f t="shared" si="5"/>
        <v>Yes</v>
      </c>
      <c r="M25" s="33">
        <v>0.28673377148020041</v>
      </c>
      <c r="N25" s="26">
        <f>G25*M25</f>
        <v>379618.43798429926</v>
      </c>
      <c r="O25" s="25">
        <f>N25/B25/12</f>
        <v>152.45720400975875</v>
      </c>
      <c r="P25" s="80">
        <f t="shared" si="6"/>
        <v>146.47</v>
      </c>
      <c r="Q25" s="28">
        <f t="shared" si="7"/>
        <v>146.47</v>
      </c>
      <c r="R25" s="29">
        <f t="shared" si="4"/>
        <v>364710.29999999993</v>
      </c>
      <c r="S25" s="26">
        <f t="shared" si="0"/>
        <v>959230.14839783648</v>
      </c>
      <c r="T25" s="30"/>
      <c r="U25" s="30">
        <f>S25/D25</f>
        <v>2.8660495293650086</v>
      </c>
      <c r="V25" s="76">
        <v>0.31569999999999998</v>
      </c>
      <c r="W25" s="77"/>
      <c r="X25" s="76">
        <f>U25+V25+W25</f>
        <v>3.1817495293650087</v>
      </c>
    </row>
    <row r="26" spans="1:24" x14ac:dyDescent="0.2">
      <c r="A26" s="19" t="s">
        <v>62</v>
      </c>
      <c r="B26" s="20">
        <v>39400.808807283087</v>
      </c>
      <c r="C26" s="20">
        <v>332.11440737914728</v>
      </c>
      <c r="D26" s="20">
        <v>0</v>
      </c>
      <c r="E26" s="21">
        <v>18959669.198064622</v>
      </c>
      <c r="F26" s="21">
        <v>19587929.102077875</v>
      </c>
      <c r="G26" s="21">
        <f t="shared" si="1"/>
        <v>19722007.860434324</v>
      </c>
      <c r="H26" s="21">
        <v>726901.86547245784</v>
      </c>
      <c r="I26" s="21">
        <f t="shared" si="2"/>
        <v>20448909.725906782</v>
      </c>
      <c r="J26" s="22"/>
      <c r="K26" s="31"/>
      <c r="L26" s="32"/>
      <c r="M26" s="33"/>
      <c r="N26" s="26"/>
      <c r="O26" s="25"/>
      <c r="P26" s="80"/>
      <c r="Q26" s="28">
        <f>G26/B26/12</f>
        <v>41.712358319212953</v>
      </c>
      <c r="R26" s="29">
        <f t="shared" si="4"/>
        <v>19722007.860434324</v>
      </c>
      <c r="S26" s="26">
        <f t="shared" si="0"/>
        <v>0</v>
      </c>
      <c r="T26" s="30"/>
      <c r="U26" s="83"/>
      <c r="V26" s="77"/>
      <c r="W26" s="77"/>
      <c r="X26" s="77"/>
    </row>
    <row r="27" spans="1:24" x14ac:dyDescent="0.2">
      <c r="A27" s="19" t="s">
        <v>63</v>
      </c>
      <c r="B27" s="20">
        <v>4203.1308217093256</v>
      </c>
      <c r="C27" s="20">
        <v>115.34838184117925</v>
      </c>
      <c r="D27" s="20">
        <v>0</v>
      </c>
      <c r="E27" s="21">
        <v>4337192.2406140734</v>
      </c>
      <c r="F27" s="21">
        <v>4475475.2482902016</v>
      </c>
      <c r="G27" s="21">
        <f t="shared" si="1"/>
        <v>4511583.9610923762</v>
      </c>
      <c r="H27" s="21">
        <v>115408.20254342038</v>
      </c>
      <c r="I27" s="21">
        <f t="shared" si="2"/>
        <v>4626992.1636357969</v>
      </c>
      <c r="J27" s="22">
        <v>39.96</v>
      </c>
      <c r="K27" s="31">
        <v>4.7333801131814566</v>
      </c>
      <c r="L27" s="32" t="str">
        <f t="shared" si="5"/>
        <v>Yes</v>
      </c>
      <c r="M27" s="33">
        <v>0.46328400224697064</v>
      </c>
      <c r="N27" s="26">
        <f>G27*M27</f>
        <v>2090144.673968117</v>
      </c>
      <c r="O27" s="25">
        <f>N27/B27/12</f>
        <v>41.44023353521068</v>
      </c>
      <c r="P27" s="80">
        <f t="shared" si="6"/>
        <v>39.96</v>
      </c>
      <c r="Q27" s="28">
        <f t="shared" si="7"/>
        <v>39.96</v>
      </c>
      <c r="R27" s="29">
        <f t="shared" si="4"/>
        <v>2015485.2916260557</v>
      </c>
      <c r="S27" s="26">
        <f t="shared" si="0"/>
        <v>2496098.6694663204</v>
      </c>
      <c r="T27" s="30">
        <f>S27/(C27*10^6)</f>
        <v>2.16396505059182E-2</v>
      </c>
      <c r="U27" s="83"/>
      <c r="V27" s="77"/>
      <c r="W27" s="77"/>
      <c r="X27" s="77"/>
    </row>
    <row r="28" spans="1:24" ht="13.5" thickBot="1" x14ac:dyDescent="0.25">
      <c r="A28" s="19" t="s">
        <v>64</v>
      </c>
      <c r="B28" s="20">
        <v>308.37650435822525</v>
      </c>
      <c r="C28" s="20">
        <v>227.39798428312272</v>
      </c>
      <c r="D28" s="20">
        <v>635376.42349454912</v>
      </c>
      <c r="E28" s="21">
        <v>3587085.9244325068</v>
      </c>
      <c r="F28" s="21">
        <v>3697487.4231593655</v>
      </c>
      <c r="G28" s="21">
        <f t="shared" si="1"/>
        <v>3731317.0424372554</v>
      </c>
      <c r="H28" s="21">
        <v>91693.833266346919</v>
      </c>
      <c r="I28" s="21">
        <f t="shared" si="2"/>
        <v>3823010.8757036021</v>
      </c>
      <c r="J28" s="36">
        <v>170.26</v>
      </c>
      <c r="K28" s="37">
        <v>52.854179478083211</v>
      </c>
      <c r="L28" s="38" t="str">
        <f t="shared" si="5"/>
        <v>Yes</v>
      </c>
      <c r="M28" s="39">
        <v>0.17322160070107681</v>
      </c>
      <c r="N28" s="40">
        <f>G28*M28</f>
        <v>646344.71081418917</v>
      </c>
      <c r="O28" s="81">
        <f>N28/B28/12</f>
        <v>174.66330434807367</v>
      </c>
      <c r="P28" s="82">
        <f t="shared" si="6"/>
        <v>170.26</v>
      </c>
      <c r="Q28" s="28">
        <f t="shared" si="7"/>
        <v>170.26</v>
      </c>
      <c r="R28" s="29">
        <f t="shared" si="4"/>
        <v>630050.20358437707</v>
      </c>
      <c r="S28" s="26">
        <f t="shared" si="0"/>
        <v>3101266.8388528782</v>
      </c>
      <c r="T28" s="30"/>
      <c r="U28" s="30">
        <f>S28/D28</f>
        <v>4.8809913685434125</v>
      </c>
      <c r="V28" s="76">
        <v>0.254</v>
      </c>
      <c r="W28" s="77"/>
      <c r="X28" s="76">
        <f>U28+V28+W28</f>
        <v>5.1349913685434121</v>
      </c>
    </row>
    <row r="29" spans="1:24" x14ac:dyDescent="0.2">
      <c r="B29" s="41"/>
      <c r="C29" s="41"/>
      <c r="D29" s="42"/>
      <c r="E29" s="41"/>
      <c r="F29" s="41"/>
      <c r="G29" s="42"/>
      <c r="H29" s="41"/>
      <c r="I29" s="41"/>
      <c r="J29" s="42"/>
      <c r="K29" s="42"/>
      <c r="L29" s="42"/>
      <c r="O29" s="42"/>
      <c r="P29" s="42"/>
      <c r="Q29" s="42"/>
      <c r="R29" s="42"/>
      <c r="S29" s="42"/>
      <c r="W29"/>
      <c r="X29"/>
    </row>
    <row r="30" spans="1:24" ht="13.5" thickBot="1" x14ac:dyDescent="0.25">
      <c r="A30" s="4" t="s">
        <v>65</v>
      </c>
      <c r="B30" s="43">
        <f t="shared" ref="B30:I30" si="9">SUM(B10:B28)</f>
        <v>1434135.077102541</v>
      </c>
      <c r="C30" s="43">
        <f t="shared" si="9"/>
        <v>33582.413046578644</v>
      </c>
      <c r="D30" s="43">
        <f t="shared" si="9"/>
        <v>41157096.388310552</v>
      </c>
      <c r="E30" s="84">
        <f t="shared" si="9"/>
        <v>1777077309.8293488</v>
      </c>
      <c r="F30" s="86">
        <f t="shared" si="9"/>
        <v>1819791166.3324356</v>
      </c>
      <c r="G30" s="84">
        <f t="shared" si="9"/>
        <v>1848530810.6869032</v>
      </c>
      <c r="H30" s="84">
        <f t="shared" si="9"/>
        <v>44088425.560898505</v>
      </c>
      <c r="I30" s="84">
        <f t="shared" si="9"/>
        <v>1892619236.2478008</v>
      </c>
      <c r="J30" s="44"/>
      <c r="K30" s="44"/>
      <c r="L30" s="44"/>
      <c r="M30" s="4"/>
      <c r="N30" s="45"/>
      <c r="O30" s="44"/>
      <c r="P30" s="44"/>
      <c r="Q30" s="44"/>
      <c r="R30" s="44">
        <f>SUM(R10:R28)</f>
        <v>1364555055.0779927</v>
      </c>
      <c r="S30" s="44">
        <f>SUM(S10:S28)</f>
        <v>483975755.60890931</v>
      </c>
      <c r="T30" s="46"/>
    </row>
    <row r="31" spans="1:24" ht="15.75" thickBot="1" x14ac:dyDescent="0.3">
      <c r="B31" s="43"/>
      <c r="C31" s="43"/>
      <c r="D31" s="43"/>
      <c r="E31" s="44"/>
      <c r="F31" s="44"/>
      <c r="G31" s="44"/>
      <c r="H31" s="44"/>
      <c r="I31" s="44"/>
      <c r="J31" s="44"/>
      <c r="K31" s="111" t="s">
        <v>66</v>
      </c>
      <c r="L31" s="112"/>
      <c r="M31" s="112"/>
      <c r="N31" s="112"/>
      <c r="O31" s="113"/>
      <c r="P31" s="44"/>
      <c r="Q31" s="44"/>
      <c r="R31" s="44"/>
      <c r="S31" s="44"/>
      <c r="T31" s="46"/>
    </row>
    <row r="32" spans="1:24" ht="63.75" x14ac:dyDescent="0.2">
      <c r="A32" s="2" t="s">
        <v>67</v>
      </c>
      <c r="J32" s="42"/>
      <c r="K32" s="47" t="s">
        <v>68</v>
      </c>
      <c r="L32" s="48" t="s">
        <v>69</v>
      </c>
      <c r="M32" s="48" t="s">
        <v>70</v>
      </c>
      <c r="N32" s="48" t="s">
        <v>71</v>
      </c>
      <c r="O32" s="49" t="s">
        <v>72</v>
      </c>
      <c r="Q32" s="50"/>
      <c r="T32" s="51"/>
    </row>
    <row r="33" spans="1:22" customFormat="1" ht="26.25" thickBot="1" x14ac:dyDescent="0.25">
      <c r="A33" t="s">
        <v>73</v>
      </c>
      <c r="H33" s="2"/>
      <c r="I33" s="2"/>
      <c r="J33" s="97"/>
      <c r="K33" s="98">
        <v>73.882202203743049</v>
      </c>
      <c r="L33" s="99">
        <f>G12/(B12+B13)/12</f>
        <v>143.96200052104271</v>
      </c>
      <c r="M33" s="100">
        <v>8</v>
      </c>
      <c r="N33" s="99">
        <f>(L33-K33)/M33</f>
        <v>8.7599747896624578</v>
      </c>
      <c r="O33" s="101">
        <f>K33+N33</f>
        <v>82.642176993405513</v>
      </c>
      <c r="Q33" s="102"/>
      <c r="R33" s="103" t="s">
        <v>74</v>
      </c>
      <c r="S33" s="104">
        <f>R30+S30</f>
        <v>1848530810.686902</v>
      </c>
      <c r="U33" s="105"/>
      <c r="V33" s="106"/>
    </row>
    <row r="34" spans="1:22" ht="28.5" customHeight="1" x14ac:dyDescent="0.2">
      <c r="B34" s="55" t="s">
        <v>75</v>
      </c>
      <c r="H34" s="56"/>
      <c r="I34" s="56"/>
      <c r="K34" s="45"/>
      <c r="L34" s="46"/>
      <c r="M34" s="46"/>
      <c r="N34" s="45"/>
      <c r="Q34" s="51"/>
      <c r="R34" s="57" t="s">
        <v>76</v>
      </c>
      <c r="S34" s="87">
        <f>H30</f>
        <v>44088425.560898505</v>
      </c>
    </row>
    <row r="35" spans="1:22" ht="38.25" x14ac:dyDescent="0.2">
      <c r="B35" s="34"/>
      <c r="C35" s="58">
        <v>2024</v>
      </c>
      <c r="D35" s="58">
        <v>2025</v>
      </c>
      <c r="E35" s="58" t="s">
        <v>77</v>
      </c>
      <c r="I35" s="56"/>
      <c r="J35" s="46"/>
      <c r="K35" s="45"/>
      <c r="Q35" s="51"/>
      <c r="R35" s="53" t="s">
        <v>78</v>
      </c>
      <c r="S35" s="87">
        <f>SUM(S33:S34)</f>
        <v>1892619236.2478006</v>
      </c>
    </row>
    <row r="36" spans="1:22" x14ac:dyDescent="0.2">
      <c r="B36" s="59"/>
      <c r="C36" s="60"/>
      <c r="D36" s="60"/>
      <c r="E36" s="60" t="s">
        <v>79</v>
      </c>
      <c r="M36" s="52"/>
      <c r="O36" s="54"/>
      <c r="Q36" s="51"/>
    </row>
    <row r="37" spans="1:22" s="88" customFormat="1" ht="25.5" x14ac:dyDescent="0.2">
      <c r="B37" s="89" t="s">
        <v>80</v>
      </c>
      <c r="C37" s="90">
        <v>1777077309.8293488</v>
      </c>
      <c r="D37" s="91">
        <v>1848530810.6869028</v>
      </c>
      <c r="E37" s="92">
        <f>D37/C37</f>
        <v>1.0402084368881035</v>
      </c>
      <c r="H37" s="93"/>
      <c r="I37" s="94"/>
      <c r="O37" s="95"/>
      <c r="P37" s="96"/>
      <c r="Q37" s="96"/>
      <c r="R37" s="96"/>
    </row>
    <row r="38" spans="1:22" x14ac:dyDescent="0.2">
      <c r="B38" s="61" t="s">
        <v>81</v>
      </c>
      <c r="C38" s="62">
        <v>1819791166.3324351</v>
      </c>
      <c r="D38" s="85">
        <v>1892619236.2478013</v>
      </c>
      <c r="E38" s="63">
        <f t="shared" ref="E38:E39" si="10">D38/C38</f>
        <v>1.0400200150779619</v>
      </c>
      <c r="I38" s="56"/>
      <c r="N38" s="64"/>
      <c r="O38" s="54"/>
      <c r="P38" s="64"/>
      <c r="Q38" s="64"/>
      <c r="R38" s="64"/>
      <c r="S38" s="64"/>
      <c r="T38" s="64"/>
      <c r="U38" s="65"/>
    </row>
    <row r="39" spans="1:22" x14ac:dyDescent="0.2">
      <c r="B39" s="19" t="s">
        <v>82</v>
      </c>
      <c r="C39" s="62">
        <v>43888425.560898513</v>
      </c>
      <c r="D39" s="85">
        <v>44088425.560898505</v>
      </c>
      <c r="E39" s="63">
        <f t="shared" si="10"/>
        <v>1.0045570101329444</v>
      </c>
      <c r="G39" s="56"/>
      <c r="I39" s="56"/>
      <c r="J39" s="46"/>
      <c r="K39" s="46"/>
      <c r="O39" s="54"/>
      <c r="P39" s="45"/>
      <c r="Q39" s="45"/>
      <c r="R39" s="45"/>
      <c r="S39" s="13"/>
      <c r="T39" s="66"/>
      <c r="U39" s="66"/>
    </row>
    <row r="40" spans="1:22" x14ac:dyDescent="0.2">
      <c r="B40" s="114" t="s">
        <v>83</v>
      </c>
      <c r="C40" s="114"/>
      <c r="D40" s="114"/>
      <c r="E40" s="114"/>
      <c r="G40" s="56"/>
      <c r="I40" s="56"/>
      <c r="J40" s="67"/>
      <c r="K40" s="67"/>
      <c r="O40" s="54"/>
      <c r="P40" s="45"/>
      <c r="Q40" s="45"/>
      <c r="R40" s="45"/>
      <c r="S40" s="13"/>
      <c r="T40" s="66"/>
      <c r="U40" s="66"/>
    </row>
    <row r="41" spans="1:22" x14ac:dyDescent="0.2">
      <c r="B41" s="107" t="s">
        <v>84</v>
      </c>
      <c r="I41" s="56"/>
      <c r="O41" s="45"/>
      <c r="P41" s="45"/>
      <c r="Q41" s="45"/>
      <c r="R41" s="45"/>
      <c r="S41" s="13"/>
      <c r="T41" s="66"/>
      <c r="U41" s="66"/>
    </row>
    <row r="42" spans="1:22" x14ac:dyDescent="0.2">
      <c r="I42" s="56"/>
      <c r="L42" s="68"/>
      <c r="O42" s="45"/>
      <c r="P42" s="45"/>
      <c r="Q42" s="45"/>
      <c r="R42" s="45"/>
      <c r="S42" s="13"/>
      <c r="T42" s="66"/>
      <c r="U42" s="66"/>
    </row>
    <row r="43" spans="1:22" x14ac:dyDescent="0.2">
      <c r="I43" s="56"/>
      <c r="L43" s="68"/>
      <c r="O43" s="54"/>
    </row>
    <row r="44" spans="1:22" x14ac:dyDescent="0.2">
      <c r="I44" s="56"/>
      <c r="L44" s="68"/>
      <c r="O44" s="54"/>
    </row>
    <row r="45" spans="1:22" x14ac:dyDescent="0.2">
      <c r="G45" s="74"/>
      <c r="I45" s="56"/>
      <c r="L45" s="68"/>
      <c r="O45" s="54"/>
    </row>
    <row r="46" spans="1:22" x14ac:dyDescent="0.2">
      <c r="G46" s="56"/>
      <c r="I46" s="56"/>
    </row>
    <row r="47" spans="1:22" x14ac:dyDescent="0.2">
      <c r="B47" s="69"/>
      <c r="G47" s="56"/>
      <c r="I47" s="56"/>
    </row>
    <row r="48" spans="1:22" x14ac:dyDescent="0.2">
      <c r="C48" s="70"/>
      <c r="D48" s="71"/>
      <c r="E48" s="72"/>
      <c r="G48" s="56"/>
    </row>
    <row r="49" spans="3:7" x14ac:dyDescent="0.2">
      <c r="C49" s="70"/>
      <c r="D49" s="73"/>
      <c r="G49" s="56"/>
    </row>
    <row r="50" spans="3:7" x14ac:dyDescent="0.2">
      <c r="C50" s="70"/>
      <c r="D50" s="73"/>
    </row>
  </sheetData>
  <mergeCells count="3">
    <mergeCell ref="J6:P6"/>
    <mergeCell ref="K31:O31"/>
    <mergeCell ref="B40:E40"/>
  </mergeCells>
  <printOptions verticalCentered="1"/>
  <pageMargins left="0.7" right="0.7" top="0.75" bottom="0.75" header="0.3" footer="0.3"/>
  <pageSetup paperSize="11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d084367ff9cfaecbdb7cbde74561f983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0ff502b882aa3ec49d5965f91bc9b07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2024-11-11T05:00:00+00:00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>false</MatchingIR>
  </documentManagement>
</p:properties>
</file>

<file path=customXml/itemProps1.xml><?xml version="1.0" encoding="utf-8"?>
<ds:datastoreItem xmlns:ds="http://schemas.openxmlformats.org/officeDocument/2006/customXml" ds:itemID="{4CAAE0DF-2DFF-433B-A26F-9D4AD83486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5729D-096A-4E7E-A904-D7954663C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DA3277-DC03-4306-A8C1-55B6E5B678D8}">
  <ds:schemaRefs>
    <ds:schemaRef ds:uri="http://www.w3.org/XML/1998/namespace"/>
    <ds:schemaRef ds:uri="http://schemas.microsoft.com/office/2006/documentManagement/types"/>
    <ds:schemaRef ds:uri="7e651a3a-8d05-4ee0-9344-b668032e30e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1f5e108a-442b-424d-88d6-fdac133e65d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QURESHI Muhammad</cp:lastModifiedBy>
  <cp:revision/>
  <cp:lastPrinted>2024-12-15T15:59:19Z</cp:lastPrinted>
  <dcterms:created xsi:type="dcterms:W3CDTF">2023-07-25T18:11:47Z</dcterms:created>
  <dcterms:modified xsi:type="dcterms:W3CDTF">2024-12-15T15:59:22Z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