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energyboard.sharepoint.com/sites/CoSApplications/Shared Documents/EB-2025-0014 Oshawa PUC/Discovery/IRs/"/>
    </mc:Choice>
  </mc:AlternateContent>
  <xr:revisionPtr revIDLastSave="0" documentId="8_{E495D034-D04B-4E70-9761-AFBE73B0F9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J35" i="1" s="1"/>
  <c r="K35" i="1" s="1"/>
  <c r="I28" i="1"/>
  <c r="I24" i="1"/>
  <c r="J24" i="1" s="1"/>
  <c r="K24" i="1" s="1"/>
  <c r="I6" i="1"/>
  <c r="I32" i="1"/>
  <c r="J32" i="1" s="1"/>
  <c r="K32" i="1" s="1"/>
  <c r="I12" i="1"/>
  <c r="J10" i="1"/>
  <c r="K10" i="1" s="1"/>
  <c r="I25" i="1"/>
  <c r="J25" i="1" s="1"/>
  <c r="K25" i="1" s="1"/>
  <c r="I7" i="1"/>
  <c r="I14" i="1"/>
  <c r="I31" i="1"/>
  <c r="J31" i="1" s="1"/>
  <c r="K31" i="1" s="1"/>
  <c r="I16" i="1"/>
  <c r="I26" i="1"/>
  <c r="I30" i="1"/>
  <c r="J30" i="1" s="1"/>
  <c r="K30" i="1" s="1"/>
  <c r="D22" i="1"/>
  <c r="E22" i="1" s="1"/>
  <c r="F22" i="1" s="1"/>
  <c r="J22" i="1"/>
  <c r="K22" i="1" s="1"/>
  <c r="D29" i="1"/>
  <c r="D23" i="1"/>
  <c r="E23" i="1" s="1"/>
  <c r="F23" i="1" s="1"/>
  <c r="D34" i="1"/>
  <c r="E34" i="1" s="1"/>
  <c r="F34" i="1" s="1"/>
  <c r="D30" i="1"/>
  <c r="E30" i="1" s="1"/>
  <c r="F30" i="1" s="1"/>
  <c r="D13" i="1"/>
  <c r="D16" i="1"/>
  <c r="J34" i="1"/>
  <c r="K34" i="1" s="1"/>
  <c r="J33" i="1"/>
  <c r="K33" i="1" s="1"/>
  <c r="J29" i="1"/>
  <c r="K29" i="1" s="1"/>
  <c r="J28" i="1"/>
  <c r="K28" i="1" s="1"/>
  <c r="J27" i="1"/>
  <c r="K27" i="1" s="1"/>
  <c r="J26" i="1"/>
  <c r="K26" i="1" s="1"/>
  <c r="J23" i="1"/>
  <c r="K23" i="1" s="1"/>
  <c r="E35" i="1"/>
  <c r="F35" i="1" s="1"/>
  <c r="E33" i="1"/>
  <c r="F33" i="1" s="1"/>
  <c r="E32" i="1"/>
  <c r="F32" i="1" s="1"/>
  <c r="E31" i="1"/>
  <c r="F31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J36" i="1"/>
  <c r="K36" i="1" s="1"/>
  <c r="E36" i="1"/>
  <c r="F36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9" i="1"/>
  <c r="K9" i="1" s="1"/>
  <c r="J8" i="1"/>
  <c r="K8" i="1" s="1"/>
  <c r="J7" i="1"/>
  <c r="K7" i="1" s="1"/>
  <c r="J6" i="1"/>
  <c r="K6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J17" i="1"/>
  <c r="K17" i="1" s="1"/>
  <c r="E17" i="1"/>
  <c r="F17" i="1" s="1"/>
  <c r="K18" i="1" l="1"/>
  <c r="K37" i="1"/>
  <c r="F37" i="1"/>
  <c r="L36" i="1"/>
  <c r="L17" i="1"/>
  <c r="F18" i="1"/>
  <c r="L18" i="1" s="1"/>
  <c r="L22" i="1"/>
  <c r="L26" i="1"/>
  <c r="L35" i="1"/>
  <c r="L28" i="1"/>
  <c r="L24" i="1"/>
  <c r="L29" i="1"/>
  <c r="L33" i="1"/>
  <c r="L31" i="1"/>
  <c r="L23" i="1"/>
  <c r="L34" i="1"/>
  <c r="L30" i="1"/>
  <c r="L32" i="1"/>
  <c r="L27" i="1"/>
  <c r="L25" i="1"/>
  <c r="L11" i="1"/>
  <c r="L6" i="1"/>
  <c r="L13" i="1"/>
  <c r="L10" i="1"/>
  <c r="L12" i="1"/>
  <c r="L15" i="1"/>
  <c r="L7" i="1"/>
  <c r="L9" i="1"/>
  <c r="L14" i="1"/>
  <c r="L16" i="1"/>
  <c r="L8" i="1"/>
  <c r="L37" i="1" l="1"/>
</calcChain>
</file>

<file path=xl/sharedStrings.xml><?xml version="1.0" encoding="utf-8"?>
<sst xmlns="http://schemas.openxmlformats.org/spreadsheetml/2006/main" count="53" uniqueCount="34">
  <si>
    <t>Rates Comparison GS&gt;50 Oshawa PUC Networks</t>
  </si>
  <si>
    <t>1-SEC-24</t>
  </si>
  <si>
    <t>Comparison to Similar-Sized LDCs</t>
  </si>
  <si>
    <t>Utility</t>
  </si>
  <si>
    <t>Fixed</t>
  </si>
  <si>
    <t>Variable</t>
  </si>
  <si>
    <t>DVA</t>
  </si>
  <si>
    <t>Total</t>
  </si>
  <si>
    <t>Increase</t>
  </si>
  <si>
    <t>PUC Distribution Inc.</t>
  </si>
  <si>
    <t>Lakeland Power Distribution Ltd.</t>
  </si>
  <si>
    <t>Bluewater Power Distribution Corporation</t>
  </si>
  <si>
    <t>Greater Sudbury Hydro Inc.</t>
  </si>
  <si>
    <t>Niagara Peninsula Energy Inc.</t>
  </si>
  <si>
    <t>Synergy North Corporation</t>
  </si>
  <si>
    <t>Newmarket-Tay Power Distribution</t>
  </si>
  <si>
    <t>Oakville Hydro Electricity Distribution</t>
  </si>
  <si>
    <t>Essex Powerlines Corporation</t>
  </si>
  <si>
    <t>Milton Hydro Distribution Inc.</t>
  </si>
  <si>
    <t>Entegrus Powerlines Inc.</t>
  </si>
  <si>
    <t>Oshawa PUC Networks Inc.</t>
  </si>
  <si>
    <t>Averages</t>
  </si>
  <si>
    <t>Comparison to Other Cohort II LDCs</t>
  </si>
  <si>
    <t xml:space="preserve">Fort Frances Power Corporation </t>
  </si>
  <si>
    <t>Hydro 2000 Inc.</t>
  </si>
  <si>
    <t>Rideau St. Lawrence Distribution Inc.</t>
  </si>
  <si>
    <t>Centre Wellington Hydro Ltd.</t>
  </si>
  <si>
    <t>Tillsonburg Hydro Inc.</t>
  </si>
  <si>
    <t>Niagara-on-the-Lake Hydro Inc.</t>
  </si>
  <si>
    <t>Burlington Hydro Inc.</t>
  </si>
  <si>
    <t>EPCOR Electricity Distribution Ontario</t>
  </si>
  <si>
    <t>Kingston Hydro Corporation</t>
  </si>
  <si>
    <t>GrandBridge Energy Inc.</t>
  </si>
  <si>
    <t>Westario Power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</si>
</sst>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tabSelected="1" workbookViewId="0">
      <selection activeCell="P10" sqref="P10"/>
    </sheetView>
  </sheetViews>
  <sheetFormatPr defaultRowHeight="14.5" x14ac:dyDescent="0.35"/>
  <cols>
    <col min="1" max="1" width="34.26953125" customWidth="1"/>
    <col min="2" max="5" width="0" hidden="1" customWidth="1"/>
    <col min="7" max="10" width="0" hidden="1" customWidth="1"/>
  </cols>
  <sheetData>
    <row r="2" spans="1:12" ht="22" x14ac:dyDescent="0.65">
      <c r="A2" s="4" t="s">
        <v>0</v>
      </c>
    </row>
    <row r="3" spans="1:12" x14ac:dyDescent="0.35">
      <c r="A3" s="5" t="s">
        <v>1</v>
      </c>
    </row>
    <row r="4" spans="1:12" ht="17" x14ac:dyDescent="0.5">
      <c r="A4" s="3" t="s">
        <v>2</v>
      </c>
    </row>
    <row r="5" spans="1:12" s="5" customFormat="1" x14ac:dyDescent="0.35">
      <c r="A5" s="9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>
        <v>2015</v>
      </c>
      <c r="G5" s="5" t="s">
        <v>4</v>
      </c>
      <c r="H5" s="5" t="s">
        <v>5</v>
      </c>
      <c r="I5" s="5" t="s">
        <v>6</v>
      </c>
      <c r="J5" s="5" t="s">
        <v>7</v>
      </c>
      <c r="K5" s="5">
        <v>2025</v>
      </c>
      <c r="L5" s="8" t="s">
        <v>8</v>
      </c>
    </row>
    <row r="6" spans="1:12" x14ac:dyDescent="0.35">
      <c r="A6" t="s">
        <v>9</v>
      </c>
      <c r="B6" s="1">
        <v>112.82</v>
      </c>
      <c r="C6" s="1">
        <v>535.95000000000005</v>
      </c>
      <c r="D6" s="1">
        <v>0</v>
      </c>
      <c r="E6" s="1">
        <f t="shared" ref="E6:E16" si="0">SUM(B6:D6)</f>
        <v>648.77</v>
      </c>
      <c r="F6" s="1">
        <f t="shared" ref="F6:F16" si="1">+E6*12</f>
        <v>7785.24</v>
      </c>
      <c r="G6" s="1">
        <v>133.07</v>
      </c>
      <c r="H6" s="1">
        <v>902.07</v>
      </c>
      <c r="I6" s="1">
        <f>11.11+74.24</f>
        <v>85.35</v>
      </c>
      <c r="J6" s="1">
        <f t="shared" ref="J6:J16" si="2">SUM(G6:I6)</f>
        <v>1120.49</v>
      </c>
      <c r="K6" s="1">
        <f t="shared" ref="K6:K16" si="3">+J6*12</f>
        <v>13445.880000000001</v>
      </c>
      <c r="L6" s="2">
        <f t="shared" ref="L6:L18" si="4">+(K6-F6)/F6</f>
        <v>0.72709897190067374</v>
      </c>
    </row>
    <row r="7" spans="1:12" x14ac:dyDescent="0.35">
      <c r="A7" t="s">
        <v>10</v>
      </c>
      <c r="B7" s="1">
        <v>308.61</v>
      </c>
      <c r="C7" s="1">
        <v>277.51</v>
      </c>
      <c r="D7" s="1">
        <v>0</v>
      </c>
      <c r="E7" s="1">
        <f t="shared" si="0"/>
        <v>586.12</v>
      </c>
      <c r="F7" s="1">
        <f t="shared" si="1"/>
        <v>7033.4400000000005</v>
      </c>
      <c r="G7" s="1">
        <v>271.06</v>
      </c>
      <c r="H7" s="1">
        <v>323.79000000000002</v>
      </c>
      <c r="I7" s="1">
        <f>-64.15-0.91</f>
        <v>-65.06</v>
      </c>
      <c r="J7" s="1">
        <f t="shared" si="2"/>
        <v>529.79</v>
      </c>
      <c r="K7" s="1">
        <f t="shared" si="3"/>
        <v>6357.48</v>
      </c>
      <c r="L7" s="2">
        <f t="shared" si="4"/>
        <v>-9.61065993311951E-2</v>
      </c>
    </row>
    <row r="8" spans="1:12" x14ac:dyDescent="0.35">
      <c r="A8" t="s">
        <v>11</v>
      </c>
      <c r="B8" s="1">
        <v>145.86000000000001</v>
      </c>
      <c r="C8" s="1">
        <v>423.91</v>
      </c>
      <c r="D8" s="1">
        <v>0</v>
      </c>
      <c r="E8" s="1">
        <f t="shared" si="0"/>
        <v>569.77</v>
      </c>
      <c r="F8" s="1">
        <f t="shared" si="1"/>
        <v>6837.24</v>
      </c>
      <c r="G8" s="1">
        <v>176.49</v>
      </c>
      <c r="H8" s="1">
        <v>565.27</v>
      </c>
      <c r="I8" s="1">
        <v>1.47</v>
      </c>
      <c r="J8" s="1">
        <f t="shared" si="2"/>
        <v>743.23</v>
      </c>
      <c r="K8" s="1">
        <f t="shared" si="3"/>
        <v>8918.76</v>
      </c>
      <c r="L8" s="2">
        <f t="shared" si="4"/>
        <v>0.30443863313266767</v>
      </c>
    </row>
    <row r="9" spans="1:12" x14ac:dyDescent="0.35">
      <c r="A9" t="s">
        <v>12</v>
      </c>
      <c r="B9" s="1">
        <v>165.09</v>
      </c>
      <c r="C9" s="1">
        <v>428.94</v>
      </c>
      <c r="D9" s="1">
        <v>-29.08</v>
      </c>
      <c r="E9" s="1">
        <f t="shared" si="0"/>
        <v>564.94999999999993</v>
      </c>
      <c r="F9" s="1">
        <f t="shared" si="1"/>
        <v>6779.4</v>
      </c>
      <c r="G9" s="1">
        <v>193.95</v>
      </c>
      <c r="H9" s="1">
        <v>617.52</v>
      </c>
      <c r="I9" s="1">
        <v>-8.65</v>
      </c>
      <c r="J9" s="1">
        <f t="shared" si="2"/>
        <v>802.82</v>
      </c>
      <c r="K9" s="1">
        <f t="shared" si="3"/>
        <v>9633.84</v>
      </c>
      <c r="L9" s="2">
        <f t="shared" si="4"/>
        <v>0.42104611027524569</v>
      </c>
    </row>
    <row r="10" spans="1:12" x14ac:dyDescent="0.35">
      <c r="A10" t="s">
        <v>13</v>
      </c>
      <c r="B10" s="1">
        <v>102.31</v>
      </c>
      <c r="C10" s="1">
        <v>336.29</v>
      </c>
      <c r="D10" s="1">
        <v>-47.81</v>
      </c>
      <c r="E10" s="1">
        <f t="shared" si="0"/>
        <v>390.79</v>
      </c>
      <c r="F10" s="1">
        <f t="shared" si="1"/>
        <v>4689.4800000000005</v>
      </c>
      <c r="G10" s="1">
        <v>150.16999999999999</v>
      </c>
      <c r="H10" s="1">
        <v>418.04</v>
      </c>
      <c r="I10" s="1">
        <v>72.12</v>
      </c>
      <c r="J10" s="1">
        <f>SUM(G10:I10)</f>
        <v>640.33000000000004</v>
      </c>
      <c r="K10" s="1">
        <f t="shared" si="3"/>
        <v>7683.9600000000009</v>
      </c>
      <c r="L10" s="2">
        <f t="shared" si="4"/>
        <v>0.63855267534993221</v>
      </c>
    </row>
    <row r="11" spans="1:12" x14ac:dyDescent="0.35">
      <c r="A11" t="s">
        <v>14</v>
      </c>
      <c r="B11" s="1">
        <v>200.63</v>
      </c>
      <c r="C11" s="1">
        <v>255.33</v>
      </c>
      <c r="D11" s="1">
        <v>-60.76</v>
      </c>
      <c r="E11" s="1">
        <f t="shared" si="0"/>
        <v>395.20000000000005</v>
      </c>
      <c r="F11" s="1">
        <f t="shared" si="1"/>
        <v>4742.4000000000005</v>
      </c>
      <c r="G11" s="1">
        <v>237.07</v>
      </c>
      <c r="H11" s="1">
        <v>532.04999999999995</v>
      </c>
      <c r="I11" s="1">
        <v>0</v>
      </c>
      <c r="J11" s="1">
        <f t="shared" si="2"/>
        <v>769.11999999999989</v>
      </c>
      <c r="K11" s="1">
        <f t="shared" si="3"/>
        <v>9229.4399999999987</v>
      </c>
      <c r="L11" s="2">
        <f t="shared" si="4"/>
        <v>0.94615384615384568</v>
      </c>
    </row>
    <row r="12" spans="1:12" x14ac:dyDescent="0.35">
      <c r="A12" t="s">
        <v>15</v>
      </c>
      <c r="B12" s="1">
        <v>136.76</v>
      </c>
      <c r="C12" s="1">
        <v>471.78</v>
      </c>
      <c r="D12" s="1">
        <v>-2.5499999999999998</v>
      </c>
      <c r="E12" s="1">
        <f t="shared" si="0"/>
        <v>605.99</v>
      </c>
      <c r="F12" s="1">
        <f t="shared" si="1"/>
        <v>7271.88</v>
      </c>
      <c r="G12" s="1">
        <v>78.099999999999994</v>
      </c>
      <c r="H12" s="1">
        <v>422.96</v>
      </c>
      <c r="I12" s="1">
        <f>128.24+20.19</f>
        <v>148.43</v>
      </c>
      <c r="J12" s="1">
        <f>SUM(G12:I12)</f>
        <v>649.49</v>
      </c>
      <c r="K12" s="1">
        <f t="shared" si="3"/>
        <v>7793.88</v>
      </c>
      <c r="L12" s="2">
        <f t="shared" si="4"/>
        <v>7.178336276176174E-2</v>
      </c>
    </row>
    <row r="13" spans="1:12" x14ac:dyDescent="0.35">
      <c r="A13" t="s">
        <v>16</v>
      </c>
      <c r="B13" s="1">
        <v>119.81</v>
      </c>
      <c r="C13" s="1">
        <v>468.53</v>
      </c>
      <c r="D13" s="1">
        <f>11.38+6.82+7.5-52.27</f>
        <v>-26.57</v>
      </c>
      <c r="E13" s="1">
        <f t="shared" si="0"/>
        <v>561.76999999999987</v>
      </c>
      <c r="F13" s="1">
        <f t="shared" si="1"/>
        <v>6741.239999999998</v>
      </c>
      <c r="G13" s="1">
        <v>148.38</v>
      </c>
      <c r="H13" s="1">
        <v>580.16</v>
      </c>
      <c r="I13" s="1">
        <v>8.7899999999999991</v>
      </c>
      <c r="J13" s="1">
        <f t="shared" si="2"/>
        <v>737.32999999999993</v>
      </c>
      <c r="K13" s="1">
        <f t="shared" si="3"/>
        <v>8847.9599999999991</v>
      </c>
      <c r="L13" s="2">
        <f t="shared" si="4"/>
        <v>0.31251223810456263</v>
      </c>
    </row>
    <row r="14" spans="1:12" x14ac:dyDescent="0.35">
      <c r="A14" t="s">
        <v>17</v>
      </c>
      <c r="B14" s="1">
        <v>224.32</v>
      </c>
      <c r="C14" s="1">
        <v>213.06</v>
      </c>
      <c r="D14" s="1">
        <v>-89.66</v>
      </c>
      <c r="E14" s="1">
        <f t="shared" si="0"/>
        <v>347.72</v>
      </c>
      <c r="F14" s="1">
        <f t="shared" si="1"/>
        <v>4172.6400000000003</v>
      </c>
      <c r="G14" s="1">
        <v>262.17</v>
      </c>
      <c r="H14" s="1">
        <v>253.99</v>
      </c>
      <c r="I14" s="1">
        <f>9.12+6.04+15.59-126.01</f>
        <v>-95.26</v>
      </c>
      <c r="J14" s="1">
        <f t="shared" si="2"/>
        <v>420.90000000000009</v>
      </c>
      <c r="K14" s="1">
        <f t="shared" si="3"/>
        <v>5050.8000000000011</v>
      </c>
      <c r="L14" s="2">
        <f t="shared" si="4"/>
        <v>0.2104566892902337</v>
      </c>
    </row>
    <row r="15" spans="1:12" x14ac:dyDescent="0.35">
      <c r="A15" t="s">
        <v>18</v>
      </c>
      <c r="B15" s="1">
        <v>77.98</v>
      </c>
      <c r="C15" s="1">
        <v>259.83999999999997</v>
      </c>
      <c r="D15" s="1">
        <v>21.98</v>
      </c>
      <c r="E15" s="1">
        <f t="shared" si="0"/>
        <v>359.8</v>
      </c>
      <c r="F15" s="1">
        <f t="shared" si="1"/>
        <v>4317.6000000000004</v>
      </c>
      <c r="G15" s="1">
        <v>94.17</v>
      </c>
      <c r="H15" s="1">
        <v>412.72</v>
      </c>
      <c r="I15" s="1">
        <v>55.54</v>
      </c>
      <c r="J15" s="1">
        <f t="shared" si="2"/>
        <v>562.43000000000006</v>
      </c>
      <c r="K15" s="1">
        <f t="shared" si="3"/>
        <v>6749.1600000000008</v>
      </c>
      <c r="L15" s="2">
        <f t="shared" si="4"/>
        <v>0.5631739855475264</v>
      </c>
    </row>
    <row r="16" spans="1:12" x14ac:dyDescent="0.35">
      <c r="A16" t="s">
        <v>19</v>
      </c>
      <c r="B16" s="1">
        <v>122.86</v>
      </c>
      <c r="C16" s="1">
        <v>348.27</v>
      </c>
      <c r="D16" s="1">
        <f>11.31+3.4-2.36</f>
        <v>12.350000000000001</v>
      </c>
      <c r="E16" s="1">
        <f t="shared" si="0"/>
        <v>483.48</v>
      </c>
      <c r="F16" s="1">
        <f t="shared" si="1"/>
        <v>5801.76</v>
      </c>
      <c r="G16" s="1">
        <v>122.36</v>
      </c>
      <c r="H16" s="1">
        <v>405.26</v>
      </c>
      <c r="I16" s="1">
        <f>112.2+52.54</f>
        <v>164.74</v>
      </c>
      <c r="J16" s="1">
        <f t="shared" si="2"/>
        <v>692.36</v>
      </c>
      <c r="K16" s="1">
        <f t="shared" si="3"/>
        <v>8308.32</v>
      </c>
      <c r="L16" s="2">
        <f t="shared" si="4"/>
        <v>0.43203441714238427</v>
      </c>
    </row>
    <row r="17" spans="1:12" x14ac:dyDescent="0.35">
      <c r="A17" t="s">
        <v>20</v>
      </c>
      <c r="B17" s="1">
        <v>52.2</v>
      </c>
      <c r="C17" s="1">
        <v>447.4</v>
      </c>
      <c r="D17" s="1">
        <v>2.88</v>
      </c>
      <c r="E17" s="1">
        <f>SUM(B17:D17)</f>
        <v>502.47999999999996</v>
      </c>
      <c r="F17" s="1">
        <f>+E17*12</f>
        <v>6029.7599999999993</v>
      </c>
      <c r="G17" s="1">
        <v>69.459999999999994</v>
      </c>
      <c r="H17" s="1">
        <v>594.55999999999995</v>
      </c>
      <c r="I17" s="1">
        <v>37.35</v>
      </c>
      <c r="J17" s="1">
        <f>SUM(G17:I17)</f>
        <v>701.37</v>
      </c>
      <c r="K17" s="1">
        <f>+J17*12</f>
        <v>8416.44</v>
      </c>
      <c r="L17" s="2">
        <f>+(K17-F17)/F17</f>
        <v>0.39581674892533059</v>
      </c>
    </row>
    <row r="18" spans="1:12" x14ac:dyDescent="0.35">
      <c r="A18" s="5" t="s">
        <v>21</v>
      </c>
      <c r="B18" s="6"/>
      <c r="C18" s="6"/>
      <c r="D18" s="6"/>
      <c r="E18" s="6"/>
      <c r="F18" s="6">
        <f>AVERAGE(F6:F17)</f>
        <v>6016.8399999999992</v>
      </c>
      <c r="G18" s="6"/>
      <c r="H18" s="6"/>
      <c r="I18" s="6"/>
      <c r="J18" s="6"/>
      <c r="K18" s="6">
        <f>AVERAGE(K6:K17)</f>
        <v>8369.6600000000017</v>
      </c>
      <c r="L18" s="7">
        <f t="shared" si="4"/>
        <v>0.39103915011866741</v>
      </c>
    </row>
    <row r="20" spans="1:12" ht="17" x14ac:dyDescent="0.5">
      <c r="A20" s="3" t="s">
        <v>22</v>
      </c>
    </row>
    <row r="21" spans="1:12" s="5" customFormat="1" x14ac:dyDescent="0.35">
      <c r="A21" s="9" t="s">
        <v>3</v>
      </c>
      <c r="B21" s="5" t="s">
        <v>4</v>
      </c>
      <c r="C21" s="5" t="s">
        <v>5</v>
      </c>
      <c r="D21" s="5" t="s">
        <v>6</v>
      </c>
      <c r="E21" s="5" t="s">
        <v>7</v>
      </c>
      <c r="F21" s="5">
        <v>2015</v>
      </c>
      <c r="G21" s="5" t="s">
        <v>4</v>
      </c>
      <c r="H21" s="5" t="s">
        <v>5</v>
      </c>
      <c r="I21" s="5" t="s">
        <v>6</v>
      </c>
      <c r="J21" s="5" t="s">
        <v>7</v>
      </c>
      <c r="K21" s="5">
        <v>2025</v>
      </c>
      <c r="L21" s="8" t="s">
        <v>8</v>
      </c>
    </row>
    <row r="22" spans="1:12" x14ac:dyDescent="0.35">
      <c r="A22" t="s">
        <v>23</v>
      </c>
      <c r="B22" s="1">
        <v>173.25</v>
      </c>
      <c r="C22" s="1">
        <v>261.38</v>
      </c>
      <c r="D22" s="1">
        <f>19.63+3.61</f>
        <v>23.24</v>
      </c>
      <c r="E22" s="1">
        <f t="shared" ref="E22:E35" si="5">SUM(B22:D22)</f>
        <v>457.87</v>
      </c>
      <c r="F22" s="1">
        <f t="shared" ref="F22:F35" si="6">+E22*12</f>
        <v>5494.4400000000005</v>
      </c>
      <c r="G22" s="1">
        <v>214.85</v>
      </c>
      <c r="H22" s="1">
        <v>324.12</v>
      </c>
      <c r="I22" s="1">
        <v>38.36</v>
      </c>
      <c r="J22" s="1">
        <f t="shared" ref="J22:J35" si="7">SUM(G22:I22)</f>
        <v>577.33000000000004</v>
      </c>
      <c r="K22" s="1">
        <f t="shared" ref="K22:K35" si="8">+J22*12</f>
        <v>6927.9600000000009</v>
      </c>
      <c r="L22" s="2">
        <f t="shared" ref="L22:L35" si="9">+(K22-F22)/F22</f>
        <v>0.26090374997269972</v>
      </c>
    </row>
    <row r="23" spans="1:12" x14ac:dyDescent="0.35">
      <c r="A23" t="s">
        <v>24</v>
      </c>
      <c r="B23" s="1">
        <v>82.1</v>
      </c>
      <c r="C23" s="1">
        <v>142.09</v>
      </c>
      <c r="D23" s="1">
        <f>1.37-88.83</f>
        <v>-87.46</v>
      </c>
      <c r="E23" s="1">
        <f t="shared" si="5"/>
        <v>136.73000000000002</v>
      </c>
      <c r="F23" s="1">
        <f t="shared" si="6"/>
        <v>1640.7600000000002</v>
      </c>
      <c r="G23" s="1">
        <v>96.43</v>
      </c>
      <c r="H23" s="1">
        <v>204.33</v>
      </c>
      <c r="I23" s="1">
        <v>52.73</v>
      </c>
      <c r="J23" s="1">
        <f t="shared" si="7"/>
        <v>353.49</v>
      </c>
      <c r="K23" s="1">
        <f t="shared" si="8"/>
        <v>4241.88</v>
      </c>
      <c r="L23" s="2">
        <f t="shared" si="9"/>
        <v>1.5853141227236156</v>
      </c>
    </row>
    <row r="24" spans="1:12" x14ac:dyDescent="0.35">
      <c r="A24" t="s">
        <v>25</v>
      </c>
      <c r="B24" s="1">
        <v>290.85000000000002</v>
      </c>
      <c r="C24" s="1">
        <v>195.38</v>
      </c>
      <c r="D24" s="1">
        <v>85.02</v>
      </c>
      <c r="E24" s="1">
        <f t="shared" si="5"/>
        <v>571.25</v>
      </c>
      <c r="F24" s="1">
        <f t="shared" si="6"/>
        <v>6855</v>
      </c>
      <c r="G24" s="1">
        <v>345.04</v>
      </c>
      <c r="H24" s="1">
        <v>341.48</v>
      </c>
      <c r="I24" s="1">
        <f>11.04-26.12</f>
        <v>-15.080000000000002</v>
      </c>
      <c r="J24" s="1">
        <f t="shared" si="7"/>
        <v>671.43999999999994</v>
      </c>
      <c r="K24" s="1">
        <f t="shared" si="8"/>
        <v>8057.2799999999988</v>
      </c>
      <c r="L24" s="2">
        <f t="shared" si="9"/>
        <v>0.17538730853391668</v>
      </c>
    </row>
    <row r="25" spans="1:12" x14ac:dyDescent="0.35">
      <c r="A25" t="s">
        <v>10</v>
      </c>
      <c r="B25" s="1">
        <v>308.61</v>
      </c>
      <c r="C25" s="1">
        <v>277.51</v>
      </c>
      <c r="D25" s="1">
        <v>0</v>
      </c>
      <c r="E25" s="1">
        <f t="shared" si="5"/>
        <v>586.12</v>
      </c>
      <c r="F25" s="1">
        <f t="shared" si="6"/>
        <v>7033.4400000000005</v>
      </c>
      <c r="G25" s="1">
        <v>271.06</v>
      </c>
      <c r="H25" s="1">
        <v>323.79000000000002</v>
      </c>
      <c r="I25" s="1">
        <f>-64.15-0.91</f>
        <v>-65.06</v>
      </c>
      <c r="J25" s="1">
        <f t="shared" si="7"/>
        <v>529.79</v>
      </c>
      <c r="K25" s="1">
        <f t="shared" si="8"/>
        <v>6357.48</v>
      </c>
      <c r="L25" s="2">
        <f t="shared" si="9"/>
        <v>-9.61065993311951E-2</v>
      </c>
    </row>
    <row r="26" spans="1:12" x14ac:dyDescent="0.35">
      <c r="A26" t="s">
        <v>26</v>
      </c>
      <c r="B26" s="1">
        <v>164.55</v>
      </c>
      <c r="C26" s="1">
        <v>358.83</v>
      </c>
      <c r="D26" s="1">
        <v>121.14</v>
      </c>
      <c r="E26" s="1">
        <f t="shared" si="5"/>
        <v>644.52</v>
      </c>
      <c r="F26" s="1">
        <f t="shared" si="6"/>
        <v>7734.24</v>
      </c>
      <c r="G26" s="1">
        <v>198.93</v>
      </c>
      <c r="H26" s="1">
        <v>495.22</v>
      </c>
      <c r="I26" s="1">
        <f>78.46-35.28</f>
        <v>43.179999999999993</v>
      </c>
      <c r="J26" s="1">
        <f t="shared" si="7"/>
        <v>737.33</v>
      </c>
      <c r="K26" s="1">
        <f t="shared" si="8"/>
        <v>8847.9600000000009</v>
      </c>
      <c r="L26" s="2">
        <f t="shared" si="9"/>
        <v>0.14399863464283513</v>
      </c>
    </row>
    <row r="27" spans="1:12" x14ac:dyDescent="0.35">
      <c r="A27" t="s">
        <v>13</v>
      </c>
      <c r="B27" s="1">
        <v>102.31</v>
      </c>
      <c r="C27" s="1">
        <v>336.29</v>
      </c>
      <c r="D27" s="1">
        <v>-47.81</v>
      </c>
      <c r="E27" s="1">
        <f t="shared" si="5"/>
        <v>390.79</v>
      </c>
      <c r="F27" s="1">
        <f t="shared" si="6"/>
        <v>4689.4800000000005</v>
      </c>
      <c r="G27" s="1">
        <v>150.16999999999999</v>
      </c>
      <c r="H27" s="1">
        <v>418.04</v>
      </c>
      <c r="I27" s="1">
        <v>72.12</v>
      </c>
      <c r="J27" s="1">
        <f t="shared" si="7"/>
        <v>640.33000000000004</v>
      </c>
      <c r="K27" s="1">
        <f t="shared" si="8"/>
        <v>7683.9600000000009</v>
      </c>
      <c r="L27" s="2">
        <f t="shared" si="9"/>
        <v>0.63855267534993221</v>
      </c>
    </row>
    <row r="28" spans="1:12" x14ac:dyDescent="0.35">
      <c r="A28" t="s">
        <v>27</v>
      </c>
      <c r="B28" s="1">
        <v>133.13999999999999</v>
      </c>
      <c r="C28" s="1">
        <v>201.35</v>
      </c>
      <c r="D28" s="1">
        <v>-71.45</v>
      </c>
      <c r="E28" s="1">
        <f t="shared" si="5"/>
        <v>263.04000000000002</v>
      </c>
      <c r="F28" s="1">
        <f t="shared" si="6"/>
        <v>3156.4800000000005</v>
      </c>
      <c r="G28" s="1">
        <v>157.04</v>
      </c>
      <c r="H28" s="1">
        <v>316.12</v>
      </c>
      <c r="I28" s="1">
        <f>45.52+3.34</f>
        <v>48.86</v>
      </c>
      <c r="J28" s="1">
        <f t="shared" si="7"/>
        <v>522.02</v>
      </c>
      <c r="K28" s="1">
        <f t="shared" si="8"/>
        <v>6264.24</v>
      </c>
      <c r="L28" s="2">
        <f t="shared" si="9"/>
        <v>0.98456508515815044</v>
      </c>
    </row>
    <row r="29" spans="1:12" x14ac:dyDescent="0.35">
      <c r="A29" t="s">
        <v>28</v>
      </c>
      <c r="B29" s="1">
        <v>269.88</v>
      </c>
      <c r="C29" s="1">
        <v>212.98</v>
      </c>
      <c r="D29" s="1">
        <f>34.83+6.19</f>
        <v>41.019999999999996</v>
      </c>
      <c r="E29" s="1">
        <f t="shared" si="5"/>
        <v>523.88</v>
      </c>
      <c r="F29" s="1">
        <f t="shared" si="6"/>
        <v>6286.5599999999995</v>
      </c>
      <c r="G29" s="1">
        <v>322.05</v>
      </c>
      <c r="H29" s="1">
        <v>304.93</v>
      </c>
      <c r="I29" s="1">
        <v>-25.57</v>
      </c>
      <c r="J29" s="1">
        <f t="shared" si="7"/>
        <v>601.41</v>
      </c>
      <c r="K29" s="1">
        <f t="shared" si="8"/>
        <v>7216.92</v>
      </c>
      <c r="L29" s="2">
        <f t="shared" si="9"/>
        <v>0.14799190654348335</v>
      </c>
    </row>
    <row r="30" spans="1:12" x14ac:dyDescent="0.35">
      <c r="A30" t="s">
        <v>29</v>
      </c>
      <c r="B30" s="1">
        <v>58.8</v>
      </c>
      <c r="C30" s="1">
        <v>289.49</v>
      </c>
      <c r="D30" s="1">
        <f>35.95+9.32-54.88-57.63+25.06</f>
        <v>-42.180000000000007</v>
      </c>
      <c r="E30" s="1">
        <f t="shared" si="5"/>
        <v>306.11</v>
      </c>
      <c r="F30" s="1">
        <f t="shared" si="6"/>
        <v>3673.32</v>
      </c>
      <c r="G30" s="1">
        <v>78.66</v>
      </c>
      <c r="H30" s="1">
        <v>385.37</v>
      </c>
      <c r="I30" s="1">
        <f>34.83+1.16+0.24</f>
        <v>36.229999999999997</v>
      </c>
      <c r="J30" s="1">
        <f t="shared" si="7"/>
        <v>500.26</v>
      </c>
      <c r="K30" s="1">
        <f t="shared" si="8"/>
        <v>6003.12</v>
      </c>
      <c r="L30" s="2">
        <f t="shared" si="9"/>
        <v>0.63424912613112927</v>
      </c>
    </row>
    <row r="31" spans="1:12" x14ac:dyDescent="0.35">
      <c r="A31" t="s">
        <v>30</v>
      </c>
      <c r="B31" s="1">
        <v>96.9</v>
      </c>
      <c r="C31" s="1">
        <v>316.89</v>
      </c>
      <c r="D31" s="1">
        <v>0</v>
      </c>
      <c r="E31" s="1">
        <f t="shared" si="5"/>
        <v>413.78999999999996</v>
      </c>
      <c r="F31" s="1">
        <f t="shared" si="6"/>
        <v>4965.4799999999996</v>
      </c>
      <c r="G31" s="1">
        <v>119.31</v>
      </c>
      <c r="H31" s="1">
        <v>469.13</v>
      </c>
      <c r="I31" s="1">
        <f>91.12+79.61+155.35+24.02+4.81</f>
        <v>354.91</v>
      </c>
      <c r="J31" s="1">
        <f t="shared" si="7"/>
        <v>943.35000000000014</v>
      </c>
      <c r="K31" s="1">
        <f t="shared" si="8"/>
        <v>11320.2</v>
      </c>
      <c r="L31" s="2">
        <f t="shared" si="9"/>
        <v>1.279779598346988</v>
      </c>
    </row>
    <row r="32" spans="1:12" x14ac:dyDescent="0.35">
      <c r="A32" t="s">
        <v>15</v>
      </c>
      <c r="B32" s="1">
        <v>136.76</v>
      </c>
      <c r="C32" s="1">
        <v>471.78</v>
      </c>
      <c r="D32" s="1">
        <v>-2.5499999999999998</v>
      </c>
      <c r="E32" s="1">
        <f t="shared" si="5"/>
        <v>605.99</v>
      </c>
      <c r="F32" s="1">
        <f t="shared" si="6"/>
        <v>7271.88</v>
      </c>
      <c r="G32" s="1">
        <v>78.099999999999994</v>
      </c>
      <c r="H32" s="1">
        <v>422.96</v>
      </c>
      <c r="I32" s="1">
        <f>128.24+20.19</f>
        <v>148.43</v>
      </c>
      <c r="J32" s="1">
        <f t="shared" si="7"/>
        <v>649.49</v>
      </c>
      <c r="K32" s="1">
        <f t="shared" si="8"/>
        <v>7793.88</v>
      </c>
      <c r="L32" s="2">
        <f t="shared" si="9"/>
        <v>7.178336276176174E-2</v>
      </c>
    </row>
    <row r="33" spans="1:12" x14ac:dyDescent="0.35">
      <c r="A33" t="s">
        <v>31</v>
      </c>
      <c r="B33" s="1">
        <v>280.08999999999997</v>
      </c>
      <c r="C33" s="1">
        <v>200.63</v>
      </c>
      <c r="D33" s="1">
        <v>-0.99</v>
      </c>
      <c r="E33" s="1">
        <f t="shared" si="5"/>
        <v>479.72999999999996</v>
      </c>
      <c r="F33" s="1">
        <f t="shared" si="6"/>
        <v>5756.7599999999993</v>
      </c>
      <c r="G33" s="1">
        <v>133.44999999999999</v>
      </c>
      <c r="H33" s="1">
        <v>407.11</v>
      </c>
      <c r="I33" s="1">
        <v>54.92</v>
      </c>
      <c r="J33" s="1">
        <f t="shared" si="7"/>
        <v>595.4799999999999</v>
      </c>
      <c r="K33" s="1">
        <f t="shared" si="8"/>
        <v>7145.7599999999984</v>
      </c>
      <c r="L33" s="2">
        <f t="shared" si="9"/>
        <v>0.24128155420757497</v>
      </c>
    </row>
    <row r="34" spans="1:12" x14ac:dyDescent="0.35">
      <c r="A34" t="s">
        <v>32</v>
      </c>
      <c r="B34" s="1">
        <v>110.77</v>
      </c>
      <c r="C34" s="1">
        <v>403.18</v>
      </c>
      <c r="D34" s="1">
        <f>14.17+12.51-53.67</f>
        <v>-26.990000000000002</v>
      </c>
      <c r="E34" s="1">
        <f t="shared" si="5"/>
        <v>486.96000000000004</v>
      </c>
      <c r="F34" s="1">
        <f t="shared" si="6"/>
        <v>5843.52</v>
      </c>
      <c r="G34" s="1">
        <v>274.87</v>
      </c>
      <c r="H34" s="1">
        <v>391.45</v>
      </c>
      <c r="I34" s="1">
        <v>136.38</v>
      </c>
      <c r="J34" s="1">
        <f t="shared" si="7"/>
        <v>802.69999999999993</v>
      </c>
      <c r="K34" s="1">
        <f t="shared" si="8"/>
        <v>9632.4</v>
      </c>
      <c r="L34" s="2">
        <f t="shared" si="9"/>
        <v>0.64839001149991771</v>
      </c>
    </row>
    <row r="35" spans="1:12" x14ac:dyDescent="0.35">
      <c r="A35" t="s">
        <v>33</v>
      </c>
      <c r="B35" s="1">
        <v>224.33</v>
      </c>
      <c r="C35" s="1">
        <v>210.79</v>
      </c>
      <c r="D35" s="1">
        <v>1.53</v>
      </c>
      <c r="E35" s="1">
        <f t="shared" si="5"/>
        <v>436.65</v>
      </c>
      <c r="F35" s="1">
        <f t="shared" si="6"/>
        <v>5239.7999999999993</v>
      </c>
      <c r="G35" s="1">
        <v>267.56</v>
      </c>
      <c r="H35" s="1">
        <v>287.66000000000003</v>
      </c>
      <c r="I35" s="1">
        <f>126.91+75.62-35.35</f>
        <v>167.18</v>
      </c>
      <c r="J35" s="1">
        <f t="shared" si="7"/>
        <v>722.40000000000009</v>
      </c>
      <c r="K35" s="1">
        <f t="shared" si="8"/>
        <v>8668.8000000000011</v>
      </c>
      <c r="L35" s="2">
        <f t="shared" si="9"/>
        <v>0.65441429062177991</v>
      </c>
    </row>
    <row r="36" spans="1:12" x14ac:dyDescent="0.35">
      <c r="A36" t="s">
        <v>20</v>
      </c>
      <c r="B36" s="1">
        <v>52.2</v>
      </c>
      <c r="C36" s="1">
        <v>447.4</v>
      </c>
      <c r="D36" s="1">
        <v>2.88</v>
      </c>
      <c r="E36" s="1">
        <f>SUM(B36:D36)</f>
        <v>502.47999999999996</v>
      </c>
      <c r="F36" s="1">
        <f>+E36*12</f>
        <v>6029.7599999999993</v>
      </c>
      <c r="G36" s="1">
        <v>69.459999999999994</v>
      </c>
      <c r="H36" s="1">
        <v>594.55999999999995</v>
      </c>
      <c r="I36" s="1">
        <v>37.35</v>
      </c>
      <c r="J36" s="1">
        <f>SUM(G36:I36)</f>
        <v>701.37</v>
      </c>
      <c r="K36" s="1">
        <f>+J36*12</f>
        <v>8416.44</v>
      </c>
      <c r="L36" s="2">
        <f>+(K36-F36)/F36</f>
        <v>0.39581674892533059</v>
      </c>
    </row>
    <row r="37" spans="1:12" x14ac:dyDescent="0.35">
      <c r="A37" s="5" t="s">
        <v>21</v>
      </c>
      <c r="B37" s="5"/>
      <c r="C37" s="5"/>
      <c r="D37" s="5"/>
      <c r="E37" s="5"/>
      <c r="F37" s="6">
        <f>AVERAGE(F22:F36)</f>
        <v>5444.7280000000001</v>
      </c>
      <c r="G37" s="5"/>
      <c r="H37" s="5"/>
      <c r="I37" s="5"/>
      <c r="J37" s="5"/>
      <c r="K37" s="6">
        <f>AVERAGE(K22:K36)</f>
        <v>7638.5519999999997</v>
      </c>
      <c r="L37" s="7">
        <f t="shared" ref="L37" si="10">+(K37-F37)/F37</f>
        <v>0.40292628024760824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438c0f2f0dd586cfffb889849620e195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de8dcbbc0849f0c98b43a509b911371a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7DD0A7-4EB4-4A0E-8A8C-D0DFC2F90A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CA97F-E097-4900-9693-085141B4643F}"/>
</file>

<file path=customXml/itemProps3.xml><?xml version="1.0" encoding="utf-8"?>
<ds:datastoreItem xmlns:ds="http://schemas.openxmlformats.org/officeDocument/2006/customXml" ds:itemID="{8D8D2A1A-F307-48A4-99BC-E2325754FAF2}">
  <ds:schemaRefs>
    <ds:schemaRef ds:uri="http://schemas.microsoft.com/office/2006/metadata/properties"/>
    <ds:schemaRef ds:uri="http://schemas.microsoft.com/office/infopath/2007/PartnerControls"/>
    <ds:schemaRef ds:uri="e0893123-66fa-4b19-a433-47924ff5ec26"/>
    <ds:schemaRef ds:uri="http://schemas.microsoft.com/sharepoint/v3"/>
    <ds:schemaRef ds:uri="http://schemas.microsoft.com/office/2006/documentManagement/types"/>
    <ds:schemaRef ds:uri="http://purl.org/dc/elements/1.1/"/>
    <ds:schemaRef ds:uri="http://purl.org/dc/terms/"/>
    <ds:schemaRef ds:uri="c813d627-6812-41ba-b21c-8d274ce8823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 Shepherd</dc:creator>
  <cp:keywords/>
  <dc:description/>
  <cp:lastModifiedBy>Tyler Davids</cp:lastModifiedBy>
  <cp:revision/>
  <dcterms:created xsi:type="dcterms:W3CDTF">2025-06-09T15:05:41Z</dcterms:created>
  <dcterms:modified xsi:type="dcterms:W3CDTF">2025-07-10T19:27:00Z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</Properties>
</file>