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Canada/Ontario/Enbridge/egd 2024/Rebasing Phase 2/Undertakings/"/>
    </mc:Choice>
  </mc:AlternateContent>
  <xr:revisionPtr revIDLastSave="5" documentId="8_{DC9DC7E3-3B47-469E-940A-53369A459BBB}" xr6:coauthVersionLast="47" xr6:coauthVersionMax="47" xr10:uidLastSave="{0E6A1B73-CE85-41C1-83E7-D79B67544B28}"/>
  <bookViews>
    <workbookView xWindow="-108" yWindow="-108" windowWidth="23256" windowHeight="12576" activeTab="2" xr2:uid="{E3547F5C-55A1-4913-90D7-CBDF02188FE2}"/>
  </bookViews>
  <sheets>
    <sheet name="RNG Comparison table " sheetId="3" r:id="rId1"/>
    <sheet name="Energy Efficiency" sheetId="8" r:id="rId2"/>
    <sheet name="Energy Efficiency RA" sheetId="10" r:id="rId3"/>
    <sheet name="Summary Chart" sheetId="9" r:id="rId4"/>
    <sheet name="Summary Dat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B7" i="10"/>
  <c r="B22" i="10"/>
  <c r="B15" i="10"/>
  <c r="B8" i="10"/>
  <c r="B5" i="10"/>
  <c r="B13" i="10" l="1"/>
  <c r="B18" i="10" s="1"/>
  <c r="G8" i="6" s="1"/>
  <c r="B17" i="10" l="1"/>
  <c r="D5" i="3" l="1"/>
  <c r="E5" i="3" s="1"/>
  <c r="F5" i="3" s="1"/>
  <c r="G19" i="3"/>
  <c r="G18" i="3"/>
  <c r="G17" i="3"/>
  <c r="G16" i="3"/>
  <c r="G15" i="3"/>
  <c r="D3" i="3"/>
  <c r="B22" i="8"/>
  <c r="B15" i="8"/>
  <c r="B12" i="8"/>
  <c r="B8" i="8"/>
  <c r="B13" i="8" s="1"/>
  <c r="B5" i="8"/>
  <c r="B17" i="8" l="1"/>
  <c r="B18" i="8"/>
  <c r="D7" i="3" l="1"/>
  <c r="E7" i="3" s="1"/>
  <c r="F7" i="3" s="1"/>
  <c r="D6" i="3"/>
  <c r="E6" i="3" s="1"/>
  <c r="F6" i="3" s="1"/>
  <c r="E4" i="3"/>
  <c r="F4" i="3" s="1"/>
  <c r="D10" i="3"/>
  <c r="E10" i="3" s="1"/>
  <c r="F10" i="3" s="1"/>
  <c r="D13" i="3"/>
  <c r="E13" i="3" s="1"/>
  <c r="F13" i="3" s="1"/>
  <c r="D12" i="3"/>
  <c r="E12" i="3" s="1"/>
  <c r="F12" i="3" s="1"/>
  <c r="D11" i="3"/>
  <c r="E11" i="3" s="1"/>
  <c r="F11" i="3" s="1"/>
  <c r="D9" i="3"/>
  <c r="E9" i="3" s="1"/>
  <c r="F9" i="3" s="1"/>
  <c r="O7" i="3" l="1"/>
  <c r="G7" i="3" s="1"/>
  <c r="H7" i="3" s="1"/>
  <c r="O6" i="3"/>
  <c r="G6" i="3" s="1"/>
  <c r="H6" i="3" s="1"/>
  <c r="O5" i="3"/>
  <c r="G5" i="3" s="1"/>
  <c r="H5" i="3" s="1"/>
  <c r="O4" i="3"/>
  <c r="G4" i="3" s="1"/>
  <c r="H4" i="3" s="1"/>
  <c r="H19" i="3"/>
  <c r="H18" i="3"/>
  <c r="H17" i="3"/>
  <c r="H16" i="3"/>
  <c r="E19" i="3"/>
  <c r="F19" i="3" s="1"/>
  <c r="E18" i="3"/>
  <c r="F18" i="3" s="1"/>
  <c r="E17" i="3"/>
  <c r="F17" i="3" s="1"/>
  <c r="E16" i="3"/>
  <c r="F16" i="3" s="1"/>
  <c r="H15" i="3" l="1"/>
  <c r="H3" i="3" s="1"/>
  <c r="G3" i="3"/>
  <c r="I10" i="3"/>
  <c r="I12" i="3" l="1"/>
  <c r="J12" i="3" s="1"/>
  <c r="E3" i="6" s="1"/>
  <c r="I18" i="3"/>
  <c r="J18" i="3" s="1"/>
  <c r="I17" i="3"/>
  <c r="I16" i="3"/>
  <c r="I5" i="3"/>
  <c r="J5" i="3" s="1"/>
  <c r="F4" i="6" s="1"/>
  <c r="I19" i="3"/>
  <c r="J19" i="3" s="1"/>
  <c r="C6" i="6" s="1"/>
  <c r="I11" i="3"/>
  <c r="J11" i="3" s="1"/>
  <c r="E7" i="6" s="1"/>
  <c r="I4" i="3"/>
  <c r="J4" i="3" s="1"/>
  <c r="F3" i="6" s="1"/>
  <c r="I7" i="3"/>
  <c r="J7" i="3" s="1"/>
  <c r="F5" i="6" s="1"/>
  <c r="I6" i="3"/>
  <c r="I9" i="3"/>
  <c r="I13" i="3"/>
  <c r="J13" i="3" s="1"/>
  <c r="D3" i="6" s="1"/>
  <c r="C5" i="6"/>
  <c r="J17" i="3"/>
  <c r="C4" i="6" s="1"/>
  <c r="J6" i="3"/>
  <c r="F6" i="6" s="1"/>
  <c r="J9" i="3"/>
  <c r="D7" i="6" s="1"/>
  <c r="J10" i="3"/>
  <c r="D4" i="6" s="1"/>
  <c r="J16" i="3"/>
  <c r="C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Hill</author>
  </authors>
  <commentList>
    <comment ref="E2" authorId="0" shapeId="0" xr:uid="{1A10F0B2-AAA5-4B97-B7DF-C79FF448976C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difference of average from fossil gas.</t>
        </r>
      </text>
    </comment>
    <comment ref="H2" authorId="0" shapeId="0" xr:uid="{545DC68A-65CB-472B-8914-FAFC3F371CE3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1 Btu =1055 Joules</t>
        </r>
      </text>
    </comment>
    <comment ref="B9" authorId="0" shapeId="0" xr:uid="{9642B43A-6C5D-4BB1-8CCD-0F164EBE5E4C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Tochlight Study assumes a 65% lifecycle carbon intensity reduction, does not provide Lifecycle CI reduction estimates by resource.  Therefore CI averages from ICF 2019 AGA study used to enable comparison.  (Table 2 in Appendix A of ED testimony).  The ICF study values reference GREET modeling done for CA.  East North Central US region values used as best indicators for Ontario.</t>
        </r>
      </text>
    </comment>
    <comment ref="H9" authorId="0" shapeId="0" xr:uid="{45168999-41B5-42C6-AEFE-CC8FB87D5996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Torchlight, 2020. Figure 26. p. 44. </t>
        </r>
      </text>
    </comment>
    <comment ref="G15" authorId="0" shapeId="0" xr:uid="{95538FDC-663F-4623-AAA0-690DAF8AFAFE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Average USD from McKinsey 2023 RNG A Swiss Army Knife - analysis includes values from CARB and EIA data.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Hill</author>
  </authors>
  <commentList>
    <comment ref="D7" authorId="0" shapeId="0" xr:uid="{34DB6E57-043B-42FA-8626-7BD71C1338D5}">
      <text>
        <r>
          <rPr>
            <b/>
            <sz val="9"/>
            <color indexed="81"/>
            <rFont val="Tahoma"/>
            <family val="2"/>
          </rPr>
          <t>David Hill:</t>
        </r>
        <r>
          <rPr>
            <sz val="9"/>
            <color indexed="81"/>
            <rFont val="Tahoma"/>
            <family val="2"/>
          </rPr>
          <t xml:space="preserve">
Includes proportional share (73%) of portfolio overhead and administrative costs</t>
        </r>
      </text>
    </comment>
  </commentList>
</comments>
</file>

<file path=xl/sharedStrings.xml><?xml version="1.0" encoding="utf-8"?>
<sst xmlns="http://schemas.openxmlformats.org/spreadsheetml/2006/main" count="150" uniqueCount="81">
  <si>
    <t>m3</t>
  </si>
  <si>
    <t>NA</t>
  </si>
  <si>
    <t>LFG</t>
  </si>
  <si>
    <t>Manure</t>
  </si>
  <si>
    <t>Food Waste</t>
  </si>
  <si>
    <t>Fossil Gas</t>
  </si>
  <si>
    <t>Landfill</t>
  </si>
  <si>
    <t>Ag Manure</t>
  </si>
  <si>
    <t>Wastewater</t>
  </si>
  <si>
    <t>g/co2e/MJ</t>
  </si>
  <si>
    <t>delta emiss g/co2e/MJ</t>
  </si>
  <si>
    <t>delta cost $/GJ</t>
  </si>
  <si>
    <t>McKinsey</t>
  </si>
  <si>
    <t>USD to CAD</t>
  </si>
  <si>
    <t>Ontario Corn</t>
  </si>
  <si>
    <t>Urban Org and Hog Manure</t>
  </si>
  <si>
    <t>Straw</t>
  </si>
  <si>
    <t>LFG (likely)</t>
  </si>
  <si>
    <t>LFG (best case)</t>
  </si>
  <si>
    <t>ICF 2019</t>
  </si>
  <si>
    <t>USD/MMBTU</t>
  </si>
  <si>
    <t>Avg</t>
  </si>
  <si>
    <t>Waste Rec</t>
  </si>
  <si>
    <t>CAD$/MMBtu</t>
  </si>
  <si>
    <t>CAD$/GJ</t>
  </si>
  <si>
    <t>Enbridge</t>
  </si>
  <si>
    <t>Average Measure Life</t>
  </si>
  <si>
    <t>Manure (dairy)</t>
  </si>
  <si>
    <t>Source</t>
  </si>
  <si>
    <t>Torchlight*</t>
  </si>
  <si>
    <t>ICF</t>
  </si>
  <si>
    <t>Ag. Residue</t>
  </si>
  <si>
    <t xml:space="preserve">EE </t>
  </si>
  <si>
    <t>Calculation of Levelized and Net Present Value Cost Per Metric Tonne of CO2e Savings from Enbridge Efficiency Portfolio:</t>
  </si>
  <si>
    <t>Source: 2022 Natural Gas Demand-Side Management Annual Verification Report, submitted to Ontario Energy Board, March 13, 2024.</t>
  </si>
  <si>
    <t>First Year Portfolio DSM Savings</t>
  </si>
  <si>
    <t xml:space="preserve"> m3</t>
  </si>
  <si>
    <t>Table 1-1, p.4</t>
  </si>
  <si>
    <t>Lifetime Portfolo DSM Savings</t>
  </si>
  <si>
    <t>Years</t>
  </si>
  <si>
    <t xml:space="preserve">Calc. B4/B3 </t>
  </si>
  <si>
    <t>Final Verfied NPV - PAC Test</t>
  </si>
  <si>
    <t>2022 $</t>
  </si>
  <si>
    <t>Table 11-156, p. 178</t>
  </si>
  <si>
    <t>Utility Spending</t>
  </si>
  <si>
    <t>Total Benefits Including Carbon</t>
  </si>
  <si>
    <t>Calc.(B7+B6)</t>
  </si>
  <si>
    <t>Carbon Avoided Cost Year 19</t>
  </si>
  <si>
    <t>per m3</t>
  </si>
  <si>
    <t>Table 11-160 p. 181</t>
  </si>
  <si>
    <t>PV Carbon Benefit Year 19</t>
  </si>
  <si>
    <t>PV of 19 years Carbon Benefits</t>
  </si>
  <si>
    <t>Calc. (B11*B3)</t>
  </si>
  <si>
    <t>PV of 19 year Benefits Net of Carbon</t>
  </si>
  <si>
    <t>Calc. (B8-B12)</t>
  </si>
  <si>
    <t>CO2e Combustion Emissions</t>
  </si>
  <si>
    <t>tCO2e/m3</t>
  </si>
  <si>
    <t>Annual Tonnes CO2e</t>
  </si>
  <si>
    <t>tCO2e</t>
  </si>
  <si>
    <t>Calc (B3*B14)</t>
  </si>
  <si>
    <t>Net Present Value/Tonne CO2e</t>
  </si>
  <si>
    <t>CAD 2024 $/tonne</t>
  </si>
  <si>
    <t>Levelized $/Tonne CO2e</t>
  </si>
  <si>
    <t>Levelized 2024 $/tonne</t>
  </si>
  <si>
    <t>Inflation</t>
  </si>
  <si>
    <t>2022 to 2024</t>
  </si>
  <si>
    <t>2023 to 2024</t>
  </si>
  <si>
    <t>Bank of Canada (https://www.bankofcanada.ca/rates/related/inflation-calculator/)</t>
  </si>
  <si>
    <t>McKinsey, 2023</t>
  </si>
  <si>
    <t>ICF,  2019</t>
  </si>
  <si>
    <t>2019 to 2024</t>
  </si>
  <si>
    <t xml:space="preserve"> 2024 $/tonne CO2e </t>
  </si>
  <si>
    <t>Torchlight, 2020 w ICF 2019 Average Carbon Intensities</t>
  </si>
  <si>
    <t>2020 to 2024</t>
  </si>
  <si>
    <t xml:space="preserve">Inflation </t>
  </si>
  <si>
    <t>Exhibit 1.4.2 Staff-36</t>
  </si>
  <si>
    <t>% Emissions Reduction from Fossil Gas</t>
  </si>
  <si>
    <t>Lo</t>
  </si>
  <si>
    <t>Hi</t>
  </si>
  <si>
    <t>First Year Resource Acquisition DSM Savings</t>
  </si>
  <si>
    <t>Calculation of Levelized and Net Present Value Cost Per Metric Tonne of CO2e Savings from Enbridge Resource Acquisition Portfolio: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</si>
</sst>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"/>
    <numFmt numFmtId="168" formatCode="&quot;$&quot;#,##0.00"/>
    <numFmt numFmtId="169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Protection="0">
      <alignment horizontal="left"/>
    </xf>
    <xf numFmtId="0" fontId="3" fillId="0" borderId="2" applyNumberFormat="0" applyFont="0" applyProtection="0">
      <alignment wrapText="1"/>
    </xf>
    <xf numFmtId="0" fontId="4" fillId="0" borderId="3" applyNumberFormat="0" applyProtection="0">
      <alignment wrapText="1"/>
    </xf>
    <xf numFmtId="0" fontId="4" fillId="0" borderId="1" applyNumberFormat="0" applyProtection="0">
      <alignment wrapText="1"/>
    </xf>
    <xf numFmtId="0" fontId="3" fillId="0" borderId="4" applyNumberFormat="0" applyProtection="0">
      <alignment vertical="top" wrapText="1"/>
    </xf>
    <xf numFmtId="44" fontId="1" fillId="0" borderId="0" applyFont="0" applyFill="0" applyBorder="0" applyAlignment="0" applyProtection="0"/>
  </cellStyleXfs>
  <cellXfs count="44">
    <xf numFmtId="0" fontId="0" fillId="0" borderId="0" xfId="0"/>
    <xf numFmtId="9" fontId="0" fillId="0" borderId="0" xfId="2" applyFont="1"/>
    <xf numFmtId="44" fontId="0" fillId="0" borderId="0" xfId="8" applyFont="1"/>
    <xf numFmtId="8" fontId="0" fillId="0" borderId="0" xfId="0" applyNumberFormat="1"/>
    <xf numFmtId="0" fontId="7" fillId="0" borderId="0" xfId="0" applyFont="1" applyAlignment="1">
      <alignment horizontal="center"/>
    </xf>
    <xf numFmtId="165" fontId="0" fillId="0" borderId="0" xfId="8" applyNumberFormat="1" applyFont="1"/>
    <xf numFmtId="0" fontId="7" fillId="0" borderId="0" xfId="0" applyFont="1" applyAlignment="1">
      <alignment horizontal="center" wrapText="1"/>
    </xf>
    <xf numFmtId="0" fontId="0" fillId="0" borderId="5" xfId="0" applyBorder="1"/>
    <xf numFmtId="44" fontId="0" fillId="0" borderId="5" xfId="8" applyFont="1" applyBorder="1"/>
    <xf numFmtId="44" fontId="0" fillId="0" borderId="5" xfId="0" applyNumberFormat="1" applyBorder="1"/>
    <xf numFmtId="165" fontId="0" fillId="0" borderId="5" xfId="0" applyNumberFormat="1" applyBorder="1"/>
    <xf numFmtId="8" fontId="0" fillId="0" borderId="5" xfId="0" applyNumberForma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64" fontId="0" fillId="0" borderId="5" xfId="1" applyNumberFormat="1" applyFont="1" applyBorder="1"/>
    <xf numFmtId="166" fontId="0" fillId="0" borderId="5" xfId="0" applyNumberFormat="1" applyBorder="1"/>
    <xf numFmtId="167" fontId="0" fillId="0" borderId="5" xfId="0" applyNumberFormat="1" applyBorder="1"/>
    <xf numFmtId="6" fontId="0" fillId="0" borderId="5" xfId="0" applyNumberFormat="1" applyBorder="1"/>
    <xf numFmtId="164" fontId="0" fillId="5" borderId="5" xfId="0" applyNumberFormat="1" applyFill="1" applyBorder="1"/>
    <xf numFmtId="168" fontId="0" fillId="0" borderId="5" xfId="0" applyNumberFormat="1" applyBorder="1"/>
    <xf numFmtId="0" fontId="0" fillId="0" borderId="0" xfId="0" applyAlignment="1">
      <alignment horizontal="center" wrapText="1"/>
    </xf>
    <xf numFmtId="169" fontId="0" fillId="0" borderId="0" xfId="0" applyNumberFormat="1"/>
    <xf numFmtId="0" fontId="10" fillId="0" borderId="0" xfId="0" applyFont="1"/>
    <xf numFmtId="16" fontId="0" fillId="0" borderId="0" xfId="0" applyNumberFormat="1"/>
    <xf numFmtId="0" fontId="7" fillId="0" borderId="0" xfId="0" applyFont="1"/>
    <xf numFmtId="0" fontId="11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166" fontId="0" fillId="0" borderId="0" xfId="0" applyNumberFormat="1"/>
    <xf numFmtId="1" fontId="0" fillId="0" borderId="5" xfId="0" applyNumberFormat="1" applyBorder="1"/>
    <xf numFmtId="1" fontId="0" fillId="0" borderId="0" xfId="0" applyNumberFormat="1"/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9" fontId="0" fillId="0" borderId="5" xfId="2" applyFont="1" applyBorder="1"/>
    <xf numFmtId="0" fontId="7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</cellXfs>
  <cellStyles count="9">
    <cellStyle name="Body: normal cell" xfId="4" xr:uid="{86890F50-F602-48D4-9979-C6698E3F5FB9}"/>
    <cellStyle name="Comma" xfId="1" builtinId="3"/>
    <cellStyle name="Currency" xfId="8" builtinId="4"/>
    <cellStyle name="Footnotes: top row" xfId="7" xr:uid="{A167EEE8-CD6A-4CA7-9DDE-241145E4E731}"/>
    <cellStyle name="Header: bottom row" xfId="6" xr:uid="{BA915315-6874-4B7C-BE31-F8CC1D9B42CF}"/>
    <cellStyle name="Normal" xfId="0" builtinId="0"/>
    <cellStyle name="Parent row" xfId="5" xr:uid="{9E58B836-92A6-438B-BE44-A5AEA4DB2474}"/>
    <cellStyle name="Percent" xfId="2" builtinId="5"/>
    <cellStyle name="Table title" xfId="3" xr:uid="{6D1C8BC3-DEBC-4B6A-9050-AF3F02B2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Comparison of $/tonne</a:t>
            </a:r>
            <a:r>
              <a:rPr lang="en-US" baseline="0"/>
              <a:t> </a:t>
            </a:r>
            <a:r>
              <a:rPr lang="en-US"/>
              <a:t>Co2e</a:t>
            </a:r>
            <a:r>
              <a:rPr lang="en-US" baseline="0"/>
              <a:t> for RNG by Resource and Energy Efficiency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73703585420939E-2"/>
          <c:y val="7.3072252478810967E-2"/>
          <c:w val="0.78528746639404456"/>
          <c:h val="0.87184507903832997"/>
        </c:manualLayout>
      </c:layout>
      <c:scatterChart>
        <c:scatterStyle val="lineMarker"/>
        <c:varyColors val="0"/>
        <c:ser>
          <c:idx val="3"/>
          <c:order val="3"/>
          <c:tx>
            <c:strRef>
              <c:f>'Summary Data'!$F$2</c:f>
              <c:strCache>
                <c:ptCount val="1"/>
                <c:pt idx="0">
                  <c:v>ICF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'Summary Data'!$B$3:$B$8</c:f>
              <c:strCache>
                <c:ptCount val="6"/>
                <c:pt idx="0">
                  <c:v>LFG</c:v>
                </c:pt>
                <c:pt idx="1">
                  <c:v>Manure</c:v>
                </c:pt>
                <c:pt idx="2">
                  <c:v>Food Waste</c:v>
                </c:pt>
                <c:pt idx="3">
                  <c:v>Wastewater</c:v>
                </c:pt>
                <c:pt idx="4">
                  <c:v>Ag. Residue</c:v>
                </c:pt>
                <c:pt idx="5">
                  <c:v>EE </c:v>
                </c:pt>
              </c:strCache>
            </c:strRef>
          </c:xVal>
          <c:yVal>
            <c:numRef>
              <c:f>'Summary Data'!$F$3:$F$8</c:f>
              <c:numCache>
                <c:formatCode>_("$"* #,##0_);_("$"* \(#,##0\);_("$"* "-"??_);_(@_)</c:formatCode>
                <c:ptCount val="6"/>
                <c:pt idx="0">
                  <c:v>257.5513428120064</c:v>
                </c:pt>
                <c:pt idx="1">
                  <c:v>88.953475830652778</c:v>
                </c:pt>
                <c:pt idx="2">
                  <c:v>193.52911627072527</c:v>
                </c:pt>
                <c:pt idx="3">
                  <c:v>364.86440231700897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F70-4876-8A12-7FF92C12FD6C}"/>
            </c:ext>
          </c:extLst>
        </c:ser>
        <c:ser>
          <c:idx val="4"/>
          <c:order val="4"/>
          <c:tx>
            <c:strRef>
              <c:f>'Summary Data'!$G$2</c:f>
              <c:strCache>
                <c:ptCount val="1"/>
                <c:pt idx="0">
                  <c:v>Enbridge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'Summary Data'!$B$3:$B$8</c:f>
              <c:strCache>
                <c:ptCount val="6"/>
                <c:pt idx="0">
                  <c:v>LFG</c:v>
                </c:pt>
                <c:pt idx="1">
                  <c:v>Manure</c:v>
                </c:pt>
                <c:pt idx="2">
                  <c:v>Food Waste</c:v>
                </c:pt>
                <c:pt idx="3">
                  <c:v>Wastewater</c:v>
                </c:pt>
                <c:pt idx="4">
                  <c:v>Ag. Residue</c:v>
                </c:pt>
                <c:pt idx="5">
                  <c:v>EE </c:v>
                </c:pt>
              </c:strCache>
            </c:strRef>
          </c:xVal>
          <c:yVal>
            <c:numRef>
              <c:f>'Summary Data'!$G$3:$G$8</c:f>
              <c:numCache>
                <c:formatCode>_("$"* #,##0_);_("$"* \(#,##0\);_("$"* "-"??_);_(@_)</c:formatCode>
                <c:ptCount val="6"/>
                <c:pt idx="5">
                  <c:v>-19.960526632310884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F70-4876-8A12-7FF92C12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613455"/>
        <c:axId val="561608655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Data'!$C$2</c15:sqref>
                        </c15:formulaRef>
                      </c:ext>
                    </c:extLst>
                    <c:strCache>
                      <c:ptCount val="1"/>
                      <c:pt idx="0">
                        <c:v>McKinsey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'Summary Data'!$B$3:$B$8</c15:sqref>
                        </c15:formulaRef>
                      </c:ext>
                    </c:extLst>
                    <c:strCache>
                      <c:ptCount val="6"/>
                      <c:pt idx="0">
                        <c:v>LFG</c:v>
                      </c:pt>
                      <c:pt idx="1">
                        <c:v>Manure</c:v>
                      </c:pt>
                      <c:pt idx="2">
                        <c:v>Food Waste</c:v>
                      </c:pt>
                      <c:pt idx="3">
                        <c:v>Wastewater</c:v>
                      </c:pt>
                      <c:pt idx="4">
                        <c:v>Ag. Residue</c:v>
                      </c:pt>
                      <c:pt idx="5">
                        <c:v>EE 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'Summary Data'!$C$3:$C$8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6"/>
                      <c:pt idx="0">
                        <c:v>375.28909952606642</c:v>
                      </c:pt>
                      <c:pt idx="1">
                        <c:v>132.45497630331755</c:v>
                      </c:pt>
                      <c:pt idx="2">
                        <c:v>175.02979011509822</c:v>
                      </c:pt>
                      <c:pt idx="3">
                        <c:v>357.62843601895736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DF70-4876-8A12-7FF92C12FD6C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Data'!$D$2</c15:sqref>
                        </c15:formulaRef>
                      </c:ext>
                    </c:extLst>
                    <c:strCache>
                      <c:ptCount val="1"/>
                      <c:pt idx="0">
                        <c:v>Torchlight*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Data'!$B$3:$B$8</c15:sqref>
                        </c15:formulaRef>
                      </c:ext>
                    </c:extLst>
                    <c:strCache>
                      <c:ptCount val="6"/>
                      <c:pt idx="0">
                        <c:v>LFG</c:v>
                      </c:pt>
                      <c:pt idx="1">
                        <c:v>Manure</c:v>
                      </c:pt>
                      <c:pt idx="2">
                        <c:v>Food Waste</c:v>
                      </c:pt>
                      <c:pt idx="3">
                        <c:v>Wastewater</c:v>
                      </c:pt>
                      <c:pt idx="4">
                        <c:v>Ag. Residue</c:v>
                      </c:pt>
                      <c:pt idx="5">
                        <c:v>EE 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Data'!$D$3:$D$8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6"/>
                      <c:pt idx="0">
                        <c:v>19.790942601369128</c:v>
                      </c:pt>
                      <c:pt idx="1">
                        <c:v>121.37848131039901</c:v>
                      </c:pt>
                      <c:pt idx="4">
                        <c:v>954.63802001053193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70-4876-8A12-7FF92C12FD6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Data'!$E$2</c15:sqref>
                        </c15:formulaRef>
                      </c:ext>
                    </c:extLst>
                    <c:strCache>
                      <c:ptCount val="1"/>
                      <c:pt idx="0">
                        <c:v>Torchlight*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Data'!$B$3:$B$8</c15:sqref>
                        </c15:formulaRef>
                      </c:ext>
                    </c:extLst>
                    <c:strCache>
                      <c:ptCount val="6"/>
                      <c:pt idx="0">
                        <c:v>LFG</c:v>
                      </c:pt>
                      <c:pt idx="1">
                        <c:v>Manure</c:v>
                      </c:pt>
                      <c:pt idx="2">
                        <c:v>Food Waste</c:v>
                      </c:pt>
                      <c:pt idx="3">
                        <c:v>Wastewater</c:v>
                      </c:pt>
                      <c:pt idx="4">
                        <c:v>Ag. Residue</c:v>
                      </c:pt>
                      <c:pt idx="5">
                        <c:v>EE 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Data'!$E$3:$E$8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6"/>
                      <c:pt idx="0">
                        <c:v>227.38353519396173</c:v>
                      </c:pt>
                      <c:pt idx="4">
                        <c:v>1300.771353343865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70-4876-8A12-7FF92C12FD6C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Data'!$H$2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Data'!$B$3:$B$8</c15:sqref>
                        </c15:formulaRef>
                      </c:ext>
                    </c:extLst>
                    <c:strCache>
                      <c:ptCount val="6"/>
                      <c:pt idx="0">
                        <c:v>LFG</c:v>
                      </c:pt>
                      <c:pt idx="1">
                        <c:v>Manure</c:v>
                      </c:pt>
                      <c:pt idx="2">
                        <c:v>Food Waste</c:v>
                      </c:pt>
                      <c:pt idx="3">
                        <c:v>Wastewater</c:v>
                      </c:pt>
                      <c:pt idx="4">
                        <c:v>Ag. Residue</c:v>
                      </c:pt>
                      <c:pt idx="5">
                        <c:v>EE </c:v>
                      </c:pt>
                    </c:strCache>
                  </c:str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Data'!$H$3:$H$9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7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70-4876-8A12-7FF92C12FD6C}"/>
                  </c:ext>
                </c:extLst>
              </c15:ser>
            </c15:filteredScatterSeries>
          </c:ext>
        </c:extLst>
      </c:scatterChart>
      <c:valAx>
        <c:axId val="561613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RNG/EE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one"/>
        <c:spPr>
          <a:noFill/>
          <a:ln w="2540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608655"/>
        <c:crosses val="autoZero"/>
        <c:crossBetween val="midCat"/>
      </c:valAx>
      <c:valAx>
        <c:axId val="56160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tonne </a:t>
                </a:r>
              </a:p>
              <a:p>
                <a:pPr>
                  <a:defRPr/>
                </a:pPr>
                <a:r>
                  <a:rPr lang="en-US"/>
                  <a:t>CO2e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613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67D3F3B-28C0-465F-9245-F1B336789B42}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11" cy="62833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94D088-A142-4536-2260-1453F75FA9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0.18814</cdr:x>
      <cdr:y>0.37373</cdr:y>
    </cdr:from>
    <cdr:to>
      <cdr:x>0.23726</cdr:x>
      <cdr:y>0.41209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565D8F-FB0C-15E2-1940-3AE7B90B6FEF}"/>
            </a:ext>
          </a:extLst>
        </cdr:cNvPr>
        <cdr:cNvSpPr txBox="1"/>
      </cdr:nvSpPr>
      <cdr:spPr>
        <a:xfrm xmlns:a="http://schemas.openxmlformats.org/drawingml/2006/main">
          <a:off x="1631048" y="2348262"/>
          <a:ext cx="425805" cy="24103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/>
            <a:t>LFG</a:t>
          </a:r>
        </a:p>
      </cdr:txBody>
    </cdr:sp>
  </cdr:relSizeAnchor>
  <cdr:relSizeAnchor xmlns:cdr="http://schemas.openxmlformats.org/drawingml/2006/chartDrawing">
    <cdr:from>
      <cdr:x>0.29963</cdr:x>
      <cdr:y>0.69403</cdr:y>
    </cdr:from>
    <cdr:to>
      <cdr:x>0.37439</cdr:x>
      <cdr:y>0.73453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E9BD603-4EE4-5BD7-6BAE-041AB73D10A2}"/>
            </a:ext>
          </a:extLst>
        </cdr:cNvPr>
        <cdr:cNvSpPr txBox="1"/>
      </cdr:nvSpPr>
      <cdr:spPr>
        <a:xfrm xmlns:a="http://schemas.openxmlformats.org/drawingml/2006/main">
          <a:off x="2597549" y="4360873"/>
          <a:ext cx="648164" cy="2544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Manure</a:t>
          </a:r>
        </a:p>
      </cdr:txBody>
    </cdr:sp>
  </cdr:relSizeAnchor>
  <cdr:relSizeAnchor xmlns:cdr="http://schemas.openxmlformats.org/drawingml/2006/chartDrawing">
    <cdr:from>
      <cdr:x>0.41754</cdr:x>
      <cdr:y>0.49043</cdr:y>
    </cdr:from>
    <cdr:to>
      <cdr:x>0.49138</cdr:x>
      <cdr:y>0.55522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E9BD603-4EE4-5BD7-6BAE-041AB73D10A2}"/>
            </a:ext>
          </a:extLst>
        </cdr:cNvPr>
        <cdr:cNvSpPr txBox="1"/>
      </cdr:nvSpPr>
      <cdr:spPr>
        <a:xfrm xmlns:a="http://schemas.openxmlformats.org/drawingml/2006/main">
          <a:off x="3619797" y="3081537"/>
          <a:ext cx="640088" cy="4070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Food Waste</a:t>
          </a:r>
        </a:p>
      </cdr:txBody>
    </cdr:sp>
  </cdr:relSizeAnchor>
  <cdr:relSizeAnchor xmlns:cdr="http://schemas.openxmlformats.org/drawingml/2006/chartDrawing">
    <cdr:from>
      <cdr:x>0.52829</cdr:x>
      <cdr:y>0.16296</cdr:y>
    </cdr:from>
    <cdr:to>
      <cdr:x>0.60768</cdr:x>
      <cdr:y>0.23158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4E9BD603-4EE4-5BD7-6BAE-041AB73D10A2}"/>
            </a:ext>
          </a:extLst>
        </cdr:cNvPr>
        <cdr:cNvSpPr txBox="1"/>
      </cdr:nvSpPr>
      <cdr:spPr>
        <a:xfrm xmlns:a="http://schemas.openxmlformats.org/drawingml/2006/main">
          <a:off x="4579905" y="1023925"/>
          <a:ext cx="688261" cy="431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Waste</a:t>
          </a:r>
          <a:r>
            <a:rPr lang="en-US" sz="1100" kern="1200" baseline="0"/>
            <a:t> water</a:t>
          </a:r>
          <a:endParaRPr lang="en-US" sz="1100" kern="1200"/>
        </a:p>
      </cdr:txBody>
    </cdr:sp>
  </cdr:relSizeAnchor>
  <cdr:relSizeAnchor xmlns:cdr="http://schemas.openxmlformats.org/drawingml/2006/chartDrawing">
    <cdr:from>
      <cdr:x>0.82874</cdr:x>
      <cdr:y>0.86984</cdr:y>
    </cdr:from>
    <cdr:to>
      <cdr:x>0.94928</cdr:x>
      <cdr:y>0.93683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B4545849-C947-B33A-8F9F-E58DBB6FB9E5}"/>
            </a:ext>
          </a:extLst>
        </cdr:cNvPr>
        <cdr:cNvSpPr txBox="1"/>
      </cdr:nvSpPr>
      <cdr:spPr>
        <a:xfrm xmlns:a="http://schemas.openxmlformats.org/drawingml/2006/main">
          <a:off x="7184632" y="5465549"/>
          <a:ext cx="1044968" cy="42090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kern="1200"/>
            <a:t>Verified </a:t>
          </a:r>
          <a:r>
            <a:rPr lang="en-US" sz="1100" kern="1200" baseline="0"/>
            <a:t> Efficiency (RA) </a:t>
          </a:r>
          <a:endParaRPr lang="en-US" sz="1100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2F01-4622-4026-8EA7-509539678D77}">
  <sheetPr>
    <pageSetUpPr fitToPage="1"/>
  </sheetPr>
  <dimension ref="B2:Q25"/>
  <sheetViews>
    <sheetView showGridLines="0" topLeftCell="A3" zoomScale="92" workbookViewId="0">
      <selection activeCell="L24" sqref="L24"/>
    </sheetView>
  </sheetViews>
  <sheetFormatPr defaultRowHeight="14.4" x14ac:dyDescent="0.3"/>
  <cols>
    <col min="2" max="2" width="19.77734375" customWidth="1"/>
    <col min="3" max="3" width="23.109375" customWidth="1"/>
    <col min="4" max="4" width="12" customWidth="1"/>
    <col min="5" max="5" width="12.21875" customWidth="1"/>
    <col min="6" max="6" width="10.109375" customWidth="1"/>
    <col min="7" max="7" width="13.77734375" customWidth="1"/>
    <col min="10" max="10" width="10.88671875" customWidth="1"/>
    <col min="11" max="11" width="5" customWidth="1"/>
    <col min="12" max="12" width="12.5546875" customWidth="1"/>
    <col min="13" max="13" width="13.109375" customWidth="1"/>
    <col min="14" max="14" width="12.109375" customWidth="1"/>
    <col min="15" max="15" width="11.5546875" customWidth="1"/>
  </cols>
  <sheetData>
    <row r="2" spans="2:17" ht="70.8" customHeight="1" x14ac:dyDescent="0.3">
      <c r="D2" s="4" t="s">
        <v>9</v>
      </c>
      <c r="E2" s="6" t="s">
        <v>10</v>
      </c>
      <c r="F2" s="6" t="s">
        <v>76</v>
      </c>
      <c r="G2" s="4" t="s">
        <v>23</v>
      </c>
      <c r="H2" s="4" t="s">
        <v>24</v>
      </c>
      <c r="I2" s="6" t="s">
        <v>11</v>
      </c>
      <c r="J2" s="6" t="s">
        <v>71</v>
      </c>
      <c r="M2" s="35" t="s">
        <v>20</v>
      </c>
      <c r="N2" s="35"/>
    </row>
    <row r="3" spans="2:17" ht="18" customHeight="1" x14ac:dyDescent="0.3">
      <c r="B3" s="36" t="s">
        <v>69</v>
      </c>
      <c r="C3" t="s">
        <v>5</v>
      </c>
      <c r="D3" s="30">
        <f>D15</f>
        <v>85</v>
      </c>
      <c r="E3" s="33" t="s">
        <v>1</v>
      </c>
      <c r="F3" s="33" t="s">
        <v>1</v>
      </c>
      <c r="G3" s="8">
        <f>G15</f>
        <v>5.48</v>
      </c>
      <c r="H3" s="8">
        <f>H15</f>
        <v>5.1943127962085311</v>
      </c>
      <c r="I3" s="28" t="s">
        <v>1</v>
      </c>
      <c r="J3" s="28" t="s">
        <v>1</v>
      </c>
      <c r="L3" s="4" t="s">
        <v>19</v>
      </c>
      <c r="M3" s="4" t="s">
        <v>77</v>
      </c>
      <c r="N3" s="4" t="s">
        <v>78</v>
      </c>
      <c r="O3" s="4" t="s">
        <v>21</v>
      </c>
    </row>
    <row r="4" spans="2:17" x14ac:dyDescent="0.3">
      <c r="B4" s="36"/>
      <c r="C4" s="7" t="s">
        <v>2</v>
      </c>
      <c r="D4" s="30">
        <v>31</v>
      </c>
      <c r="E4" s="30">
        <f>$D$3-D4</f>
        <v>54</v>
      </c>
      <c r="F4" s="34">
        <f>E4/$D$3</f>
        <v>0.63529411764705879</v>
      </c>
      <c r="G4" s="8">
        <f>O4*$B$22</f>
        <v>17.810000000000002</v>
      </c>
      <c r="H4" s="8">
        <f t="shared" ref="H4:H7" si="0">G4/1.055</f>
        <v>16.88151658767773</v>
      </c>
      <c r="I4" s="9">
        <f>H4-$H$15</f>
        <v>11.687203791469198</v>
      </c>
      <c r="J4" s="10">
        <f>((1000/E4)*I4)*$B$25</f>
        <v>257.5513428120064</v>
      </c>
      <c r="L4" s="7" t="s">
        <v>2</v>
      </c>
      <c r="M4" s="8">
        <v>7</v>
      </c>
      <c r="N4" s="8">
        <v>19</v>
      </c>
      <c r="O4" s="8">
        <f>(M4+N4)/2</f>
        <v>13</v>
      </c>
      <c r="Q4" s="1"/>
    </row>
    <row r="5" spans="2:17" x14ac:dyDescent="0.3">
      <c r="B5" s="36"/>
      <c r="C5" s="7" t="s">
        <v>27</v>
      </c>
      <c r="D5" s="30">
        <f>AVERAGE(-292,-285)</f>
        <v>-288.5</v>
      </c>
      <c r="E5" s="30">
        <f>$D$3-D5</f>
        <v>373.5</v>
      </c>
      <c r="F5" s="34">
        <f t="shared" ref="F5:F7" si="1">E5/$D$3</f>
        <v>4.3941176470588239</v>
      </c>
      <c r="G5" s="8">
        <f>O5*$B$22</f>
        <v>34.935000000000002</v>
      </c>
      <c r="H5" s="8">
        <f t="shared" si="0"/>
        <v>33.113744075829388</v>
      </c>
      <c r="I5" s="9">
        <f>H5-$H$15</f>
        <v>27.919431279620856</v>
      </c>
      <c r="J5" s="10">
        <f>((1000/E5)*I5)*$B$25</f>
        <v>88.953475830652778</v>
      </c>
      <c r="L5" s="7" t="s">
        <v>3</v>
      </c>
      <c r="M5" s="8">
        <v>18.399999999999999</v>
      </c>
      <c r="N5" s="8">
        <v>32.6</v>
      </c>
      <c r="O5" s="8">
        <f t="shared" ref="O5:O7" si="2">(M5+N5)/2</f>
        <v>25.5</v>
      </c>
      <c r="Q5" s="1"/>
    </row>
    <row r="6" spans="2:17" x14ac:dyDescent="0.3">
      <c r="B6" s="36"/>
      <c r="C6" s="7" t="s">
        <v>22</v>
      </c>
      <c r="D6" s="30">
        <f>AVERAGE(28,34)</f>
        <v>31</v>
      </c>
      <c r="E6" s="30">
        <f>$D$3-D6</f>
        <v>54</v>
      </c>
      <c r="F6" s="34">
        <f t="shared" si="1"/>
        <v>0.63529411764705879</v>
      </c>
      <c r="G6" s="8">
        <f>O6*$B$22</f>
        <v>22.947500000000002</v>
      </c>
      <c r="H6" s="8">
        <f t="shared" si="0"/>
        <v>21.751184834123226</v>
      </c>
      <c r="I6" s="9">
        <f>H6-$H$15</f>
        <v>16.556872037914694</v>
      </c>
      <c r="J6" s="10">
        <f>((1000/E6)*I6)*$B$25</f>
        <v>364.86440231700897</v>
      </c>
      <c r="L6" s="7" t="s">
        <v>22</v>
      </c>
      <c r="M6" s="8">
        <v>7.4</v>
      </c>
      <c r="N6" s="8">
        <v>26.1</v>
      </c>
      <c r="O6" s="8">
        <f t="shared" si="2"/>
        <v>16.75</v>
      </c>
      <c r="Q6" s="1"/>
    </row>
    <row r="7" spans="2:17" x14ac:dyDescent="0.3">
      <c r="B7" s="37"/>
      <c r="C7" s="7" t="s">
        <v>4</v>
      </c>
      <c r="D7" s="30">
        <f>AVERAGE(-79,-68)</f>
        <v>-73.5</v>
      </c>
      <c r="E7" s="30">
        <f>$D$3-D7</f>
        <v>158.5</v>
      </c>
      <c r="F7" s="34">
        <f t="shared" si="1"/>
        <v>1.8647058823529412</v>
      </c>
      <c r="G7" s="8">
        <f>O7*$B$22</f>
        <v>32.674500000000002</v>
      </c>
      <c r="H7" s="8">
        <f t="shared" si="0"/>
        <v>30.971090047393368</v>
      </c>
      <c r="I7" s="9">
        <f>H7-$H$15</f>
        <v>25.776777251184836</v>
      </c>
      <c r="J7" s="10">
        <f>((1000/E7)*I7)*$B$25</f>
        <v>193.52911627072527</v>
      </c>
      <c r="L7" s="7" t="s">
        <v>4</v>
      </c>
      <c r="M7" s="8">
        <v>19.399999999999999</v>
      </c>
      <c r="N7" s="8">
        <v>28.3</v>
      </c>
      <c r="O7" s="8">
        <f t="shared" si="2"/>
        <v>23.85</v>
      </c>
      <c r="Q7" s="1"/>
    </row>
    <row r="8" spans="2:17" x14ac:dyDescent="0.3">
      <c r="D8" s="31"/>
      <c r="E8" s="31"/>
      <c r="F8" s="31"/>
    </row>
    <row r="9" spans="2:17" x14ac:dyDescent="0.3">
      <c r="B9" s="41" t="s">
        <v>72</v>
      </c>
      <c r="C9" s="7" t="s">
        <v>14</v>
      </c>
      <c r="D9" s="30">
        <f>AVERAGE(25,55)</f>
        <v>40</v>
      </c>
      <c r="E9" s="30">
        <f>$D$15-D9</f>
        <v>45</v>
      </c>
      <c r="F9" s="34">
        <f t="shared" ref="F9:F13" si="3">E9/$D$3</f>
        <v>0.52941176470588236</v>
      </c>
      <c r="G9" s="7"/>
      <c r="H9" s="11">
        <v>41.6</v>
      </c>
      <c r="I9" s="9">
        <f>H9-$H$15</f>
        <v>36.405687203791473</v>
      </c>
      <c r="J9" s="10">
        <f>((1000/E9)*I9)*$C$25</f>
        <v>954.63802001053193</v>
      </c>
    </row>
    <row r="10" spans="2:17" x14ac:dyDescent="0.3">
      <c r="B10" s="42"/>
      <c r="C10" s="7" t="s">
        <v>15</v>
      </c>
      <c r="D10" s="30">
        <f>AVERAGE(-392,-385)</f>
        <v>-388.5</v>
      </c>
      <c r="E10" s="30">
        <f>$D$15-D10</f>
        <v>473.5</v>
      </c>
      <c r="F10" s="34">
        <f t="shared" si="3"/>
        <v>5.5705882352941174</v>
      </c>
      <c r="G10" s="7"/>
      <c r="H10" s="11">
        <v>53.9</v>
      </c>
      <c r="I10" s="9">
        <f>H10-$H$15</f>
        <v>48.70568720379147</v>
      </c>
      <c r="J10" s="10">
        <f>((1000/E10)*I10)*$C$25</f>
        <v>121.37848131039901</v>
      </c>
    </row>
    <row r="11" spans="2:17" x14ac:dyDescent="0.3">
      <c r="B11" s="42"/>
      <c r="C11" s="7" t="s">
        <v>16</v>
      </c>
      <c r="D11" s="30">
        <f t="shared" ref="D11" si="4">AVERAGE(25,55)</f>
        <v>40</v>
      </c>
      <c r="E11" s="30">
        <f>$D$15-D11</f>
        <v>45</v>
      </c>
      <c r="F11" s="34">
        <f t="shared" si="3"/>
        <v>0.52941176470588236</v>
      </c>
      <c r="G11" s="7"/>
      <c r="H11" s="11">
        <v>54.8</v>
      </c>
      <c r="I11" s="9">
        <f>H11-$H$15</f>
        <v>49.605687203791469</v>
      </c>
      <c r="J11" s="10">
        <f>((1000/E11)*I11)*$C$25</f>
        <v>1300.771353343865</v>
      </c>
    </row>
    <row r="12" spans="2:17" x14ac:dyDescent="0.3">
      <c r="B12" s="42"/>
      <c r="C12" s="7" t="s">
        <v>17</v>
      </c>
      <c r="D12" s="30">
        <f>AVERAGE(28,34)</f>
        <v>31</v>
      </c>
      <c r="E12" s="30">
        <f>$D$15-D12</f>
        <v>54</v>
      </c>
      <c r="F12" s="34">
        <f t="shared" si="3"/>
        <v>0.63529411764705879</v>
      </c>
      <c r="G12" s="7"/>
      <c r="H12" s="11">
        <v>15.6</v>
      </c>
      <c r="I12" s="9">
        <f>H12-$H$15</f>
        <v>10.405687203791469</v>
      </c>
      <c r="J12" s="10">
        <f>((1000/E12)*I12)*$C$25</f>
        <v>227.38353519396173</v>
      </c>
      <c r="P12" s="1"/>
    </row>
    <row r="13" spans="2:17" x14ac:dyDescent="0.3">
      <c r="B13" s="43"/>
      <c r="C13" s="7" t="s">
        <v>18</v>
      </c>
      <c r="D13" s="30">
        <f>AVERAGE(28,34)</f>
        <v>31</v>
      </c>
      <c r="E13" s="30">
        <f>$D$15-D13</f>
        <v>54</v>
      </c>
      <c r="F13" s="34">
        <f t="shared" si="3"/>
        <v>0.63529411764705879</v>
      </c>
      <c r="G13" s="7"/>
      <c r="H13" s="11">
        <v>6.1</v>
      </c>
      <c r="I13" s="9">
        <f>H13-$H$15</f>
        <v>0.9056872037914685</v>
      </c>
      <c r="J13" s="10">
        <f>((1000/E13)*I13)*$C$25</f>
        <v>19.790942601369128</v>
      </c>
      <c r="P13" s="1"/>
    </row>
    <row r="14" spans="2:17" x14ac:dyDescent="0.3">
      <c r="D14" s="31"/>
      <c r="E14" s="31"/>
      <c r="F14" s="31"/>
      <c r="L14" s="4"/>
      <c r="P14" s="1"/>
    </row>
    <row r="15" spans="2:17" x14ac:dyDescent="0.3">
      <c r="B15" s="38" t="s">
        <v>68</v>
      </c>
      <c r="C15" s="7" t="s">
        <v>5</v>
      </c>
      <c r="D15" s="30">
        <v>85</v>
      </c>
      <c r="E15" s="32" t="s">
        <v>1</v>
      </c>
      <c r="F15" s="32" t="s">
        <v>1</v>
      </c>
      <c r="G15" s="8">
        <f>$B$22*4</f>
        <v>5.48</v>
      </c>
      <c r="H15" s="8">
        <f>G15/1.055</f>
        <v>5.1943127962085311</v>
      </c>
      <c r="I15" s="28" t="s">
        <v>1</v>
      </c>
      <c r="J15" s="28" t="s">
        <v>1</v>
      </c>
      <c r="L15" s="2"/>
      <c r="P15" s="1"/>
    </row>
    <row r="16" spans="2:17" x14ac:dyDescent="0.3">
      <c r="B16" s="39"/>
      <c r="C16" s="7" t="s">
        <v>6</v>
      </c>
      <c r="D16" s="30">
        <v>55</v>
      </c>
      <c r="E16" s="30">
        <f>$D$15-D16</f>
        <v>30</v>
      </c>
      <c r="F16" s="34">
        <f t="shared" ref="F16:F19" si="5">E16/$D$3</f>
        <v>0.35294117647058826</v>
      </c>
      <c r="G16" s="8">
        <f>$B$22*12.5</f>
        <v>17.125</v>
      </c>
      <c r="H16" s="8">
        <f t="shared" ref="H16:H19" si="6">G16/1.055</f>
        <v>16.232227488151661</v>
      </c>
      <c r="I16" s="9">
        <f>H16-$H$15</f>
        <v>11.037914691943129</v>
      </c>
      <c r="J16" s="10">
        <f>((1000/E16)*I16)*$D$25</f>
        <v>375.28909952606642</v>
      </c>
      <c r="L16" s="2"/>
    </row>
    <row r="17" spans="2:17" x14ac:dyDescent="0.3">
      <c r="B17" s="39"/>
      <c r="C17" s="7" t="s">
        <v>7</v>
      </c>
      <c r="D17" s="30">
        <v>-150</v>
      </c>
      <c r="E17" s="30">
        <f>$D$15-D17</f>
        <v>235</v>
      </c>
      <c r="F17" s="34">
        <f t="shared" si="5"/>
        <v>2.7647058823529411</v>
      </c>
      <c r="G17" s="8">
        <f>$B$22*27.5</f>
        <v>37.675000000000004</v>
      </c>
      <c r="H17" s="8">
        <f t="shared" si="6"/>
        <v>35.710900473933656</v>
      </c>
      <c r="I17" s="9">
        <f>H17-$H$15</f>
        <v>30.516587677725123</v>
      </c>
      <c r="J17" s="10">
        <f>((1000/E17)*I17)*$D$25</f>
        <v>132.45497630331755</v>
      </c>
      <c r="L17" s="2"/>
    </row>
    <row r="18" spans="2:17" x14ac:dyDescent="0.3">
      <c r="B18" s="39"/>
      <c r="C18" s="7" t="s">
        <v>4</v>
      </c>
      <c r="D18" s="30">
        <v>-55</v>
      </c>
      <c r="E18" s="30">
        <f>$D$15-D18</f>
        <v>140</v>
      </c>
      <c r="F18" s="34">
        <f t="shared" si="5"/>
        <v>1.6470588235294117</v>
      </c>
      <c r="G18" s="8">
        <f>$B$22*22.5</f>
        <v>30.825000000000003</v>
      </c>
      <c r="H18" s="8">
        <f t="shared" si="6"/>
        <v>29.21800947867299</v>
      </c>
      <c r="I18" s="9">
        <f>H18-$H$15</f>
        <v>24.023696682464458</v>
      </c>
      <c r="J18" s="10">
        <f>((1000/E18)*I18)*$D$25</f>
        <v>175.02979011509822</v>
      </c>
      <c r="L18" s="2"/>
    </row>
    <row r="19" spans="2:17" x14ac:dyDescent="0.3">
      <c r="B19" s="40"/>
      <c r="C19" s="7" t="s">
        <v>8</v>
      </c>
      <c r="D19" s="30">
        <v>35</v>
      </c>
      <c r="E19" s="30">
        <f>$D$15-D19</f>
        <v>50</v>
      </c>
      <c r="F19" s="34">
        <f t="shared" si="5"/>
        <v>0.58823529411764708</v>
      </c>
      <c r="G19" s="8">
        <f>$B$22*17.5</f>
        <v>23.975000000000001</v>
      </c>
      <c r="H19" s="8">
        <f t="shared" si="6"/>
        <v>22.725118483412324</v>
      </c>
      <c r="I19" s="9">
        <f>H19-$H$15</f>
        <v>17.530805687203792</v>
      </c>
      <c r="J19" s="10">
        <f>((1000/E19)*I19)*$D$25</f>
        <v>357.62843601895736</v>
      </c>
      <c r="L19" s="2"/>
    </row>
    <row r="20" spans="2:17" x14ac:dyDescent="0.3">
      <c r="E20" s="31"/>
      <c r="F20" s="31"/>
      <c r="L20" s="25"/>
      <c r="O20" s="2"/>
      <c r="P20" s="2"/>
      <c r="Q20" s="2"/>
    </row>
    <row r="21" spans="2:17" x14ac:dyDescent="0.3">
      <c r="B21" s="4" t="s">
        <v>13</v>
      </c>
    </row>
    <row r="22" spans="2:17" x14ac:dyDescent="0.3">
      <c r="B22" s="3">
        <v>1.37</v>
      </c>
    </row>
    <row r="23" spans="2:17" x14ac:dyDescent="0.3">
      <c r="B23" s="4" t="s">
        <v>74</v>
      </c>
      <c r="L23" s="29"/>
    </row>
    <row r="24" spans="2:17" x14ac:dyDescent="0.3">
      <c r="B24" s="26" t="s">
        <v>70</v>
      </c>
      <c r="C24" s="26" t="s">
        <v>73</v>
      </c>
      <c r="D24" s="26" t="s">
        <v>66</v>
      </c>
    </row>
    <row r="25" spans="2:17" x14ac:dyDescent="0.3">
      <c r="B25" s="27">
        <v>1.19</v>
      </c>
      <c r="C25" s="27">
        <v>1.18</v>
      </c>
      <c r="D25" s="27">
        <v>1.02</v>
      </c>
      <c r="E25" s="23" t="s">
        <v>67</v>
      </c>
      <c r="F25" s="23"/>
    </row>
  </sheetData>
  <mergeCells count="4">
    <mergeCell ref="M2:N2"/>
    <mergeCell ref="B3:B7"/>
    <mergeCell ref="B15:B19"/>
    <mergeCell ref="B9:B13"/>
  </mergeCells>
  <pageMargins left="0.7" right="0.7" top="0.75" bottom="0.75" header="0.3" footer="0.3"/>
  <pageSetup scale="7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D1DFD-63ED-4E53-B124-BBB0A5E28C9A}">
  <dimension ref="A1:H23"/>
  <sheetViews>
    <sheetView topLeftCell="A2" workbookViewId="0">
      <selection activeCell="H14" sqref="H14"/>
    </sheetView>
  </sheetViews>
  <sheetFormatPr defaultRowHeight="14.4" x14ac:dyDescent="0.3"/>
  <cols>
    <col min="1" max="1" width="29.21875" customWidth="1"/>
    <col min="2" max="2" width="14.6640625" bestFit="1" customWidth="1"/>
    <col min="3" max="3" width="12.21875" customWidth="1"/>
    <col min="7" max="7" width="11.5546875" customWidth="1"/>
  </cols>
  <sheetData>
    <row r="1" spans="1:8" ht="41.4" customHeight="1" x14ac:dyDescent="0.35">
      <c r="A1" s="12" t="s">
        <v>33</v>
      </c>
    </row>
    <row r="2" spans="1:8" ht="28.2" customHeight="1" x14ac:dyDescent="0.3">
      <c r="A2" s="13" t="s">
        <v>34</v>
      </c>
      <c r="B2" s="14"/>
      <c r="C2" s="14"/>
      <c r="D2" s="14"/>
      <c r="E2" s="14"/>
      <c r="F2" s="14"/>
      <c r="G2" s="14"/>
      <c r="H2" s="14"/>
    </row>
    <row r="3" spans="1:8" x14ac:dyDescent="0.3">
      <c r="A3" s="7" t="s">
        <v>35</v>
      </c>
      <c r="B3" s="15">
        <v>42849977</v>
      </c>
      <c r="C3" s="7" t="s">
        <v>36</v>
      </c>
      <c r="D3" s="7" t="s">
        <v>37</v>
      </c>
      <c r="E3" s="7"/>
    </row>
    <row r="4" spans="1:8" x14ac:dyDescent="0.3">
      <c r="A4" s="7" t="s">
        <v>38</v>
      </c>
      <c r="B4" s="15">
        <v>819797964</v>
      </c>
      <c r="C4" s="7" t="s">
        <v>0</v>
      </c>
      <c r="D4" s="7" t="s">
        <v>37</v>
      </c>
      <c r="E4" s="7"/>
    </row>
    <row r="5" spans="1:8" x14ac:dyDescent="0.3">
      <c r="A5" s="7" t="s">
        <v>26</v>
      </c>
      <c r="B5" s="16">
        <f>B4/B3</f>
        <v>19.131818063752988</v>
      </c>
      <c r="C5" s="7" t="s">
        <v>39</v>
      </c>
      <c r="D5" s="7" t="s">
        <v>40</v>
      </c>
      <c r="E5" s="7"/>
    </row>
    <row r="6" spans="1:8" x14ac:dyDescent="0.3">
      <c r="A6" s="7" t="s">
        <v>41</v>
      </c>
      <c r="B6" s="17">
        <v>147340000</v>
      </c>
      <c r="C6" s="18" t="s">
        <v>42</v>
      </c>
      <c r="D6" s="7" t="s">
        <v>43</v>
      </c>
      <c r="E6" s="7"/>
    </row>
    <row r="7" spans="1:8" x14ac:dyDescent="0.3">
      <c r="A7" s="7" t="s">
        <v>44</v>
      </c>
      <c r="B7" s="17">
        <v>70915070</v>
      </c>
      <c r="C7" s="18" t="s">
        <v>42</v>
      </c>
      <c r="D7" s="7" t="s">
        <v>37</v>
      </c>
      <c r="E7" s="7"/>
    </row>
    <row r="8" spans="1:8" x14ac:dyDescent="0.3">
      <c r="A8" s="7" t="s">
        <v>45</v>
      </c>
      <c r="B8" s="17">
        <f>B7+B6</f>
        <v>218255070</v>
      </c>
      <c r="C8" s="18" t="s">
        <v>42</v>
      </c>
      <c r="D8" s="7" t="s">
        <v>46</v>
      </c>
      <c r="E8" s="7"/>
    </row>
    <row r="10" spans="1:8" x14ac:dyDescent="0.3">
      <c r="A10" s="7" t="s">
        <v>47</v>
      </c>
      <c r="B10" s="8">
        <v>0.44400000000000001</v>
      </c>
      <c r="C10" s="7" t="s">
        <v>48</v>
      </c>
      <c r="D10" s="7" t="s">
        <v>49</v>
      </c>
      <c r="E10" s="7"/>
    </row>
    <row r="11" spans="1:8" x14ac:dyDescent="0.3">
      <c r="A11" s="7" t="s">
        <v>50</v>
      </c>
      <c r="B11" s="8">
        <v>2.9729999999999999</v>
      </c>
      <c r="C11" s="7" t="s">
        <v>48</v>
      </c>
      <c r="D11" s="7" t="s">
        <v>49</v>
      </c>
      <c r="E11" s="7"/>
    </row>
    <row r="12" spans="1:8" x14ac:dyDescent="0.3">
      <c r="A12" s="7" t="s">
        <v>51</v>
      </c>
      <c r="B12" s="17">
        <f>B11*B3</f>
        <v>127392981.62099999</v>
      </c>
      <c r="C12" s="18" t="s">
        <v>42</v>
      </c>
      <c r="D12" s="7" t="s">
        <v>52</v>
      </c>
      <c r="E12" s="7"/>
    </row>
    <row r="13" spans="1:8" x14ac:dyDescent="0.3">
      <c r="A13" s="7" t="s">
        <v>53</v>
      </c>
      <c r="B13" s="17">
        <f>B8-B12</f>
        <v>90862088.379000008</v>
      </c>
      <c r="C13" s="18" t="s">
        <v>42</v>
      </c>
      <c r="D13" s="7" t="s">
        <v>54</v>
      </c>
      <c r="E13" s="7"/>
    </row>
    <row r="14" spans="1:8" x14ac:dyDescent="0.3">
      <c r="A14" s="7" t="s">
        <v>55</v>
      </c>
      <c r="B14" s="7">
        <v>1.921E-3</v>
      </c>
      <c r="C14" s="7" t="s">
        <v>56</v>
      </c>
      <c r="D14" s="7" t="s">
        <v>75</v>
      </c>
      <c r="E14" s="7"/>
    </row>
    <row r="15" spans="1:8" x14ac:dyDescent="0.3">
      <c r="A15" s="7" t="s">
        <v>57</v>
      </c>
      <c r="B15" s="19">
        <f>B14*B3</f>
        <v>82314.805817</v>
      </c>
      <c r="C15" s="7" t="s">
        <v>58</v>
      </c>
      <c r="D15" s="7" t="s">
        <v>59</v>
      </c>
      <c r="E15" s="7"/>
    </row>
    <row r="17" spans="1:6" x14ac:dyDescent="0.3">
      <c r="A17" s="7" t="s">
        <v>60</v>
      </c>
      <c r="B17" s="20">
        <f>((B7-B13)/B15)*B22</f>
        <v>-254.68463550696208</v>
      </c>
      <c r="C17" s="7" t="s">
        <v>61</v>
      </c>
      <c r="D17" s="7"/>
    </row>
    <row r="18" spans="1:6" x14ac:dyDescent="0.3">
      <c r="A18" s="7" t="s">
        <v>62</v>
      </c>
      <c r="B18" s="20">
        <f>(-PMT(0.04,B5,(B7-B13))/B15)*B22</f>
        <v>-19.301413662508487</v>
      </c>
      <c r="C18" s="7" t="s">
        <v>63</v>
      </c>
      <c r="D18" s="7"/>
    </row>
    <row r="21" spans="1:6" x14ac:dyDescent="0.3">
      <c r="A21" t="s">
        <v>64</v>
      </c>
      <c r="B21" s="4" t="s">
        <v>65</v>
      </c>
      <c r="D21" s="6"/>
      <c r="E21" s="21"/>
      <c r="F21" s="21"/>
    </row>
    <row r="22" spans="1:6" x14ac:dyDescent="0.3">
      <c r="B22" s="22">
        <f>1.051</f>
        <v>1.0509999999999999</v>
      </c>
      <c r="C22" s="23" t="s">
        <v>67</v>
      </c>
      <c r="D22" s="22"/>
      <c r="E22" s="22"/>
    </row>
    <row r="23" spans="1:6" x14ac:dyDescent="0.3">
      <c r="C23" s="24"/>
      <c r="D2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7224-9369-441F-9061-3602BAE69667}">
  <dimension ref="A1:H23"/>
  <sheetViews>
    <sheetView tabSelected="1" topLeftCell="A2" workbookViewId="0">
      <selection activeCell="B7" sqref="B7"/>
    </sheetView>
  </sheetViews>
  <sheetFormatPr defaultRowHeight="14.4" x14ac:dyDescent="0.3"/>
  <cols>
    <col min="1" max="1" width="29.21875" customWidth="1"/>
    <col min="2" max="2" width="14.6640625" bestFit="1" customWidth="1"/>
    <col min="3" max="3" width="12.21875" customWidth="1"/>
    <col min="7" max="7" width="11.5546875" customWidth="1"/>
  </cols>
  <sheetData>
    <row r="1" spans="1:8" ht="41.4" customHeight="1" x14ac:dyDescent="0.35">
      <c r="A1" s="12" t="s">
        <v>80</v>
      </c>
    </row>
    <row r="2" spans="1:8" ht="28.2" customHeight="1" x14ac:dyDescent="0.3">
      <c r="A2" s="13" t="s">
        <v>34</v>
      </c>
      <c r="B2" s="14"/>
      <c r="C2" s="14"/>
      <c r="D2" s="14"/>
      <c r="E2" s="14"/>
      <c r="F2" s="14"/>
      <c r="G2" s="14"/>
      <c r="H2" s="14"/>
    </row>
    <row r="3" spans="1:8" x14ac:dyDescent="0.3">
      <c r="A3" s="7" t="s">
        <v>79</v>
      </c>
      <c r="B3" s="15">
        <v>37630798</v>
      </c>
      <c r="C3" s="7" t="s">
        <v>36</v>
      </c>
      <c r="D3" s="7" t="s">
        <v>37</v>
      </c>
      <c r="E3" s="7"/>
    </row>
    <row r="4" spans="1:8" x14ac:dyDescent="0.3">
      <c r="A4" s="7" t="s">
        <v>38</v>
      </c>
      <c r="B4" s="15">
        <v>713337723</v>
      </c>
      <c r="C4" s="7" t="s">
        <v>0</v>
      </c>
      <c r="D4" s="7" t="s">
        <v>37</v>
      </c>
      <c r="E4" s="7"/>
    </row>
    <row r="5" spans="1:8" x14ac:dyDescent="0.3">
      <c r="A5" s="7" t="s">
        <v>26</v>
      </c>
      <c r="B5" s="16">
        <f>B4/B3</f>
        <v>18.956220992177737</v>
      </c>
      <c r="C5" s="7" t="s">
        <v>39</v>
      </c>
      <c r="D5" s="7" t="s">
        <v>40</v>
      </c>
      <c r="E5" s="7"/>
    </row>
    <row r="6" spans="1:8" x14ac:dyDescent="0.3">
      <c r="A6" s="7" t="s">
        <v>41</v>
      </c>
      <c r="B6" s="17">
        <v>129880000</v>
      </c>
      <c r="C6" s="18" t="s">
        <v>42</v>
      </c>
      <c r="D6" s="7" t="s">
        <v>43</v>
      </c>
      <c r="E6" s="7"/>
    </row>
    <row r="7" spans="1:8" x14ac:dyDescent="0.3">
      <c r="A7" s="7" t="s">
        <v>44</v>
      </c>
      <c r="B7" s="17">
        <f>51967130+2821919</f>
        <v>54789049</v>
      </c>
      <c r="C7" s="18" t="s">
        <v>42</v>
      </c>
      <c r="D7" s="7" t="s">
        <v>37</v>
      </c>
      <c r="E7" s="7"/>
    </row>
    <row r="8" spans="1:8" x14ac:dyDescent="0.3">
      <c r="A8" s="7" t="s">
        <v>45</v>
      </c>
      <c r="B8" s="17">
        <f>B7+B6</f>
        <v>184669049</v>
      </c>
      <c r="C8" s="18" t="s">
        <v>42</v>
      </c>
      <c r="D8" s="7" t="s">
        <v>46</v>
      </c>
      <c r="E8" s="7"/>
    </row>
    <row r="10" spans="1:8" x14ac:dyDescent="0.3">
      <c r="A10" s="7" t="s">
        <v>47</v>
      </c>
      <c r="B10" s="8">
        <v>0.44400000000000001</v>
      </c>
      <c r="C10" s="7" t="s">
        <v>48</v>
      </c>
      <c r="D10" s="7" t="s">
        <v>49</v>
      </c>
      <c r="E10" s="7"/>
    </row>
    <row r="11" spans="1:8" x14ac:dyDescent="0.3">
      <c r="A11" s="7" t="s">
        <v>50</v>
      </c>
      <c r="B11" s="8">
        <v>2.9729999999999999</v>
      </c>
      <c r="C11" s="7" t="s">
        <v>48</v>
      </c>
      <c r="D11" s="7" t="s">
        <v>49</v>
      </c>
      <c r="E11" s="7"/>
    </row>
    <row r="12" spans="1:8" x14ac:dyDescent="0.3">
      <c r="A12" s="7" t="s">
        <v>51</v>
      </c>
      <c r="B12" s="17">
        <f>B11*B3</f>
        <v>111876362.454</v>
      </c>
      <c r="C12" s="18" t="s">
        <v>42</v>
      </c>
      <c r="D12" s="7" t="s">
        <v>52</v>
      </c>
      <c r="E12" s="7"/>
    </row>
    <row r="13" spans="1:8" x14ac:dyDescent="0.3">
      <c r="A13" s="7" t="s">
        <v>53</v>
      </c>
      <c r="B13" s="17">
        <f>B8-B12</f>
        <v>72792686.546000004</v>
      </c>
      <c r="C13" s="18" t="s">
        <v>42</v>
      </c>
      <c r="D13" s="7" t="s">
        <v>54</v>
      </c>
      <c r="E13" s="7"/>
    </row>
    <row r="14" spans="1:8" x14ac:dyDescent="0.3">
      <c r="A14" s="7" t="s">
        <v>55</v>
      </c>
      <c r="B14" s="7">
        <v>1.921E-3</v>
      </c>
      <c r="C14" s="7" t="s">
        <v>56</v>
      </c>
      <c r="D14" s="7" t="s">
        <v>75</v>
      </c>
      <c r="E14" s="7"/>
    </row>
    <row r="15" spans="1:8" x14ac:dyDescent="0.3">
      <c r="A15" s="7" t="s">
        <v>57</v>
      </c>
      <c r="B15" s="19">
        <f>B14*B3</f>
        <v>72288.762957999992</v>
      </c>
      <c r="C15" s="7" t="s">
        <v>58</v>
      </c>
      <c r="D15" s="7" t="s">
        <v>59</v>
      </c>
      <c r="E15" s="7"/>
    </row>
    <row r="17" spans="1:6" x14ac:dyDescent="0.3">
      <c r="A17" s="7" t="s">
        <v>60</v>
      </c>
      <c r="B17" s="20">
        <f>((B7-B13)/B15)*B22</f>
        <v>-261.75331111751967</v>
      </c>
      <c r="C17" s="7" t="s">
        <v>61</v>
      </c>
      <c r="D17" s="7"/>
    </row>
    <row r="18" spans="1:6" x14ac:dyDescent="0.3">
      <c r="A18" s="7" t="s">
        <v>62</v>
      </c>
      <c r="B18" s="20">
        <f>(-PMT(0.04,B5,(B7-B13))/B15)*B22</f>
        <v>-19.960526632310884</v>
      </c>
      <c r="C18" s="7" t="s">
        <v>63</v>
      </c>
      <c r="D18" s="7"/>
    </row>
    <row r="21" spans="1:6" x14ac:dyDescent="0.3">
      <c r="A21" t="s">
        <v>64</v>
      </c>
      <c r="B21" s="4" t="s">
        <v>65</v>
      </c>
      <c r="D21" s="6"/>
      <c r="E21" s="21"/>
      <c r="F21" s="21"/>
    </row>
    <row r="22" spans="1:6" x14ac:dyDescent="0.3">
      <c r="B22" s="22">
        <f>1.051</f>
        <v>1.0509999999999999</v>
      </c>
      <c r="C22" s="23" t="s">
        <v>67</v>
      </c>
      <c r="D22" s="22"/>
      <c r="E22" s="22"/>
    </row>
    <row r="23" spans="1:6" x14ac:dyDescent="0.3">
      <c r="C23" s="24"/>
      <c r="D23" s="2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DBDA-1994-4592-848C-09F4AAA82FAF}">
  <dimension ref="B2:H9"/>
  <sheetViews>
    <sheetView workbookViewId="0">
      <selection activeCell="G9" sqref="G9"/>
    </sheetView>
  </sheetViews>
  <sheetFormatPr defaultRowHeight="14.4" x14ac:dyDescent="0.3"/>
  <cols>
    <col min="4" max="4" width="12.21875" customWidth="1"/>
    <col min="6" max="6" width="11.77734375" customWidth="1"/>
  </cols>
  <sheetData>
    <row r="2" spans="2:8" x14ac:dyDescent="0.3">
      <c r="B2" s="25" t="s">
        <v>28</v>
      </c>
      <c r="C2" t="s">
        <v>12</v>
      </c>
      <c r="D2" t="s">
        <v>29</v>
      </c>
      <c r="E2" t="s">
        <v>29</v>
      </c>
      <c r="F2" t="s">
        <v>30</v>
      </c>
      <c r="G2" t="s">
        <v>25</v>
      </c>
    </row>
    <row r="3" spans="2:8" x14ac:dyDescent="0.3">
      <c r="B3" t="s">
        <v>2</v>
      </c>
      <c r="C3" s="5">
        <f>'RNG Comparison table '!J16</f>
        <v>375.28909952606642</v>
      </c>
      <c r="D3" s="5">
        <f>'RNG Comparison table '!J13</f>
        <v>19.790942601369128</v>
      </c>
      <c r="E3" s="5">
        <f>'RNG Comparison table '!J12</f>
        <v>227.38353519396173</v>
      </c>
      <c r="F3" s="5">
        <f>'RNG Comparison table '!J4</f>
        <v>257.5513428120064</v>
      </c>
      <c r="G3" s="5"/>
      <c r="H3" s="5"/>
    </row>
    <row r="4" spans="2:8" x14ac:dyDescent="0.3">
      <c r="B4" t="s">
        <v>3</v>
      </c>
      <c r="C4" s="5">
        <f>'RNG Comparison table '!J17</f>
        <v>132.45497630331755</v>
      </c>
      <c r="D4" s="5">
        <f>'RNG Comparison table '!J10</f>
        <v>121.37848131039901</v>
      </c>
      <c r="E4" s="5"/>
      <c r="F4" s="5">
        <f>'RNG Comparison table '!J5</f>
        <v>88.953475830652778</v>
      </c>
      <c r="G4" s="5"/>
      <c r="H4" s="5"/>
    </row>
    <row r="5" spans="2:8" x14ac:dyDescent="0.3">
      <c r="B5" t="s">
        <v>4</v>
      </c>
      <c r="C5" s="5">
        <f>'RNG Comparison table '!J18</f>
        <v>175.02979011509822</v>
      </c>
      <c r="D5" s="5"/>
      <c r="E5" s="5"/>
      <c r="F5" s="5">
        <f>'RNG Comparison table '!J7</f>
        <v>193.52911627072527</v>
      </c>
      <c r="G5" s="5"/>
      <c r="H5" s="5"/>
    </row>
    <row r="6" spans="2:8" x14ac:dyDescent="0.3">
      <c r="B6" t="s">
        <v>8</v>
      </c>
      <c r="C6" s="5">
        <f>'RNG Comparison table '!J19</f>
        <v>357.62843601895736</v>
      </c>
      <c r="D6" s="5"/>
      <c r="E6" s="5"/>
      <c r="F6" s="5">
        <f>'RNG Comparison table '!J6</f>
        <v>364.86440231700897</v>
      </c>
      <c r="G6" s="5"/>
      <c r="H6" s="5"/>
    </row>
    <row r="7" spans="2:8" x14ac:dyDescent="0.3">
      <c r="B7" t="s">
        <v>31</v>
      </c>
      <c r="C7" s="5"/>
      <c r="D7" s="5">
        <f>'RNG Comparison table '!J9</f>
        <v>954.63802001053193</v>
      </c>
      <c r="E7" s="5">
        <f>'RNG Comparison table '!J11</f>
        <v>1300.771353343865</v>
      </c>
      <c r="F7" s="5"/>
      <c r="G7" s="5"/>
      <c r="H7" s="5"/>
    </row>
    <row r="8" spans="2:8" x14ac:dyDescent="0.3">
      <c r="B8" t="s">
        <v>32</v>
      </c>
      <c r="C8" s="5"/>
      <c r="D8" s="5"/>
      <c r="E8" s="5"/>
      <c r="F8" s="5"/>
      <c r="G8" s="5">
        <f>'Energy Efficiency RA'!B18</f>
        <v>-19.960526632310884</v>
      </c>
      <c r="H8" s="5"/>
    </row>
    <row r="9" spans="2:8" x14ac:dyDescent="0.3">
      <c r="H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8" ma:contentTypeDescription="Create a new document." ma:contentTypeScope="" ma:versionID="32dbf7a0f17796f9da56b6408b8a9ae1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b86024cd66901b11a44ef487c32ad869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70ea6-2f79-449f-ac2a-ce9deb4e7c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4d66dc-3591-49a4-96e5-0b2840783e5f}" ma:internalName="TaxCatchAll" ma:showField="CatchAllData" ma:web="2546f5b2-04f2-4a0e-9993-466f4f9aad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46f5b2-04f2-4a0e-9993-466f4f9aad71" xsi:nil="true"/>
    <lcf76f155ced4ddcb4097134ff3c332f xmlns="173c2605-4b7d-457e-8dba-1d57dca954f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852896-7DE8-4281-AF8F-D25D9E5FA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2605-4b7d-457e-8dba-1d57dca954fb"/>
    <ds:schemaRef ds:uri="2546f5b2-04f2-4a0e-9993-466f4f9aa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AB9EF3-8F1F-4322-B6B3-DCE120C72D8C}">
  <ds:schemaRefs>
    <ds:schemaRef ds:uri="http://schemas.microsoft.com/office/2006/metadata/properties"/>
    <ds:schemaRef ds:uri="http://schemas.microsoft.com/office/infopath/2007/PartnerControls"/>
    <ds:schemaRef ds:uri="2546f5b2-04f2-4a0e-9993-466f4f9aad71"/>
    <ds:schemaRef ds:uri="173c2605-4b7d-457e-8dba-1d57dca954fb"/>
  </ds:schemaRefs>
</ds:datastoreItem>
</file>

<file path=customXml/itemProps3.xml><?xml version="1.0" encoding="utf-8"?>
<ds:datastoreItem xmlns:ds="http://schemas.openxmlformats.org/officeDocument/2006/customXml" ds:itemID="{ACBFBA9C-3C65-40DF-8EFC-3D95E5372A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RNG Comparison table </vt:lpstr>
      <vt:lpstr>Energy Efficiency</vt:lpstr>
      <vt:lpstr>Energy Efficiency RA</vt:lpstr>
      <vt:lpstr>Summary Data</vt:lpstr>
      <vt:lpstr>Summary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Hill</dc:creator>
  <cp:lastModifiedBy>David Hill</cp:lastModifiedBy>
  <cp:lastPrinted>2024-12-19T14:59:06Z</cp:lastPrinted>
  <dcterms:created xsi:type="dcterms:W3CDTF">2024-06-18T13:26:46Z</dcterms:created>
  <dcterms:modified xsi:type="dcterms:W3CDTF">2025-01-16T15:32:34Z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  <property fmtid="{D5CDD505-2E9C-101B-9397-08002B2CF9AE}" pid="3" name="MediaServiceImageTags">
    <vt:lpwstr/>
  </property>
</Properties>
</file>