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energyfuturesgroup.sharepoint.com/Shared Documents/Consulting/Canada/Ontario/Enbridge/egd 2024/Rebasing Phase 2/Undertakings/"/>
    </mc:Choice>
  </mc:AlternateContent>
  <xr:revisionPtr revIDLastSave="1168" documentId="8_{39409B67-F71E-4030-B0A8-F4E8C7829B1B}" xr6:coauthVersionLast="47" xr6:coauthVersionMax="47" xr10:uidLastSave="{513E2E97-3A42-44AE-8432-B3F2C60FA778}"/>
  <bookViews>
    <workbookView xWindow="22015" yWindow="-104" windowWidth="19561" windowHeight="11705" activeTab="4" xr2:uid="{6F4F03C9-DF56-4AC5-8D8C-B598E450B9E5}"/>
  </bookViews>
  <sheets>
    <sheet name="Summary" sheetId="6" r:id="rId1"/>
    <sheet name="Fuel Prices" sheetId="1" r:id="rId2"/>
    <sheet name="Equipment" sheetId="2" r:id="rId3"/>
    <sheet name="Customer Cost Calcs" sheetId="3" r:id="rId4"/>
    <sheet name="Changes since 2023"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 r="D26" i="8" s="1"/>
  <c r="J18" i="1"/>
  <c r="K18" i="1"/>
  <c r="L18" i="1"/>
  <c r="M18" i="1"/>
  <c r="N18" i="1"/>
  <c r="O18" i="1"/>
  <c r="P18" i="1"/>
  <c r="Q18" i="1"/>
  <c r="R18" i="1"/>
  <c r="S18" i="1"/>
  <c r="T18" i="1"/>
  <c r="U18" i="1"/>
  <c r="V18" i="1"/>
  <c r="W18" i="1"/>
  <c r="X18" i="1"/>
  <c r="Y18" i="1"/>
  <c r="Z18" i="1"/>
  <c r="AA18" i="1"/>
  <c r="G18" i="1"/>
  <c r="H18" i="1"/>
  <c r="I18" i="1"/>
  <c r="F18" i="1"/>
  <c r="E18" i="1"/>
  <c r="D18" i="1"/>
  <c r="C18" i="1"/>
  <c r="D17" i="1"/>
  <c r="E17" i="1" s="1"/>
  <c r="F17" i="1" s="1"/>
  <c r="G17" i="1" s="1"/>
  <c r="H17" i="1" s="1"/>
  <c r="I17" i="1" s="1"/>
  <c r="J17" i="1" s="1"/>
  <c r="K17" i="1" s="1"/>
  <c r="L17" i="1" s="1"/>
  <c r="M17" i="1" s="1"/>
  <c r="N17" i="1" s="1"/>
  <c r="O17" i="1" s="1"/>
  <c r="P17" i="1" s="1"/>
  <c r="Q17" i="1" s="1"/>
  <c r="R17" i="1" s="1"/>
  <c r="S17" i="1" s="1"/>
  <c r="T17" i="1" s="1"/>
  <c r="U17" i="1" s="1"/>
  <c r="V17" i="1" s="1"/>
  <c r="W17" i="1" s="1"/>
  <c r="X17" i="1" s="1"/>
  <c r="Y17" i="1" s="1"/>
  <c r="Z17" i="1" s="1"/>
  <c r="AA17" i="1" s="1"/>
  <c r="D29" i="8"/>
  <c r="D28" i="8"/>
  <c r="D27" i="8"/>
  <c r="C9" i="3"/>
  <c r="C8" i="3"/>
  <c r="C7" i="3"/>
  <c r="D42" i="8"/>
  <c r="E18" i="8"/>
  <c r="E21" i="8" s="1"/>
  <c r="D40" i="8"/>
  <c r="D39" i="8"/>
  <c r="C7" i="2"/>
  <c r="D31" i="8" s="1"/>
  <c r="D38" i="8"/>
  <c r="D37" i="8"/>
  <c r="D36" i="8"/>
  <c r="D35" i="8"/>
  <c r="C13" i="2"/>
  <c r="D34" i="8" s="1"/>
  <c r="D33" i="8"/>
  <c r="D24" i="8"/>
  <c r="D23" i="8"/>
  <c r="D13" i="8"/>
  <c r="D14" i="8"/>
  <c r="D15" i="8"/>
  <c r="D16" i="8"/>
  <c r="D17" i="8"/>
  <c r="I13" i="2" l="1"/>
  <c r="J11" i="2"/>
  <c r="I12" i="2" l="1"/>
  <c r="I16" i="2" l="1"/>
  <c r="I15" i="2"/>
  <c r="E128" i="2"/>
  <c r="E19" i="2"/>
  <c r="E18" i="2"/>
  <c r="E16" i="2"/>
  <c r="E15" i="2"/>
  <c r="E13" i="2"/>
  <c r="E12" i="2"/>
  <c r="I11" i="2"/>
  <c r="D109" i="2" l="1"/>
  <c r="D99" i="2"/>
  <c r="E91" i="2"/>
  <c r="F79" i="2"/>
  <c r="F81" i="2" s="1"/>
  <c r="F91" i="2"/>
  <c r="F93" i="2" s="1"/>
  <c r="E31" i="2"/>
  <c r="D31" i="2"/>
  <c r="H111" i="2" s="1"/>
  <c r="C12" i="2" s="1"/>
  <c r="C31" i="2"/>
  <c r="C81" i="2" s="1"/>
  <c r="C9" i="2" s="1"/>
  <c r="D32" i="8" s="1"/>
  <c r="C110" i="1"/>
  <c r="F93" i="1" s="1"/>
  <c r="D12" i="8" s="1"/>
  <c r="F87" i="1"/>
  <c r="F88" i="1" s="1"/>
  <c r="C7" i="1"/>
  <c r="D5" i="8" l="1"/>
  <c r="D7" i="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G148" i="2"/>
  <c r="C18" i="2" s="1"/>
  <c r="E148" i="2"/>
  <c r="G139" i="2"/>
  <c r="C19" i="2" s="1"/>
  <c r="G130" i="2"/>
  <c r="C15" i="2"/>
  <c r="G121" i="2"/>
  <c r="C16" i="2" s="1"/>
  <c r="G111" i="2"/>
  <c r="G101" i="2"/>
  <c r="E81" i="2"/>
  <c r="E121" i="2"/>
  <c r="E130" i="2"/>
  <c r="D111" i="2"/>
  <c r="D101" i="2"/>
  <c r="E111" i="2"/>
  <c r="E93" i="2"/>
  <c r="E101" i="2"/>
  <c r="D81" i="2"/>
  <c r="D93" i="2"/>
  <c r="F89" i="1"/>
  <c r="F90" i="1" s="1"/>
  <c r="C30" i="1" s="1"/>
  <c r="G81" i="2" l="1"/>
  <c r="G93" i="2"/>
  <c r="J61" i="1"/>
  <c r="J62" i="1"/>
  <c r="J63" i="1"/>
  <c r="J64" i="1"/>
  <c r="J60" i="1"/>
  <c r="AS18" i="1" l="1"/>
  <c r="AS16" i="1"/>
  <c r="AS15" i="1"/>
  <c r="AT2" i="1"/>
  <c r="AU2" i="1" s="1"/>
  <c r="AV2" i="1" s="1"/>
  <c r="AW2" i="1" s="1"/>
  <c r="AX2" i="1" s="1"/>
  <c r="AY2" i="1" s="1"/>
  <c r="AZ2" i="1" s="1"/>
  <c r="BA2" i="1" s="1"/>
  <c r="BB2" i="1" s="1"/>
  <c r="BC2" i="1" s="1"/>
  <c r="BD2" i="1" s="1"/>
  <c r="BE2" i="1" s="1"/>
  <c r="BF2" i="1" s="1"/>
  <c r="BG2" i="1" s="1"/>
  <c r="BH2" i="1" s="1"/>
  <c r="BI2" i="1" s="1"/>
  <c r="BJ2" i="1" s="1"/>
  <c r="E36" i="1"/>
  <c r="F36" i="1" s="1"/>
  <c r="G36" i="1" s="1"/>
  <c r="H36" i="1" s="1"/>
  <c r="I36" i="1" s="1"/>
  <c r="J36" i="1" s="1"/>
  <c r="K36" i="1" s="1"/>
  <c r="L36" i="1" s="1"/>
  <c r="M36" i="1" s="1"/>
  <c r="N36" i="1" s="1"/>
  <c r="O36" i="1" s="1"/>
  <c r="P36" i="1" s="1"/>
  <c r="Q36" i="1" s="1"/>
  <c r="R36" i="1" s="1"/>
  <c r="S36" i="1" s="1"/>
  <c r="T36" i="1" s="1"/>
  <c r="U36" i="1" s="1"/>
  <c r="V36" i="1" s="1"/>
  <c r="W36" i="1" s="1"/>
  <c r="X36" i="1" s="1"/>
  <c r="Y36" i="1" s="1"/>
  <c r="Z36" i="1" s="1"/>
  <c r="AA36" i="1" s="1"/>
  <c r="AS19" i="1" l="1"/>
  <c r="AS20" i="1" s="1"/>
  <c r="AT20" i="1" s="1"/>
  <c r="AU20" i="1" s="1"/>
  <c r="AV20" i="1" s="1"/>
  <c r="AW20" i="1" s="1"/>
  <c r="AX20" i="1" s="1"/>
  <c r="AY20" i="1" s="1"/>
  <c r="AZ20" i="1" s="1"/>
  <c r="BA20" i="1" s="1"/>
  <c r="BB20" i="1" s="1"/>
  <c r="BC20" i="1" s="1"/>
  <c r="BD20" i="1" s="1"/>
  <c r="BE20" i="1" s="1"/>
  <c r="BF20" i="1" s="1"/>
  <c r="BG20" i="1" s="1"/>
  <c r="BH20" i="1" s="1"/>
  <c r="BI20" i="1" s="1"/>
  <c r="BJ20" i="1" s="1"/>
  <c r="B64" i="3"/>
  <c r="B65" i="3"/>
  <c r="B63" i="3"/>
  <c r="B54" i="3"/>
  <c r="B53" i="3"/>
  <c r="B52" i="3"/>
  <c r="B51" i="3"/>
  <c r="J54" i="3"/>
  <c r="I54" i="3"/>
  <c r="H54" i="3"/>
  <c r="G54" i="3"/>
  <c r="F54" i="3"/>
  <c r="E54" i="3"/>
  <c r="D54" i="3"/>
  <c r="B50" i="3"/>
  <c r="D47" i="3"/>
  <c r="F47" i="3"/>
  <c r="E41" i="3"/>
  <c r="F41" i="3" s="1"/>
  <c r="G41" i="3" s="1"/>
  <c r="B35" i="3"/>
  <c r="B36" i="3"/>
  <c r="B37" i="3"/>
  <c r="B38" i="3"/>
  <c r="B34" i="3"/>
  <c r="A26" i="3"/>
  <c r="A42" i="3" s="1"/>
  <c r="A33" i="3"/>
  <c r="A49" i="3" s="1"/>
  <c r="C27" i="3"/>
  <c r="C34" i="3" s="1"/>
  <c r="E25" i="3"/>
  <c r="F25" i="3" s="1"/>
  <c r="G25" i="3" s="1"/>
  <c r="H25" i="3" s="1"/>
  <c r="I25" i="3" s="1"/>
  <c r="J25" i="3" s="1"/>
  <c r="K25" i="3" s="1"/>
  <c r="L25" i="3" s="1"/>
  <c r="M25" i="3" s="1"/>
  <c r="N25" i="3" s="1"/>
  <c r="O25" i="3" s="1"/>
  <c r="P25" i="3" s="1"/>
  <c r="Q25" i="3" s="1"/>
  <c r="R25" i="3" s="1"/>
  <c r="S25" i="3" s="1"/>
  <c r="T25" i="3" s="1"/>
  <c r="U25" i="3" s="1"/>
  <c r="V25" i="3" s="1"/>
  <c r="W25" i="3" s="1"/>
  <c r="X25" i="3" s="1"/>
  <c r="Y25" i="3" s="1"/>
  <c r="Z25" i="3" s="1"/>
  <c r="AA25" i="3" s="1"/>
  <c r="AB25" i="3" s="1"/>
  <c r="C43" i="3" l="1"/>
  <c r="C50" i="3"/>
  <c r="H41" i="3"/>
  <c r="G47" i="3"/>
  <c r="E47" i="3"/>
  <c r="J6" i="2"/>
  <c r="D39" i="2"/>
  <c r="C41" i="2"/>
  <c r="D40" i="2" l="1"/>
  <c r="D41" i="2" s="1"/>
  <c r="H47" i="3"/>
  <c r="I41" i="3"/>
  <c r="F9" i="2"/>
  <c r="X4" i="1"/>
  <c r="Y10" i="3" s="1"/>
  <c r="Y4" i="1"/>
  <c r="Z10" i="3" s="1"/>
  <c r="Z4" i="1"/>
  <c r="AA10" i="3" s="1"/>
  <c r="AA4" i="1"/>
  <c r="AB10" i="3" s="1"/>
  <c r="C6" i="3"/>
  <c r="T50" i="3" l="1"/>
  <c r="K50" i="3"/>
  <c r="V50" i="3"/>
  <c r="L50" i="3"/>
  <c r="AB50" i="3"/>
  <c r="U50" i="3"/>
  <c r="M50" i="3"/>
  <c r="AA50" i="3"/>
  <c r="R50" i="3"/>
  <c r="Q50" i="3"/>
  <c r="W50" i="3"/>
  <c r="S50" i="3"/>
  <c r="X50" i="3"/>
  <c r="N50" i="3"/>
  <c r="Y50" i="3"/>
  <c r="P50" i="3"/>
  <c r="Z50" i="3"/>
  <c r="O50" i="3"/>
  <c r="I47" i="3"/>
  <c r="J41" i="3"/>
  <c r="D34" i="3"/>
  <c r="T34" i="3"/>
  <c r="V34" i="3"/>
  <c r="G34" i="3"/>
  <c r="H34" i="3"/>
  <c r="I34" i="3"/>
  <c r="Z34" i="3"/>
  <c r="K34" i="3"/>
  <c r="M34" i="3"/>
  <c r="E34" i="3"/>
  <c r="U34" i="3"/>
  <c r="F34" i="3"/>
  <c r="W34" i="3"/>
  <c r="X34" i="3"/>
  <c r="Y34" i="3"/>
  <c r="J34" i="3"/>
  <c r="AA34" i="3"/>
  <c r="L34" i="3"/>
  <c r="AB34" i="3"/>
  <c r="N34" i="3"/>
  <c r="O34" i="3"/>
  <c r="Q34" i="3"/>
  <c r="S34" i="3"/>
  <c r="P34" i="3"/>
  <c r="R34" i="3"/>
  <c r="E30" i="3"/>
  <c r="F30" i="3"/>
  <c r="G30" i="3"/>
  <c r="H30" i="3"/>
  <c r="I30" i="3"/>
  <c r="D30" i="3"/>
  <c r="C28" i="3"/>
  <c r="D18" i="2"/>
  <c r="C30" i="3"/>
  <c r="C29" i="3"/>
  <c r="C8" i="2"/>
  <c r="AE50" i="3" l="1"/>
  <c r="C37" i="3"/>
  <c r="C46" i="3"/>
  <c r="C36" i="3"/>
  <c r="C45" i="3"/>
  <c r="C35" i="3"/>
  <c r="C44" i="3"/>
  <c r="K41" i="3"/>
  <c r="K46" i="3" s="1"/>
  <c r="C47" i="2"/>
  <c r="M15" i="2"/>
  <c r="K7" i="2"/>
  <c r="K6" i="2" s="1"/>
  <c r="K45" i="3" l="1"/>
  <c r="M45" i="3"/>
  <c r="L45" i="3"/>
  <c r="O45" i="3"/>
  <c r="P45" i="3"/>
  <c r="N45" i="3"/>
  <c r="K44" i="3"/>
  <c r="C51" i="3"/>
  <c r="C52" i="3"/>
  <c r="C53" i="3"/>
  <c r="L41" i="3"/>
  <c r="L46" i="3" s="1"/>
  <c r="J47" i="3"/>
  <c r="F13" i="2"/>
  <c r="U51" i="3" s="1"/>
  <c r="D28" i="3"/>
  <c r="E28" i="3"/>
  <c r="F28" i="3"/>
  <c r="G28" i="3"/>
  <c r="H28" i="3"/>
  <c r="I28" i="3"/>
  <c r="D12" i="2"/>
  <c r="H29" i="3"/>
  <c r="I29" i="3"/>
  <c r="D29" i="3"/>
  <c r="G29" i="3"/>
  <c r="E29" i="3"/>
  <c r="F29" i="3"/>
  <c r="D15" i="2"/>
  <c r="E66" i="2"/>
  <c r="E68" i="2" s="1"/>
  <c r="F66" i="2"/>
  <c r="F68" i="2" s="1"/>
  <c r="G66" i="2"/>
  <c r="G68" i="2" s="1"/>
  <c r="H66" i="2"/>
  <c r="H68" i="2" s="1"/>
  <c r="C66" i="2"/>
  <c r="C68" i="2" s="1"/>
  <c r="J18" i="2" s="1"/>
  <c r="I65" i="2"/>
  <c r="F99" i="1"/>
  <c r="D18" i="8" s="1"/>
  <c r="L44" i="3" l="1"/>
  <c r="F100" i="1"/>
  <c r="F101" i="1"/>
  <c r="V51" i="3"/>
  <c r="Z51" i="3"/>
  <c r="X51" i="3"/>
  <c r="W51" i="3"/>
  <c r="K51" i="3"/>
  <c r="L51" i="3"/>
  <c r="AB51" i="3"/>
  <c r="AA51" i="3"/>
  <c r="M51" i="3"/>
  <c r="N51" i="3"/>
  <c r="Q51" i="3"/>
  <c r="Y51" i="3"/>
  <c r="R51" i="3"/>
  <c r="T51" i="3"/>
  <c r="O51" i="3"/>
  <c r="P51" i="3"/>
  <c r="S51" i="3"/>
  <c r="M41" i="3"/>
  <c r="K35" i="3"/>
  <c r="AA35" i="3"/>
  <c r="M35" i="3"/>
  <c r="P35" i="3"/>
  <c r="R35" i="3"/>
  <c r="S35" i="3"/>
  <c r="E35" i="3"/>
  <c r="F35" i="3"/>
  <c r="G35" i="3"/>
  <c r="H35" i="3"/>
  <c r="Y35" i="3"/>
  <c r="Z35" i="3"/>
  <c r="L35" i="3"/>
  <c r="AB35" i="3"/>
  <c r="N35" i="3"/>
  <c r="O35" i="3"/>
  <c r="Q35" i="3"/>
  <c r="D35" i="3"/>
  <c r="U35" i="3"/>
  <c r="V35" i="3"/>
  <c r="W35" i="3"/>
  <c r="T35" i="3"/>
  <c r="X35" i="3"/>
  <c r="I35" i="3"/>
  <c r="J35" i="3"/>
  <c r="D4" i="1"/>
  <c r="E4" i="1"/>
  <c r="F4" i="1"/>
  <c r="G4" i="1"/>
  <c r="H4" i="1"/>
  <c r="I4" i="1"/>
  <c r="J4" i="1"/>
  <c r="K4" i="1"/>
  <c r="L4" i="1"/>
  <c r="M4" i="1"/>
  <c r="N4" i="1"/>
  <c r="O4" i="1"/>
  <c r="P4" i="1"/>
  <c r="Q4" i="1"/>
  <c r="R4" i="1"/>
  <c r="S4" i="1"/>
  <c r="T4" i="1"/>
  <c r="U4" i="1"/>
  <c r="V10" i="3" s="1"/>
  <c r="V4" i="1"/>
  <c r="W10" i="3" s="1"/>
  <c r="W4" i="1"/>
  <c r="X10" i="3" s="1"/>
  <c r="C4" i="1"/>
  <c r="D3" i="8" s="1"/>
  <c r="C15" i="3"/>
  <c r="C16" i="3"/>
  <c r="C17" i="3"/>
  <c r="C18" i="3"/>
  <c r="C14" i="3"/>
  <c r="E3" i="3"/>
  <c r="F3" i="3" s="1"/>
  <c r="G3" i="3" s="1"/>
  <c r="H3" i="3" s="1"/>
  <c r="I3" i="3" s="1"/>
  <c r="J3" i="3" s="1"/>
  <c r="K3" i="3" s="1"/>
  <c r="L3" i="3" s="1"/>
  <c r="M3" i="3" s="1"/>
  <c r="N3" i="3" s="1"/>
  <c r="O3" i="3" s="1"/>
  <c r="P3" i="3" s="1"/>
  <c r="Q3" i="3" s="1"/>
  <c r="R3" i="3" s="1"/>
  <c r="S3" i="3" s="1"/>
  <c r="T3" i="3" s="1"/>
  <c r="U3" i="3" s="1"/>
  <c r="V3" i="3" s="1"/>
  <c r="W3" i="3" s="1"/>
  <c r="X3" i="3" s="1"/>
  <c r="Y3" i="3" s="1"/>
  <c r="Z3" i="3" s="1"/>
  <c r="AA3" i="3" s="1"/>
  <c r="AB3" i="3" s="1"/>
  <c r="L7" i="2"/>
  <c r="J7" i="2"/>
  <c r="J8" i="2" s="1"/>
  <c r="N11" i="2"/>
  <c r="N12" i="2"/>
  <c r="N15" i="2"/>
  <c r="N16" i="2"/>
  <c r="N18" i="2"/>
  <c r="N6" i="2"/>
  <c r="C26" i="2"/>
  <c r="F8" i="2"/>
  <c r="F12" i="2"/>
  <c r="F15" i="2"/>
  <c r="F16" i="2"/>
  <c r="F18" i="2"/>
  <c r="F19" i="2"/>
  <c r="F7" i="2"/>
  <c r="D28" i="1"/>
  <c r="E28" i="1" s="1"/>
  <c r="F28" i="1" s="1"/>
  <c r="G28" i="1" s="1"/>
  <c r="H28" i="1" s="1"/>
  <c r="I28" i="1" s="1"/>
  <c r="J28" i="1" s="1"/>
  <c r="K28" i="1" s="1"/>
  <c r="L28" i="1" s="1"/>
  <c r="M28" i="1" s="1"/>
  <c r="N28" i="1" s="1"/>
  <c r="O28" i="1" s="1"/>
  <c r="P28" i="1" s="1"/>
  <c r="Q28" i="1" s="1"/>
  <c r="R28" i="1" s="1"/>
  <c r="S28" i="1" s="1"/>
  <c r="T28" i="1" s="1"/>
  <c r="U28" i="1" s="1"/>
  <c r="V28" i="1" s="1"/>
  <c r="W28" i="1" s="1"/>
  <c r="X28" i="1" s="1"/>
  <c r="Y28" i="1" s="1"/>
  <c r="Z28" i="1" s="1"/>
  <c r="AA28" i="1" s="1"/>
  <c r="D38" i="1"/>
  <c r="E37" i="1"/>
  <c r="F37" i="1" s="1"/>
  <c r="G37" i="1" s="1"/>
  <c r="H37" i="1" s="1"/>
  <c r="I37" i="1" s="1"/>
  <c r="J37" i="1" s="1"/>
  <c r="K37" i="1" s="1"/>
  <c r="L37" i="1" s="1"/>
  <c r="M37" i="1" s="1"/>
  <c r="N37" i="1" s="1"/>
  <c r="O37" i="1" s="1"/>
  <c r="P37" i="1" s="1"/>
  <c r="Q37" i="1" s="1"/>
  <c r="R37" i="1" s="1"/>
  <c r="S37" i="1" s="1"/>
  <c r="T37" i="1" s="1"/>
  <c r="U37" i="1" s="1"/>
  <c r="V37" i="1" s="1"/>
  <c r="W37" i="1" s="1"/>
  <c r="X37" i="1" s="1"/>
  <c r="J69" i="1"/>
  <c r="C9" i="1"/>
  <c r="C19" i="1"/>
  <c r="C16" i="1" s="1"/>
  <c r="C10" i="1" s="1"/>
  <c r="D24" i="1"/>
  <c r="E23" i="1"/>
  <c r="F23" i="1" s="1"/>
  <c r="G23" i="1" s="1"/>
  <c r="H23" i="1" s="1"/>
  <c r="I23" i="1" s="1"/>
  <c r="J23" i="1" s="1"/>
  <c r="K23" i="1" s="1"/>
  <c r="L23" i="1" s="1"/>
  <c r="M23" i="1" s="1"/>
  <c r="N23" i="1" s="1"/>
  <c r="O23" i="1" s="1"/>
  <c r="P23" i="1" s="1"/>
  <c r="Q23" i="1" s="1"/>
  <c r="R23" i="1" s="1"/>
  <c r="S23" i="1" s="1"/>
  <c r="T23" i="1" s="1"/>
  <c r="U23" i="1" s="1"/>
  <c r="V23" i="1" s="1"/>
  <c r="W23" i="1" s="1"/>
  <c r="X23" i="1" s="1"/>
  <c r="Y23" i="1" s="1"/>
  <c r="Z23" i="1" s="1"/>
  <c r="D7" i="8" l="1"/>
  <c r="D9" i="1"/>
  <c r="E9" i="1" s="1"/>
  <c r="F9" i="1" s="1"/>
  <c r="G9" i="1" s="1"/>
  <c r="H9" i="1" s="1"/>
  <c r="I9" i="1" s="1"/>
  <c r="J9" i="1" s="1"/>
  <c r="K9" i="1" s="1"/>
  <c r="L9" i="1" s="1"/>
  <c r="M9" i="1" s="1"/>
  <c r="N9" i="1" s="1"/>
  <c r="O9" i="1" s="1"/>
  <c r="P9" i="1" s="1"/>
  <c r="Q9" i="1" s="1"/>
  <c r="R9" i="1" s="1"/>
  <c r="S9" i="1" s="1"/>
  <c r="T9" i="1" s="1"/>
  <c r="U9" i="1" s="1"/>
  <c r="V9" i="1" s="1"/>
  <c r="W9" i="1" s="1"/>
  <c r="X9" i="1" s="1"/>
  <c r="Y9" i="1" s="1"/>
  <c r="Z9" i="1" s="1"/>
  <c r="AA9" i="1" s="1"/>
  <c r="M46" i="3"/>
  <c r="M44" i="3"/>
  <c r="K9" i="2"/>
  <c r="G82" i="2"/>
  <c r="S43" i="3"/>
  <c r="X43" i="3"/>
  <c r="R43" i="3"/>
  <c r="T43" i="3"/>
  <c r="AA43" i="3"/>
  <c r="Y43" i="3"/>
  <c r="L43" i="3"/>
  <c r="L47" i="3" s="1"/>
  <c r="AB43" i="3"/>
  <c r="P43" i="3"/>
  <c r="V43" i="3"/>
  <c r="Q43" i="3"/>
  <c r="Z43" i="3"/>
  <c r="W43" i="3"/>
  <c r="O43" i="3"/>
  <c r="K43" i="3"/>
  <c r="U43" i="3"/>
  <c r="M43" i="3"/>
  <c r="N43" i="3"/>
  <c r="L53" i="3"/>
  <c r="V53" i="3"/>
  <c r="U53" i="3"/>
  <c r="T53" i="3"/>
  <c r="S53" i="3"/>
  <c r="R53" i="3"/>
  <c r="P53" i="3"/>
  <c r="M53" i="3"/>
  <c r="AA53" i="3"/>
  <c r="W53" i="3"/>
  <c r="Z53" i="3"/>
  <c r="Y53" i="3"/>
  <c r="K53" i="3"/>
  <c r="O53" i="3"/>
  <c r="AB53" i="3"/>
  <c r="X53" i="3"/>
  <c r="Q53" i="3"/>
  <c r="N53" i="3"/>
  <c r="F102" i="1"/>
  <c r="J70" i="1"/>
  <c r="R10" i="3"/>
  <c r="BG4" i="1"/>
  <c r="K10" i="3"/>
  <c r="AZ4" i="1"/>
  <c r="D10" i="3"/>
  <c r="AS4" i="1"/>
  <c r="F10" i="3"/>
  <c r="AU4" i="1"/>
  <c r="N10" i="3"/>
  <c r="BC4" i="1"/>
  <c r="Q10" i="3"/>
  <c r="BF4" i="1"/>
  <c r="P10" i="3"/>
  <c r="BE4" i="1"/>
  <c r="M10" i="3"/>
  <c r="BB4" i="1"/>
  <c r="L10" i="3"/>
  <c r="BA4" i="1"/>
  <c r="O10" i="3"/>
  <c r="BD4" i="1"/>
  <c r="AS8" i="1"/>
  <c r="J10" i="3"/>
  <c r="AY4" i="1"/>
  <c r="I10" i="3"/>
  <c r="AX4" i="1"/>
  <c r="H10" i="3"/>
  <c r="AW4" i="1"/>
  <c r="G10" i="3"/>
  <c r="AV4" i="1"/>
  <c r="U10" i="3"/>
  <c r="BJ4" i="1"/>
  <c r="E10" i="3"/>
  <c r="AT4" i="1"/>
  <c r="T10" i="3"/>
  <c r="BI4" i="1"/>
  <c r="S10" i="3"/>
  <c r="BH4" i="1"/>
  <c r="W45" i="3"/>
  <c r="T45" i="3"/>
  <c r="S45" i="3"/>
  <c r="X45" i="3"/>
  <c r="Y45" i="3"/>
  <c r="AB45" i="3"/>
  <c r="Z45" i="3"/>
  <c r="Q45" i="3"/>
  <c r="AA45" i="3"/>
  <c r="R45" i="3"/>
  <c r="U45" i="3"/>
  <c r="V45" i="3"/>
  <c r="Q52" i="3"/>
  <c r="P52" i="3"/>
  <c r="AA52" i="3"/>
  <c r="L52" i="3"/>
  <c r="K52" i="3"/>
  <c r="O52" i="3"/>
  <c r="N52" i="3"/>
  <c r="Z52" i="3"/>
  <c r="Y52" i="3"/>
  <c r="X52" i="3"/>
  <c r="R52" i="3"/>
  <c r="W52" i="3"/>
  <c r="V52" i="3"/>
  <c r="U52" i="3"/>
  <c r="AB52" i="3"/>
  <c r="T52" i="3"/>
  <c r="S52" i="3"/>
  <c r="M52" i="3"/>
  <c r="AE51" i="3"/>
  <c r="N41" i="3"/>
  <c r="Z30" i="3"/>
  <c r="W30" i="3"/>
  <c r="O30" i="3"/>
  <c r="Q30" i="3"/>
  <c r="AB30" i="3"/>
  <c r="M30" i="3"/>
  <c r="R30" i="3"/>
  <c r="Y30" i="3"/>
  <c r="T30" i="3"/>
  <c r="AA30" i="3"/>
  <c r="J30" i="3"/>
  <c r="U30" i="3"/>
  <c r="P30" i="3"/>
  <c r="S30" i="3"/>
  <c r="K30" i="3"/>
  <c r="V30" i="3"/>
  <c r="N30" i="3"/>
  <c r="L30" i="3"/>
  <c r="X30" i="3"/>
  <c r="M37" i="3"/>
  <c r="D37" i="3"/>
  <c r="P37" i="3"/>
  <c r="R37" i="3"/>
  <c r="N37" i="3"/>
  <c r="O37" i="3"/>
  <c r="Q37" i="3"/>
  <c r="S37" i="3"/>
  <c r="T37" i="3"/>
  <c r="E37" i="3"/>
  <c r="U37" i="3"/>
  <c r="L37" i="3"/>
  <c r="F37" i="3"/>
  <c r="V37" i="3"/>
  <c r="X37" i="3"/>
  <c r="G37" i="3"/>
  <c r="W37" i="3"/>
  <c r="H37" i="3"/>
  <c r="I37" i="3"/>
  <c r="Y37" i="3"/>
  <c r="J37" i="3"/>
  <c r="Z37" i="3"/>
  <c r="K37" i="3"/>
  <c r="AA37" i="3"/>
  <c r="AB37" i="3"/>
  <c r="K29" i="3"/>
  <c r="W29" i="3"/>
  <c r="J29" i="3"/>
  <c r="L29" i="3"/>
  <c r="Z29" i="3"/>
  <c r="P29" i="3"/>
  <c r="AA29" i="3"/>
  <c r="V29" i="3"/>
  <c r="N29" i="3"/>
  <c r="O29" i="3"/>
  <c r="M29" i="3"/>
  <c r="X29" i="3"/>
  <c r="AB29" i="3"/>
  <c r="Q29" i="3"/>
  <c r="T29" i="3"/>
  <c r="Y29" i="3"/>
  <c r="R29" i="3"/>
  <c r="U29" i="3"/>
  <c r="S29" i="3"/>
  <c r="N28" i="3"/>
  <c r="Y28" i="3"/>
  <c r="L28" i="3"/>
  <c r="Z28" i="3"/>
  <c r="W28" i="3"/>
  <c r="O28" i="3"/>
  <c r="K28" i="3"/>
  <c r="S28" i="3"/>
  <c r="X28" i="3"/>
  <c r="P28" i="3"/>
  <c r="AA28" i="3"/>
  <c r="Q28" i="3"/>
  <c r="V28" i="3"/>
  <c r="T28" i="3"/>
  <c r="AB28" i="3"/>
  <c r="J28" i="3"/>
  <c r="R28" i="3"/>
  <c r="M28" i="3"/>
  <c r="U28" i="3"/>
  <c r="F27" i="3"/>
  <c r="F31" i="3" s="1"/>
  <c r="V27" i="3"/>
  <c r="I27" i="3"/>
  <c r="I31" i="3" s="1"/>
  <c r="Y27" i="3"/>
  <c r="AA27" i="3"/>
  <c r="G27" i="3"/>
  <c r="G31" i="3" s="1"/>
  <c r="W27" i="3"/>
  <c r="J27" i="3"/>
  <c r="H27" i="3"/>
  <c r="H31" i="3" s="1"/>
  <c r="X27" i="3"/>
  <c r="Z27" i="3"/>
  <c r="K27" i="3"/>
  <c r="M27" i="3"/>
  <c r="D27" i="3"/>
  <c r="N27" i="3"/>
  <c r="AB27" i="3"/>
  <c r="O27" i="3"/>
  <c r="P27" i="3"/>
  <c r="Q27" i="3"/>
  <c r="R27" i="3"/>
  <c r="U27" i="3"/>
  <c r="S27" i="3"/>
  <c r="T27" i="3"/>
  <c r="E27" i="3"/>
  <c r="E31" i="3" s="1"/>
  <c r="L27" i="3"/>
  <c r="E36" i="3"/>
  <c r="U36" i="3"/>
  <c r="F36" i="3"/>
  <c r="V36" i="3"/>
  <c r="D36" i="3"/>
  <c r="G36" i="3"/>
  <c r="W36" i="3"/>
  <c r="X36" i="3"/>
  <c r="H36" i="3"/>
  <c r="I36" i="3"/>
  <c r="Y36" i="3"/>
  <c r="J36" i="3"/>
  <c r="Z36" i="3"/>
  <c r="K36" i="3"/>
  <c r="AA36" i="3"/>
  <c r="L36" i="3"/>
  <c r="AB36" i="3"/>
  <c r="M36" i="3"/>
  <c r="N36" i="3"/>
  <c r="P36" i="3"/>
  <c r="O36" i="3"/>
  <c r="Q36" i="3"/>
  <c r="R36" i="3"/>
  <c r="S36" i="3"/>
  <c r="T36" i="3"/>
  <c r="J15" i="2"/>
  <c r="N7" i="2"/>
  <c r="AA23" i="1"/>
  <c r="Y37" i="1"/>
  <c r="Z37" i="1" s="1"/>
  <c r="AA37" i="1" s="1"/>
  <c r="J12" i="2"/>
  <c r="M19" i="2"/>
  <c r="N19" i="2" s="1"/>
  <c r="L8" i="2"/>
  <c r="AS13" i="1"/>
  <c r="AT13" i="1" s="1"/>
  <c r="AU13" i="1" s="1"/>
  <c r="AV13" i="1" s="1"/>
  <c r="AW13" i="1" s="1"/>
  <c r="AX13" i="1" s="1"/>
  <c r="AY13" i="1" s="1"/>
  <c r="AZ13" i="1" s="1"/>
  <c r="BA13" i="1" s="1"/>
  <c r="BB13" i="1" s="1"/>
  <c r="BC13" i="1" s="1"/>
  <c r="BD13" i="1" s="1"/>
  <c r="BE13" i="1" s="1"/>
  <c r="BF13" i="1" s="1"/>
  <c r="BG13" i="1" s="1"/>
  <c r="BH13" i="1" s="1"/>
  <c r="BI13" i="1" s="1"/>
  <c r="BJ13" i="1" s="1"/>
  <c r="C8" i="1"/>
  <c r="I65" i="1"/>
  <c r="J65" i="1" s="1"/>
  <c r="K68" i="1" s="1"/>
  <c r="E38" i="1"/>
  <c r="F38" i="1" s="1"/>
  <c r="G38" i="1" s="1"/>
  <c r="H38" i="1" s="1"/>
  <c r="I38" i="1" s="1"/>
  <c r="J38" i="1" s="1"/>
  <c r="K38" i="1" s="1"/>
  <c r="L38" i="1" s="1"/>
  <c r="M38" i="1" s="1"/>
  <c r="N38" i="1" s="1"/>
  <c r="O38" i="1" s="1"/>
  <c r="P38" i="1" s="1"/>
  <c r="Q38" i="1" s="1"/>
  <c r="R38" i="1" s="1"/>
  <c r="S38" i="1" s="1"/>
  <c r="T38" i="1" s="1"/>
  <c r="U38" i="1" s="1"/>
  <c r="V38" i="1" s="1"/>
  <c r="W38" i="1" s="1"/>
  <c r="X38" i="1" s="1"/>
  <c r="E24" i="1"/>
  <c r="D19" i="1"/>
  <c r="D16" i="1" s="1"/>
  <c r="D10" i="1" s="1"/>
  <c r="D2" i="1"/>
  <c r="E2" i="1" s="1"/>
  <c r="F2" i="1" s="1"/>
  <c r="G2" i="1" s="1"/>
  <c r="H2" i="1" s="1"/>
  <c r="I2" i="1" s="1"/>
  <c r="J2" i="1" s="1"/>
  <c r="K2" i="1" s="1"/>
  <c r="L2" i="1" s="1"/>
  <c r="M2" i="1" s="1"/>
  <c r="N2" i="1" s="1"/>
  <c r="O2" i="1" s="1"/>
  <c r="P2" i="1" s="1"/>
  <c r="Q2" i="1" s="1"/>
  <c r="R2" i="1" s="1"/>
  <c r="S2" i="1" s="1"/>
  <c r="T2" i="1" s="1"/>
  <c r="U2" i="1" s="1"/>
  <c r="V2" i="1" s="1"/>
  <c r="W2" i="1" s="1"/>
  <c r="X2" i="1" s="1"/>
  <c r="Y2" i="1" s="1"/>
  <c r="Z2" i="1" s="1"/>
  <c r="AA2" i="1" s="1"/>
  <c r="D6" i="8" l="1"/>
  <c r="D8" i="1"/>
  <c r="E8" i="1" s="1"/>
  <c r="F8" i="1" s="1"/>
  <c r="G8" i="1" s="1"/>
  <c r="H8" i="1" s="1"/>
  <c r="I8" i="1" s="1"/>
  <c r="J8" i="1" s="1"/>
  <c r="K8" i="1" s="1"/>
  <c r="L8" i="1" s="1"/>
  <c r="M8" i="1" s="1"/>
  <c r="N8" i="1" s="1"/>
  <c r="O8" i="1" s="1"/>
  <c r="P8" i="1" s="1"/>
  <c r="Q8" i="1" s="1"/>
  <c r="R8" i="1" s="1"/>
  <c r="S8" i="1" s="1"/>
  <c r="T8" i="1" s="1"/>
  <c r="U8" i="1" s="1"/>
  <c r="V8" i="1" s="1"/>
  <c r="W8" i="1" s="1"/>
  <c r="X8" i="1" s="1"/>
  <c r="Y8" i="1" s="1"/>
  <c r="Z8" i="1" s="1"/>
  <c r="AA8" i="1" s="1"/>
  <c r="AS9" i="1"/>
  <c r="D8" i="8"/>
  <c r="C33" i="1"/>
  <c r="D33" i="1" s="1"/>
  <c r="E33" i="1" s="1"/>
  <c r="F33" i="1" s="1"/>
  <c r="G33" i="1" s="1"/>
  <c r="H33" i="1" s="1"/>
  <c r="I33" i="1" s="1"/>
  <c r="J33" i="1" s="1"/>
  <c r="K33" i="1" s="1"/>
  <c r="L33" i="1" s="1"/>
  <c r="M33" i="1" s="1"/>
  <c r="N33" i="1" s="1"/>
  <c r="O33" i="1" s="1"/>
  <c r="P33" i="1" s="1"/>
  <c r="Q33" i="1" s="1"/>
  <c r="R33" i="1" s="1"/>
  <c r="S33" i="1" s="1"/>
  <c r="T33" i="1" s="1"/>
  <c r="U33" i="1" s="1"/>
  <c r="V33" i="1" s="1"/>
  <c r="W33" i="1" s="1"/>
  <c r="X33" i="1" s="1"/>
  <c r="Y33" i="1" s="1"/>
  <c r="Z33" i="1" s="1"/>
  <c r="AA33" i="1" s="1"/>
  <c r="AB6" i="3" s="1"/>
  <c r="D21" i="8"/>
  <c r="N54" i="3"/>
  <c r="L54" i="3"/>
  <c r="N46" i="3"/>
  <c r="N44" i="3"/>
  <c r="N47" i="3" s="1"/>
  <c r="R54" i="3"/>
  <c r="Q54" i="3"/>
  <c r="T54" i="3"/>
  <c r="Y54" i="3"/>
  <c r="V54" i="3"/>
  <c r="Z54" i="3"/>
  <c r="AE43" i="3"/>
  <c r="AF50" i="3" s="1"/>
  <c r="K47" i="3"/>
  <c r="S54" i="3"/>
  <c r="U54" i="3"/>
  <c r="W54" i="3"/>
  <c r="AB54" i="3"/>
  <c r="X54" i="3"/>
  <c r="O54" i="3"/>
  <c r="AE53" i="3"/>
  <c r="AA54" i="3"/>
  <c r="M54" i="3"/>
  <c r="P54" i="3"/>
  <c r="Y17" i="3"/>
  <c r="X17" i="3"/>
  <c r="AA6" i="3"/>
  <c r="AS7" i="1"/>
  <c r="Y38" i="1"/>
  <c r="Z38" i="1" s="1"/>
  <c r="AA38" i="1" s="1"/>
  <c r="AT8" i="1"/>
  <c r="AE45" i="3"/>
  <c r="AE52" i="3"/>
  <c r="K54" i="3"/>
  <c r="AC28" i="3"/>
  <c r="X31" i="3"/>
  <c r="M47" i="3"/>
  <c r="O41" i="3"/>
  <c r="AC29" i="3"/>
  <c r="Z31" i="3"/>
  <c r="M31" i="3"/>
  <c r="O31" i="3"/>
  <c r="AC27" i="3"/>
  <c r="D31" i="3"/>
  <c r="K31" i="3"/>
  <c r="L31" i="3"/>
  <c r="AC30" i="3"/>
  <c r="J31" i="3"/>
  <c r="T31" i="3"/>
  <c r="W31" i="3"/>
  <c r="S31" i="3"/>
  <c r="U31" i="3"/>
  <c r="AA31" i="3"/>
  <c r="R31" i="3"/>
  <c r="Y31" i="3"/>
  <c r="Q31" i="3"/>
  <c r="P31" i="3"/>
  <c r="V31" i="3"/>
  <c r="AB31" i="3"/>
  <c r="N31" i="3"/>
  <c r="H38" i="3"/>
  <c r="E38" i="3"/>
  <c r="Z38" i="3"/>
  <c r="T38" i="3"/>
  <c r="X38" i="3"/>
  <c r="R38" i="3"/>
  <c r="G38" i="3"/>
  <c r="V38" i="3"/>
  <c r="O38" i="3"/>
  <c r="P38" i="3"/>
  <c r="AC37" i="3"/>
  <c r="W38" i="3"/>
  <c r="Q38" i="3"/>
  <c r="AA38" i="3"/>
  <c r="AC34" i="3"/>
  <c r="D38" i="3"/>
  <c r="AC36" i="3"/>
  <c r="U38" i="3"/>
  <c r="I38" i="3"/>
  <c r="M38" i="3"/>
  <c r="AB38" i="3"/>
  <c r="Y38" i="3"/>
  <c r="AC35" i="3"/>
  <c r="K38" i="3"/>
  <c r="L38" i="3"/>
  <c r="S38" i="3"/>
  <c r="N38" i="3"/>
  <c r="F38" i="3"/>
  <c r="J38" i="3"/>
  <c r="K13" i="2"/>
  <c r="D14" i="3"/>
  <c r="D18" i="3"/>
  <c r="D30" i="1"/>
  <c r="E30" i="1" s="1"/>
  <c r="F30" i="1" s="1"/>
  <c r="G30" i="1" s="1"/>
  <c r="H30" i="1" s="1"/>
  <c r="I30" i="1" s="1"/>
  <c r="J30" i="1" s="1"/>
  <c r="K30" i="1" s="1"/>
  <c r="L30" i="1" s="1"/>
  <c r="M30" i="1" s="1"/>
  <c r="N30" i="1" s="1"/>
  <c r="O30" i="1" s="1"/>
  <c r="P30" i="1" s="1"/>
  <c r="Q30" i="1" s="1"/>
  <c r="R30" i="1" s="1"/>
  <c r="S30" i="1" s="1"/>
  <c r="T30" i="1" s="1"/>
  <c r="U30" i="1" s="1"/>
  <c r="V30" i="1" s="1"/>
  <c r="W30" i="1" s="1"/>
  <c r="X30" i="1" s="1"/>
  <c r="Y30" i="1" s="1"/>
  <c r="Z30" i="1" s="1"/>
  <c r="AA30" i="1" s="1"/>
  <c r="N8" i="2"/>
  <c r="L9" i="2"/>
  <c r="J66" i="1"/>
  <c r="F24" i="1"/>
  <c r="G24" i="1" s="1"/>
  <c r="E19" i="1"/>
  <c r="E16" i="1" s="1"/>
  <c r="AT9" i="1"/>
  <c r="Z14" i="3" l="1"/>
  <c r="X18" i="3"/>
  <c r="AB18" i="3"/>
  <c r="Y18" i="3"/>
  <c r="Z18" i="3"/>
  <c r="AA14" i="3"/>
  <c r="Y14" i="3"/>
  <c r="AB14" i="3"/>
  <c r="AB16" i="3"/>
  <c r="Y6" i="3"/>
  <c r="Z17" i="3"/>
  <c r="AA17" i="3"/>
  <c r="X14" i="3"/>
  <c r="X6" i="3"/>
  <c r="Z6" i="3"/>
  <c r="AA18" i="3"/>
  <c r="D6" i="3"/>
  <c r="AB17" i="3"/>
  <c r="D17" i="3"/>
  <c r="O46" i="3"/>
  <c r="O44" i="3"/>
  <c r="O47" i="3" s="1"/>
  <c r="AE54" i="3"/>
  <c r="AD34" i="3"/>
  <c r="AF52" i="3"/>
  <c r="J67" i="1"/>
  <c r="J71" i="1" s="1"/>
  <c r="K69" i="1"/>
  <c r="AS6" i="1"/>
  <c r="C11" i="1"/>
  <c r="AU8" i="1"/>
  <c r="AT7" i="1"/>
  <c r="AT6" i="1"/>
  <c r="AD35" i="3"/>
  <c r="AD36" i="3"/>
  <c r="P41" i="3"/>
  <c r="N13" i="2"/>
  <c r="Y16" i="3"/>
  <c r="X16" i="3"/>
  <c r="Z16" i="3"/>
  <c r="D16" i="3"/>
  <c r="AA16" i="3"/>
  <c r="AC31" i="3"/>
  <c r="AD37" i="3"/>
  <c r="AC38" i="3"/>
  <c r="E17" i="6" s="1"/>
  <c r="AB15" i="3"/>
  <c r="Z15" i="3"/>
  <c r="X15" i="3"/>
  <c r="AA15" i="3"/>
  <c r="Y15" i="3"/>
  <c r="D15" i="3"/>
  <c r="N9" i="2"/>
  <c r="F19" i="1"/>
  <c r="F16" i="1" s="1"/>
  <c r="H24" i="1"/>
  <c r="G19" i="1"/>
  <c r="G16" i="1" s="1"/>
  <c r="AB19" i="3" l="1"/>
  <c r="AB59" i="3" s="1"/>
  <c r="C12" i="1"/>
  <c r="D9" i="8"/>
  <c r="P46" i="3"/>
  <c r="P44" i="3"/>
  <c r="D11" i="1"/>
  <c r="D12" i="1" s="1"/>
  <c r="E7" i="3" s="1"/>
  <c r="AS10" i="1"/>
  <c r="AS11" i="1" s="1"/>
  <c r="AU6" i="1"/>
  <c r="E10" i="1"/>
  <c r="AU9" i="1" s="1"/>
  <c r="AU7" i="1"/>
  <c r="AV8" i="1"/>
  <c r="D9" i="3"/>
  <c r="D5" i="3"/>
  <c r="D8" i="3"/>
  <c r="Q41" i="3"/>
  <c r="Y19" i="3"/>
  <c r="Y59" i="3" s="1"/>
  <c r="D17" i="6"/>
  <c r="F17" i="6" s="1"/>
  <c r="G17" i="6" s="1"/>
  <c r="AA19" i="3"/>
  <c r="AA59" i="3" s="1"/>
  <c r="Z19" i="3"/>
  <c r="Z59" i="3" s="1"/>
  <c r="AD38" i="3"/>
  <c r="D19" i="3"/>
  <c r="AE10" i="3"/>
  <c r="AC10" i="3"/>
  <c r="E17" i="3"/>
  <c r="E18" i="3"/>
  <c r="E14" i="3"/>
  <c r="E15" i="3"/>
  <c r="E16" i="3"/>
  <c r="E6" i="3"/>
  <c r="I24" i="1"/>
  <c r="H19" i="1"/>
  <c r="H16" i="1" s="1"/>
  <c r="G10" i="1"/>
  <c r="AW9" i="1" s="1"/>
  <c r="D7" i="3" l="1"/>
  <c r="D10" i="8"/>
  <c r="Q46" i="3"/>
  <c r="Q44" i="3"/>
  <c r="Q47" i="3" s="1"/>
  <c r="AT10" i="1"/>
  <c r="AT11" i="1" s="1"/>
  <c r="E11" i="1"/>
  <c r="AU10" i="1" s="1"/>
  <c r="AU11" i="1" s="1"/>
  <c r="AW8" i="1"/>
  <c r="F10" i="1"/>
  <c r="AV9" i="1" s="1"/>
  <c r="AV7" i="1"/>
  <c r="D22" i="3"/>
  <c r="E9" i="3"/>
  <c r="D11" i="3"/>
  <c r="D58" i="3" s="1"/>
  <c r="E8" i="3"/>
  <c r="E5" i="3"/>
  <c r="P47" i="3"/>
  <c r="R41" i="3"/>
  <c r="E15" i="6"/>
  <c r="E9" i="6" s="1"/>
  <c r="D59" i="3"/>
  <c r="E19" i="3"/>
  <c r="E59" i="3" s="1"/>
  <c r="F17" i="3"/>
  <c r="F18" i="3"/>
  <c r="F16" i="3"/>
  <c r="F14" i="3"/>
  <c r="F15" i="3"/>
  <c r="F6" i="3"/>
  <c r="J24" i="1"/>
  <c r="I19" i="1"/>
  <c r="I16" i="1" s="1"/>
  <c r="H10" i="1"/>
  <c r="AX9" i="1" s="1"/>
  <c r="R46" i="3" l="1"/>
  <c r="R44" i="3"/>
  <c r="R47" i="3" s="1"/>
  <c r="AV6" i="1"/>
  <c r="G11" i="1"/>
  <c r="F11" i="1"/>
  <c r="E12" i="1"/>
  <c r="AW7" i="1"/>
  <c r="AX8" i="1"/>
  <c r="E11" i="3"/>
  <c r="E58" i="3" s="1"/>
  <c r="E60" i="3" s="1"/>
  <c r="D60" i="3"/>
  <c r="D15" i="6"/>
  <c r="D9" i="6" s="1"/>
  <c r="F9" i="6" s="1"/>
  <c r="G9" i="6" s="1"/>
  <c r="D21" i="3"/>
  <c r="E22" i="3"/>
  <c r="S41" i="3"/>
  <c r="F19" i="3"/>
  <c r="F59" i="3" s="1"/>
  <c r="G17" i="3"/>
  <c r="G18" i="3"/>
  <c r="G14" i="3"/>
  <c r="G16" i="3"/>
  <c r="G15" i="3"/>
  <c r="G6" i="3"/>
  <c r="K24" i="1"/>
  <c r="J19" i="1"/>
  <c r="J16" i="1" s="1"/>
  <c r="I10" i="1"/>
  <c r="AY9" i="1" s="1"/>
  <c r="S46" i="3" l="1"/>
  <c r="S44" i="3"/>
  <c r="S47" i="3" s="1"/>
  <c r="AW10" i="1"/>
  <c r="G12" i="1"/>
  <c r="H7" i="3" s="1"/>
  <c r="AW6" i="1"/>
  <c r="F7" i="3"/>
  <c r="F8" i="3"/>
  <c r="F5" i="3"/>
  <c r="F9" i="3"/>
  <c r="AV10" i="1"/>
  <c r="AV11" i="1" s="1"/>
  <c r="F12" i="1"/>
  <c r="AY8" i="1"/>
  <c r="AX7" i="1"/>
  <c r="E21" i="3"/>
  <c r="F15" i="6"/>
  <c r="G15" i="6" s="1"/>
  <c r="T41" i="3"/>
  <c r="G19" i="3"/>
  <c r="G59" i="3" s="1"/>
  <c r="H16" i="3"/>
  <c r="H17" i="3"/>
  <c r="H18" i="3"/>
  <c r="H15" i="3"/>
  <c r="H14" i="3"/>
  <c r="H6" i="3"/>
  <c r="L24" i="1"/>
  <c r="K19" i="1"/>
  <c r="K16" i="1" s="1"/>
  <c r="J10" i="1"/>
  <c r="T46" i="3" l="1"/>
  <c r="T44" i="3"/>
  <c r="H9" i="3"/>
  <c r="H5" i="3"/>
  <c r="H8" i="3"/>
  <c r="AW11" i="1"/>
  <c r="G7" i="3"/>
  <c r="G8" i="3"/>
  <c r="G9" i="3"/>
  <c r="G5" i="3"/>
  <c r="F11" i="3"/>
  <c r="F22" i="3"/>
  <c r="AX6" i="1"/>
  <c r="H11" i="1"/>
  <c r="AX10" i="1" s="1"/>
  <c r="AY7" i="1"/>
  <c r="AZ9" i="1"/>
  <c r="AZ8" i="1"/>
  <c r="U41" i="3"/>
  <c r="H19" i="3"/>
  <c r="H59" i="3" s="1"/>
  <c r="I16" i="3"/>
  <c r="I17" i="3"/>
  <c r="I18" i="3"/>
  <c r="I14" i="3"/>
  <c r="I15" i="3"/>
  <c r="I6" i="3"/>
  <c r="M24" i="1"/>
  <c r="L19" i="1"/>
  <c r="L16" i="1" s="1"/>
  <c r="K10" i="1"/>
  <c r="BA9" i="1" s="1"/>
  <c r="T47" i="3" l="1"/>
  <c r="U44" i="3"/>
  <c r="U46" i="3"/>
  <c r="AX11" i="1"/>
  <c r="H11" i="3"/>
  <c r="H58" i="3" s="1"/>
  <c r="H60" i="3" s="1"/>
  <c r="H22" i="3"/>
  <c r="AY6" i="1"/>
  <c r="I11" i="1"/>
  <c r="AY10" i="1" s="1"/>
  <c r="F58" i="3"/>
  <c r="F60" i="3" s="1"/>
  <c r="F21" i="3"/>
  <c r="H12" i="1"/>
  <c r="G11" i="3"/>
  <c r="G22" i="3"/>
  <c r="BA8" i="1"/>
  <c r="AZ7" i="1"/>
  <c r="V41" i="3"/>
  <c r="I19" i="3"/>
  <c r="I59" i="3" s="1"/>
  <c r="J16" i="3"/>
  <c r="J17" i="3"/>
  <c r="J14" i="3"/>
  <c r="J18" i="3"/>
  <c r="J15" i="3"/>
  <c r="J6" i="3"/>
  <c r="N24" i="1"/>
  <c r="M19" i="1"/>
  <c r="M16" i="1" s="1"/>
  <c r="L10" i="1"/>
  <c r="BB9" i="1" s="1"/>
  <c r="V46" i="3" l="1"/>
  <c r="V44" i="3"/>
  <c r="V47" i="3" s="1"/>
  <c r="I12" i="1"/>
  <c r="J7" i="3" s="1"/>
  <c r="H21" i="3"/>
  <c r="I7" i="3"/>
  <c r="I9" i="3"/>
  <c r="I5" i="3"/>
  <c r="I8" i="3"/>
  <c r="G58" i="3"/>
  <c r="G60" i="3" s="1"/>
  <c r="G21" i="3"/>
  <c r="AY11" i="1"/>
  <c r="AZ6" i="1"/>
  <c r="J11" i="1"/>
  <c r="BA7" i="1"/>
  <c r="BB8" i="1"/>
  <c r="W41" i="3"/>
  <c r="U47" i="3"/>
  <c r="J19" i="3"/>
  <c r="J59" i="3" s="1"/>
  <c r="K15" i="3"/>
  <c r="K16" i="3"/>
  <c r="K17" i="3"/>
  <c r="K18" i="3"/>
  <c r="K14" i="3"/>
  <c r="K6" i="3"/>
  <c r="O24" i="1"/>
  <c r="N19" i="1"/>
  <c r="N16" i="1" s="1"/>
  <c r="M10" i="1"/>
  <c r="BC9" i="1" s="1"/>
  <c r="W44" i="3" l="1"/>
  <c r="W46" i="3"/>
  <c r="J8" i="3"/>
  <c r="J5" i="3"/>
  <c r="J9" i="3"/>
  <c r="J12" i="1"/>
  <c r="AZ10" i="1"/>
  <c r="AZ11" i="1" s="1"/>
  <c r="BA6" i="1"/>
  <c r="K11" i="1"/>
  <c r="I11" i="3"/>
  <c r="I22" i="3"/>
  <c r="BC8" i="1"/>
  <c r="BB7" i="1"/>
  <c r="X41" i="3"/>
  <c r="W47" i="3"/>
  <c r="K19" i="3"/>
  <c r="L15" i="3"/>
  <c r="L16" i="3"/>
  <c r="L17" i="3"/>
  <c r="L18" i="3"/>
  <c r="L14" i="3"/>
  <c r="L6" i="3"/>
  <c r="P24" i="1"/>
  <c r="O19" i="1"/>
  <c r="O16" i="1" s="1"/>
  <c r="X44" i="3" l="1"/>
  <c r="X46" i="3"/>
  <c r="X47" i="3" s="1"/>
  <c r="J22" i="3"/>
  <c r="J11" i="3"/>
  <c r="J58" i="3" s="1"/>
  <c r="J60" i="3" s="1"/>
  <c r="BB6" i="1"/>
  <c r="L11" i="1"/>
  <c r="BB10" i="1" s="1"/>
  <c r="K12" i="1"/>
  <c r="BA10" i="1"/>
  <c r="BA11" i="1" s="1"/>
  <c r="I58" i="3"/>
  <c r="I60" i="3" s="1"/>
  <c r="I21" i="3"/>
  <c r="K7" i="3"/>
  <c r="K9" i="3"/>
  <c r="K5" i="3"/>
  <c r="K8" i="3"/>
  <c r="BC7" i="1"/>
  <c r="N10" i="1"/>
  <c r="BD9" i="1" s="1"/>
  <c r="BD8" i="1"/>
  <c r="Y41" i="3"/>
  <c r="K59" i="3"/>
  <c r="L19" i="3"/>
  <c r="L59" i="3" s="1"/>
  <c r="M15" i="3"/>
  <c r="M16" i="3"/>
  <c r="M14" i="3"/>
  <c r="M17" i="3"/>
  <c r="M18" i="3"/>
  <c r="M6" i="3"/>
  <c r="Q24" i="1"/>
  <c r="P19" i="1"/>
  <c r="P16" i="1" s="1"/>
  <c r="Y46" i="3" l="1"/>
  <c r="Y44" i="3"/>
  <c r="Y47" i="3" s="1"/>
  <c r="J21" i="3"/>
  <c r="L12" i="1"/>
  <c r="M9" i="3" s="1"/>
  <c r="K11" i="3"/>
  <c r="K22" i="3"/>
  <c r="L7" i="3"/>
  <c r="L8" i="3"/>
  <c r="L5" i="3"/>
  <c r="L9" i="3"/>
  <c r="BB11" i="1"/>
  <c r="BC6" i="1"/>
  <c r="M11" i="1"/>
  <c r="O10" i="1"/>
  <c r="BE9" i="1" s="1"/>
  <c r="BE8" i="1"/>
  <c r="BD7" i="1"/>
  <c r="Z41" i="3"/>
  <c r="M19" i="3"/>
  <c r="M59" i="3" s="1"/>
  <c r="N14" i="3"/>
  <c r="N15" i="3"/>
  <c r="N16" i="3"/>
  <c r="N18" i="3"/>
  <c r="N17" i="3"/>
  <c r="N6" i="3"/>
  <c r="R24" i="1"/>
  <c r="Q19" i="1"/>
  <c r="Q16" i="1" s="1"/>
  <c r="Z46" i="3" l="1"/>
  <c r="Z44" i="3"/>
  <c r="Z47" i="3" s="1"/>
  <c r="M7" i="3"/>
  <c r="M5" i="3"/>
  <c r="M8" i="3"/>
  <c r="BD6" i="1"/>
  <c r="N11" i="1"/>
  <c r="BD10" i="1" s="1"/>
  <c r="O11" i="1"/>
  <c r="BC10" i="1"/>
  <c r="BC11" i="1" s="1"/>
  <c r="M12" i="1"/>
  <c r="L11" i="3"/>
  <c r="L22" i="3"/>
  <c r="K58" i="3"/>
  <c r="K60" i="3" s="1"/>
  <c r="K21" i="3"/>
  <c r="BE7" i="1"/>
  <c r="P10" i="1"/>
  <c r="BF9" i="1" s="1"/>
  <c r="BF8" i="1"/>
  <c r="AA41" i="3"/>
  <c r="N19" i="3"/>
  <c r="N59" i="3" s="1"/>
  <c r="O14" i="3"/>
  <c r="O15" i="3"/>
  <c r="O18" i="3"/>
  <c r="O16" i="3"/>
  <c r="O17" i="3"/>
  <c r="O6" i="3"/>
  <c r="S24" i="1"/>
  <c r="R19" i="1"/>
  <c r="R16" i="1" s="1"/>
  <c r="AA44" i="3" l="1"/>
  <c r="AA46" i="3"/>
  <c r="BD11" i="1"/>
  <c r="M22" i="3"/>
  <c r="M11" i="3"/>
  <c r="N12" i="1"/>
  <c r="O9" i="3" s="1"/>
  <c r="L58" i="3"/>
  <c r="L60" i="3" s="1"/>
  <c r="L21" i="3"/>
  <c r="N7" i="3"/>
  <c r="N9" i="3"/>
  <c r="N8" i="3"/>
  <c r="N5" i="3"/>
  <c r="BE6" i="1"/>
  <c r="BG8" i="1"/>
  <c r="BE10" i="1"/>
  <c r="O12" i="1"/>
  <c r="P5" i="3" s="1"/>
  <c r="Q10" i="1"/>
  <c r="BG9" i="1" s="1"/>
  <c r="BF7" i="1"/>
  <c r="AA47" i="3"/>
  <c r="AB41" i="3"/>
  <c r="O19" i="3"/>
  <c r="O59" i="3" s="1"/>
  <c r="P14" i="3"/>
  <c r="P15" i="3"/>
  <c r="P18" i="3"/>
  <c r="P17" i="3"/>
  <c r="P16" i="3"/>
  <c r="P6" i="3"/>
  <c r="T24" i="1"/>
  <c r="S19" i="1"/>
  <c r="S16" i="1" s="1"/>
  <c r="AB46" i="3" l="1"/>
  <c r="AE46" i="3" s="1"/>
  <c r="AF53" i="3" s="1"/>
  <c r="AB44" i="3"/>
  <c r="M58" i="3"/>
  <c r="M60" i="3" s="1"/>
  <c r="M21" i="3"/>
  <c r="P8" i="3"/>
  <c r="O8" i="3"/>
  <c r="O7" i="3"/>
  <c r="O5" i="3"/>
  <c r="BF6" i="1"/>
  <c r="Q11" i="1"/>
  <c r="BE11" i="1"/>
  <c r="N11" i="3"/>
  <c r="N22" i="3"/>
  <c r="P11" i="1"/>
  <c r="BF10" i="1" s="1"/>
  <c r="P7" i="3"/>
  <c r="P9" i="3"/>
  <c r="BH8" i="1"/>
  <c r="BG7" i="1"/>
  <c r="R10" i="1"/>
  <c r="BH9" i="1" s="1"/>
  <c r="AB47" i="3"/>
  <c r="AE47" i="3" s="1"/>
  <c r="AE44" i="3"/>
  <c r="AF51" i="3" s="1"/>
  <c r="P19" i="3"/>
  <c r="P59" i="3" s="1"/>
  <c r="Q14" i="3"/>
  <c r="Q15" i="3"/>
  <c r="Q16" i="3"/>
  <c r="Q17" i="3"/>
  <c r="Q18" i="3"/>
  <c r="Q6" i="3"/>
  <c r="U24" i="1"/>
  <c r="T19" i="1"/>
  <c r="T16" i="1" s="1"/>
  <c r="O22" i="3" l="1"/>
  <c r="O11" i="3"/>
  <c r="O58" i="3" s="1"/>
  <c r="O60" i="3" s="1"/>
  <c r="P11" i="3"/>
  <c r="P58" i="3" s="1"/>
  <c r="P60" i="3" s="1"/>
  <c r="P12" i="1"/>
  <c r="Q8" i="3" s="1"/>
  <c r="BF11" i="1"/>
  <c r="P22" i="3"/>
  <c r="N58" i="3"/>
  <c r="N60" i="3" s="1"/>
  <c r="N21" i="3"/>
  <c r="BG6" i="1"/>
  <c r="R11" i="1"/>
  <c r="Q12" i="1"/>
  <c r="R5" i="3" s="1"/>
  <c r="BG10" i="1"/>
  <c r="BH7" i="1"/>
  <c r="S10" i="1"/>
  <c r="BI9" i="1" s="1"/>
  <c r="BI8" i="1"/>
  <c r="AF54" i="3"/>
  <c r="Q19" i="3"/>
  <c r="Q59" i="3" s="1"/>
  <c r="R18" i="3"/>
  <c r="R14" i="3"/>
  <c r="R15" i="3"/>
  <c r="R17" i="3"/>
  <c r="R16" i="3"/>
  <c r="R6" i="3"/>
  <c r="V24" i="1"/>
  <c r="U19" i="1"/>
  <c r="U16" i="1" s="1"/>
  <c r="T10" i="1"/>
  <c r="BJ9" i="1" s="1"/>
  <c r="BG11" i="1" l="1"/>
  <c r="R8" i="3"/>
  <c r="O21" i="3"/>
  <c r="P21" i="3"/>
  <c r="Q7" i="3"/>
  <c r="Q5" i="3"/>
  <c r="Q9" i="3"/>
  <c r="BH6" i="1"/>
  <c r="S11" i="1"/>
  <c r="BJ8" i="1"/>
  <c r="BI7" i="1"/>
  <c r="R12" i="1"/>
  <c r="S5" i="3" s="1"/>
  <c r="BH10" i="1"/>
  <c r="BH11" i="1" s="1"/>
  <c r="R7" i="3"/>
  <c r="R9" i="3"/>
  <c r="R19" i="3"/>
  <c r="R59" i="3" s="1"/>
  <c r="S18" i="3"/>
  <c r="S14" i="3"/>
  <c r="S15" i="3"/>
  <c r="S16" i="3"/>
  <c r="S17" i="3"/>
  <c r="S6" i="3"/>
  <c r="W24" i="1"/>
  <c r="X24" i="1" s="1"/>
  <c r="V19" i="1"/>
  <c r="V16" i="1" s="1"/>
  <c r="U10" i="1"/>
  <c r="R22" i="3" l="1"/>
  <c r="R11" i="3"/>
  <c r="R58" i="3" s="1"/>
  <c r="R60" i="3" s="1"/>
  <c r="Q22" i="3"/>
  <c r="Q11" i="3"/>
  <c r="BI6" i="1"/>
  <c r="S7" i="3"/>
  <c r="S9" i="3"/>
  <c r="BI10" i="1"/>
  <c r="S12" i="1"/>
  <c r="T5" i="3" s="1"/>
  <c r="S8" i="3"/>
  <c r="BJ7" i="1"/>
  <c r="S19" i="3"/>
  <c r="S59" i="3" s="1"/>
  <c r="Y24" i="1"/>
  <c r="X19" i="1"/>
  <c r="T18" i="3"/>
  <c r="T14" i="3"/>
  <c r="T17" i="3"/>
  <c r="T16" i="3"/>
  <c r="T15" i="3"/>
  <c r="T6" i="3"/>
  <c r="W19" i="1"/>
  <c r="W16" i="1" s="1"/>
  <c r="V10" i="1"/>
  <c r="S11" i="3" l="1"/>
  <c r="S58" i="3" s="1"/>
  <c r="S60" i="3" s="1"/>
  <c r="T8" i="3"/>
  <c r="R21" i="3"/>
  <c r="X16" i="1"/>
  <c r="X10" i="1" s="1"/>
  <c r="Q58" i="3"/>
  <c r="Q60" i="3" s="1"/>
  <c r="Q21" i="3"/>
  <c r="S22" i="3"/>
  <c r="BI11" i="1"/>
  <c r="BJ6" i="1"/>
  <c r="T11" i="1"/>
  <c r="BJ10" i="1" s="1"/>
  <c r="T7" i="3"/>
  <c r="T9" i="3"/>
  <c r="T19" i="3"/>
  <c r="T59" i="3" s="1"/>
  <c r="Z24" i="1"/>
  <c r="Y19" i="1"/>
  <c r="U17" i="3"/>
  <c r="AC17" i="3" s="1"/>
  <c r="U18" i="3"/>
  <c r="AC18" i="3" s="1"/>
  <c r="U16" i="3"/>
  <c r="AC16" i="3" s="1"/>
  <c r="U14" i="3"/>
  <c r="U15" i="3"/>
  <c r="AC15" i="3" s="1"/>
  <c r="U6" i="3"/>
  <c r="BJ11" i="1" l="1"/>
  <c r="S21" i="3"/>
  <c r="T11" i="3"/>
  <c r="T58" i="3" s="1"/>
  <c r="T60" i="3" s="1"/>
  <c r="Y16" i="1"/>
  <c r="Y10" i="1" s="1"/>
  <c r="T12" i="1"/>
  <c r="U7" i="3" s="1"/>
  <c r="AC7" i="3" s="1"/>
  <c r="T22" i="3"/>
  <c r="U11" i="1"/>
  <c r="U12" i="1" s="1"/>
  <c r="W10" i="1"/>
  <c r="AC6" i="3"/>
  <c r="AC14" i="3"/>
  <c r="U19" i="3"/>
  <c r="U59" i="3" s="1"/>
  <c r="AA24" i="1"/>
  <c r="Z19" i="1"/>
  <c r="Z16" i="1" s="1"/>
  <c r="Z10" i="1" s="1"/>
  <c r="V17" i="3"/>
  <c r="V18" i="3"/>
  <c r="V15" i="3"/>
  <c r="V16" i="3"/>
  <c r="V14" i="3"/>
  <c r="V6" i="3"/>
  <c r="U5" i="3" l="1"/>
  <c r="AC5" i="3" s="1"/>
  <c r="U9" i="3"/>
  <c r="AC9" i="3" s="1"/>
  <c r="T21" i="3"/>
  <c r="U8" i="3"/>
  <c r="AC8" i="3" s="1"/>
  <c r="V11" i="1"/>
  <c r="V12" i="1" s="1"/>
  <c r="W5" i="3" s="1"/>
  <c r="V7" i="3"/>
  <c r="V9" i="3"/>
  <c r="V8" i="3"/>
  <c r="V5" i="3"/>
  <c r="AC59" i="3"/>
  <c r="V19" i="3"/>
  <c r="V59" i="3" s="1"/>
  <c r="AC19" i="3"/>
  <c r="E16" i="6" s="1"/>
  <c r="AA19" i="1"/>
  <c r="AA16" i="1" s="1"/>
  <c r="AA10" i="1" s="1"/>
  <c r="W17" i="3"/>
  <c r="AE17" i="3" s="1"/>
  <c r="W18" i="3"/>
  <c r="W15" i="3"/>
  <c r="AE15" i="3" s="1"/>
  <c r="W16" i="3"/>
  <c r="W14" i="3"/>
  <c r="W6" i="3"/>
  <c r="W8" i="3" l="1"/>
  <c r="V11" i="3"/>
  <c r="V58" i="3" s="1"/>
  <c r="V60" i="3" s="1"/>
  <c r="U22" i="3"/>
  <c r="U11" i="3"/>
  <c r="V22" i="3"/>
  <c r="W7" i="3"/>
  <c r="W9" i="3"/>
  <c r="W11" i="1"/>
  <c r="W12" i="1" s="1"/>
  <c r="E18" i="6"/>
  <c r="E10" i="6"/>
  <c r="AE6" i="3"/>
  <c r="AF15" i="3" s="1"/>
  <c r="AE14" i="3"/>
  <c r="W19" i="3"/>
  <c r="W59" i="3" s="1"/>
  <c r="AD16" i="3"/>
  <c r="AE16" i="3"/>
  <c r="AD18" i="3"/>
  <c r="AE18" i="3"/>
  <c r="AD17" i="3"/>
  <c r="AD15" i="3"/>
  <c r="V21" i="3" l="1"/>
  <c r="U58" i="3"/>
  <c r="AC11" i="3"/>
  <c r="U21" i="3"/>
  <c r="W22" i="3"/>
  <c r="W11" i="3"/>
  <c r="W58" i="3" s="1"/>
  <c r="W60" i="3" s="1"/>
  <c r="X11" i="1"/>
  <c r="X12" i="1" s="1"/>
  <c r="X7" i="3"/>
  <c r="X8" i="3"/>
  <c r="X5" i="3"/>
  <c r="X9" i="3"/>
  <c r="X19" i="3"/>
  <c r="X59" i="3" s="1"/>
  <c r="AC22" i="3"/>
  <c r="AD14" i="3"/>
  <c r="D16" i="6" l="1"/>
  <c r="AD19" i="3"/>
  <c r="AC21" i="3"/>
  <c r="AC58" i="3"/>
  <c r="AC60" i="3" s="1"/>
  <c r="U60" i="3"/>
  <c r="W21" i="3"/>
  <c r="X11" i="3"/>
  <c r="X58" i="3" s="1"/>
  <c r="X60" i="3" s="1"/>
  <c r="X22" i="3"/>
  <c r="Y11" i="1"/>
  <c r="Y12" i="1" s="1"/>
  <c r="Y7" i="3"/>
  <c r="Y8" i="3"/>
  <c r="Y5" i="3"/>
  <c r="Y9" i="3"/>
  <c r="AE19" i="3"/>
  <c r="AE59" i="3"/>
  <c r="D18" i="6" l="1"/>
  <c r="F18" i="6" s="1"/>
  <c r="G18" i="6" s="1"/>
  <c r="D10" i="6"/>
  <c r="F10" i="6" s="1"/>
  <c r="G10" i="6" s="1"/>
  <c r="F16" i="6"/>
  <c r="G16" i="6" s="1"/>
  <c r="X21" i="3"/>
  <c r="Z11" i="1"/>
  <c r="Z12" i="1" s="1"/>
  <c r="AA11" i="1"/>
  <c r="AA12" i="1" s="1"/>
  <c r="Y11" i="3"/>
  <c r="Y22" i="3"/>
  <c r="Z7" i="3"/>
  <c r="Z8" i="3"/>
  <c r="Z9" i="3"/>
  <c r="Z5" i="3"/>
  <c r="Z11" i="3" l="1"/>
  <c r="Z22" i="3"/>
  <c r="Y58" i="3"/>
  <c r="Y60" i="3" s="1"/>
  <c r="Y21" i="3"/>
  <c r="AB7" i="3"/>
  <c r="AB8" i="3"/>
  <c r="AB5" i="3"/>
  <c r="AB9" i="3"/>
  <c r="AA7" i="3"/>
  <c r="AA9" i="3"/>
  <c r="AA8" i="3"/>
  <c r="AA5" i="3"/>
  <c r="AE7" i="3" l="1"/>
  <c r="AF16" i="3" s="1"/>
  <c r="AA22" i="3"/>
  <c r="AA11" i="3"/>
  <c r="AB11" i="3"/>
  <c r="AB22" i="3"/>
  <c r="AE8" i="3"/>
  <c r="AF17" i="3" s="1"/>
  <c r="AE9" i="3"/>
  <c r="AF18" i="3" s="1"/>
  <c r="AE5" i="3"/>
  <c r="Z58" i="3"/>
  <c r="Z21" i="3"/>
  <c r="AE11" i="3" l="1"/>
  <c r="AF14" i="3"/>
  <c r="AE22" i="3"/>
  <c r="AA58" i="3"/>
  <c r="AA60" i="3" s="1"/>
  <c r="AA21" i="3"/>
  <c r="Z60" i="3"/>
  <c r="AB21" i="3"/>
  <c r="AB58" i="3"/>
  <c r="AB60" i="3" s="1"/>
  <c r="AF19" i="3" l="1"/>
  <c r="AE21" i="3"/>
  <c r="AE58" i="3"/>
  <c r="AE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Neme</author>
  </authors>
  <commentList>
    <comment ref="E8" authorId="0" shapeId="0" xr:uid="{B6E84605-5C07-4009-B190-5780629F5A8C}">
      <text>
        <r>
          <rPr>
            <b/>
            <sz val="9"/>
            <color indexed="81"/>
            <rFont val="Tahoma"/>
            <family val="2"/>
          </rPr>
          <t>Chris Neme:</t>
        </r>
        <r>
          <rPr>
            <sz val="9"/>
            <color indexed="81"/>
            <rFont val="Tahoma"/>
            <family val="2"/>
          </rPr>
          <t xml:space="preserve">
Same as ccASHP</t>
        </r>
      </text>
    </comment>
    <comment ref="G8" authorId="0" shapeId="0" xr:uid="{EEB10CDE-94B3-4B67-ADAC-15ED2325B6AB}">
      <text>
        <r>
          <rPr>
            <b/>
            <sz val="9"/>
            <color indexed="81"/>
            <rFont val="Tahoma"/>
            <family val="2"/>
          </rPr>
          <t>Chris Neme:</t>
        </r>
        <r>
          <rPr>
            <sz val="9"/>
            <color indexed="81"/>
            <rFont val="Tahoma"/>
            <family val="2"/>
          </rPr>
          <t xml:space="preserve">
same as Guidehouse, JT1.28, Attachment 3, Equip Efficiencies tab, cell M10
</t>
        </r>
      </text>
    </comment>
    <comment ref="D78" authorId="0" shapeId="0" xr:uid="{666001FC-56C0-4658-801E-37323F05DA1E}">
      <text>
        <r>
          <rPr>
            <b/>
            <sz val="9"/>
            <color indexed="81"/>
            <rFont val="Tahoma"/>
            <family val="2"/>
          </rPr>
          <t>Chris Neme:</t>
        </r>
        <r>
          <rPr>
            <sz val="9"/>
            <color indexed="81"/>
            <rFont val="Tahoma"/>
            <family val="2"/>
          </rPr>
          <t xml:space="preserve">
values for post-80s Toronto archetype home</t>
        </r>
      </text>
    </comment>
    <comment ref="F79" authorId="0" shapeId="0" xr:uid="{F445B47B-0B1A-4110-9CED-98D0DD95AB21}">
      <text>
        <r>
          <rPr>
            <b/>
            <sz val="9"/>
            <color indexed="81"/>
            <rFont val="Tahoma"/>
            <family val="2"/>
          </rPr>
          <t>Chris Neme:</t>
        </r>
        <r>
          <rPr>
            <sz val="9"/>
            <color indexed="81"/>
            <rFont val="Tahoma"/>
            <family val="2"/>
          </rPr>
          <t xml:space="preserve">
value for single detached house built in 1980 (table 6); used top end of range since bottom end appears to be for Vancouver climate; includes cost of electric resistance back-up heat (also at high end)</t>
        </r>
      </text>
    </comment>
    <comment ref="F91" authorId="0" shapeId="0" xr:uid="{BF7CCD4B-118E-4C73-A9F7-8D68BEAC7E3E}">
      <text>
        <r>
          <rPr>
            <b/>
            <sz val="9"/>
            <color indexed="81"/>
            <rFont val="Tahoma"/>
            <family val="2"/>
          </rPr>
          <t>Chris Neme:</t>
        </r>
        <r>
          <rPr>
            <sz val="9"/>
            <color indexed="81"/>
            <rFont val="Tahoma"/>
            <family val="2"/>
          </rPr>
          <t xml:space="preserve">
value for single detached house built in 1980 (table 6); used top end of range since bottom end appears to be for Vancouver climate</t>
        </r>
      </text>
    </comment>
    <comment ref="H111" authorId="0" shapeId="0" xr:uid="{C0F293D1-78E5-4D67-AC55-218BD2A5EDD2}">
      <text>
        <r>
          <rPr>
            <b/>
            <sz val="9"/>
            <color indexed="81"/>
            <rFont val="Tahoma"/>
            <family val="2"/>
          </rPr>
          <t>Chris Neme:</t>
        </r>
        <r>
          <rPr>
            <sz val="9"/>
            <color indexed="81"/>
            <rFont val="Tahoma"/>
            <family val="2"/>
          </rPr>
          <t xml:space="preserve">
used 2022 Energy Star installation cost estimate - about 1/2 of the installation cost estimate for super high effic models</t>
        </r>
      </text>
    </comment>
  </commentList>
</comments>
</file>

<file path=xl/sharedStrings.xml><?xml version="1.0" encoding="utf-8"?>
<sst xmlns="http://schemas.openxmlformats.org/spreadsheetml/2006/main" count="525" uniqueCount="289">
  <si>
    <t>Gas</t>
  </si>
  <si>
    <t>Electric</t>
  </si>
  <si>
    <t>$/kWh</t>
  </si>
  <si>
    <t>$/m3</t>
  </si>
  <si>
    <t>Real Escalation Rates for Commodity/Distribution Costs</t>
  </si>
  <si>
    <t>Inflation</t>
  </si>
  <si>
    <t>https://www.oeb.ca/consumer-information-and-protection/bill-calculator</t>
  </si>
  <si>
    <t>delivery</t>
  </si>
  <si>
    <t>commodity</t>
  </si>
  <si>
    <t>cost adj</t>
  </si>
  <si>
    <t>transporation</t>
  </si>
  <si>
    <t>carbon tax</t>
  </si>
  <si>
    <t>HST</t>
  </si>
  <si>
    <t>total</t>
  </si>
  <si>
    <t>total w/HST</t>
  </si>
  <si>
    <t>fixed monthly charge</t>
  </si>
  <si>
    <t>total fixed charge w/HST</t>
  </si>
  <si>
    <t>Total amount</t>
  </si>
  <si>
    <t>Gas Rates</t>
  </si>
  <si>
    <t>Electric Rates</t>
  </si>
  <si>
    <t>Distribution</t>
  </si>
  <si>
    <t>Carbon Tax</t>
  </si>
  <si>
    <t>Total</t>
  </si>
  <si>
    <t>Escalation Rates</t>
  </si>
  <si>
    <t>CO2e $/ton real</t>
  </si>
  <si>
    <t>Commodity</t>
  </si>
  <si>
    <t>Transportation</t>
  </si>
  <si>
    <t>Tons CO2e/m3</t>
  </si>
  <si>
    <t>cold climate ASHP</t>
  </si>
  <si>
    <t>Gas Heat Pump</t>
  </si>
  <si>
    <t>Life</t>
  </si>
  <si>
    <t>Heating/Cooling</t>
  </si>
  <si>
    <t>Water Heating</t>
  </si>
  <si>
    <t>Gas Water Heater</t>
  </si>
  <si>
    <t>Heat Pump Water Heater</t>
  </si>
  <si>
    <t>Gas Dryer</t>
  </si>
  <si>
    <t>Electric Dryer</t>
  </si>
  <si>
    <t>Annual Electric kWh</t>
  </si>
  <si>
    <t>Cooking</t>
  </si>
  <si>
    <t>Drying</t>
  </si>
  <si>
    <t>Gas stove</t>
  </si>
  <si>
    <t>Real Discount Rate</t>
  </si>
  <si>
    <t>Electric Induction Stove</t>
  </si>
  <si>
    <t>Other COPs</t>
  </si>
  <si>
    <t>MMBtu/m3</t>
  </si>
  <si>
    <t>GJ/m3</t>
  </si>
  <si>
    <t>btu/m3</t>
  </si>
  <si>
    <t>btu/kWh</t>
  </si>
  <si>
    <t>New Gas Furnace + Central A/C</t>
  </si>
  <si>
    <t>Current Stock Avg gas water heater</t>
  </si>
  <si>
    <t>Heating</t>
  </si>
  <si>
    <t>Cooling</t>
  </si>
  <si>
    <t>Other</t>
  </si>
  <si>
    <t>Avg Cooling SEER</t>
  </si>
  <si>
    <t>Saturation</t>
  </si>
  <si>
    <t>Total Cost</t>
  </si>
  <si>
    <t>ccASHP</t>
  </si>
  <si>
    <t>Fixed Charges</t>
  </si>
  <si>
    <t>Toronto Hydro</t>
  </si>
  <si>
    <t>Customer charge</t>
  </si>
  <si>
    <t>rider for disposition of PILs and tax variance</t>
  </si>
  <si>
    <t>rider for smart metering entity</t>
  </si>
  <si>
    <t>Variable $/kWh</t>
  </si>
  <si>
    <t>rider for disposition of capacity based recovery acct</t>
  </si>
  <si>
    <t>rider for disposition of deferral/variance accounts</t>
  </si>
  <si>
    <t>rider for disposition of global adjustment account (only non RPP)</t>
  </si>
  <si>
    <t>Fixed per 30 days</t>
  </si>
  <si>
    <t>Total w/HST</t>
  </si>
  <si>
    <t>https://www.torontohydro.com/for-home/rates</t>
  </si>
  <si>
    <t>Gas vs Electric Loads and Equipment Characteristics</t>
  </si>
  <si>
    <t>Difference</t>
  </si>
  <si>
    <t>cooking</t>
  </si>
  <si>
    <t>misc</t>
  </si>
  <si>
    <t>heating</t>
  </si>
  <si>
    <t>wash/dry</t>
  </si>
  <si>
    <t>DHW</t>
  </si>
  <si>
    <t>Detached House Consumption by End Use</t>
  </si>
  <si>
    <t>% of consumption by end use</t>
  </si>
  <si>
    <t>m3 of consumption by end use</t>
  </si>
  <si>
    <t>end use saturation</t>
  </si>
  <si>
    <t>m3 of consumption for those w/end use</t>
  </si>
  <si>
    <t>Equipment Costs</t>
  </si>
  <si>
    <t>ccASHP w/resistance back-up</t>
  </si>
  <si>
    <t>Furnace fan</t>
  </si>
  <si>
    <t>gas dryer kWh</t>
  </si>
  <si>
    <t>central A/C</t>
  </si>
  <si>
    <t>from EB-2021-0002 Enbridge response to Staff.77, p. 11</t>
  </si>
  <si>
    <t>https://www.bls.gov/data/inflation_calculator.htm</t>
  </si>
  <si>
    <t>USD to CDN</t>
  </si>
  <si>
    <t xml:space="preserve">Efficiency Vermont </t>
  </si>
  <si>
    <t>cooking electric kWh</t>
  </si>
  <si>
    <t>cooking gas ccf</t>
  </si>
  <si>
    <t>ratio of gas Btu to electric Btu</t>
  </si>
  <si>
    <t>https://www.energystar.gov/productfinder/product/certified-clothes-dryers/results?formId=0364-474-4040-77-08496445&amp;scrollTo=599.8079833984375&amp;search_text=&amp;low_price=&amp;high_price=&amp;type_filter=Gas+Clothes+Dryer&amp;is_most_efficient_filter=0&amp;other_features_and_characteristics_isopen=0&amp;brand_name_isopen=0&amp;markets_filter=United+States&amp;zip_code_filter=&amp;product_types=Select+a+Product+Category&amp;sort_by=combined_energy_factor_cef&amp;sort_direction=desc&amp;currentZipCode=05482&amp;page_number=0&amp;lastpage=0</t>
  </si>
  <si>
    <t xml:space="preserve">Induction efficiency gain vs. std electric </t>
  </si>
  <si>
    <t>https://www.energystar.gov/partner_resources/brand_owner_resources/spec_dev_effort/2021_residential_induction_cooking_tops#:~:text=The%20per%20unit%20efficiency%20of,times%20more%20efficient%20than%20gas.</t>
  </si>
  <si>
    <t>also says 3x gas efficiency</t>
  </si>
  <si>
    <t>adjusted baseline up to reflect adjustment down to gas dryer usage; result consistent w/Energy Star estimate for 50 gallon units at avg EF of 0.81</t>
  </si>
  <si>
    <t>Measure Lives</t>
  </si>
  <si>
    <t>Gas furnace</t>
  </si>
  <si>
    <t>Ontario Gas TRM v.7, p. 10</t>
  </si>
  <si>
    <t>Electric vs gas fuel bills only</t>
  </si>
  <si>
    <t>Electric vs gas variable costs</t>
  </si>
  <si>
    <t>n</t>
  </si>
  <si>
    <t>y</t>
  </si>
  <si>
    <t>Apply non-heat end use saturations (Y or N)?</t>
  </si>
  <si>
    <t>18-year NPV</t>
  </si>
  <si>
    <t>2023 Electrification</t>
  </si>
  <si>
    <t>2030 Electrification</t>
  </si>
  <si>
    <t>Total Energy Bill</t>
  </si>
  <si>
    <t>Total - heat, DHW, cooking, drying, Misc</t>
  </si>
  <si>
    <t>Implied non-heat, non-DHW</t>
  </si>
  <si>
    <t>Key Changeable Assumptions</t>
  </si>
  <si>
    <t>if N, then 100% saturation assumed for all four major gas appliances (furnace, DHW, dryer, stove); if Y, then weighted average of costs given different saturations of gas DHW, Dryer, stove</t>
  </si>
  <si>
    <t>with Electrification</t>
  </si>
  <si>
    <t>without Electrification</t>
  </si>
  <si>
    <t>18-Year NPV of Energy Bills</t>
  </si>
  <si>
    <t>18-Year NPV of Equipment Costs</t>
  </si>
  <si>
    <t>18-Year NPV of Total Costs</t>
  </si>
  <si>
    <t>1st Year (2023) Energy Bills</t>
  </si>
  <si>
    <t>Change in Customer Costs for Heating, Cooling, Water Heating, Drying and Cooking Based on 2023 Equipment Efficiency/Cost Assumptions</t>
  </si>
  <si>
    <t>% Change</t>
  </si>
  <si>
    <t>General Calculation Assumptions</t>
  </si>
  <si>
    <t>HPWH</t>
  </si>
  <si>
    <t>baseline m3 made a mathematical function of electric kWh; electric kWh from Energy Star listings</t>
  </si>
  <si>
    <t>$ Change</t>
  </si>
  <si>
    <t>Early Replacemt Capital Cost Adjustment</t>
  </si>
  <si>
    <t>Energy Costs</t>
  </si>
  <si>
    <t>Electrification</t>
  </si>
  <si>
    <t>Staying Gas</t>
  </si>
  <si>
    <t>Total (Energy + Capital) Costs</t>
  </si>
  <si>
    <t>Results - Energy Bills</t>
  </si>
  <si>
    <t>Results - Total Costs</t>
  </si>
  <si>
    <t>Change</t>
  </si>
  <si>
    <t>Capital Costs - 2023 Installation</t>
  </si>
  <si>
    <t>2023 Instalaltion</t>
  </si>
  <si>
    <t>2030 Installation</t>
  </si>
  <si>
    <t>Level-ized Annual Cost</t>
  </si>
  <si>
    <r>
      <t>Annual Gas m</t>
    </r>
    <r>
      <rPr>
        <b/>
        <vertAlign val="superscript"/>
        <sz val="11"/>
        <color theme="1"/>
        <rFont val="Calibri"/>
        <family val="2"/>
        <scheme val="minor"/>
      </rPr>
      <t>3</t>
    </r>
  </si>
  <si>
    <t>Current Avg Furnace + Central A/C</t>
  </si>
  <si>
    <t>Fixed Annual Charges</t>
  </si>
  <si>
    <t>Variable Charges</t>
  </si>
  <si>
    <t>Transmission</t>
  </si>
  <si>
    <t>Riders</t>
  </si>
  <si>
    <t>Equipment rebates applied to capital cost</t>
  </si>
  <si>
    <t>https://www.oeb.ca/sites/default/files/qram-enbridge-20250101-en.pdf</t>
  </si>
  <si>
    <t>rider for dispositionof change in useful life of asset 2025-26</t>
  </si>
  <si>
    <t>rider for dispositionof change in useful life of asset 2025-28</t>
  </si>
  <si>
    <t>rider for disposition of cloud computing costs</t>
  </si>
  <si>
    <t>rider for dispostion of gain on property sale</t>
  </si>
  <si>
    <t>rider for disposition of operations center consolidation</t>
  </si>
  <si>
    <t>rider for dispositon of wireless pole attachment revenue</t>
  </si>
  <si>
    <t>rider for disposition of wireline pole attachment revenue</t>
  </si>
  <si>
    <t>Transmission charge</t>
  </si>
  <si>
    <t>regulatory charge - standard supply service admin</t>
  </si>
  <si>
    <t>regulatory charge - wholesale market service</t>
  </si>
  <si>
    <t>https://www.torontohydro.com/for-home/tou-sample-bill</t>
  </si>
  <si>
    <t>TOU Weighted Average rate</t>
  </si>
  <si>
    <t>on peak</t>
  </si>
  <si>
    <t>mid-peak</t>
  </si>
  <si>
    <t>off-peak</t>
  </si>
  <si>
    <t>Rate</t>
  </si>
  <si>
    <t>% of Use</t>
  </si>
  <si>
    <t>Rates from Toronto Hydro</t>
  </si>
  <si>
    <t>% of Use by rate from Enbridge bill comparison analysis</t>
  </si>
  <si>
    <t>IRR Ex I.1.16-ED-17 Attachment 2</t>
  </si>
  <si>
    <t>wtd avg</t>
  </si>
  <si>
    <t>OER</t>
  </si>
  <si>
    <t>Ontario Energy Rebate (OER)</t>
  </si>
  <si>
    <t>Rebasing Phase 1 IRR 4.2 ED-132</t>
  </si>
  <si>
    <t>inflation multiplier to 2025</t>
  </si>
  <si>
    <t xml:space="preserve">2025 Electrification </t>
  </si>
  <si>
    <t>2025 Initial Capital Cost</t>
  </si>
  <si>
    <t>Posterity response to JT2.1 (Rebasing Phase 1)</t>
  </si>
  <si>
    <t>Guidehouse/Leidos appliance efficiency forecast for U.S. EIA, value for 95% AFUE for north (https://www.eia.gov/analysis/studies/buildings/equipcosts/pdf/appendix-a.pdf)</t>
  </si>
  <si>
    <t>HP life from Rebasing Phase 1, Guidehouse JT1.28 Attachment 3, HP Turnover tab</t>
  </si>
  <si>
    <t>Assumptions for Consumption by End Use (Detached SF home) Reference Case in 2025</t>
  </si>
  <si>
    <t>EIA RECS 2020, table 5.3b, New England</t>
  </si>
  <si>
    <t>EIA RECS 2020, table 5.4, New England</t>
  </si>
  <si>
    <t>used only to estimate cooling m3/year</t>
  </si>
  <si>
    <t>rebasing Phase 1 Ex I.1.10-ED-73 Table 1</t>
  </si>
  <si>
    <t>rebasing Phase 1 Ex I.1.10-ED-73 Table 2</t>
  </si>
  <si>
    <t>Guidehouse 2023 Decarb Pathways</t>
  </si>
  <si>
    <t>Guidehouse Decarb Pathways:  April 2023 revised report filed by Enbridge in Rebasing Phase 1, Table A-19</t>
  </si>
  <si>
    <t>ccASHP w/Resistance back-up</t>
  </si>
  <si>
    <t>95% Furnace + Central A/C</t>
  </si>
  <si>
    <t>Currency and Year of dollars?</t>
  </si>
  <si>
    <t>2021 CDN</t>
  </si>
  <si>
    <t>2025 CDN value</t>
  </si>
  <si>
    <t>2021 to 2025</t>
  </si>
  <si>
    <t>2022 to 2025</t>
  </si>
  <si>
    <t>2023 to 2025</t>
  </si>
  <si>
    <t>2024 to 2025</t>
  </si>
  <si>
    <t>Bank of Canada (https://www.bankofcanada.ca/rates/related/inflation-calculator/), plus assumed 2.5% from 2024 to 2025</t>
  </si>
  <si>
    <t>Enbridge EB 2021-0002 Ex I.10h Staff.77</t>
  </si>
  <si>
    <t>Enbridge EB-2021-0002 is interogatory response in last DSM plan case</t>
  </si>
  <si>
    <t>Guidehouse &amp; Leidos, 2023 Appliance Forecast for US EIA</t>
  </si>
  <si>
    <t>Guidehouse &amp; Leidos, U.S. Energy Information Administration's Technology Forecast Updates - Residential and Commercial Building Technologies - Reference Case, March 3, 2023 (https://www.eia.gov/analysis/studies/buildings/equipcosts/pdf/appendix-a.pdf)</t>
  </si>
  <si>
    <t>2022 USD</t>
  </si>
  <si>
    <t>Dunsky 2024</t>
  </si>
  <si>
    <t>not available</t>
  </si>
  <si>
    <t>2024 CDN</t>
  </si>
  <si>
    <t>Average</t>
  </si>
  <si>
    <t>As published</t>
  </si>
  <si>
    <t>Currency and Year of dollars</t>
  </si>
  <si>
    <t>n.a.</t>
  </si>
  <si>
    <t>Enbridge and Guidehouse/Leidos studies based on central A/C SEER of 13 and and 13.4 respectively (lower than the SEER 14 assumed in this analysis, so likely understating costs a little)</t>
  </si>
  <si>
    <t>Reported Cost installed</t>
  </si>
  <si>
    <t>Home Depot</t>
  </si>
  <si>
    <t>Home Depot value from on-line search, which provides only equipment cost of $2999 CDN for a 50 gallon Rheem Protera, implied installation cost from Guidehouse/Leidos study added</t>
  </si>
  <si>
    <t>High Efficiency Gas Water Heater</t>
  </si>
  <si>
    <t>Enbridge EB 2021-0002 value implicit in differences between heat pump + DHW cost on p. 11 and heat pump only cost on p. 6</t>
  </si>
  <si>
    <t>Energy Factor</t>
  </si>
  <si>
    <t>Enbridge EB 2021-0002 value implicit in differences between furnace/AC + DHW cost on p. 11 and furnace/AC only cost on p. 6</t>
  </si>
  <si>
    <t>Home Depot value from on-line search, which provides only equipment cost of $5350 CDN for a 50 gallon Rheem Maximus, implied installation cost from Guidehouse/Leidos study added</t>
  </si>
  <si>
    <t>Modified Energy Factor</t>
  </si>
  <si>
    <t>Stock Efficiency Assumptions</t>
  </si>
  <si>
    <t>Gas water heater</t>
  </si>
  <si>
    <t>Guidehouse/Leidos 2023 EIA report estiamte 0.63 in 2020; assume a little higher today in Ontario</t>
  </si>
  <si>
    <t>gas water heater</t>
  </si>
  <si>
    <t>gas dryer</t>
  </si>
  <si>
    <t>electric dryer</t>
  </si>
  <si>
    <t>gas range</t>
  </si>
  <si>
    <t>electric range</t>
  </si>
  <si>
    <t>2025 Avg Heating COP</t>
  </si>
  <si>
    <t>Electric Dryer (Energy Star)</t>
  </si>
  <si>
    <t>Gas Dryer (Energy Star)</t>
  </si>
  <si>
    <t>Efficiency</t>
  </si>
  <si>
    <t>same as Guidehouse for its decarb pathways analysis (and same as for DSM)</t>
  </si>
  <si>
    <t>Electric Induction Range</t>
  </si>
  <si>
    <t>Gas Range</t>
  </si>
  <si>
    <t>lease expensive Energy Star model available at time of search</t>
  </si>
  <si>
    <t>Home Depot value from on-line search, which provides only equipment cost, implied installation cost from Guidehouse/Leidos study added</t>
  </si>
  <si>
    <t>ccASHP rebates</t>
  </si>
  <si>
    <t>HPWH rebates</t>
  </si>
  <si>
    <t>https://www.enbridgegas.com/homerenovationsavings?utm_campaign=%2Fen%2Frelease%2F1005538%2Fontario-launches-new-energy-efficiency-programs-to-save-you-money&amp;utm_medium=email&amp;utm_source=newsroom&amp;utm_term=public</t>
  </si>
  <si>
    <t>Dunsky Energy Consulting, Heat pumps pay off:  unlocking lower-cost heating and cooling in Canada, Technical Memo (assumptions underlying Canadian Climate Institute heat pump calculator ), Updated February 2024 (https://canadianclimat.wpenginepowered.com/wp-content/uploads/2023/09/2024-02-14_Dunsky-CCI-Heat-Pumps-Pay-Off-Revised-Technical-Report_FINAL-5-cities.pdf)</t>
  </si>
  <si>
    <t>Fixed Charges (2025 $)</t>
  </si>
  <si>
    <t>Variable Price (2025 $/m3)</t>
  </si>
  <si>
    <t>Fuel Prices Attributable to Carbon Tax (2025 $)</t>
  </si>
  <si>
    <t>Total Variable Price (2025 $)</t>
  </si>
  <si>
    <t>Home Depot (high effic)</t>
  </si>
  <si>
    <t>Home Depot (very high effic)</t>
  </si>
  <si>
    <t>Bank of Canada average exchange rate over past year as of 1/13/25 (https://www.bankofcanada.ca/rates/exchange/currency-converter/?lookupPage=lookup_currency_converter_2017.php&amp;startRange=2017-01-01&amp;rangeType=range&amp;selectToFrom=from&amp;convert=1.00&amp;seriesTo%5B%5D=FXUSDCAD&amp;seriesFrom=Canadian+dollar&amp;rangeValue=1.w&amp;dFrom=&amp;dTo=&amp;submit_button=Convert)</t>
  </si>
  <si>
    <t>Guidehouse Decarb Pathways study (2022-0200 undertaking JT1.28 Attachment 3)</t>
  </si>
  <si>
    <t>Guidehouse/Leidos 2023</t>
  </si>
  <si>
    <t>Guidehouse/Leidos 2024</t>
  </si>
  <si>
    <t>Guidehouse/Leidos 2025</t>
  </si>
  <si>
    <t>Guidehouse/Leidos 2026</t>
  </si>
  <si>
    <t>Guidehouse/Leidos 2027</t>
  </si>
  <si>
    <t>Guidehouse/Leidos 2028</t>
  </si>
  <si>
    <t>https://www.eia.gov/consumption/residential/data/2020/c&amp;e/pdf/ce5.3b.pdf</t>
  </si>
  <si>
    <t>https://www.eia.gov/consumption/residential/data/2020/c&amp;e/pdf/ce5.4.pdf</t>
  </si>
  <si>
    <t>kWh from Energy Star product finder for LG model referenced on Home Depot website</t>
  </si>
  <si>
    <t>Current Assumption 2025</t>
  </si>
  <si>
    <t>Fixed Charges (annual)</t>
  </si>
  <si>
    <t>Previous Assumption 2023</t>
  </si>
  <si>
    <t>Nature/Basis of Changes</t>
  </si>
  <si>
    <t>Variable Charges ($/m3)</t>
  </si>
  <si>
    <t>Rider for disposition of capacity based recovery acct</t>
  </si>
  <si>
    <t>Rider for disposition of deferral/variance accounts</t>
  </si>
  <si>
    <t>Rider for disposition of global adjustment account</t>
  </si>
  <si>
    <t>Regulatory charge - wholesale market service</t>
  </si>
  <si>
    <t>Total w/HST and OER</t>
  </si>
  <si>
    <t>Baseline annual m3 Consumption per Single-Family Home</t>
  </si>
  <si>
    <t>Referencing same Posterity forecast developed for Enbridge, but using 2025 instead of 2023 values</t>
  </si>
  <si>
    <t>Equipment Cost Assumptions</t>
  </si>
  <si>
    <t>Furnace + Central A/C</t>
  </si>
  <si>
    <t>Efficient Gas Water Heater</t>
  </si>
  <si>
    <t>Same reference (Guidehouse decarb study for Enbridge and Enbridge estimates in DSM plan case), but adjusted for inflation.</t>
  </si>
  <si>
    <t>ccASHP Rebate</t>
  </si>
  <si>
    <t>cold climate Air Source Heat Pump (ccASHP)</t>
  </si>
  <si>
    <t>HPWH Rebate</t>
  </si>
  <si>
    <t>Heat Pump Water Heater (HPWH)</t>
  </si>
  <si>
    <t>US Dollar to Canadian Dollar exchange rate</t>
  </si>
  <si>
    <t>Updated based on Bank of Canada average of the past 12 months.  Note that this affects cost references that are expresed in USD (e.g., equipment installation costs from the Guidehouse/Leidos study for US EIA).</t>
  </si>
  <si>
    <t>2024 to 2025 inflation rate</t>
  </si>
  <si>
    <t>Based on Bank of Canada forecast</t>
  </si>
  <si>
    <t>Based average commodity cost on 1/1/25 Toronto Hydro TOU rates, using Enbridge assumptions on allocation of kWh by costing period. Previously used IESO forecast energy price.  Updated all values based on rates effective 1/1/25.  Note that previous analysis mistakenly did not include Ontario Energy Rebate.</t>
  </si>
  <si>
    <t>Equipment Efficiency Ratings</t>
  </si>
  <si>
    <t>Same reference (Guidehouse decarb study for Enbridge), but newer model (study assumed slight increase in average efficiency each year).</t>
  </si>
  <si>
    <t>Based on actual model referenced in costs from Home Depot Canada</t>
  </si>
  <si>
    <t>Updated assumption based on current Enbridge advertising</t>
  </si>
  <si>
    <t>Updated assumption based on Enbridge/Ontario government announcement</t>
  </si>
  <si>
    <t>CO2e $/ton nominal on April 1</t>
  </si>
  <si>
    <t>CO2e $/ton nominal annual avg</t>
  </si>
  <si>
    <t>Updated based on rates applicable starting 1/1/25 with two exceptions: (1) since new carbon tax rates go into effect April 1st, a weighted annual average rate is used; (2) the current gas supply cost adjustment of -$0.021/m3 is excluded as such very short-term adjustments exist only to correct for previous over- or under-collections from previous periods, are highly variable (positive and negative) and are therefore not appropriate to include in an analysis that is forecasting/estimating expected impacts over the next 18 years.</t>
  </si>
  <si>
    <t>Based on actual model referenced in costs from Home Depot Canada.  For reasons discussed in the cost section below, this change makes the gas option more cost-effective.</t>
  </si>
  <si>
    <t>Changed references from Guidehouse/Leidos study for U.S. EIA to (A) equipment cost from Home Depot Canada plus (B) installation cost from Guidehouse study. Used lower efficiency gas model (EF 0.69) than previous assumed because higher efficiency models (EF 0.88) are several thousand dollars more for a modest incremental energy savings. Thus, using the lower efficiency gas model improves the economics of gas relative to EFG's previous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</si>
</sst>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3" formatCode="_(* #,##0.00_);_(* \(#,##0.00\);_(* &quot;-&quot;??_);_(@_)"/>
    <numFmt numFmtId="164" formatCode="&quot;$&quot;#,##0.000_);[Red]\(&quot;$&quot;#,##0.000\)"/>
    <numFmt numFmtId="165" formatCode="0.000"/>
    <numFmt numFmtId="166" formatCode="0.0000"/>
    <numFmt numFmtId="167" formatCode="&quot;$&quot;#,##0"/>
    <numFmt numFmtId="168" formatCode="_(* #,##0_);_(* \(#,##0\);_(* &quot;-&quot;??_);_(@_)"/>
    <numFmt numFmtId="169" formatCode="_(* #,##0.00000_);_(* \(#,##0.00000\);_(* &quot;-&quot;??_);_(@_)"/>
    <numFmt numFmtId="170" formatCode="&quot;$&quot;#,##0.00"/>
    <numFmt numFmtId="171" formatCode="&quot;$&quot;#,##0.0000"/>
    <numFmt numFmtId="172" formatCode="0.0%"/>
    <numFmt numFmtId="173" formatCode="&quot;$&quot;#,##0.000"/>
  </numFmts>
  <fonts count="25"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i/>
      <sz val="11"/>
      <color rgb="FFFF0000"/>
      <name val="Calibri"/>
      <family val="2"/>
      <scheme val="minor"/>
    </font>
    <font>
      <b/>
      <sz val="14"/>
      <color theme="1"/>
      <name val="Calibri"/>
      <family val="2"/>
      <scheme val="minor"/>
    </font>
    <font>
      <i/>
      <sz val="9"/>
      <color rgb="FF0070C0"/>
      <name val="Calibri"/>
      <family val="2"/>
      <scheme val="minor"/>
    </font>
    <font>
      <b/>
      <sz val="12"/>
      <color theme="1"/>
      <name val="Calibri"/>
      <family val="2"/>
      <scheme val="minor"/>
    </font>
    <font>
      <sz val="11"/>
      <color rgb="FF0070C0"/>
      <name val="Calibri"/>
      <family val="2"/>
      <scheme val="minor"/>
    </font>
    <font>
      <sz val="8"/>
      <name val="Calibri"/>
      <family val="2"/>
      <scheme val="minor"/>
    </font>
    <font>
      <b/>
      <sz val="14"/>
      <color rgb="FF0070C0"/>
      <name val="Calibri"/>
      <family val="2"/>
      <scheme val="minor"/>
    </font>
    <font>
      <sz val="9"/>
      <color indexed="81"/>
      <name val="Tahoma"/>
      <family val="2"/>
    </font>
    <font>
      <b/>
      <sz val="9"/>
      <color indexed="81"/>
      <name val="Tahoma"/>
      <family val="2"/>
    </font>
    <font>
      <sz val="11"/>
      <name val="Calibri"/>
      <family val="2"/>
      <scheme val="minor"/>
    </font>
    <font>
      <sz val="9"/>
      <color rgb="FF0070C0"/>
      <name val="Calibri"/>
      <family val="2"/>
      <scheme val="minor"/>
    </font>
    <font>
      <b/>
      <sz val="13"/>
      <color theme="1"/>
      <name val="Calibri"/>
      <family val="2"/>
      <scheme val="minor"/>
    </font>
    <font>
      <b/>
      <sz val="11"/>
      <name val="Calibri"/>
      <family val="2"/>
      <scheme val="minor"/>
    </font>
    <font>
      <u/>
      <sz val="11"/>
      <color theme="10"/>
      <name val="Calibri"/>
      <family val="2"/>
      <scheme val="minor"/>
    </font>
    <font>
      <b/>
      <vertAlign val="superscript"/>
      <sz val="11"/>
      <color theme="1"/>
      <name val="Calibri"/>
      <family val="2"/>
      <scheme val="minor"/>
    </font>
    <font>
      <i/>
      <sz val="10"/>
      <color rgb="FF0070C0"/>
      <name val="Calibri"/>
      <family val="2"/>
      <scheme val="minor"/>
    </font>
    <font>
      <u/>
      <sz val="11"/>
      <color theme="1"/>
      <name val="Calibri"/>
      <family val="2"/>
      <scheme val="minor"/>
    </font>
    <font>
      <i/>
      <sz val="11"/>
      <color theme="1"/>
      <name val="Calibri"/>
      <family val="2"/>
      <scheme val="minor"/>
    </font>
    <font>
      <u/>
      <sz val="9"/>
      <color theme="10"/>
      <name val="Calibri"/>
      <family val="2"/>
      <scheme val="minor"/>
    </font>
    <font>
      <sz val="10"/>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theme="6"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17" fillId="0" borderId="0" applyNumberFormat="0" applyFill="0" applyBorder="0" applyAlignment="0" applyProtection="0"/>
  </cellStyleXfs>
  <cellXfs count="128">
    <xf numFmtId="0" fontId="0" fillId="0" borderId="0" xfId="0"/>
    <xf numFmtId="0" fontId="0" fillId="0" borderId="0" xfId="0" applyAlignment="1">
      <alignment horizontal="center"/>
    </xf>
    <xf numFmtId="8" fontId="0" fillId="0" borderId="0" xfId="0" applyNumberFormat="1"/>
    <xf numFmtId="0" fontId="2" fillId="0" borderId="0" xfId="0" applyFont="1"/>
    <xf numFmtId="9" fontId="0" fillId="0" borderId="0" xfId="0" applyNumberFormat="1"/>
    <xf numFmtId="6" fontId="0" fillId="0" borderId="0" xfId="0" applyNumberFormat="1"/>
    <xf numFmtId="164" fontId="0" fillId="0" borderId="0" xfId="0" applyNumberFormat="1"/>
    <xf numFmtId="0" fontId="1" fillId="0" borderId="0" xfId="0" applyFont="1"/>
    <xf numFmtId="10" fontId="0" fillId="0" borderId="0" xfId="0" applyNumberFormat="1"/>
    <xf numFmtId="2" fontId="0" fillId="0" borderId="0" xfId="0" applyNumberFormat="1"/>
    <xf numFmtId="165" fontId="0" fillId="0" borderId="0" xfId="0" applyNumberFormat="1"/>
    <xf numFmtId="0" fontId="4" fillId="0" borderId="0" xfId="0" applyFont="1"/>
    <xf numFmtId="0" fontId="0" fillId="0" borderId="0" xfId="0" applyAlignment="1">
      <alignment horizontal="right"/>
    </xf>
    <xf numFmtId="0" fontId="2" fillId="0" borderId="0" xfId="0" applyFont="1" applyAlignment="1">
      <alignment horizontal="center"/>
    </xf>
    <xf numFmtId="166" fontId="0" fillId="0" borderId="0" xfId="0" applyNumberFormat="1"/>
    <xf numFmtId="8" fontId="0" fillId="0" borderId="0" xfId="0" applyNumberFormat="1" applyAlignment="1">
      <alignment horizontal="right"/>
    </xf>
    <xf numFmtId="0" fontId="5" fillId="0" borderId="0" xfId="0" applyFont="1"/>
    <xf numFmtId="164" fontId="0" fillId="0" borderId="0" xfId="0" applyNumberFormat="1" applyAlignment="1">
      <alignment horizontal="center"/>
    </xf>
    <xf numFmtId="0" fontId="6" fillId="0" borderId="0" xfId="0" applyFont="1"/>
    <xf numFmtId="0" fontId="2" fillId="0" borderId="0" xfId="0" applyFont="1" applyAlignment="1">
      <alignment horizontal="center" wrapText="1"/>
    </xf>
    <xf numFmtId="167" fontId="0" fillId="0" borderId="0" xfId="0" applyNumberFormat="1"/>
    <xf numFmtId="10" fontId="0" fillId="0" borderId="0" xfId="2" applyNumberFormat="1" applyFont="1"/>
    <xf numFmtId="168" fontId="0" fillId="0" borderId="0" xfId="1" applyNumberFormat="1" applyFont="1"/>
    <xf numFmtId="169" fontId="0" fillId="0" borderId="0" xfId="1" applyNumberFormat="1" applyFont="1"/>
    <xf numFmtId="9" fontId="0" fillId="3" borderId="0" xfId="0" applyNumberFormat="1" applyFill="1"/>
    <xf numFmtId="170" fontId="0" fillId="0" borderId="0" xfId="0" applyNumberFormat="1"/>
    <xf numFmtId="171" fontId="0" fillId="0" borderId="0" xfId="0" applyNumberFormat="1"/>
    <xf numFmtId="0" fontId="2" fillId="4" borderId="1" xfId="0" applyFont="1" applyFill="1" applyBorder="1" applyAlignment="1">
      <alignment horizontal="center" wrapText="1"/>
    </xf>
    <xf numFmtId="0" fontId="0" fillId="0" borderId="1" xfId="0" applyBorder="1"/>
    <xf numFmtId="0" fontId="0" fillId="2" borderId="1" xfId="0" applyFill="1" applyBorder="1"/>
    <xf numFmtId="168" fontId="0" fillId="0" borderId="1" xfId="1" applyNumberFormat="1" applyFont="1" applyBorder="1"/>
    <xf numFmtId="6" fontId="0" fillId="0" borderId="1" xfId="0" applyNumberFormat="1" applyBorder="1"/>
    <xf numFmtId="1" fontId="0" fillId="0" borderId="1" xfId="0" applyNumberFormat="1" applyBorder="1"/>
    <xf numFmtId="168" fontId="0" fillId="0" borderId="1" xfId="0" applyNumberFormat="1" applyBorder="1"/>
    <xf numFmtId="1" fontId="0" fillId="0" borderId="0" xfId="0" applyNumberFormat="1"/>
    <xf numFmtId="0" fontId="7" fillId="0" borderId="0" xfId="0" applyFont="1"/>
    <xf numFmtId="1" fontId="2" fillId="0" borderId="0" xfId="0" applyNumberFormat="1" applyFont="1"/>
    <xf numFmtId="168" fontId="0" fillId="0" borderId="0" xfId="0" applyNumberFormat="1"/>
    <xf numFmtId="43" fontId="0" fillId="0" borderId="0" xfId="0" applyNumberFormat="1"/>
    <xf numFmtId="0" fontId="0" fillId="0" borderId="0" xfId="0" applyAlignment="1">
      <alignment wrapText="1"/>
    </xf>
    <xf numFmtId="0" fontId="0" fillId="0" borderId="0" xfId="0" applyAlignment="1">
      <alignment horizontal="center" wrapText="1"/>
    </xf>
    <xf numFmtId="0" fontId="8" fillId="0" borderId="0" xfId="0" applyFont="1" applyAlignment="1">
      <alignment wrapText="1"/>
    </xf>
    <xf numFmtId="2" fontId="0" fillId="0" borderId="0" xfId="0" applyNumberFormat="1" applyAlignment="1">
      <alignment horizontal="center"/>
    </xf>
    <xf numFmtId="172" fontId="0" fillId="0" borderId="0" xfId="2" applyNumberFormat="1" applyFont="1"/>
    <xf numFmtId="0" fontId="10" fillId="0" borderId="0" xfId="0" applyFont="1"/>
    <xf numFmtId="0" fontId="0" fillId="6" borderId="0" xfId="0" applyFill="1"/>
    <xf numFmtId="17" fontId="0" fillId="0" borderId="0" xfId="0" applyNumberFormat="1"/>
    <xf numFmtId="0" fontId="2" fillId="3" borderId="1" xfId="0" applyFont="1" applyFill="1" applyBorder="1" applyAlignment="1">
      <alignment horizontal="center"/>
    </xf>
    <xf numFmtId="164" fontId="2" fillId="0" borderId="0" xfId="0" applyNumberFormat="1" applyFont="1" applyAlignment="1">
      <alignment horizontal="center"/>
    </xf>
    <xf numFmtId="0" fontId="13" fillId="0" borderId="0" xfId="0" applyFont="1"/>
    <xf numFmtId="0" fontId="14" fillId="0" borderId="0" xfId="0" applyFont="1"/>
    <xf numFmtId="0" fontId="15" fillId="0" borderId="0" xfId="0" applyFont="1"/>
    <xf numFmtId="9" fontId="0" fillId="0" borderId="1" xfId="2" applyFont="1" applyBorder="1"/>
    <xf numFmtId="0" fontId="17" fillId="0" borderId="0" xfId="3"/>
    <xf numFmtId="9" fontId="0" fillId="7" borderId="0" xfId="0" applyNumberFormat="1" applyFill="1"/>
    <xf numFmtId="0" fontId="0" fillId="0" borderId="0" xfId="0" applyAlignment="1">
      <alignment horizontal="left"/>
    </xf>
    <xf numFmtId="9" fontId="0" fillId="0" borderId="0" xfId="2" applyFont="1" applyBorder="1"/>
    <xf numFmtId="172" fontId="0" fillId="0" borderId="0" xfId="0" applyNumberFormat="1"/>
    <xf numFmtId="0" fontId="2" fillId="4" borderId="1" xfId="0" applyFont="1" applyFill="1" applyBorder="1" applyAlignment="1">
      <alignment horizontal="center"/>
    </xf>
    <xf numFmtId="16" fontId="0" fillId="0" borderId="0" xfId="0" applyNumberFormat="1"/>
    <xf numFmtId="167" fontId="0" fillId="0" borderId="1" xfId="0" applyNumberFormat="1" applyBorder="1" applyAlignment="1">
      <alignment horizontal="center"/>
    </xf>
    <xf numFmtId="167" fontId="0" fillId="0" borderId="1" xfId="0" applyNumberFormat="1" applyBorder="1"/>
    <xf numFmtId="0" fontId="0" fillId="0" borderId="1" xfId="0" applyBorder="1" applyAlignment="1">
      <alignment horizontal="center"/>
    </xf>
    <xf numFmtId="2" fontId="0" fillId="0" borderId="1" xfId="0" applyNumberFormat="1" applyBorder="1"/>
    <xf numFmtId="2" fontId="0" fillId="0" borderId="1" xfId="0" applyNumberFormat="1" applyBorder="1" applyAlignment="1">
      <alignment horizontal="center"/>
    </xf>
    <xf numFmtId="0" fontId="5" fillId="0" borderId="0" xfId="0" applyFont="1" applyAlignment="1">
      <alignment horizontal="center"/>
    </xf>
    <xf numFmtId="0" fontId="0" fillId="6" borderId="0" xfId="0" applyFill="1" applyAlignment="1">
      <alignment horizontal="center"/>
    </xf>
    <xf numFmtId="6" fontId="0" fillId="0" borderId="1" xfId="0" applyNumberFormat="1" applyBorder="1" applyAlignment="1">
      <alignment horizontal="center"/>
    </xf>
    <xf numFmtId="164" fontId="0" fillId="0" borderId="1" xfId="0" applyNumberFormat="1" applyBorder="1" applyAlignment="1">
      <alignment horizontal="center"/>
    </xf>
    <xf numFmtId="0" fontId="0" fillId="8" borderId="1" xfId="0" applyFill="1" applyBorder="1" applyAlignment="1">
      <alignment horizontal="center"/>
    </xf>
    <xf numFmtId="0" fontId="19" fillId="0" borderId="0" xfId="0" applyFont="1"/>
    <xf numFmtId="0" fontId="20" fillId="0" borderId="0" xfId="0" applyFont="1"/>
    <xf numFmtId="0" fontId="21" fillId="0" borderId="0" xfId="0" applyFont="1"/>
    <xf numFmtId="167" fontId="0" fillId="0" borderId="0" xfId="0" applyNumberFormat="1" applyAlignment="1">
      <alignment horizontal="center"/>
    </xf>
    <xf numFmtId="167" fontId="0" fillId="0" borderId="0" xfId="0" applyNumberFormat="1" applyAlignment="1">
      <alignment wrapText="1"/>
    </xf>
    <xf numFmtId="167" fontId="0" fillId="0" borderId="0" xfId="0" applyNumberFormat="1" applyAlignment="1">
      <alignment horizontal="center" wrapText="1"/>
    </xf>
    <xf numFmtId="4" fontId="0" fillId="0" borderId="0" xfId="0" applyNumberFormat="1" applyAlignment="1">
      <alignment horizontal="center"/>
    </xf>
    <xf numFmtId="4" fontId="0" fillId="0" borderId="1" xfId="0" applyNumberFormat="1" applyBorder="1"/>
    <xf numFmtId="0" fontId="22" fillId="0" borderId="0" xfId="3" applyFont="1"/>
    <xf numFmtId="43" fontId="0" fillId="0" borderId="0" xfId="0" applyNumberFormat="1" applyAlignment="1">
      <alignment horizontal="center"/>
    </xf>
    <xf numFmtId="0" fontId="23" fillId="0" borderId="0" xfId="0" applyFont="1"/>
    <xf numFmtId="0" fontId="23" fillId="0" borderId="1" xfId="0" applyFont="1" applyBorder="1"/>
    <xf numFmtId="6" fontId="23" fillId="0" borderId="1" xfId="0" applyNumberFormat="1" applyFont="1" applyBorder="1"/>
    <xf numFmtId="173" fontId="23" fillId="0" borderId="1" xfId="0" applyNumberFormat="1" applyFont="1" applyBorder="1"/>
    <xf numFmtId="171" fontId="23" fillId="0" borderId="1" xfId="0" applyNumberFormat="1" applyFont="1" applyBorder="1" applyAlignment="1">
      <alignment horizontal="left" vertical="center" wrapText="1"/>
    </xf>
    <xf numFmtId="172" fontId="23" fillId="0" borderId="1" xfId="0" applyNumberFormat="1" applyFont="1" applyBorder="1"/>
    <xf numFmtId="167" fontId="23" fillId="0" borderId="1" xfId="0" applyNumberFormat="1" applyFont="1" applyBorder="1"/>
    <xf numFmtId="0" fontId="23" fillId="0" borderId="1" xfId="0" applyFont="1" applyBorder="1" applyAlignment="1">
      <alignment wrapText="1"/>
    </xf>
    <xf numFmtId="0" fontId="23" fillId="0" borderId="1" xfId="0" applyFont="1" applyBorder="1" applyAlignment="1">
      <alignment horizontal="right"/>
    </xf>
    <xf numFmtId="0" fontId="24" fillId="9" borderId="1" xfId="0" applyFont="1" applyFill="1" applyBorder="1" applyAlignment="1">
      <alignment horizontal="center" wrapText="1"/>
    </xf>
    <xf numFmtId="0" fontId="24" fillId="9" borderId="1" xfId="0" applyFont="1" applyFill="1" applyBorder="1" applyAlignment="1">
      <alignment horizontal="center"/>
    </xf>
    <xf numFmtId="0" fontId="23" fillId="0" borderId="2" xfId="0" applyFont="1" applyBorder="1"/>
    <xf numFmtId="0" fontId="23" fillId="0" borderId="3" xfId="0" applyFont="1" applyBorder="1"/>
    <xf numFmtId="2" fontId="23" fillId="0" borderId="1" xfId="0" applyNumberFormat="1" applyFont="1" applyBorder="1"/>
    <xf numFmtId="0" fontId="15" fillId="4" borderId="2" xfId="0" applyFont="1" applyFill="1" applyBorder="1" applyAlignment="1">
      <alignment horizontal="center"/>
    </xf>
    <xf numFmtId="0" fontId="15" fillId="4" borderId="4" xfId="0" applyFont="1" applyFill="1" applyBorder="1" applyAlignment="1">
      <alignment horizontal="center"/>
    </xf>
    <xf numFmtId="0" fontId="15" fillId="4" borderId="3" xfId="0" applyFont="1" applyFill="1" applyBorder="1" applyAlignment="1">
      <alignment horizontal="center"/>
    </xf>
    <xf numFmtId="0" fontId="16" fillId="5" borderId="1" xfId="0"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5" fillId="0" borderId="5" xfId="0" applyFont="1" applyBorder="1" applyAlignment="1">
      <alignment horizontal="center"/>
    </xf>
    <xf numFmtId="0" fontId="15" fillId="0" borderId="6" xfId="0" applyFont="1" applyBorder="1" applyAlignment="1">
      <alignment horizontal="center"/>
    </xf>
    <xf numFmtId="0" fontId="15" fillId="0" borderId="1" xfId="0" applyFont="1" applyBorder="1" applyAlignment="1">
      <alignment horizontal="center"/>
    </xf>
    <xf numFmtId="0" fontId="0" fillId="4" borderId="1" xfId="0" applyFill="1" applyBorder="1" applyAlignment="1">
      <alignment horizontal="center"/>
    </xf>
    <xf numFmtId="0" fontId="0" fillId="0" borderId="1" xfId="0" applyBorder="1" applyAlignment="1">
      <alignment horizontal="center"/>
    </xf>
    <xf numFmtId="0" fontId="0" fillId="0" borderId="4" xfId="0" applyBorder="1" applyAlignment="1">
      <alignment horizontal="left"/>
    </xf>
    <xf numFmtId="0" fontId="2" fillId="5" borderId="1" xfId="0" applyFont="1" applyFill="1" applyBorder="1" applyAlignment="1">
      <alignment horizontal="left"/>
    </xf>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2" fillId="0" borderId="0" xfId="0" applyFont="1" applyAlignment="1">
      <alignment horizontal="center"/>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2" fillId="0" borderId="5"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4" fillId="10" borderId="1" xfId="0" applyFont="1" applyFill="1" applyBorder="1" applyAlignment="1">
      <alignment horizontal="left"/>
    </xf>
    <xf numFmtId="0" fontId="24" fillId="0" borderId="1" xfId="0" applyFont="1" applyBorder="1" applyAlignment="1">
      <alignment horizontal="center"/>
    </xf>
    <xf numFmtId="0" fontId="23" fillId="0" borderId="5" xfId="0" applyFont="1" applyBorder="1" applyAlignment="1">
      <alignment horizontal="center"/>
    </xf>
    <xf numFmtId="0" fontId="23" fillId="0" borderId="7" xfId="0" applyFont="1" applyBorder="1" applyAlignment="1">
      <alignment horizontal="center"/>
    </xf>
    <xf numFmtId="0" fontId="23" fillId="0" borderId="2" xfId="0" applyFont="1" applyBorder="1" applyAlignment="1">
      <alignment horizontal="left"/>
    </xf>
    <xf numFmtId="0" fontId="23" fillId="0" borderId="3" xfId="0" applyFont="1" applyBorder="1" applyAlignment="1">
      <alignment horizontal="left"/>
    </xf>
    <xf numFmtId="0" fontId="23" fillId="0" borderId="1" xfId="0" applyFont="1" applyBorder="1" applyAlignment="1">
      <alignment horizontal="center"/>
    </xf>
    <xf numFmtId="0" fontId="23" fillId="9" borderId="1" xfId="0" applyFont="1" applyFill="1" applyBorder="1" applyAlignment="1">
      <alignment horizontal="left"/>
    </xf>
    <xf numFmtId="0" fontId="23" fillId="0" borderId="1" xfId="0" applyFont="1" applyBorder="1" applyAlignment="1">
      <alignment horizontal="left" vertical="center" wrapText="1"/>
    </xf>
    <xf numFmtId="171" fontId="23" fillId="0" borderId="1" xfId="0" applyNumberFormat="1"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1636776</xdr:colOff>
      <xdr:row>40</xdr:row>
      <xdr:rowOff>49628</xdr:rowOff>
    </xdr:from>
    <xdr:to>
      <xdr:col>10</xdr:col>
      <xdr:colOff>118863</xdr:colOff>
      <xdr:row>56</xdr:row>
      <xdr:rowOff>82297</xdr:rowOff>
    </xdr:to>
    <xdr:pic>
      <xdr:nvPicPr>
        <xdr:cNvPr id="5" name="Picture 4">
          <a:extLst>
            <a:ext uri="{FF2B5EF4-FFF2-40B4-BE49-F238E27FC236}">
              <a16:creationId xmlns:a16="http://schemas.microsoft.com/office/drawing/2014/main" id="{33F8E0BA-0747-6056-0DB6-B5D1CE0FBC63}"/>
            </a:ext>
          </a:extLst>
        </xdr:cNvPr>
        <xdr:cNvPicPr>
          <a:picLocks noChangeAspect="1"/>
        </xdr:cNvPicPr>
      </xdr:nvPicPr>
      <xdr:blipFill>
        <a:blip xmlns:r="http://schemas.openxmlformats.org/officeDocument/2006/relationships" r:embed="rId1"/>
        <a:stretch>
          <a:fillRect/>
        </a:stretch>
      </xdr:blipFill>
      <xdr:spPr>
        <a:xfrm>
          <a:off x="1819656" y="9102188"/>
          <a:ext cx="5532111" cy="2958747"/>
        </a:xfrm>
        <a:prstGeom prst="rect">
          <a:avLst/>
        </a:prstGeom>
      </xdr:spPr>
    </xdr:pic>
    <xdr:clientData/>
  </xdr:twoCellAnchor>
  <xdr:twoCellAnchor editAs="oneCell">
    <xdr:from>
      <xdr:col>18</xdr:col>
      <xdr:colOff>290359</xdr:colOff>
      <xdr:row>94</xdr:row>
      <xdr:rowOff>106680</xdr:rowOff>
    </xdr:from>
    <xdr:to>
      <xdr:col>25</xdr:col>
      <xdr:colOff>187259</xdr:colOff>
      <xdr:row>109</xdr:row>
      <xdr:rowOff>161381</xdr:rowOff>
    </xdr:to>
    <xdr:pic>
      <xdr:nvPicPr>
        <xdr:cNvPr id="15" name="Picture 14">
          <a:extLst>
            <a:ext uri="{FF2B5EF4-FFF2-40B4-BE49-F238E27FC236}">
              <a16:creationId xmlns:a16="http://schemas.microsoft.com/office/drawing/2014/main" id="{4F0F2096-5726-9696-5AF5-365B5B8F3038}"/>
            </a:ext>
          </a:extLst>
        </xdr:cNvPr>
        <xdr:cNvPicPr>
          <a:picLocks noChangeAspect="1"/>
        </xdr:cNvPicPr>
      </xdr:nvPicPr>
      <xdr:blipFill>
        <a:blip xmlns:r="http://schemas.openxmlformats.org/officeDocument/2006/relationships" r:embed="rId2"/>
        <a:stretch>
          <a:fillRect/>
        </a:stretch>
      </xdr:blipFill>
      <xdr:spPr>
        <a:xfrm>
          <a:off x="12685559" y="19231864"/>
          <a:ext cx="4391684" cy="2858861"/>
        </a:xfrm>
        <a:prstGeom prst="rect">
          <a:avLst/>
        </a:prstGeom>
      </xdr:spPr>
    </xdr:pic>
    <xdr:clientData/>
  </xdr:twoCellAnchor>
  <xdr:twoCellAnchor editAs="oneCell">
    <xdr:from>
      <xdr:col>0</xdr:col>
      <xdr:colOff>0</xdr:colOff>
      <xdr:row>40</xdr:row>
      <xdr:rowOff>1</xdr:rowOff>
    </xdr:from>
    <xdr:to>
      <xdr:col>1</xdr:col>
      <xdr:colOff>1456354</xdr:colOff>
      <xdr:row>44</xdr:row>
      <xdr:rowOff>138177</xdr:rowOff>
    </xdr:to>
    <xdr:pic>
      <xdr:nvPicPr>
        <xdr:cNvPr id="23" name="Picture 22">
          <a:extLst>
            <a:ext uri="{FF2B5EF4-FFF2-40B4-BE49-F238E27FC236}">
              <a16:creationId xmlns:a16="http://schemas.microsoft.com/office/drawing/2014/main" id="{C3681D0A-1FFE-B36E-E64B-1FD88D2E92A0}"/>
            </a:ext>
          </a:extLst>
        </xdr:cNvPr>
        <xdr:cNvPicPr>
          <a:picLocks noChangeAspect="1"/>
        </xdr:cNvPicPr>
      </xdr:nvPicPr>
      <xdr:blipFill>
        <a:blip xmlns:r="http://schemas.openxmlformats.org/officeDocument/2006/relationships" r:embed="rId3"/>
        <a:stretch>
          <a:fillRect/>
        </a:stretch>
      </xdr:blipFill>
      <xdr:spPr>
        <a:xfrm>
          <a:off x="0" y="9363457"/>
          <a:ext cx="1643298" cy="885952"/>
        </a:xfrm>
        <a:prstGeom prst="rect">
          <a:avLst/>
        </a:prstGeom>
      </xdr:spPr>
    </xdr:pic>
    <xdr:clientData/>
  </xdr:twoCellAnchor>
  <xdr:twoCellAnchor editAs="oneCell">
    <xdr:from>
      <xdr:col>0</xdr:col>
      <xdr:colOff>0</xdr:colOff>
      <xdr:row>44</xdr:row>
      <xdr:rowOff>170688</xdr:rowOff>
    </xdr:from>
    <xdr:to>
      <xdr:col>1</xdr:col>
      <xdr:colOff>1596814</xdr:colOff>
      <xdr:row>61</xdr:row>
      <xdr:rowOff>33801</xdr:rowOff>
    </xdr:to>
    <xdr:pic>
      <xdr:nvPicPr>
        <xdr:cNvPr id="24" name="Picture 23">
          <a:extLst>
            <a:ext uri="{FF2B5EF4-FFF2-40B4-BE49-F238E27FC236}">
              <a16:creationId xmlns:a16="http://schemas.microsoft.com/office/drawing/2014/main" id="{0DA75D25-DE18-BFB0-9FCC-0B35B6A37F97}"/>
            </a:ext>
          </a:extLst>
        </xdr:cNvPr>
        <xdr:cNvPicPr>
          <a:picLocks noChangeAspect="1"/>
        </xdr:cNvPicPr>
      </xdr:nvPicPr>
      <xdr:blipFill>
        <a:blip xmlns:r="http://schemas.openxmlformats.org/officeDocument/2006/relationships" r:embed="rId4"/>
        <a:stretch>
          <a:fillRect/>
        </a:stretch>
      </xdr:blipFill>
      <xdr:spPr>
        <a:xfrm>
          <a:off x="0" y="10281920"/>
          <a:ext cx="1783758" cy="3041161"/>
        </a:xfrm>
        <a:prstGeom prst="rect">
          <a:avLst/>
        </a:prstGeom>
      </xdr:spPr>
    </xdr:pic>
    <xdr:clientData/>
  </xdr:twoCellAnchor>
  <xdr:twoCellAnchor editAs="oneCell">
    <xdr:from>
      <xdr:col>10</xdr:col>
      <xdr:colOff>617729</xdr:colOff>
      <xdr:row>40</xdr:row>
      <xdr:rowOff>8128</xdr:rowOff>
    </xdr:from>
    <xdr:to>
      <xdr:col>18</xdr:col>
      <xdr:colOff>593345</xdr:colOff>
      <xdr:row>54</xdr:row>
      <xdr:rowOff>143803</xdr:rowOff>
    </xdr:to>
    <xdr:pic>
      <xdr:nvPicPr>
        <xdr:cNvPr id="25" name="Picture 24">
          <a:extLst>
            <a:ext uri="{FF2B5EF4-FFF2-40B4-BE49-F238E27FC236}">
              <a16:creationId xmlns:a16="http://schemas.microsoft.com/office/drawing/2014/main" id="{038D92C9-CCC9-9E08-596A-45D9A28317F4}"/>
            </a:ext>
          </a:extLst>
        </xdr:cNvPr>
        <xdr:cNvPicPr>
          <a:picLocks noChangeAspect="1"/>
        </xdr:cNvPicPr>
      </xdr:nvPicPr>
      <xdr:blipFill>
        <a:blip xmlns:r="http://schemas.openxmlformats.org/officeDocument/2006/relationships" r:embed="rId5"/>
        <a:stretch>
          <a:fillRect/>
        </a:stretch>
      </xdr:blipFill>
      <xdr:spPr>
        <a:xfrm>
          <a:off x="7876033" y="9371584"/>
          <a:ext cx="5112512" cy="2752891"/>
        </a:xfrm>
        <a:prstGeom prst="rect">
          <a:avLst/>
        </a:prstGeom>
      </xdr:spPr>
    </xdr:pic>
    <xdr:clientData/>
  </xdr:twoCellAnchor>
  <xdr:twoCellAnchor editAs="oneCell">
    <xdr:from>
      <xdr:col>10</xdr:col>
      <xdr:colOff>292608</xdr:colOff>
      <xdr:row>75</xdr:row>
      <xdr:rowOff>24384</xdr:rowOff>
    </xdr:from>
    <xdr:to>
      <xdr:col>17</xdr:col>
      <xdr:colOff>503936</xdr:colOff>
      <xdr:row>96</xdr:row>
      <xdr:rowOff>34580</xdr:rowOff>
    </xdr:to>
    <xdr:pic>
      <xdr:nvPicPr>
        <xdr:cNvPr id="27" name="Picture 26">
          <a:extLst>
            <a:ext uri="{FF2B5EF4-FFF2-40B4-BE49-F238E27FC236}">
              <a16:creationId xmlns:a16="http://schemas.microsoft.com/office/drawing/2014/main" id="{63F53BEE-444A-4794-09D7-4FB79D3FD720}"/>
            </a:ext>
          </a:extLst>
        </xdr:cNvPr>
        <xdr:cNvPicPr>
          <a:picLocks noChangeAspect="1"/>
        </xdr:cNvPicPr>
      </xdr:nvPicPr>
      <xdr:blipFill>
        <a:blip xmlns:r="http://schemas.openxmlformats.org/officeDocument/2006/relationships" r:embed="rId6"/>
        <a:stretch>
          <a:fillRect/>
        </a:stretch>
      </xdr:blipFill>
      <xdr:spPr>
        <a:xfrm>
          <a:off x="7550912" y="16532352"/>
          <a:ext cx="4706112" cy="3936020"/>
        </a:xfrm>
        <a:prstGeom prst="rect">
          <a:avLst/>
        </a:prstGeom>
      </xdr:spPr>
    </xdr:pic>
    <xdr:clientData/>
  </xdr:twoCellAnchor>
  <xdr:twoCellAnchor editAs="oneCell">
    <xdr:from>
      <xdr:col>10</xdr:col>
      <xdr:colOff>305644</xdr:colOff>
      <xdr:row>102</xdr:row>
      <xdr:rowOff>32512</xdr:rowOff>
    </xdr:from>
    <xdr:to>
      <xdr:col>17</xdr:col>
      <xdr:colOff>576733</xdr:colOff>
      <xdr:row>111</xdr:row>
      <xdr:rowOff>155074</xdr:rowOff>
    </xdr:to>
    <xdr:pic>
      <xdr:nvPicPr>
        <xdr:cNvPr id="29" name="Picture 28">
          <a:extLst>
            <a:ext uri="{FF2B5EF4-FFF2-40B4-BE49-F238E27FC236}">
              <a16:creationId xmlns:a16="http://schemas.microsoft.com/office/drawing/2014/main" id="{57383A17-9F62-DC34-B465-9EA60F128708}"/>
            </a:ext>
          </a:extLst>
        </xdr:cNvPr>
        <xdr:cNvPicPr>
          <a:picLocks noChangeAspect="1"/>
        </xdr:cNvPicPr>
      </xdr:nvPicPr>
      <xdr:blipFill>
        <a:blip xmlns:r="http://schemas.openxmlformats.org/officeDocument/2006/relationships" r:embed="rId7"/>
        <a:stretch>
          <a:fillRect/>
        </a:stretch>
      </xdr:blipFill>
      <xdr:spPr>
        <a:xfrm>
          <a:off x="7563948" y="20653248"/>
          <a:ext cx="4765873" cy="1805058"/>
        </a:xfrm>
        <a:prstGeom prst="rect">
          <a:avLst/>
        </a:prstGeom>
      </xdr:spPr>
    </xdr:pic>
    <xdr:clientData/>
  </xdr:twoCellAnchor>
  <xdr:twoCellAnchor editAs="oneCell">
    <xdr:from>
      <xdr:col>10</xdr:col>
      <xdr:colOff>365761</xdr:colOff>
      <xdr:row>113</xdr:row>
      <xdr:rowOff>82296</xdr:rowOff>
    </xdr:from>
    <xdr:to>
      <xdr:col>17</xdr:col>
      <xdr:colOff>634891</xdr:colOff>
      <xdr:row>119</xdr:row>
      <xdr:rowOff>32512</xdr:rowOff>
    </xdr:to>
    <xdr:pic>
      <xdr:nvPicPr>
        <xdr:cNvPr id="30" name="Picture 29">
          <a:extLst>
            <a:ext uri="{FF2B5EF4-FFF2-40B4-BE49-F238E27FC236}">
              <a16:creationId xmlns:a16="http://schemas.microsoft.com/office/drawing/2014/main" id="{7C0C77AA-607D-6A4C-B4F4-3185B4C44B36}"/>
            </a:ext>
          </a:extLst>
        </xdr:cNvPr>
        <xdr:cNvPicPr>
          <a:picLocks noChangeAspect="1"/>
        </xdr:cNvPicPr>
      </xdr:nvPicPr>
      <xdr:blipFill>
        <a:blip xmlns:r="http://schemas.openxmlformats.org/officeDocument/2006/relationships" r:embed="rId8"/>
        <a:stretch>
          <a:fillRect/>
        </a:stretch>
      </xdr:blipFill>
      <xdr:spPr>
        <a:xfrm>
          <a:off x="7624065" y="22572472"/>
          <a:ext cx="4763914" cy="1071880"/>
        </a:xfrm>
        <a:prstGeom prst="rect">
          <a:avLst/>
        </a:prstGeom>
      </xdr:spPr>
    </xdr:pic>
    <xdr:clientData/>
  </xdr:twoCellAnchor>
  <xdr:twoCellAnchor editAs="oneCell">
    <xdr:from>
      <xdr:col>10</xdr:col>
      <xdr:colOff>390145</xdr:colOff>
      <xdr:row>120</xdr:row>
      <xdr:rowOff>48768</xdr:rowOff>
    </xdr:from>
    <xdr:to>
      <xdr:col>17</xdr:col>
      <xdr:colOff>463296</xdr:colOff>
      <xdr:row>134</xdr:row>
      <xdr:rowOff>105173</xdr:rowOff>
    </xdr:to>
    <xdr:pic>
      <xdr:nvPicPr>
        <xdr:cNvPr id="31" name="Picture 30">
          <a:extLst>
            <a:ext uri="{FF2B5EF4-FFF2-40B4-BE49-F238E27FC236}">
              <a16:creationId xmlns:a16="http://schemas.microsoft.com/office/drawing/2014/main" id="{C58A2154-3488-972C-81DA-B050D60B4CBD}"/>
            </a:ext>
          </a:extLst>
        </xdr:cNvPr>
        <xdr:cNvPicPr>
          <a:picLocks noChangeAspect="1"/>
        </xdr:cNvPicPr>
      </xdr:nvPicPr>
      <xdr:blipFill>
        <a:blip xmlns:r="http://schemas.openxmlformats.org/officeDocument/2006/relationships" r:embed="rId9"/>
        <a:stretch>
          <a:fillRect/>
        </a:stretch>
      </xdr:blipFill>
      <xdr:spPr>
        <a:xfrm>
          <a:off x="7648449" y="23847552"/>
          <a:ext cx="4567935" cy="2673621"/>
        </a:xfrm>
        <a:prstGeom prst="rect">
          <a:avLst/>
        </a:prstGeom>
      </xdr:spPr>
    </xdr:pic>
    <xdr:clientData/>
  </xdr:twoCellAnchor>
  <xdr:twoCellAnchor editAs="oneCell">
    <xdr:from>
      <xdr:col>18</xdr:col>
      <xdr:colOff>0</xdr:colOff>
      <xdr:row>76</xdr:row>
      <xdr:rowOff>0</xdr:rowOff>
    </xdr:from>
    <xdr:to>
      <xdr:col>27</xdr:col>
      <xdr:colOff>278135</xdr:colOff>
      <xdr:row>109</xdr:row>
      <xdr:rowOff>154657</xdr:rowOff>
    </xdr:to>
    <xdr:pic>
      <xdr:nvPicPr>
        <xdr:cNvPr id="33" name="Picture 32">
          <a:extLst>
            <a:ext uri="{FF2B5EF4-FFF2-40B4-BE49-F238E27FC236}">
              <a16:creationId xmlns:a16="http://schemas.microsoft.com/office/drawing/2014/main" id="{7AB16912-CF76-9BAB-B8CB-EEDD52CB5280}"/>
            </a:ext>
          </a:extLst>
        </xdr:cNvPr>
        <xdr:cNvPicPr>
          <a:picLocks noChangeAspect="1"/>
        </xdr:cNvPicPr>
      </xdr:nvPicPr>
      <xdr:blipFill>
        <a:blip xmlns:r="http://schemas.openxmlformats.org/officeDocument/2006/relationships" r:embed="rId10"/>
        <a:stretch>
          <a:fillRect/>
        </a:stretch>
      </xdr:blipFill>
      <xdr:spPr>
        <a:xfrm>
          <a:off x="12395200" y="16694912"/>
          <a:ext cx="6057143" cy="6323809"/>
        </a:xfrm>
        <a:prstGeom prst="rect">
          <a:avLst/>
        </a:prstGeom>
      </xdr:spPr>
    </xdr:pic>
    <xdr:clientData/>
  </xdr:twoCellAnchor>
  <xdr:twoCellAnchor editAs="oneCell">
    <xdr:from>
      <xdr:col>19</xdr:col>
      <xdr:colOff>503936</xdr:colOff>
      <xdr:row>112</xdr:row>
      <xdr:rowOff>162560</xdr:rowOff>
    </xdr:from>
    <xdr:to>
      <xdr:col>28</xdr:col>
      <xdr:colOff>279746</xdr:colOff>
      <xdr:row>137</xdr:row>
      <xdr:rowOff>75171</xdr:rowOff>
    </xdr:to>
    <xdr:pic>
      <xdr:nvPicPr>
        <xdr:cNvPr id="34" name="Picture 33">
          <a:extLst>
            <a:ext uri="{FF2B5EF4-FFF2-40B4-BE49-F238E27FC236}">
              <a16:creationId xmlns:a16="http://schemas.microsoft.com/office/drawing/2014/main" id="{2ACE0301-0D42-83B7-D96B-0E66F6706B50}"/>
            </a:ext>
          </a:extLst>
        </xdr:cNvPr>
        <xdr:cNvPicPr>
          <a:picLocks noChangeAspect="1"/>
        </xdr:cNvPicPr>
      </xdr:nvPicPr>
      <xdr:blipFill>
        <a:blip xmlns:r="http://schemas.openxmlformats.org/officeDocument/2006/relationships" r:embed="rId11"/>
        <a:stretch>
          <a:fillRect/>
        </a:stretch>
      </xdr:blipFill>
      <xdr:spPr>
        <a:xfrm>
          <a:off x="13541248" y="21531072"/>
          <a:ext cx="5554818" cy="4586211"/>
        </a:xfrm>
        <a:prstGeom prst="rect">
          <a:avLst/>
        </a:prstGeom>
      </xdr:spPr>
    </xdr:pic>
    <xdr:clientData/>
  </xdr:twoCellAnchor>
  <xdr:twoCellAnchor editAs="oneCell">
    <xdr:from>
      <xdr:col>19</xdr:col>
      <xdr:colOff>520193</xdr:colOff>
      <xdr:row>137</xdr:row>
      <xdr:rowOff>130048</xdr:rowOff>
    </xdr:from>
    <xdr:to>
      <xdr:col>28</xdr:col>
      <xdr:colOff>161560</xdr:colOff>
      <xdr:row>165</xdr:row>
      <xdr:rowOff>81280</xdr:rowOff>
    </xdr:to>
    <xdr:pic>
      <xdr:nvPicPr>
        <xdr:cNvPr id="35" name="Picture 34">
          <a:extLst>
            <a:ext uri="{FF2B5EF4-FFF2-40B4-BE49-F238E27FC236}">
              <a16:creationId xmlns:a16="http://schemas.microsoft.com/office/drawing/2014/main" id="{5C60DA20-7595-0482-1FE5-2F23BC0370FB}"/>
            </a:ext>
          </a:extLst>
        </xdr:cNvPr>
        <xdr:cNvPicPr>
          <a:picLocks noChangeAspect="1"/>
        </xdr:cNvPicPr>
      </xdr:nvPicPr>
      <xdr:blipFill>
        <a:blip xmlns:r="http://schemas.openxmlformats.org/officeDocument/2006/relationships" r:embed="rId12"/>
        <a:stretch>
          <a:fillRect/>
        </a:stretch>
      </xdr:blipFill>
      <xdr:spPr>
        <a:xfrm>
          <a:off x="13557505" y="26172160"/>
          <a:ext cx="5420375" cy="5185664"/>
        </a:xfrm>
        <a:prstGeom prst="rect">
          <a:avLst/>
        </a:prstGeom>
      </xdr:spPr>
    </xdr:pic>
    <xdr:clientData/>
  </xdr:twoCellAnchor>
  <xdr:twoCellAnchor editAs="oneCell">
    <xdr:from>
      <xdr:col>1</xdr:col>
      <xdr:colOff>0</xdr:colOff>
      <xdr:row>114</xdr:row>
      <xdr:rowOff>56897</xdr:rowOff>
    </xdr:from>
    <xdr:to>
      <xdr:col>6</xdr:col>
      <xdr:colOff>134817</xdr:colOff>
      <xdr:row>129</xdr:row>
      <xdr:rowOff>113793</xdr:rowOff>
    </xdr:to>
    <xdr:pic>
      <xdr:nvPicPr>
        <xdr:cNvPr id="37" name="Picture 36">
          <a:extLst>
            <a:ext uri="{FF2B5EF4-FFF2-40B4-BE49-F238E27FC236}">
              <a16:creationId xmlns:a16="http://schemas.microsoft.com/office/drawing/2014/main" id="{20FD0AA3-2D53-D00E-0018-43B42EC7AC15}"/>
            </a:ext>
          </a:extLst>
        </xdr:cNvPr>
        <xdr:cNvPicPr>
          <a:picLocks noChangeAspect="1"/>
        </xdr:cNvPicPr>
      </xdr:nvPicPr>
      <xdr:blipFill>
        <a:blip xmlns:r="http://schemas.openxmlformats.org/officeDocument/2006/relationships" r:embed="rId13"/>
        <a:stretch>
          <a:fillRect/>
        </a:stretch>
      </xdr:blipFill>
      <xdr:spPr>
        <a:xfrm>
          <a:off x="186944" y="22920961"/>
          <a:ext cx="4637729" cy="2861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82296</xdr:colOff>
      <xdr:row>48</xdr:row>
      <xdr:rowOff>104804</xdr:rowOff>
    </xdr:from>
    <xdr:to>
      <xdr:col>11</xdr:col>
      <xdr:colOff>438913</xdr:colOff>
      <xdr:row>61</xdr:row>
      <xdr:rowOff>27432</xdr:rowOff>
    </xdr:to>
    <xdr:pic>
      <xdr:nvPicPr>
        <xdr:cNvPr id="3" name="Picture 2">
          <a:extLst>
            <a:ext uri="{FF2B5EF4-FFF2-40B4-BE49-F238E27FC236}">
              <a16:creationId xmlns:a16="http://schemas.microsoft.com/office/drawing/2014/main" id="{3C59EB35-1BB6-5968-08A1-72C4B454C04C}"/>
            </a:ext>
          </a:extLst>
        </xdr:cNvPr>
        <xdr:cNvPicPr>
          <a:picLocks noChangeAspect="1"/>
        </xdr:cNvPicPr>
      </xdr:nvPicPr>
      <xdr:blipFill>
        <a:blip xmlns:r="http://schemas.openxmlformats.org/officeDocument/2006/relationships" r:embed="rId1"/>
        <a:stretch>
          <a:fillRect/>
        </a:stretch>
      </xdr:blipFill>
      <xdr:spPr>
        <a:xfrm>
          <a:off x="246889" y="11717684"/>
          <a:ext cx="8229600" cy="2354931"/>
        </a:xfrm>
        <a:prstGeom prst="rect">
          <a:avLst/>
        </a:prstGeom>
      </xdr:spPr>
    </xdr:pic>
    <xdr:clientData/>
  </xdr:twoCellAnchor>
  <xdr:twoCellAnchor editAs="oneCell">
    <xdr:from>
      <xdr:col>14</xdr:col>
      <xdr:colOff>109728</xdr:colOff>
      <xdr:row>89</xdr:row>
      <xdr:rowOff>923598</xdr:rowOff>
    </xdr:from>
    <xdr:to>
      <xdr:col>17</xdr:col>
      <xdr:colOff>91440</xdr:colOff>
      <xdr:row>106</xdr:row>
      <xdr:rowOff>34902</xdr:rowOff>
    </xdr:to>
    <xdr:pic>
      <xdr:nvPicPr>
        <xdr:cNvPr id="12" name="Picture 11">
          <a:extLst>
            <a:ext uri="{FF2B5EF4-FFF2-40B4-BE49-F238E27FC236}">
              <a16:creationId xmlns:a16="http://schemas.microsoft.com/office/drawing/2014/main" id="{8AA4150E-BF58-397E-3F85-39CEFA703944}"/>
            </a:ext>
          </a:extLst>
        </xdr:cNvPr>
        <xdr:cNvPicPr>
          <a:picLocks noChangeAspect="1"/>
        </xdr:cNvPicPr>
      </xdr:nvPicPr>
      <xdr:blipFill>
        <a:blip xmlns:r="http://schemas.openxmlformats.org/officeDocument/2006/relationships" r:embed="rId2"/>
        <a:stretch>
          <a:fillRect/>
        </a:stretch>
      </xdr:blipFill>
      <xdr:spPr>
        <a:xfrm>
          <a:off x="9628632" y="18882414"/>
          <a:ext cx="1929384" cy="4049064"/>
        </a:xfrm>
        <a:prstGeom prst="rect">
          <a:avLst/>
        </a:prstGeom>
      </xdr:spPr>
    </xdr:pic>
    <xdr:clientData/>
  </xdr:twoCellAnchor>
  <xdr:twoCellAnchor editAs="oneCell">
    <xdr:from>
      <xdr:col>9</xdr:col>
      <xdr:colOff>339818</xdr:colOff>
      <xdr:row>105</xdr:row>
      <xdr:rowOff>9145</xdr:rowOff>
    </xdr:from>
    <xdr:to>
      <xdr:col>12</xdr:col>
      <xdr:colOff>99777</xdr:colOff>
      <xdr:row>113</xdr:row>
      <xdr:rowOff>45721</xdr:rowOff>
    </xdr:to>
    <xdr:pic>
      <xdr:nvPicPr>
        <xdr:cNvPr id="14" name="Picture 13">
          <a:extLst>
            <a:ext uri="{FF2B5EF4-FFF2-40B4-BE49-F238E27FC236}">
              <a16:creationId xmlns:a16="http://schemas.microsoft.com/office/drawing/2014/main" id="{8FFFFC0E-95D3-02EF-73BC-40385A43F3EC}"/>
            </a:ext>
          </a:extLst>
        </xdr:cNvPr>
        <xdr:cNvPicPr>
          <a:picLocks noChangeAspect="1"/>
        </xdr:cNvPicPr>
      </xdr:nvPicPr>
      <xdr:blipFill>
        <a:blip xmlns:r="http://schemas.openxmlformats.org/officeDocument/2006/relationships" r:embed="rId3"/>
        <a:stretch>
          <a:fillRect/>
        </a:stretch>
      </xdr:blipFill>
      <xdr:spPr>
        <a:xfrm>
          <a:off x="7700738" y="21771865"/>
          <a:ext cx="1241288" cy="2414016"/>
        </a:xfrm>
        <a:prstGeom prst="rect">
          <a:avLst/>
        </a:prstGeom>
      </xdr:spPr>
    </xdr:pic>
    <xdr:clientData/>
  </xdr:twoCellAnchor>
  <xdr:twoCellAnchor editAs="oneCell">
    <xdr:from>
      <xdr:col>8</xdr:col>
      <xdr:colOff>438912</xdr:colOff>
      <xdr:row>115</xdr:row>
      <xdr:rowOff>54863</xdr:rowOff>
    </xdr:from>
    <xdr:to>
      <xdr:col>11</xdr:col>
      <xdr:colOff>226565</xdr:colOff>
      <xdr:row>123</xdr:row>
      <xdr:rowOff>118872</xdr:rowOff>
    </xdr:to>
    <xdr:pic>
      <xdr:nvPicPr>
        <xdr:cNvPr id="18" name="Picture 17">
          <a:extLst>
            <a:ext uri="{FF2B5EF4-FFF2-40B4-BE49-F238E27FC236}">
              <a16:creationId xmlns:a16="http://schemas.microsoft.com/office/drawing/2014/main" id="{34AD7662-441E-D5F7-0539-4D7991E58E50}"/>
            </a:ext>
          </a:extLst>
        </xdr:cNvPr>
        <xdr:cNvPicPr>
          <a:picLocks noChangeAspect="1"/>
        </xdr:cNvPicPr>
      </xdr:nvPicPr>
      <xdr:blipFill>
        <a:blip xmlns:r="http://schemas.openxmlformats.org/officeDocument/2006/relationships" r:embed="rId4"/>
        <a:stretch>
          <a:fillRect/>
        </a:stretch>
      </xdr:blipFill>
      <xdr:spPr>
        <a:xfrm>
          <a:off x="6995160" y="25694639"/>
          <a:ext cx="1268981" cy="2441449"/>
        </a:xfrm>
        <a:prstGeom prst="rect">
          <a:avLst/>
        </a:prstGeom>
      </xdr:spPr>
    </xdr:pic>
    <xdr:clientData/>
  </xdr:twoCellAnchor>
  <xdr:twoCellAnchor editAs="oneCell">
    <xdr:from>
      <xdr:col>9</xdr:col>
      <xdr:colOff>1</xdr:colOff>
      <xdr:row>125</xdr:row>
      <xdr:rowOff>1</xdr:rowOff>
    </xdr:from>
    <xdr:to>
      <xdr:col>11</xdr:col>
      <xdr:colOff>27433</xdr:colOff>
      <xdr:row>130</xdr:row>
      <xdr:rowOff>172415</xdr:rowOff>
    </xdr:to>
    <xdr:pic>
      <xdr:nvPicPr>
        <xdr:cNvPr id="19" name="Picture 18">
          <a:extLst>
            <a:ext uri="{FF2B5EF4-FFF2-40B4-BE49-F238E27FC236}">
              <a16:creationId xmlns:a16="http://schemas.microsoft.com/office/drawing/2014/main" id="{89F33425-0408-F739-0D99-3EBEA1A1D9FD}"/>
            </a:ext>
          </a:extLst>
        </xdr:cNvPr>
        <xdr:cNvPicPr>
          <a:picLocks noChangeAspect="1"/>
        </xdr:cNvPicPr>
      </xdr:nvPicPr>
      <xdr:blipFill>
        <a:blip xmlns:r="http://schemas.openxmlformats.org/officeDocument/2006/relationships" r:embed="rId5"/>
        <a:stretch>
          <a:fillRect/>
        </a:stretch>
      </xdr:blipFill>
      <xdr:spPr>
        <a:xfrm>
          <a:off x="7050025" y="28584145"/>
          <a:ext cx="1014984" cy="2001214"/>
        </a:xfrm>
        <a:prstGeom prst="rect">
          <a:avLst/>
        </a:prstGeom>
      </xdr:spPr>
    </xdr:pic>
    <xdr:clientData/>
  </xdr:twoCellAnchor>
  <xdr:twoCellAnchor editAs="oneCell">
    <xdr:from>
      <xdr:col>9</xdr:col>
      <xdr:colOff>1</xdr:colOff>
      <xdr:row>133</xdr:row>
      <xdr:rowOff>1</xdr:rowOff>
    </xdr:from>
    <xdr:to>
      <xdr:col>11</xdr:col>
      <xdr:colOff>82296</xdr:colOff>
      <xdr:row>140</xdr:row>
      <xdr:rowOff>119728</xdr:rowOff>
    </xdr:to>
    <xdr:pic>
      <xdr:nvPicPr>
        <xdr:cNvPr id="20" name="Picture 19">
          <a:extLst>
            <a:ext uri="{FF2B5EF4-FFF2-40B4-BE49-F238E27FC236}">
              <a16:creationId xmlns:a16="http://schemas.microsoft.com/office/drawing/2014/main" id="{013C0C32-F887-869A-3BD9-8D2936AC810B}"/>
            </a:ext>
          </a:extLst>
        </xdr:cNvPr>
        <xdr:cNvPicPr>
          <a:picLocks noChangeAspect="1"/>
        </xdr:cNvPicPr>
      </xdr:nvPicPr>
      <xdr:blipFill>
        <a:blip xmlns:r="http://schemas.openxmlformats.org/officeDocument/2006/relationships" r:embed="rId6"/>
        <a:stretch>
          <a:fillRect/>
        </a:stretch>
      </xdr:blipFill>
      <xdr:spPr>
        <a:xfrm>
          <a:off x="7050025" y="30778705"/>
          <a:ext cx="1069847" cy="2314287"/>
        </a:xfrm>
        <a:prstGeom prst="rect">
          <a:avLst/>
        </a:prstGeom>
      </xdr:spPr>
    </xdr:pic>
    <xdr:clientData/>
  </xdr:twoCellAnchor>
  <xdr:twoCellAnchor editAs="oneCell">
    <xdr:from>
      <xdr:col>8</xdr:col>
      <xdr:colOff>1</xdr:colOff>
      <xdr:row>142</xdr:row>
      <xdr:rowOff>21354</xdr:rowOff>
    </xdr:from>
    <xdr:to>
      <xdr:col>10</xdr:col>
      <xdr:colOff>210312</xdr:colOff>
      <xdr:row>149</xdr:row>
      <xdr:rowOff>177901</xdr:rowOff>
    </xdr:to>
    <xdr:pic>
      <xdr:nvPicPr>
        <xdr:cNvPr id="21" name="Picture 20">
          <a:extLst>
            <a:ext uri="{FF2B5EF4-FFF2-40B4-BE49-F238E27FC236}">
              <a16:creationId xmlns:a16="http://schemas.microsoft.com/office/drawing/2014/main" id="{AA5C8B4E-F344-965F-6FC2-2ABF816219CF}"/>
            </a:ext>
          </a:extLst>
        </xdr:cNvPr>
        <xdr:cNvPicPr>
          <a:picLocks noChangeAspect="1"/>
        </xdr:cNvPicPr>
      </xdr:nvPicPr>
      <xdr:blipFill>
        <a:blip xmlns:r="http://schemas.openxmlformats.org/officeDocument/2006/relationships" r:embed="rId7"/>
        <a:stretch>
          <a:fillRect/>
        </a:stretch>
      </xdr:blipFill>
      <xdr:spPr>
        <a:xfrm>
          <a:off x="6556249" y="33360378"/>
          <a:ext cx="1197863" cy="2351107"/>
        </a:xfrm>
        <a:prstGeom prst="rect">
          <a:avLst/>
        </a:prstGeom>
      </xdr:spPr>
    </xdr:pic>
    <xdr:clientData/>
  </xdr:twoCellAnchor>
  <xdr:twoCellAnchor editAs="oneCell">
    <xdr:from>
      <xdr:col>14</xdr:col>
      <xdr:colOff>0</xdr:colOff>
      <xdr:row>107</xdr:row>
      <xdr:rowOff>0</xdr:rowOff>
    </xdr:from>
    <xdr:to>
      <xdr:col>15</xdr:col>
      <xdr:colOff>630936</xdr:colOff>
      <xdr:row>113</xdr:row>
      <xdr:rowOff>96844</xdr:rowOff>
    </xdr:to>
    <xdr:pic>
      <xdr:nvPicPr>
        <xdr:cNvPr id="2" name="Picture 1">
          <a:extLst>
            <a:ext uri="{FF2B5EF4-FFF2-40B4-BE49-F238E27FC236}">
              <a16:creationId xmlns:a16="http://schemas.microsoft.com/office/drawing/2014/main" id="{BAF0F32B-A1EA-E150-1282-1B979DF89584}"/>
            </a:ext>
          </a:extLst>
        </xdr:cNvPr>
        <xdr:cNvPicPr>
          <a:picLocks noChangeAspect="1"/>
        </xdr:cNvPicPr>
      </xdr:nvPicPr>
      <xdr:blipFill>
        <a:blip xmlns:r="http://schemas.openxmlformats.org/officeDocument/2006/relationships" r:embed="rId8"/>
        <a:stretch>
          <a:fillRect/>
        </a:stretch>
      </xdr:blipFill>
      <xdr:spPr>
        <a:xfrm>
          <a:off x="9518904" y="23463504"/>
          <a:ext cx="1298448" cy="210852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torontohydro.com/for-home/rates" TargetMode="External"/><Relationship Id="rId2" Type="http://schemas.openxmlformats.org/officeDocument/2006/relationships/hyperlink" Target="https://www.oeb.ca/consumer-information-and-protection/bill-calculator" TargetMode="External"/><Relationship Id="rId1" Type="http://schemas.openxmlformats.org/officeDocument/2006/relationships/hyperlink" Target="https://www.torontohydro.com/for-home/rat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ergystar.gov/productfinder/product/certified-clothes-dryers/results?formId=0364-474-4040-77-08496445&amp;scrollTo=599.8079833984375&amp;search_text=&amp;low_price=&amp;high_price=&amp;type_filter=Gas+Clothes+Dryer&amp;is_most_efficient_filter=0&amp;other_features_and_characteristics_isopen=0&amp;brand_name_isopen=0&amp;markets_filter=United+States&amp;zip_code_filter=&amp;product_types=Select+a+Product+Category&amp;sort_by=combined_energy_factor_cef&amp;sort_direction=desc&amp;currentZipCode=05482&amp;page_number=0&amp;lastpage=0" TargetMode="External"/><Relationship Id="rId1" Type="http://schemas.openxmlformats.org/officeDocument/2006/relationships/hyperlink" Target="https://www.bls.gov/data/inflation_calculator.ht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77E5-548E-419F-8009-D7B478A1386F}">
  <dimension ref="A1:G18"/>
  <sheetViews>
    <sheetView zoomScale="70" zoomScaleNormal="70" workbookViewId="0">
      <selection activeCell="P12" sqref="P12"/>
    </sheetView>
  </sheetViews>
  <sheetFormatPr defaultRowHeight="14.4" x14ac:dyDescent="0.3"/>
  <cols>
    <col min="1" max="1" width="1.5" customWidth="1"/>
    <col min="2" max="2" width="14.3984375" customWidth="1"/>
    <col min="3" max="3" width="25.59765625" customWidth="1"/>
    <col min="4" max="5" width="12.296875" customWidth="1"/>
    <col min="6" max="6" width="11.69921875" customWidth="1"/>
  </cols>
  <sheetData>
    <row r="1" spans="1:7" ht="17.850000000000001" x14ac:dyDescent="0.35">
      <c r="A1" s="16" t="s">
        <v>112</v>
      </c>
      <c r="B1" s="51"/>
      <c r="C1" s="51"/>
    </row>
    <row r="3" spans="1:7" x14ac:dyDescent="0.3">
      <c r="A3" t="s">
        <v>105</v>
      </c>
      <c r="D3" s="47" t="s">
        <v>103</v>
      </c>
      <c r="E3" t="s">
        <v>113</v>
      </c>
    </row>
    <row r="4" spans="1:7" x14ac:dyDescent="0.3">
      <c r="A4" t="s">
        <v>144</v>
      </c>
      <c r="D4" s="47" t="s">
        <v>104</v>
      </c>
    </row>
    <row r="6" spans="1:7" ht="17.850000000000001" x14ac:dyDescent="0.35">
      <c r="A6" s="16" t="s">
        <v>131</v>
      </c>
      <c r="B6" s="51"/>
      <c r="C6" s="51"/>
    </row>
    <row r="7" spans="1:7" ht="29.4" x14ac:dyDescent="0.35">
      <c r="A7" s="94"/>
      <c r="B7" s="95"/>
      <c r="C7" s="96"/>
      <c r="D7" s="27" t="s">
        <v>115</v>
      </c>
      <c r="E7" s="27" t="s">
        <v>114</v>
      </c>
      <c r="F7" s="27" t="s">
        <v>125</v>
      </c>
      <c r="G7" s="27" t="s">
        <v>121</v>
      </c>
    </row>
    <row r="8" spans="1:7" x14ac:dyDescent="0.3">
      <c r="A8" s="97" t="s">
        <v>171</v>
      </c>
      <c r="B8" s="97"/>
      <c r="C8" s="97"/>
      <c r="D8" s="97"/>
      <c r="E8" s="97"/>
      <c r="F8" s="97"/>
      <c r="G8" s="97"/>
    </row>
    <row r="9" spans="1:7" ht="14.4" customHeight="1" x14ac:dyDescent="0.3">
      <c r="A9" s="100"/>
      <c r="B9" s="98" t="s">
        <v>119</v>
      </c>
      <c r="C9" s="99"/>
      <c r="D9" s="31">
        <f>D15</f>
        <v>1855.2877227759564</v>
      </c>
      <c r="E9" s="31">
        <f>E15</f>
        <v>1268.4740449376729</v>
      </c>
      <c r="F9" s="31">
        <f>E9-D9</f>
        <v>-586.81367783828341</v>
      </c>
      <c r="G9" s="52">
        <f>F9/D9</f>
        <v>-0.31629254623658543</v>
      </c>
    </row>
    <row r="10" spans="1:7" ht="14.4" customHeight="1" x14ac:dyDescent="0.3">
      <c r="A10" s="101"/>
      <c r="B10" s="98" t="s">
        <v>116</v>
      </c>
      <c r="C10" s="99"/>
      <c r="D10" s="31">
        <f>D16</f>
        <v>27276.412307948623</v>
      </c>
      <c r="E10" s="31">
        <f>E16</f>
        <v>16700.309225170044</v>
      </c>
      <c r="F10" s="31">
        <f t="shared" ref="F10" si="0">E10-D10</f>
        <v>-10576.10308277858</v>
      </c>
      <c r="G10" s="52">
        <f t="shared" ref="G10" si="1">F10/D10</f>
        <v>-0.38773805599413808</v>
      </c>
    </row>
    <row r="11" spans="1:7" ht="14.4" customHeight="1" x14ac:dyDescent="0.35">
      <c r="A11" s="51"/>
      <c r="B11" s="55"/>
      <c r="C11" s="55"/>
      <c r="D11" s="5"/>
      <c r="E11" s="5"/>
      <c r="F11" s="5"/>
      <c r="G11" s="56"/>
    </row>
    <row r="12" spans="1:7" ht="17.850000000000001" x14ac:dyDescent="0.35">
      <c r="A12" s="16" t="s">
        <v>132</v>
      </c>
      <c r="B12" s="51"/>
      <c r="C12" s="51"/>
    </row>
    <row r="13" spans="1:7" ht="30.55" customHeight="1" x14ac:dyDescent="0.35">
      <c r="A13" s="94"/>
      <c r="B13" s="95"/>
      <c r="C13" s="96"/>
      <c r="D13" s="27" t="s">
        <v>115</v>
      </c>
      <c r="E13" s="27" t="s">
        <v>114</v>
      </c>
      <c r="F13" s="27" t="s">
        <v>125</v>
      </c>
      <c r="G13" s="27" t="s">
        <v>121</v>
      </c>
    </row>
    <row r="14" spans="1:7" ht="17.3" customHeight="1" x14ac:dyDescent="0.3">
      <c r="A14" s="97" t="s">
        <v>171</v>
      </c>
      <c r="B14" s="97"/>
      <c r="C14" s="97"/>
      <c r="D14" s="97"/>
      <c r="E14" s="97"/>
      <c r="F14" s="97"/>
      <c r="G14" s="97"/>
    </row>
    <row r="15" spans="1:7" ht="17.3" hidden="1" customHeight="1" x14ac:dyDescent="0.3">
      <c r="A15" s="102"/>
      <c r="B15" s="98" t="s">
        <v>119</v>
      </c>
      <c r="C15" s="99"/>
      <c r="D15" s="31">
        <f>'Customer Cost Calcs'!D11</f>
        <v>1855.2877227759564</v>
      </c>
      <c r="E15" s="31">
        <f>'Customer Cost Calcs'!D19</f>
        <v>1268.4740449376729</v>
      </c>
      <c r="F15" s="31">
        <f>E15-D15</f>
        <v>-586.81367783828341</v>
      </c>
      <c r="G15" s="52">
        <f>F15/D15</f>
        <v>-0.31629254623658543</v>
      </c>
    </row>
    <row r="16" spans="1:7" ht="17.3" customHeight="1" x14ac:dyDescent="0.3">
      <c r="A16" s="102"/>
      <c r="B16" s="98" t="s">
        <v>116</v>
      </c>
      <c r="C16" s="99"/>
      <c r="D16" s="31">
        <f>'Customer Cost Calcs'!AC11</f>
        <v>27276.412307948623</v>
      </c>
      <c r="E16" s="31">
        <f>'Customer Cost Calcs'!AC19</f>
        <v>16700.309225170044</v>
      </c>
      <c r="F16" s="31">
        <f t="shared" ref="F16:F18" si="2">E16-D16</f>
        <v>-10576.10308277858</v>
      </c>
      <c r="G16" s="52">
        <f t="shared" ref="G16:G18" si="3">F16/D16</f>
        <v>-0.38773805599413808</v>
      </c>
    </row>
    <row r="17" spans="1:7" ht="17.3" customHeight="1" x14ac:dyDescent="0.3">
      <c r="A17" s="102"/>
      <c r="B17" s="98" t="s">
        <v>117</v>
      </c>
      <c r="C17" s="99"/>
      <c r="D17" s="31">
        <f>'Customer Cost Calcs'!AC31</f>
        <v>13531.650513927361</v>
      </c>
      <c r="E17" s="31">
        <f>'Customer Cost Calcs'!AC38</f>
        <v>17256.786391549915</v>
      </c>
      <c r="F17" s="31">
        <f t="shared" si="2"/>
        <v>3725.1358776225534</v>
      </c>
      <c r="G17" s="52">
        <f t="shared" si="3"/>
        <v>0.2752905769912164</v>
      </c>
    </row>
    <row r="18" spans="1:7" ht="17.3" customHeight="1" x14ac:dyDescent="0.3">
      <c r="A18" s="102"/>
      <c r="B18" s="98" t="s">
        <v>118</v>
      </c>
      <c r="C18" s="99"/>
      <c r="D18" s="31">
        <f>D17+D16</f>
        <v>40808.062821875981</v>
      </c>
      <c r="E18" s="31">
        <f>E17+E16</f>
        <v>33957.095616719962</v>
      </c>
      <c r="F18" s="31">
        <f t="shared" si="2"/>
        <v>-6850.9672051560192</v>
      </c>
      <c r="G18" s="52">
        <f t="shared" si="3"/>
        <v>-0.16788268620002764</v>
      </c>
    </row>
  </sheetData>
  <mergeCells count="12">
    <mergeCell ref="A15:A18"/>
    <mergeCell ref="A14:G14"/>
    <mergeCell ref="B15:C15"/>
    <mergeCell ref="B16:C16"/>
    <mergeCell ref="B17:C17"/>
    <mergeCell ref="B18:C18"/>
    <mergeCell ref="A13:C13"/>
    <mergeCell ref="A7:C7"/>
    <mergeCell ref="A8:G8"/>
    <mergeCell ref="B9:C9"/>
    <mergeCell ref="B10:C10"/>
    <mergeCell ref="A9:A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7E0-F440-4F74-A604-5620DCBADF8D}">
  <dimension ref="A1:BP131"/>
  <sheetViews>
    <sheetView zoomScale="90" zoomScaleNormal="90" workbookViewId="0">
      <selection activeCell="B32" sqref="B32"/>
    </sheetView>
  </sheetViews>
  <sheetFormatPr defaultRowHeight="14.4" x14ac:dyDescent="0.3"/>
  <cols>
    <col min="1" max="1" width="2.5" customWidth="1"/>
    <col min="2" max="2" width="26.3984375" customWidth="1"/>
    <col min="29" max="29" width="8.796875" customWidth="1"/>
    <col min="30" max="31" width="8.8984375" customWidth="1"/>
    <col min="32" max="32" width="14.796875" customWidth="1"/>
    <col min="42" max="42" width="1.796875" customWidth="1"/>
    <col min="43" max="43" width="1.59765625" customWidth="1"/>
    <col min="44" max="44" width="16.19921875" customWidth="1"/>
    <col min="45" max="62" width="7" style="1" customWidth="1"/>
  </cols>
  <sheetData>
    <row r="1" spans="1:68" s="16" customFormat="1" ht="17.850000000000001" x14ac:dyDescent="0.35">
      <c r="A1" s="44" t="s">
        <v>18</v>
      </c>
      <c r="AS1" s="65"/>
      <c r="AT1" s="65"/>
      <c r="AU1" s="65"/>
      <c r="AV1" s="65"/>
      <c r="AW1" s="65"/>
      <c r="AX1" s="65"/>
      <c r="AY1" s="65"/>
      <c r="AZ1" s="65"/>
      <c r="BA1" s="65"/>
      <c r="BB1" s="65"/>
      <c r="BC1" s="65"/>
      <c r="BD1" s="65"/>
      <c r="BE1" s="65"/>
      <c r="BF1" s="65"/>
      <c r="BG1" s="65"/>
      <c r="BH1" s="65"/>
      <c r="BI1" s="65"/>
      <c r="BJ1" s="65"/>
    </row>
    <row r="2" spans="1:68" x14ac:dyDescent="0.3">
      <c r="C2" s="13">
        <v>2025</v>
      </c>
      <c r="D2" s="13">
        <f>C2+1</f>
        <v>2026</v>
      </c>
      <c r="E2" s="13">
        <f t="shared" ref="E2:W2" si="0">D2+1</f>
        <v>2027</v>
      </c>
      <c r="F2" s="13">
        <f t="shared" si="0"/>
        <v>2028</v>
      </c>
      <c r="G2" s="13">
        <f t="shared" si="0"/>
        <v>2029</v>
      </c>
      <c r="H2" s="13">
        <f t="shared" si="0"/>
        <v>2030</v>
      </c>
      <c r="I2" s="13">
        <f t="shared" si="0"/>
        <v>2031</v>
      </c>
      <c r="J2" s="13">
        <f t="shared" si="0"/>
        <v>2032</v>
      </c>
      <c r="K2" s="13">
        <f t="shared" si="0"/>
        <v>2033</v>
      </c>
      <c r="L2" s="13">
        <f t="shared" si="0"/>
        <v>2034</v>
      </c>
      <c r="M2" s="13">
        <f t="shared" si="0"/>
        <v>2035</v>
      </c>
      <c r="N2" s="13">
        <f t="shared" si="0"/>
        <v>2036</v>
      </c>
      <c r="O2" s="13">
        <f t="shared" si="0"/>
        <v>2037</v>
      </c>
      <c r="P2" s="13">
        <f t="shared" si="0"/>
        <v>2038</v>
      </c>
      <c r="Q2" s="13">
        <f t="shared" si="0"/>
        <v>2039</v>
      </c>
      <c r="R2" s="13">
        <f t="shared" si="0"/>
        <v>2040</v>
      </c>
      <c r="S2" s="13">
        <f t="shared" si="0"/>
        <v>2041</v>
      </c>
      <c r="T2" s="13">
        <f t="shared" si="0"/>
        <v>2042</v>
      </c>
      <c r="U2" s="13">
        <f t="shared" si="0"/>
        <v>2043</v>
      </c>
      <c r="V2" s="13">
        <f>U2+1</f>
        <v>2044</v>
      </c>
      <c r="W2" s="13">
        <f t="shared" si="0"/>
        <v>2045</v>
      </c>
      <c r="X2" s="13">
        <f t="shared" ref="X2" si="1">W2+1</f>
        <v>2046</v>
      </c>
      <c r="Y2" s="13">
        <f t="shared" ref="Y2" si="2">X2+1</f>
        <v>2047</v>
      </c>
      <c r="Z2" s="13">
        <f t="shared" ref="Z2" si="3">Y2+1</f>
        <v>2048</v>
      </c>
      <c r="AA2" s="13">
        <f t="shared" ref="AA2" si="4">Z2+1</f>
        <v>2049</v>
      </c>
      <c r="AB2" s="13"/>
      <c r="AP2" s="103"/>
      <c r="AQ2" s="103"/>
      <c r="AR2" s="103"/>
      <c r="AS2" s="58">
        <v>2023</v>
      </c>
      <c r="AT2" s="58">
        <f t="shared" ref="AT2:BJ2" si="5">AS2+1</f>
        <v>2024</v>
      </c>
      <c r="AU2" s="58">
        <f t="shared" si="5"/>
        <v>2025</v>
      </c>
      <c r="AV2" s="58">
        <f t="shared" si="5"/>
        <v>2026</v>
      </c>
      <c r="AW2" s="58">
        <f t="shared" si="5"/>
        <v>2027</v>
      </c>
      <c r="AX2" s="58">
        <f t="shared" si="5"/>
        <v>2028</v>
      </c>
      <c r="AY2" s="58">
        <f t="shared" si="5"/>
        <v>2029</v>
      </c>
      <c r="AZ2" s="58">
        <f t="shared" si="5"/>
        <v>2030</v>
      </c>
      <c r="BA2" s="58">
        <f t="shared" si="5"/>
        <v>2031</v>
      </c>
      <c r="BB2" s="58">
        <f t="shared" si="5"/>
        <v>2032</v>
      </c>
      <c r="BC2" s="58">
        <f t="shared" si="5"/>
        <v>2033</v>
      </c>
      <c r="BD2" s="58">
        <f t="shared" si="5"/>
        <v>2034</v>
      </c>
      <c r="BE2" s="58">
        <f t="shared" si="5"/>
        <v>2035</v>
      </c>
      <c r="BF2" s="58">
        <f t="shared" si="5"/>
        <v>2036</v>
      </c>
      <c r="BG2" s="58">
        <f t="shared" si="5"/>
        <v>2037</v>
      </c>
      <c r="BH2" s="58">
        <f t="shared" si="5"/>
        <v>2038</v>
      </c>
      <c r="BI2" s="58">
        <f t="shared" si="5"/>
        <v>2039</v>
      </c>
      <c r="BJ2" s="58">
        <f t="shared" si="5"/>
        <v>2040</v>
      </c>
    </row>
    <row r="3" spans="1:68" x14ac:dyDescent="0.3">
      <c r="A3" s="3" t="s">
        <v>237</v>
      </c>
      <c r="C3" s="1"/>
      <c r="D3" s="1"/>
      <c r="E3" s="1"/>
      <c r="F3" s="1"/>
      <c r="G3" s="1"/>
      <c r="H3" s="1"/>
      <c r="I3" s="1"/>
      <c r="J3" s="1"/>
      <c r="K3" s="1"/>
      <c r="L3" s="1"/>
      <c r="M3" s="1"/>
      <c r="N3" s="1"/>
      <c r="O3" s="1"/>
      <c r="P3" s="1"/>
      <c r="Q3" s="1"/>
      <c r="R3" s="1"/>
      <c r="S3" s="1"/>
      <c r="T3" s="1"/>
      <c r="U3" s="1"/>
      <c r="V3" s="1"/>
      <c r="W3" s="1"/>
      <c r="AP3" s="106" t="s">
        <v>0</v>
      </c>
      <c r="AQ3" s="106"/>
      <c r="AR3" s="106"/>
      <c r="AS3" s="106"/>
      <c r="AT3" s="106"/>
      <c r="AU3" s="106"/>
      <c r="AV3" s="106"/>
      <c r="AW3" s="106"/>
      <c r="AX3" s="106"/>
      <c r="AY3" s="106"/>
      <c r="AZ3" s="106"/>
      <c r="BA3" s="106"/>
      <c r="BB3" s="106"/>
      <c r="BC3" s="106"/>
      <c r="BD3" s="106"/>
      <c r="BE3" s="106"/>
      <c r="BF3" s="106"/>
      <c r="BG3" s="106"/>
      <c r="BH3" s="106"/>
      <c r="BI3" s="106"/>
      <c r="BJ3" s="106"/>
      <c r="BK3" s="1"/>
      <c r="BL3" s="1"/>
      <c r="BM3" s="1"/>
      <c r="BN3" s="1"/>
      <c r="BO3" s="1"/>
      <c r="BP3" s="1"/>
    </row>
    <row r="4" spans="1:68" x14ac:dyDescent="0.3">
      <c r="B4" t="s">
        <v>0</v>
      </c>
      <c r="C4" s="2">
        <f t="shared" ref="C4:AA4" si="6">($J$68*(1+$I$66))*12</f>
        <v>362.59439999999995</v>
      </c>
      <c r="D4" s="2">
        <f t="shared" si="6"/>
        <v>362.59439999999995</v>
      </c>
      <c r="E4" s="2">
        <f t="shared" si="6"/>
        <v>362.59439999999995</v>
      </c>
      <c r="F4" s="2">
        <f t="shared" si="6"/>
        <v>362.59439999999995</v>
      </c>
      <c r="G4" s="2">
        <f t="shared" si="6"/>
        <v>362.59439999999995</v>
      </c>
      <c r="H4" s="2">
        <f t="shared" si="6"/>
        <v>362.59439999999995</v>
      </c>
      <c r="I4" s="2">
        <f t="shared" si="6"/>
        <v>362.59439999999995</v>
      </c>
      <c r="J4" s="2">
        <f t="shared" si="6"/>
        <v>362.59439999999995</v>
      </c>
      <c r="K4" s="2">
        <f t="shared" si="6"/>
        <v>362.59439999999995</v>
      </c>
      <c r="L4" s="2">
        <f t="shared" si="6"/>
        <v>362.59439999999995</v>
      </c>
      <c r="M4" s="2">
        <f t="shared" si="6"/>
        <v>362.59439999999995</v>
      </c>
      <c r="N4" s="2">
        <f t="shared" si="6"/>
        <v>362.59439999999995</v>
      </c>
      <c r="O4" s="2">
        <f t="shared" si="6"/>
        <v>362.59439999999995</v>
      </c>
      <c r="P4" s="2">
        <f t="shared" si="6"/>
        <v>362.59439999999995</v>
      </c>
      <c r="Q4" s="2">
        <f t="shared" si="6"/>
        <v>362.59439999999995</v>
      </c>
      <c r="R4" s="2">
        <f t="shared" si="6"/>
        <v>362.59439999999995</v>
      </c>
      <c r="S4" s="2">
        <f t="shared" si="6"/>
        <v>362.59439999999995</v>
      </c>
      <c r="T4" s="2">
        <f t="shared" si="6"/>
        <v>362.59439999999995</v>
      </c>
      <c r="U4" s="2">
        <f t="shared" si="6"/>
        <v>362.59439999999995</v>
      </c>
      <c r="V4" s="2">
        <f t="shared" si="6"/>
        <v>362.59439999999995</v>
      </c>
      <c r="W4" s="2">
        <f t="shared" si="6"/>
        <v>362.59439999999995</v>
      </c>
      <c r="X4" s="2">
        <f t="shared" si="6"/>
        <v>362.59439999999995</v>
      </c>
      <c r="Y4" s="2">
        <f t="shared" si="6"/>
        <v>362.59439999999995</v>
      </c>
      <c r="Z4" s="2">
        <f t="shared" si="6"/>
        <v>362.59439999999995</v>
      </c>
      <c r="AA4" s="2">
        <f t="shared" si="6"/>
        <v>362.59439999999995</v>
      </c>
      <c r="AP4" s="104"/>
      <c r="AQ4" s="28" t="s">
        <v>140</v>
      </c>
      <c r="AR4" s="28"/>
      <c r="AS4" s="67">
        <f>C4</f>
        <v>362.59439999999995</v>
      </c>
      <c r="AT4" s="67">
        <f t="shared" ref="AT4:BJ4" si="7">D4</f>
        <v>362.59439999999995</v>
      </c>
      <c r="AU4" s="67">
        <f t="shared" si="7"/>
        <v>362.59439999999995</v>
      </c>
      <c r="AV4" s="67">
        <f t="shared" si="7"/>
        <v>362.59439999999995</v>
      </c>
      <c r="AW4" s="67">
        <f t="shared" si="7"/>
        <v>362.59439999999995</v>
      </c>
      <c r="AX4" s="67">
        <f t="shared" si="7"/>
        <v>362.59439999999995</v>
      </c>
      <c r="AY4" s="67">
        <f t="shared" si="7"/>
        <v>362.59439999999995</v>
      </c>
      <c r="AZ4" s="67">
        <f t="shared" si="7"/>
        <v>362.59439999999995</v>
      </c>
      <c r="BA4" s="67">
        <f t="shared" si="7"/>
        <v>362.59439999999995</v>
      </c>
      <c r="BB4" s="67">
        <f t="shared" si="7"/>
        <v>362.59439999999995</v>
      </c>
      <c r="BC4" s="67">
        <f t="shared" si="7"/>
        <v>362.59439999999995</v>
      </c>
      <c r="BD4" s="67">
        <f t="shared" si="7"/>
        <v>362.59439999999995</v>
      </c>
      <c r="BE4" s="67">
        <f t="shared" si="7"/>
        <v>362.59439999999995</v>
      </c>
      <c r="BF4" s="67">
        <f t="shared" si="7"/>
        <v>362.59439999999995</v>
      </c>
      <c r="BG4" s="67">
        <f t="shared" si="7"/>
        <v>362.59439999999995</v>
      </c>
      <c r="BH4" s="67">
        <f t="shared" si="7"/>
        <v>362.59439999999995</v>
      </c>
      <c r="BI4" s="67">
        <f t="shared" si="7"/>
        <v>362.59439999999995</v>
      </c>
      <c r="BJ4" s="67">
        <f t="shared" si="7"/>
        <v>362.59439999999995</v>
      </c>
    </row>
    <row r="5" spans="1:68" x14ac:dyDescent="0.3">
      <c r="C5" s="1"/>
      <c r="D5" s="1"/>
      <c r="E5" s="1"/>
      <c r="F5" s="1"/>
      <c r="G5" s="1"/>
      <c r="H5" s="1"/>
      <c r="I5" s="1"/>
      <c r="J5" s="1"/>
      <c r="K5" s="1"/>
      <c r="L5" s="1"/>
      <c r="M5" s="1"/>
      <c r="N5" s="1"/>
      <c r="O5" s="1"/>
      <c r="P5" s="1"/>
      <c r="Q5" s="1"/>
      <c r="R5" s="1"/>
      <c r="S5" s="1"/>
      <c r="T5" s="1"/>
      <c r="U5" s="1"/>
      <c r="V5" s="1"/>
      <c r="W5" s="1"/>
      <c r="X5" s="1"/>
      <c r="Y5" s="1"/>
      <c r="Z5" s="1"/>
      <c r="AA5" s="1"/>
      <c r="AP5" s="104"/>
      <c r="AQ5" s="98" t="s">
        <v>141</v>
      </c>
      <c r="AR5" s="105"/>
      <c r="AS5" s="105"/>
      <c r="AT5" s="105"/>
      <c r="AU5" s="105"/>
      <c r="AV5" s="105"/>
      <c r="AW5" s="105"/>
      <c r="AX5" s="105"/>
      <c r="AY5" s="105"/>
      <c r="AZ5" s="105"/>
      <c r="BA5" s="105"/>
      <c r="BB5" s="105"/>
      <c r="BC5" s="105"/>
      <c r="BD5" s="105"/>
      <c r="BE5" s="105"/>
      <c r="BF5" s="105"/>
      <c r="BG5" s="105"/>
      <c r="BH5" s="105"/>
      <c r="BI5" s="105"/>
      <c r="BJ5" s="99"/>
    </row>
    <row r="6" spans="1:68" x14ac:dyDescent="0.3">
      <c r="A6" s="3" t="s">
        <v>238</v>
      </c>
      <c r="C6" s="1"/>
      <c r="D6" s="1"/>
      <c r="E6" s="1"/>
      <c r="F6" s="1"/>
      <c r="G6" s="1"/>
      <c r="H6" s="1"/>
      <c r="I6" s="1"/>
      <c r="J6" s="1"/>
      <c r="K6" s="1"/>
      <c r="L6" s="1"/>
      <c r="M6" s="1"/>
      <c r="N6" s="1"/>
      <c r="O6" s="1"/>
      <c r="P6" s="1"/>
      <c r="Q6" s="1"/>
      <c r="R6" s="1"/>
      <c r="S6" s="1"/>
      <c r="T6" s="1"/>
      <c r="U6" s="1"/>
      <c r="V6" s="1"/>
      <c r="W6" s="1"/>
      <c r="X6" s="1"/>
      <c r="Y6" s="1"/>
      <c r="Z6" s="1"/>
      <c r="AA6" s="1"/>
      <c r="AP6" s="104"/>
      <c r="AQ6" s="104"/>
      <c r="AR6" s="28" t="s">
        <v>25</v>
      </c>
      <c r="AS6" s="68">
        <f>C7</f>
        <v>9.2200000000000004E-2</v>
      </c>
      <c r="AT6" s="68">
        <f t="shared" ref="AT6:BJ10" si="8">D7</f>
        <v>9.2200000000000004E-2</v>
      </c>
      <c r="AU6" s="68">
        <f t="shared" si="8"/>
        <v>9.2200000000000004E-2</v>
      </c>
      <c r="AV6" s="68">
        <f t="shared" si="8"/>
        <v>9.2200000000000004E-2</v>
      </c>
      <c r="AW6" s="68">
        <f t="shared" si="8"/>
        <v>9.2200000000000004E-2</v>
      </c>
      <c r="AX6" s="68">
        <f t="shared" si="8"/>
        <v>9.2200000000000004E-2</v>
      </c>
      <c r="AY6" s="68">
        <f t="shared" si="8"/>
        <v>9.2200000000000004E-2</v>
      </c>
      <c r="AZ6" s="68">
        <f t="shared" si="8"/>
        <v>9.2200000000000004E-2</v>
      </c>
      <c r="BA6" s="68">
        <f t="shared" si="8"/>
        <v>9.2200000000000004E-2</v>
      </c>
      <c r="BB6" s="68">
        <f t="shared" si="8"/>
        <v>9.2200000000000004E-2</v>
      </c>
      <c r="BC6" s="68">
        <f t="shared" si="8"/>
        <v>9.2200000000000004E-2</v>
      </c>
      <c r="BD6" s="68">
        <f t="shared" si="8"/>
        <v>9.2200000000000004E-2</v>
      </c>
      <c r="BE6" s="68">
        <f t="shared" si="8"/>
        <v>9.2200000000000004E-2</v>
      </c>
      <c r="BF6" s="68">
        <f t="shared" si="8"/>
        <v>9.2200000000000004E-2</v>
      </c>
      <c r="BG6" s="68">
        <f t="shared" si="8"/>
        <v>9.2200000000000004E-2</v>
      </c>
      <c r="BH6" s="68">
        <f t="shared" si="8"/>
        <v>9.2200000000000004E-2</v>
      </c>
      <c r="BI6" s="68">
        <f t="shared" si="8"/>
        <v>9.2200000000000004E-2</v>
      </c>
      <c r="BJ6" s="68">
        <f t="shared" si="8"/>
        <v>9.2200000000000004E-2</v>
      </c>
    </row>
    <row r="7" spans="1:68" x14ac:dyDescent="0.3">
      <c r="B7" t="s">
        <v>25</v>
      </c>
      <c r="C7" s="17">
        <f>I61</f>
        <v>9.2200000000000004E-2</v>
      </c>
      <c r="D7" s="17">
        <f>C7</f>
        <v>9.2200000000000004E-2</v>
      </c>
      <c r="E7" s="17">
        <f t="shared" ref="E7:AA7" si="9">D7</f>
        <v>9.2200000000000004E-2</v>
      </c>
      <c r="F7" s="17">
        <f t="shared" si="9"/>
        <v>9.2200000000000004E-2</v>
      </c>
      <c r="G7" s="17">
        <f t="shared" si="9"/>
        <v>9.2200000000000004E-2</v>
      </c>
      <c r="H7" s="17">
        <f t="shared" si="9"/>
        <v>9.2200000000000004E-2</v>
      </c>
      <c r="I7" s="17">
        <f t="shared" si="9"/>
        <v>9.2200000000000004E-2</v>
      </c>
      <c r="J7" s="17">
        <f t="shared" si="9"/>
        <v>9.2200000000000004E-2</v>
      </c>
      <c r="K7" s="17">
        <f t="shared" si="9"/>
        <v>9.2200000000000004E-2</v>
      </c>
      <c r="L7" s="17">
        <f t="shared" si="9"/>
        <v>9.2200000000000004E-2</v>
      </c>
      <c r="M7" s="17">
        <f t="shared" si="9"/>
        <v>9.2200000000000004E-2</v>
      </c>
      <c r="N7" s="17">
        <f t="shared" si="9"/>
        <v>9.2200000000000004E-2</v>
      </c>
      <c r="O7" s="17">
        <f t="shared" si="9"/>
        <v>9.2200000000000004E-2</v>
      </c>
      <c r="P7" s="17">
        <f t="shared" si="9"/>
        <v>9.2200000000000004E-2</v>
      </c>
      <c r="Q7" s="17">
        <f t="shared" si="9"/>
        <v>9.2200000000000004E-2</v>
      </c>
      <c r="R7" s="17">
        <f t="shared" si="9"/>
        <v>9.2200000000000004E-2</v>
      </c>
      <c r="S7" s="17">
        <f t="shared" si="9"/>
        <v>9.2200000000000004E-2</v>
      </c>
      <c r="T7" s="17">
        <f t="shared" si="9"/>
        <v>9.2200000000000004E-2</v>
      </c>
      <c r="U7" s="17">
        <f t="shared" si="9"/>
        <v>9.2200000000000004E-2</v>
      </c>
      <c r="V7" s="17">
        <f t="shared" si="9"/>
        <v>9.2200000000000004E-2</v>
      </c>
      <c r="W7" s="17">
        <f t="shared" si="9"/>
        <v>9.2200000000000004E-2</v>
      </c>
      <c r="X7" s="17">
        <f t="shared" si="9"/>
        <v>9.2200000000000004E-2</v>
      </c>
      <c r="Y7" s="17">
        <f t="shared" si="9"/>
        <v>9.2200000000000004E-2</v>
      </c>
      <c r="Z7" s="17">
        <f t="shared" si="9"/>
        <v>9.2200000000000004E-2</v>
      </c>
      <c r="AA7" s="17">
        <f t="shared" si="9"/>
        <v>9.2200000000000004E-2</v>
      </c>
      <c r="AP7" s="104"/>
      <c r="AQ7" s="104"/>
      <c r="AR7" s="28" t="s">
        <v>26</v>
      </c>
      <c r="AS7" s="68">
        <f t="shared" ref="AS7:AS10" si="10">C8</f>
        <v>5.7599999999999998E-2</v>
      </c>
      <c r="AT7" s="68">
        <f t="shared" si="8"/>
        <v>5.7599999999999998E-2</v>
      </c>
      <c r="AU7" s="68">
        <f t="shared" si="8"/>
        <v>5.7599999999999998E-2</v>
      </c>
      <c r="AV7" s="68">
        <f t="shared" si="8"/>
        <v>5.7599999999999998E-2</v>
      </c>
      <c r="AW7" s="68">
        <f t="shared" si="8"/>
        <v>5.7599999999999998E-2</v>
      </c>
      <c r="AX7" s="68">
        <f t="shared" si="8"/>
        <v>5.7599999999999998E-2</v>
      </c>
      <c r="AY7" s="68">
        <f t="shared" si="8"/>
        <v>5.7599999999999998E-2</v>
      </c>
      <c r="AZ7" s="68">
        <f t="shared" si="8"/>
        <v>5.7599999999999998E-2</v>
      </c>
      <c r="BA7" s="68">
        <f t="shared" si="8"/>
        <v>5.7599999999999998E-2</v>
      </c>
      <c r="BB7" s="68">
        <f t="shared" si="8"/>
        <v>5.7599999999999998E-2</v>
      </c>
      <c r="BC7" s="68">
        <f t="shared" si="8"/>
        <v>5.7599999999999998E-2</v>
      </c>
      <c r="BD7" s="68">
        <f t="shared" si="8"/>
        <v>5.7599999999999998E-2</v>
      </c>
      <c r="BE7" s="68">
        <f t="shared" si="8"/>
        <v>5.7599999999999998E-2</v>
      </c>
      <c r="BF7" s="68">
        <f t="shared" si="8"/>
        <v>5.7599999999999998E-2</v>
      </c>
      <c r="BG7" s="68">
        <f t="shared" si="8"/>
        <v>5.7599999999999998E-2</v>
      </c>
      <c r="BH7" s="68">
        <f t="shared" si="8"/>
        <v>5.7599999999999998E-2</v>
      </c>
      <c r="BI7" s="68">
        <f t="shared" si="8"/>
        <v>5.7599999999999998E-2</v>
      </c>
      <c r="BJ7" s="68">
        <f t="shared" si="8"/>
        <v>5.7599999999999998E-2</v>
      </c>
    </row>
    <row r="8" spans="1:68" x14ac:dyDescent="0.3">
      <c r="B8" t="s">
        <v>26</v>
      </c>
      <c r="C8" s="17">
        <f>I63</f>
        <v>5.7599999999999998E-2</v>
      </c>
      <c r="D8" s="17">
        <f>C8</f>
        <v>5.7599999999999998E-2</v>
      </c>
      <c r="E8" s="17">
        <f t="shared" ref="E8:AA8" si="11">D8</f>
        <v>5.7599999999999998E-2</v>
      </c>
      <c r="F8" s="17">
        <f t="shared" si="11"/>
        <v>5.7599999999999998E-2</v>
      </c>
      <c r="G8" s="17">
        <f t="shared" si="11"/>
        <v>5.7599999999999998E-2</v>
      </c>
      <c r="H8" s="17">
        <f t="shared" si="11"/>
        <v>5.7599999999999998E-2</v>
      </c>
      <c r="I8" s="17">
        <f t="shared" si="11"/>
        <v>5.7599999999999998E-2</v>
      </c>
      <c r="J8" s="17">
        <f t="shared" si="11"/>
        <v>5.7599999999999998E-2</v>
      </c>
      <c r="K8" s="17">
        <f t="shared" si="11"/>
        <v>5.7599999999999998E-2</v>
      </c>
      <c r="L8" s="17">
        <f t="shared" si="11"/>
        <v>5.7599999999999998E-2</v>
      </c>
      <c r="M8" s="17">
        <f t="shared" si="11"/>
        <v>5.7599999999999998E-2</v>
      </c>
      <c r="N8" s="17">
        <f t="shared" si="11"/>
        <v>5.7599999999999998E-2</v>
      </c>
      <c r="O8" s="17">
        <f t="shared" si="11"/>
        <v>5.7599999999999998E-2</v>
      </c>
      <c r="P8" s="17">
        <f t="shared" si="11"/>
        <v>5.7599999999999998E-2</v>
      </c>
      <c r="Q8" s="17">
        <f t="shared" si="11"/>
        <v>5.7599999999999998E-2</v>
      </c>
      <c r="R8" s="17">
        <f t="shared" si="11"/>
        <v>5.7599999999999998E-2</v>
      </c>
      <c r="S8" s="17">
        <f t="shared" si="11"/>
        <v>5.7599999999999998E-2</v>
      </c>
      <c r="T8" s="17">
        <f t="shared" si="11"/>
        <v>5.7599999999999998E-2</v>
      </c>
      <c r="U8" s="17">
        <f t="shared" si="11"/>
        <v>5.7599999999999998E-2</v>
      </c>
      <c r="V8" s="17">
        <f t="shared" si="11"/>
        <v>5.7599999999999998E-2</v>
      </c>
      <c r="W8" s="17">
        <f t="shared" si="11"/>
        <v>5.7599999999999998E-2</v>
      </c>
      <c r="X8" s="17">
        <f t="shared" si="11"/>
        <v>5.7599999999999998E-2</v>
      </c>
      <c r="Y8" s="17">
        <f t="shared" si="11"/>
        <v>5.7599999999999998E-2</v>
      </c>
      <c r="Z8" s="17">
        <f t="shared" si="11"/>
        <v>5.7599999999999998E-2</v>
      </c>
      <c r="AA8" s="17">
        <f t="shared" si="11"/>
        <v>5.7599999999999998E-2</v>
      </c>
      <c r="AP8" s="104"/>
      <c r="AQ8" s="104"/>
      <c r="AR8" s="28" t="s">
        <v>20</v>
      </c>
      <c r="AS8" s="68">
        <f t="shared" si="10"/>
        <v>0.124</v>
      </c>
      <c r="AT8" s="68">
        <f t="shared" si="8"/>
        <v>0.124</v>
      </c>
      <c r="AU8" s="68">
        <f t="shared" si="8"/>
        <v>0.124</v>
      </c>
      <c r="AV8" s="68">
        <f t="shared" si="8"/>
        <v>0.124</v>
      </c>
      <c r="AW8" s="68">
        <f t="shared" si="8"/>
        <v>0.124</v>
      </c>
      <c r="AX8" s="68">
        <f t="shared" si="8"/>
        <v>0.124</v>
      </c>
      <c r="AY8" s="68">
        <f t="shared" si="8"/>
        <v>0.124</v>
      </c>
      <c r="AZ8" s="68">
        <f t="shared" si="8"/>
        <v>0.124</v>
      </c>
      <c r="BA8" s="68">
        <f t="shared" si="8"/>
        <v>0.124</v>
      </c>
      <c r="BB8" s="68">
        <f t="shared" si="8"/>
        <v>0.124</v>
      </c>
      <c r="BC8" s="68">
        <f t="shared" si="8"/>
        <v>0.124</v>
      </c>
      <c r="BD8" s="68">
        <f t="shared" si="8"/>
        <v>0.124</v>
      </c>
      <c r="BE8" s="68">
        <f t="shared" si="8"/>
        <v>0.124</v>
      </c>
      <c r="BF8" s="68">
        <f t="shared" si="8"/>
        <v>0.124</v>
      </c>
      <c r="BG8" s="68">
        <f t="shared" si="8"/>
        <v>0.124</v>
      </c>
      <c r="BH8" s="68">
        <f t="shared" si="8"/>
        <v>0.124</v>
      </c>
      <c r="BI8" s="68">
        <f t="shared" si="8"/>
        <v>0.124</v>
      </c>
      <c r="BJ8" s="68">
        <f t="shared" si="8"/>
        <v>0.124</v>
      </c>
    </row>
    <row r="9" spans="1:68" x14ac:dyDescent="0.3">
      <c r="B9" t="s">
        <v>20</v>
      </c>
      <c r="C9" s="17">
        <f>I60</f>
        <v>0.124</v>
      </c>
      <c r="D9" s="17">
        <f>C9</f>
        <v>0.124</v>
      </c>
      <c r="E9" s="17">
        <f t="shared" ref="E9:AA9" si="12">D9</f>
        <v>0.124</v>
      </c>
      <c r="F9" s="17">
        <f t="shared" si="12"/>
        <v>0.124</v>
      </c>
      <c r="G9" s="17">
        <f t="shared" si="12"/>
        <v>0.124</v>
      </c>
      <c r="H9" s="17">
        <f t="shared" si="12"/>
        <v>0.124</v>
      </c>
      <c r="I9" s="17">
        <f t="shared" si="12"/>
        <v>0.124</v>
      </c>
      <c r="J9" s="17">
        <f t="shared" si="12"/>
        <v>0.124</v>
      </c>
      <c r="K9" s="17">
        <f t="shared" si="12"/>
        <v>0.124</v>
      </c>
      <c r="L9" s="17">
        <f t="shared" si="12"/>
        <v>0.124</v>
      </c>
      <c r="M9" s="17">
        <f t="shared" si="12"/>
        <v>0.124</v>
      </c>
      <c r="N9" s="17">
        <f t="shared" si="12"/>
        <v>0.124</v>
      </c>
      <c r="O9" s="17">
        <f t="shared" si="12"/>
        <v>0.124</v>
      </c>
      <c r="P9" s="17">
        <f t="shared" si="12"/>
        <v>0.124</v>
      </c>
      <c r="Q9" s="17">
        <f t="shared" si="12"/>
        <v>0.124</v>
      </c>
      <c r="R9" s="17">
        <f t="shared" si="12"/>
        <v>0.124</v>
      </c>
      <c r="S9" s="17">
        <f t="shared" si="12"/>
        <v>0.124</v>
      </c>
      <c r="T9" s="17">
        <f t="shared" si="12"/>
        <v>0.124</v>
      </c>
      <c r="U9" s="17">
        <f t="shared" si="12"/>
        <v>0.124</v>
      </c>
      <c r="V9" s="17">
        <f t="shared" si="12"/>
        <v>0.124</v>
      </c>
      <c r="W9" s="17">
        <f t="shared" si="12"/>
        <v>0.124</v>
      </c>
      <c r="X9" s="17">
        <f t="shared" si="12"/>
        <v>0.124</v>
      </c>
      <c r="Y9" s="17">
        <f t="shared" si="12"/>
        <v>0.124</v>
      </c>
      <c r="Z9" s="17">
        <f t="shared" si="12"/>
        <v>0.124</v>
      </c>
      <c r="AA9" s="17">
        <f t="shared" si="12"/>
        <v>0.124</v>
      </c>
      <c r="AP9" s="104"/>
      <c r="AQ9" s="104"/>
      <c r="AR9" s="28" t="s">
        <v>21</v>
      </c>
      <c r="AS9" s="68">
        <f t="shared" si="10"/>
        <v>0.17629499999999998</v>
      </c>
      <c r="AT9" s="68">
        <f t="shared" si="8"/>
        <v>0.20125000000000001</v>
      </c>
      <c r="AU9" s="68">
        <f t="shared" si="8"/>
        <v>0.22515859284890427</v>
      </c>
      <c r="AV9" s="68">
        <f t="shared" si="8"/>
        <v>0.24805221973449126</v>
      </c>
      <c r="AW9" s="68">
        <f t="shared" si="8"/>
        <v>0.26996149116633783</v>
      </c>
      <c r="AX9" s="68">
        <f t="shared" si="8"/>
        <v>0.29091620746331986</v>
      </c>
      <c r="AY9" s="68">
        <f t="shared" si="8"/>
        <v>0.29164532076523292</v>
      </c>
      <c r="AZ9" s="68">
        <f t="shared" si="8"/>
        <v>0.2859267850639538</v>
      </c>
      <c r="BA9" s="68">
        <f t="shared" si="8"/>
        <v>0.28032037751368016</v>
      </c>
      <c r="BB9" s="68">
        <f t="shared" si="8"/>
        <v>0.2748238995232159</v>
      </c>
      <c r="BC9" s="68">
        <f t="shared" si="8"/>
        <v>0.26943519561099594</v>
      </c>
      <c r="BD9" s="68">
        <f t="shared" si="8"/>
        <v>0.26415215255979996</v>
      </c>
      <c r="BE9" s="68">
        <f t="shared" si="8"/>
        <v>0.25897269858803917</v>
      </c>
      <c r="BF9" s="68">
        <f t="shared" si="8"/>
        <v>0.2538948025372933</v>
      </c>
      <c r="BG9" s="68">
        <f t="shared" si="8"/>
        <v>0.24891647307577772</v>
      </c>
      <c r="BH9" s="68">
        <f t="shared" si="8"/>
        <v>0.24403575791742915</v>
      </c>
      <c r="BI9" s="68">
        <f t="shared" si="8"/>
        <v>0.23925074305630309</v>
      </c>
      <c r="BJ9" s="68">
        <f t="shared" si="8"/>
        <v>0.23455955201598339</v>
      </c>
    </row>
    <row r="10" spans="1:68" x14ac:dyDescent="0.3">
      <c r="B10" t="s">
        <v>21</v>
      </c>
      <c r="C10" s="17">
        <f>C16</f>
        <v>0.17629499999999998</v>
      </c>
      <c r="D10" s="17">
        <f>D16</f>
        <v>0.20125000000000001</v>
      </c>
      <c r="E10" s="17">
        <f t="shared" ref="E10:W10" si="13">E16</f>
        <v>0.22515859284890427</v>
      </c>
      <c r="F10" s="17">
        <f t="shared" si="13"/>
        <v>0.24805221973449126</v>
      </c>
      <c r="G10" s="17">
        <f t="shared" si="13"/>
        <v>0.26996149116633783</v>
      </c>
      <c r="H10" s="17">
        <f t="shared" si="13"/>
        <v>0.29091620746331986</v>
      </c>
      <c r="I10" s="17">
        <f t="shared" si="13"/>
        <v>0.29164532076523292</v>
      </c>
      <c r="J10" s="17">
        <f t="shared" si="13"/>
        <v>0.2859267850639538</v>
      </c>
      <c r="K10" s="17">
        <f t="shared" si="13"/>
        <v>0.28032037751368016</v>
      </c>
      <c r="L10" s="17">
        <f t="shared" si="13"/>
        <v>0.2748238995232159</v>
      </c>
      <c r="M10" s="17">
        <f t="shared" si="13"/>
        <v>0.26943519561099594</v>
      </c>
      <c r="N10" s="17">
        <f t="shared" si="13"/>
        <v>0.26415215255979996</v>
      </c>
      <c r="O10" s="17">
        <f t="shared" si="13"/>
        <v>0.25897269858803917</v>
      </c>
      <c r="P10" s="17">
        <f t="shared" si="13"/>
        <v>0.2538948025372933</v>
      </c>
      <c r="Q10" s="17">
        <f t="shared" si="13"/>
        <v>0.24891647307577772</v>
      </c>
      <c r="R10" s="17">
        <f t="shared" si="13"/>
        <v>0.24403575791742915</v>
      </c>
      <c r="S10" s="17">
        <f t="shared" si="13"/>
        <v>0.23925074305630309</v>
      </c>
      <c r="T10" s="17">
        <f t="shared" si="13"/>
        <v>0.23455955201598339</v>
      </c>
      <c r="U10" s="17">
        <f t="shared" si="13"/>
        <v>0.22996034511370919</v>
      </c>
      <c r="V10" s="17">
        <f t="shared" si="13"/>
        <v>0.2254513187389306</v>
      </c>
      <c r="W10" s="17">
        <f t="shared" si="13"/>
        <v>0.22103070464601035</v>
      </c>
      <c r="X10" s="17">
        <f t="shared" ref="X10:AA10" si="14">X16</f>
        <v>0.21669676926079445</v>
      </c>
      <c r="Y10" s="17">
        <f t="shared" si="14"/>
        <v>0.21244781300077889</v>
      </c>
      <c r="Z10" s="17">
        <f t="shared" si="14"/>
        <v>0.20828216960860677</v>
      </c>
      <c r="AA10" s="17">
        <f t="shared" si="14"/>
        <v>0.20419820549863407</v>
      </c>
      <c r="AP10" s="104"/>
      <c r="AQ10" s="104"/>
      <c r="AR10" s="28" t="s">
        <v>12</v>
      </c>
      <c r="AS10" s="68">
        <f t="shared" si="10"/>
        <v>5.8512349999999998E-2</v>
      </c>
      <c r="AT10" s="68">
        <f t="shared" si="8"/>
        <v>6.1756499999999999E-2</v>
      </c>
      <c r="AU10" s="68">
        <f t="shared" si="8"/>
        <v>6.4864617070357553E-2</v>
      </c>
      <c r="AV10" s="68">
        <f t="shared" si="8"/>
        <v>6.7840788565483867E-2</v>
      </c>
      <c r="AW10" s="68">
        <f t="shared" si="8"/>
        <v>7.0688993851623916E-2</v>
      </c>
      <c r="AX10" s="68">
        <f t="shared" si="8"/>
        <v>7.3413106970231581E-2</v>
      </c>
      <c r="AY10" s="68">
        <f t="shared" si="8"/>
        <v>7.3507891699480285E-2</v>
      </c>
      <c r="AZ10" s="68">
        <f t="shared" si="8"/>
        <v>7.2764482058313998E-2</v>
      </c>
      <c r="BA10" s="68">
        <f t="shared" si="8"/>
        <v>7.2035649076778424E-2</v>
      </c>
      <c r="BB10" s="68">
        <f t="shared" si="8"/>
        <v>7.1321106938018061E-2</v>
      </c>
      <c r="BC10" s="68">
        <f t="shared" si="8"/>
        <v>7.0620575429429483E-2</v>
      </c>
      <c r="BD10" s="68">
        <f t="shared" si="8"/>
        <v>6.993377983277399E-2</v>
      </c>
      <c r="BE10" s="68">
        <f t="shared" si="8"/>
        <v>6.9260450816445107E-2</v>
      </c>
      <c r="BF10" s="68">
        <f t="shared" si="8"/>
        <v>6.8600324329848125E-2</v>
      </c>
      <c r="BG10" s="68">
        <f t="shared" si="8"/>
        <v>6.7953141499851114E-2</v>
      </c>
      <c r="BH10" s="68">
        <f t="shared" si="8"/>
        <v>6.7318648529265779E-2</v>
      </c>
      <c r="BI10" s="68">
        <f t="shared" si="8"/>
        <v>6.6696596597319399E-2</v>
      </c>
      <c r="BJ10" s="68">
        <f t="shared" si="8"/>
        <v>6.6086741762077836E-2</v>
      </c>
    </row>
    <row r="11" spans="1:68" x14ac:dyDescent="0.3">
      <c r="B11" t="s">
        <v>12</v>
      </c>
      <c r="C11" s="17">
        <f>0.13*SUM(C7:C10)</f>
        <v>5.8512349999999998E-2</v>
      </c>
      <c r="D11" s="17">
        <f>0.13*SUM(D7:D10)</f>
        <v>6.1756499999999999E-2</v>
      </c>
      <c r="E11" s="17">
        <f t="shared" ref="E11:W11" si="15">0.13*SUM(E7:E10)</f>
        <v>6.4864617070357553E-2</v>
      </c>
      <c r="F11" s="17">
        <f t="shared" si="15"/>
        <v>6.7840788565483867E-2</v>
      </c>
      <c r="G11" s="17">
        <f t="shared" si="15"/>
        <v>7.0688993851623916E-2</v>
      </c>
      <c r="H11" s="17">
        <f t="shared" si="15"/>
        <v>7.3413106970231581E-2</v>
      </c>
      <c r="I11" s="17">
        <f t="shared" si="15"/>
        <v>7.3507891699480285E-2</v>
      </c>
      <c r="J11" s="17">
        <f t="shared" si="15"/>
        <v>7.2764482058313998E-2</v>
      </c>
      <c r="K11" s="17">
        <f t="shared" si="15"/>
        <v>7.2035649076778424E-2</v>
      </c>
      <c r="L11" s="17">
        <f t="shared" si="15"/>
        <v>7.1321106938018061E-2</v>
      </c>
      <c r="M11" s="17">
        <f t="shared" si="15"/>
        <v>7.0620575429429483E-2</v>
      </c>
      <c r="N11" s="17">
        <f t="shared" si="15"/>
        <v>6.993377983277399E-2</v>
      </c>
      <c r="O11" s="17">
        <f t="shared" si="15"/>
        <v>6.9260450816445107E-2</v>
      </c>
      <c r="P11" s="17">
        <f t="shared" si="15"/>
        <v>6.8600324329848125E-2</v>
      </c>
      <c r="Q11" s="17">
        <f t="shared" si="15"/>
        <v>6.7953141499851114E-2</v>
      </c>
      <c r="R11" s="17">
        <f t="shared" si="15"/>
        <v>6.7318648529265779E-2</v>
      </c>
      <c r="S11" s="17">
        <f t="shared" si="15"/>
        <v>6.6696596597319399E-2</v>
      </c>
      <c r="T11" s="17">
        <f t="shared" si="15"/>
        <v>6.6086741762077836E-2</v>
      </c>
      <c r="U11" s="17">
        <f t="shared" si="15"/>
        <v>6.5488844864782195E-2</v>
      </c>
      <c r="V11" s="17">
        <f t="shared" si="15"/>
        <v>6.4902671436060974E-2</v>
      </c>
      <c r="W11" s="17">
        <f t="shared" si="15"/>
        <v>6.4327991603981338E-2</v>
      </c>
      <c r="X11" s="17">
        <f t="shared" ref="X11:AA11" si="16">0.13*SUM(X7:X10)</f>
        <v>6.3764580003903282E-2</v>
      </c>
      <c r="Y11" s="17">
        <f t="shared" si="16"/>
        <v>6.3212215690101256E-2</v>
      </c>
      <c r="Z11" s="17">
        <f t="shared" si="16"/>
        <v>6.2670682049118881E-2</v>
      </c>
      <c r="AA11" s="17">
        <f t="shared" si="16"/>
        <v>6.2139766714822429E-2</v>
      </c>
      <c r="AP11" s="104"/>
      <c r="AQ11" s="104"/>
      <c r="AR11" s="28" t="s">
        <v>22</v>
      </c>
      <c r="AS11" s="68">
        <f>SUM(AS6:AS10)</f>
        <v>0.50860735000000001</v>
      </c>
      <c r="AT11" s="68">
        <f t="shared" ref="AT11:BJ11" si="17">SUM(AT6:AT10)</f>
        <v>0.53680649999999996</v>
      </c>
      <c r="AU11" s="68">
        <f t="shared" si="17"/>
        <v>0.56382320991926183</v>
      </c>
      <c r="AV11" s="68">
        <f t="shared" si="17"/>
        <v>0.58969300829997517</v>
      </c>
      <c r="AW11" s="68">
        <f t="shared" si="17"/>
        <v>0.61445048501796173</v>
      </c>
      <c r="AX11" s="68">
        <f t="shared" si="17"/>
        <v>0.63812931443355148</v>
      </c>
      <c r="AY11" s="68">
        <f t="shared" si="17"/>
        <v>0.63895321246471315</v>
      </c>
      <c r="AZ11" s="68">
        <f t="shared" si="17"/>
        <v>0.63249126712226778</v>
      </c>
      <c r="BA11" s="68">
        <f t="shared" si="17"/>
        <v>0.62615602659045855</v>
      </c>
      <c r="BB11" s="68">
        <f t="shared" si="17"/>
        <v>0.61994500646123396</v>
      </c>
      <c r="BC11" s="68">
        <f t="shared" si="17"/>
        <v>0.61385577104042544</v>
      </c>
      <c r="BD11" s="68">
        <f t="shared" si="17"/>
        <v>0.60788593239257382</v>
      </c>
      <c r="BE11" s="68">
        <f t="shared" si="17"/>
        <v>0.60203314940448438</v>
      </c>
      <c r="BF11" s="68">
        <f t="shared" si="17"/>
        <v>0.59629512686714137</v>
      </c>
      <c r="BG11" s="68">
        <f t="shared" si="17"/>
        <v>0.59066961457562883</v>
      </c>
      <c r="BH11" s="68">
        <f t="shared" si="17"/>
        <v>0.58515440644669492</v>
      </c>
      <c r="BI11" s="68">
        <f t="shared" si="17"/>
        <v>0.57974733965362246</v>
      </c>
      <c r="BJ11" s="68">
        <f t="shared" si="17"/>
        <v>0.57444629377806122</v>
      </c>
    </row>
    <row r="12" spans="1:68" x14ac:dyDescent="0.3">
      <c r="B12" t="s">
        <v>22</v>
      </c>
      <c r="C12" s="17">
        <f>SUM(C7:C11)</f>
        <v>0.50860735000000001</v>
      </c>
      <c r="D12" s="17">
        <f>SUM(D7:D11)</f>
        <v>0.53680649999999996</v>
      </c>
      <c r="E12" s="17">
        <f t="shared" ref="E12:W12" si="18">SUM(E7:E11)</f>
        <v>0.56382320991926183</v>
      </c>
      <c r="F12" s="17">
        <f t="shared" si="18"/>
        <v>0.58969300829997517</v>
      </c>
      <c r="G12" s="17">
        <f t="shared" si="18"/>
        <v>0.61445048501796173</v>
      </c>
      <c r="H12" s="17">
        <f t="shared" si="18"/>
        <v>0.63812931443355148</v>
      </c>
      <c r="I12" s="17">
        <f t="shared" si="18"/>
        <v>0.63895321246471315</v>
      </c>
      <c r="J12" s="17">
        <f t="shared" si="18"/>
        <v>0.63249126712226778</v>
      </c>
      <c r="K12" s="17">
        <f t="shared" si="18"/>
        <v>0.62615602659045855</v>
      </c>
      <c r="L12" s="17">
        <f t="shared" si="18"/>
        <v>0.61994500646123396</v>
      </c>
      <c r="M12" s="17">
        <f t="shared" si="18"/>
        <v>0.61385577104042544</v>
      </c>
      <c r="N12" s="17">
        <f t="shared" si="18"/>
        <v>0.60788593239257382</v>
      </c>
      <c r="O12" s="17">
        <f t="shared" si="18"/>
        <v>0.60203314940448438</v>
      </c>
      <c r="P12" s="17">
        <f t="shared" si="18"/>
        <v>0.59629512686714137</v>
      </c>
      <c r="Q12" s="17">
        <f t="shared" si="18"/>
        <v>0.59066961457562883</v>
      </c>
      <c r="R12" s="17">
        <f t="shared" si="18"/>
        <v>0.58515440644669492</v>
      </c>
      <c r="S12" s="17">
        <f t="shared" si="18"/>
        <v>0.57974733965362246</v>
      </c>
      <c r="T12" s="17">
        <f t="shared" si="18"/>
        <v>0.57444629377806122</v>
      </c>
      <c r="U12" s="17">
        <f t="shared" si="18"/>
        <v>0.56924918997849139</v>
      </c>
      <c r="V12" s="17">
        <f t="shared" si="18"/>
        <v>0.56415399017499157</v>
      </c>
      <c r="W12" s="17">
        <f t="shared" si="18"/>
        <v>0.5591586962499917</v>
      </c>
      <c r="X12" s="17">
        <f t="shared" ref="X12:AA12" si="19">SUM(X7:X11)</f>
        <v>0.55426134926469772</v>
      </c>
      <c r="Y12" s="17">
        <f t="shared" si="19"/>
        <v>0.54946002869088018</v>
      </c>
      <c r="Z12" s="17">
        <f t="shared" si="19"/>
        <v>0.54475285165772558</v>
      </c>
      <c r="AA12" s="17">
        <f t="shared" si="19"/>
        <v>0.5401379722134565</v>
      </c>
      <c r="AP12" s="106" t="s">
        <v>1</v>
      </c>
      <c r="AQ12" s="106"/>
      <c r="AR12" s="106"/>
      <c r="AS12" s="106"/>
      <c r="AT12" s="106"/>
      <c r="AU12" s="106"/>
      <c r="AV12" s="106"/>
      <c r="AW12" s="106"/>
      <c r="AX12" s="106"/>
      <c r="AY12" s="106"/>
      <c r="AZ12" s="106"/>
      <c r="BA12" s="106"/>
      <c r="BB12" s="106"/>
      <c r="BC12" s="106"/>
      <c r="BD12" s="106"/>
      <c r="BE12" s="106"/>
      <c r="BF12" s="106"/>
      <c r="BG12" s="106"/>
      <c r="BH12" s="106"/>
      <c r="BI12" s="106"/>
      <c r="BJ12" s="106"/>
    </row>
    <row r="13" spans="1:68" x14ac:dyDescent="0.3">
      <c r="E13" s="17"/>
      <c r="F13" s="17"/>
      <c r="G13" s="17"/>
      <c r="H13" s="17"/>
      <c r="I13" s="17"/>
      <c r="J13" s="17"/>
      <c r="K13" s="17"/>
      <c r="L13" s="17"/>
      <c r="M13" s="17"/>
      <c r="N13" s="17"/>
      <c r="O13" s="17"/>
      <c r="P13" s="17"/>
      <c r="Q13" s="17"/>
      <c r="R13" s="17"/>
      <c r="S13" s="17"/>
      <c r="T13" s="17"/>
      <c r="U13" s="17"/>
      <c r="V13" s="17"/>
      <c r="W13" s="17"/>
      <c r="X13" s="17"/>
      <c r="Y13" s="17"/>
      <c r="Z13" s="17"/>
      <c r="AA13" s="17"/>
      <c r="AP13" s="104"/>
      <c r="AQ13" s="28" t="s">
        <v>140</v>
      </c>
      <c r="AR13" s="28"/>
      <c r="AS13" s="67">
        <f>C30</f>
        <v>557.42226975000005</v>
      </c>
      <c r="AT13" s="67">
        <f>AS13</f>
        <v>557.42226975000005</v>
      </c>
      <c r="AU13" s="67">
        <f t="shared" ref="AU13:BJ13" si="20">AT13</f>
        <v>557.42226975000005</v>
      </c>
      <c r="AV13" s="67">
        <f t="shared" si="20"/>
        <v>557.42226975000005</v>
      </c>
      <c r="AW13" s="67">
        <f t="shared" si="20"/>
        <v>557.42226975000005</v>
      </c>
      <c r="AX13" s="67">
        <f t="shared" si="20"/>
        <v>557.42226975000005</v>
      </c>
      <c r="AY13" s="67">
        <f t="shared" si="20"/>
        <v>557.42226975000005</v>
      </c>
      <c r="AZ13" s="67">
        <f t="shared" si="20"/>
        <v>557.42226975000005</v>
      </c>
      <c r="BA13" s="67">
        <f t="shared" si="20"/>
        <v>557.42226975000005</v>
      </c>
      <c r="BB13" s="67">
        <f t="shared" si="20"/>
        <v>557.42226975000005</v>
      </c>
      <c r="BC13" s="67">
        <f t="shared" si="20"/>
        <v>557.42226975000005</v>
      </c>
      <c r="BD13" s="67">
        <f t="shared" si="20"/>
        <v>557.42226975000005</v>
      </c>
      <c r="BE13" s="67">
        <f t="shared" si="20"/>
        <v>557.42226975000005</v>
      </c>
      <c r="BF13" s="67">
        <f t="shared" si="20"/>
        <v>557.42226975000005</v>
      </c>
      <c r="BG13" s="67">
        <f t="shared" si="20"/>
        <v>557.42226975000005</v>
      </c>
      <c r="BH13" s="67">
        <f t="shared" si="20"/>
        <v>557.42226975000005</v>
      </c>
      <c r="BI13" s="67">
        <f t="shared" si="20"/>
        <v>557.42226975000005</v>
      </c>
      <c r="BJ13" s="67">
        <f t="shared" si="20"/>
        <v>557.42226975000005</v>
      </c>
    </row>
    <row r="14" spans="1:68" x14ac:dyDescent="0.3">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P14" s="104"/>
      <c r="AQ14" s="98" t="s">
        <v>141</v>
      </c>
      <c r="AR14" s="105"/>
      <c r="AS14" s="105"/>
      <c r="AT14" s="105"/>
      <c r="AU14" s="105"/>
      <c r="AV14" s="105"/>
      <c r="AW14" s="105"/>
      <c r="AX14" s="105"/>
      <c r="AY14" s="105"/>
      <c r="AZ14" s="105"/>
      <c r="BA14" s="105"/>
      <c r="BB14" s="105"/>
      <c r="BC14" s="105"/>
      <c r="BD14" s="105"/>
      <c r="BE14" s="105"/>
      <c r="BF14" s="105"/>
      <c r="BG14" s="105"/>
      <c r="BH14" s="105"/>
      <c r="BI14" s="105"/>
      <c r="BJ14" s="99"/>
    </row>
    <row r="15" spans="1:68" x14ac:dyDescent="0.3">
      <c r="A15" s="3" t="s">
        <v>239</v>
      </c>
      <c r="AP15" s="104"/>
      <c r="AQ15" s="104"/>
      <c r="AR15" s="28" t="s">
        <v>25</v>
      </c>
      <c r="AS15" s="68">
        <f>F93</f>
        <v>9.9860000000000004E-2</v>
      </c>
      <c r="AT15" s="69"/>
      <c r="AU15" s="69"/>
      <c r="AV15" s="69"/>
      <c r="AW15" s="69"/>
      <c r="AX15" s="69"/>
      <c r="AY15" s="69"/>
      <c r="AZ15" s="69"/>
      <c r="BA15" s="69"/>
      <c r="BB15" s="69"/>
      <c r="BC15" s="69"/>
      <c r="BD15" s="69"/>
      <c r="BE15" s="69"/>
      <c r="BF15" s="69"/>
      <c r="BG15" s="69"/>
      <c r="BH15" s="69"/>
      <c r="BI15" s="69"/>
      <c r="BJ15" s="69"/>
    </row>
    <row r="16" spans="1:68" x14ac:dyDescent="0.3">
      <c r="B16" t="s">
        <v>0</v>
      </c>
      <c r="C16" s="6">
        <f t="shared" ref="C16:U16" si="21">C19*$C$20</f>
        <v>0.17629499999999998</v>
      </c>
      <c r="D16" s="6">
        <f t="shared" si="21"/>
        <v>0.20125000000000001</v>
      </c>
      <c r="E16" s="6">
        <f t="shared" si="21"/>
        <v>0.22515859284890427</v>
      </c>
      <c r="F16" s="6">
        <f t="shared" si="21"/>
        <v>0.24805221973449126</v>
      </c>
      <c r="G16" s="6">
        <f t="shared" si="21"/>
        <v>0.26996149116633783</v>
      </c>
      <c r="H16" s="6">
        <f t="shared" si="21"/>
        <v>0.29091620746331986</v>
      </c>
      <c r="I16" s="6">
        <f t="shared" si="21"/>
        <v>0.29164532076523292</v>
      </c>
      <c r="J16" s="6">
        <f t="shared" si="21"/>
        <v>0.2859267850639538</v>
      </c>
      <c r="K16" s="6">
        <f t="shared" si="21"/>
        <v>0.28032037751368016</v>
      </c>
      <c r="L16" s="6">
        <f t="shared" si="21"/>
        <v>0.2748238995232159</v>
      </c>
      <c r="M16" s="6">
        <f t="shared" si="21"/>
        <v>0.26943519561099594</v>
      </c>
      <c r="N16" s="6">
        <f t="shared" si="21"/>
        <v>0.26415215255979996</v>
      </c>
      <c r="O16" s="6">
        <f t="shared" si="21"/>
        <v>0.25897269858803917</v>
      </c>
      <c r="P16" s="6">
        <f t="shared" si="21"/>
        <v>0.2538948025372933</v>
      </c>
      <c r="Q16" s="6">
        <f t="shared" si="21"/>
        <v>0.24891647307577772</v>
      </c>
      <c r="R16" s="6">
        <f t="shared" si="21"/>
        <v>0.24403575791742915</v>
      </c>
      <c r="S16" s="6">
        <f t="shared" si="21"/>
        <v>0.23925074305630309</v>
      </c>
      <c r="T16" s="6">
        <f t="shared" si="21"/>
        <v>0.23455955201598339</v>
      </c>
      <c r="U16" s="6">
        <f t="shared" si="21"/>
        <v>0.22996034511370919</v>
      </c>
      <c r="V16" s="6">
        <f t="shared" ref="V16:AA16" si="22">V19*$C$20</f>
        <v>0.2254513187389306</v>
      </c>
      <c r="W16" s="6">
        <f t="shared" si="22"/>
        <v>0.22103070464601035</v>
      </c>
      <c r="X16" s="6">
        <f t="shared" si="22"/>
        <v>0.21669676926079445</v>
      </c>
      <c r="Y16" s="6">
        <f t="shared" si="22"/>
        <v>0.21244781300077889</v>
      </c>
      <c r="Z16" s="6">
        <f t="shared" si="22"/>
        <v>0.20828216960860677</v>
      </c>
      <c r="AA16" s="6">
        <f t="shared" si="22"/>
        <v>0.20419820549863407</v>
      </c>
      <c r="AB16" s="11"/>
      <c r="AP16" s="104"/>
      <c r="AQ16" s="104"/>
      <c r="AR16" s="28" t="s">
        <v>142</v>
      </c>
      <c r="AS16" s="68">
        <f>F97</f>
        <v>2.359E-2</v>
      </c>
      <c r="AT16" s="69"/>
      <c r="AU16" s="69"/>
      <c r="AV16" s="69"/>
      <c r="AW16" s="69"/>
      <c r="AX16" s="69"/>
      <c r="AY16" s="69"/>
      <c r="AZ16" s="69"/>
      <c r="BA16" s="69"/>
      <c r="BB16" s="69"/>
      <c r="BC16" s="69"/>
      <c r="BD16" s="69"/>
      <c r="BE16" s="69"/>
      <c r="BF16" s="69"/>
      <c r="BG16" s="69"/>
      <c r="BH16" s="69"/>
      <c r="BI16" s="69"/>
      <c r="BJ16" s="69"/>
    </row>
    <row r="17" spans="1:62" x14ac:dyDescent="0.3">
      <c r="B17" t="s">
        <v>284</v>
      </c>
      <c r="C17" s="5">
        <v>95</v>
      </c>
      <c r="D17" s="5">
        <f>C17+15</f>
        <v>110</v>
      </c>
      <c r="E17" s="5">
        <f t="shared" ref="E17" si="23">D17+15</f>
        <v>125</v>
      </c>
      <c r="F17" s="5">
        <f t="shared" ref="F17" si="24">E17+15</f>
        <v>140</v>
      </c>
      <c r="G17" s="5">
        <f t="shared" ref="G17" si="25">F17+15</f>
        <v>155</v>
      </c>
      <c r="H17" s="5">
        <f t="shared" ref="H17" si="26">G17+15</f>
        <v>170</v>
      </c>
      <c r="I17" s="5">
        <f>H17</f>
        <v>170</v>
      </c>
      <c r="J17" s="5">
        <f t="shared" ref="J17" si="27">I17</f>
        <v>170</v>
      </c>
      <c r="K17" s="5">
        <f t="shared" ref="K17" si="28">J17</f>
        <v>170</v>
      </c>
      <c r="L17" s="5">
        <f t="shared" ref="L17" si="29">K17</f>
        <v>170</v>
      </c>
      <c r="M17" s="5">
        <f t="shared" ref="M17" si="30">L17</f>
        <v>170</v>
      </c>
      <c r="N17" s="5">
        <f t="shared" ref="N17" si="31">M17</f>
        <v>170</v>
      </c>
      <c r="O17" s="5">
        <f t="shared" ref="O17" si="32">N17</f>
        <v>170</v>
      </c>
      <c r="P17" s="5">
        <f t="shared" ref="P17" si="33">O17</f>
        <v>170</v>
      </c>
      <c r="Q17" s="5">
        <f t="shared" ref="Q17" si="34">P17</f>
        <v>170</v>
      </c>
      <c r="R17" s="5">
        <f t="shared" ref="R17" si="35">Q17</f>
        <v>170</v>
      </c>
      <c r="S17" s="5">
        <f t="shared" ref="S17" si="36">R17</f>
        <v>170</v>
      </c>
      <c r="T17" s="5">
        <f t="shared" ref="T17" si="37">S17</f>
        <v>170</v>
      </c>
      <c r="U17" s="5">
        <f t="shared" ref="U17" si="38">T17</f>
        <v>170</v>
      </c>
      <c r="V17" s="5">
        <f t="shared" ref="V17" si="39">U17</f>
        <v>170</v>
      </c>
      <c r="W17" s="5">
        <f t="shared" ref="W17" si="40">V17</f>
        <v>170</v>
      </c>
      <c r="X17" s="5">
        <f t="shared" ref="X17" si="41">W17</f>
        <v>170</v>
      </c>
      <c r="Y17" s="5">
        <f t="shared" ref="Y17" si="42">X17</f>
        <v>170</v>
      </c>
      <c r="Z17" s="5">
        <f t="shared" ref="Z17" si="43">Y17</f>
        <v>170</v>
      </c>
      <c r="AA17" s="5">
        <f t="shared" ref="AA17" si="44">Z17</f>
        <v>170</v>
      </c>
      <c r="AB17" s="11"/>
      <c r="AP17" s="104"/>
      <c r="AQ17" s="104"/>
      <c r="AR17" s="28"/>
      <c r="AS17" s="68"/>
      <c r="AT17" s="69"/>
      <c r="AU17" s="69"/>
      <c r="AV17" s="69"/>
      <c r="AW17" s="69"/>
      <c r="AX17" s="69"/>
      <c r="AY17" s="69"/>
      <c r="AZ17" s="69"/>
      <c r="BA17" s="69"/>
      <c r="BB17" s="69"/>
      <c r="BC17" s="69"/>
      <c r="BD17" s="69"/>
      <c r="BE17" s="69"/>
      <c r="BF17" s="69"/>
      <c r="BG17" s="69"/>
      <c r="BH17" s="69"/>
      <c r="BI17" s="69"/>
      <c r="BJ17" s="69"/>
    </row>
    <row r="18" spans="1:62" x14ac:dyDescent="0.3">
      <c r="B18" t="s">
        <v>285</v>
      </c>
      <c r="C18" s="5">
        <f>(C17*0.75)+(80*0.25)</f>
        <v>91.25</v>
      </c>
      <c r="D18" s="5">
        <f>(D17*0.75)+(C17*0.25)</f>
        <v>106.25</v>
      </c>
      <c r="E18" s="5">
        <f>(E17*0.75)+(D17*0.25)</f>
        <v>121.25</v>
      </c>
      <c r="F18" s="5">
        <f>(F17*0.75)+(E17*0.25)</f>
        <v>136.25</v>
      </c>
      <c r="G18" s="5">
        <f t="shared" ref="G18:J18" si="45">(G17*0.75)+(F17*0.25)</f>
        <v>151.25</v>
      </c>
      <c r="H18" s="5">
        <f t="shared" si="45"/>
        <v>166.25</v>
      </c>
      <c r="I18" s="5">
        <f t="shared" si="45"/>
        <v>170</v>
      </c>
      <c r="J18" s="5">
        <f t="shared" si="45"/>
        <v>170</v>
      </c>
      <c r="K18" s="5">
        <f t="shared" ref="K18" si="46">(K17*0.75)+(J17*0.25)</f>
        <v>170</v>
      </c>
      <c r="L18" s="5">
        <f t="shared" ref="L18" si="47">(L17*0.75)+(K17*0.25)</f>
        <v>170</v>
      </c>
      <c r="M18" s="5">
        <f t="shared" ref="M18:N18" si="48">(M17*0.75)+(L17*0.25)</f>
        <v>170</v>
      </c>
      <c r="N18" s="5">
        <f t="shared" si="48"/>
        <v>170</v>
      </c>
      <c r="O18" s="5">
        <f t="shared" ref="O18" si="49">(O17*0.75)+(N17*0.25)</f>
        <v>170</v>
      </c>
      <c r="P18" s="5">
        <f t="shared" ref="P18" si="50">(P17*0.75)+(O17*0.25)</f>
        <v>170</v>
      </c>
      <c r="Q18" s="5">
        <f t="shared" ref="Q18:R18" si="51">(Q17*0.75)+(P17*0.25)</f>
        <v>170</v>
      </c>
      <c r="R18" s="5">
        <f t="shared" si="51"/>
        <v>170</v>
      </c>
      <c r="S18" s="5">
        <f t="shared" ref="S18" si="52">(S17*0.75)+(R17*0.25)</f>
        <v>170</v>
      </c>
      <c r="T18" s="5">
        <f t="shared" ref="T18" si="53">(T17*0.75)+(S17*0.25)</f>
        <v>170</v>
      </c>
      <c r="U18" s="5">
        <f t="shared" ref="U18:V18" si="54">(U17*0.75)+(T17*0.25)</f>
        <v>170</v>
      </c>
      <c r="V18" s="5">
        <f t="shared" si="54"/>
        <v>170</v>
      </c>
      <c r="W18" s="5">
        <f t="shared" ref="W18" si="55">(W17*0.75)+(V17*0.25)</f>
        <v>170</v>
      </c>
      <c r="X18" s="5">
        <f t="shared" ref="X18" si="56">(X17*0.75)+(W17*0.25)</f>
        <v>170</v>
      </c>
      <c r="Y18" s="5">
        <f t="shared" ref="Y18:Z18" si="57">(Y17*0.75)+(X17*0.25)</f>
        <v>170</v>
      </c>
      <c r="Z18" s="5">
        <f t="shared" si="57"/>
        <v>170</v>
      </c>
      <c r="AA18" s="5">
        <f t="shared" ref="AA18" si="58">(AA17*0.75)+(Z17*0.25)</f>
        <v>170</v>
      </c>
      <c r="AP18" s="104"/>
      <c r="AQ18" s="104"/>
      <c r="AR18" s="28" t="s">
        <v>143</v>
      </c>
      <c r="AS18" s="68">
        <f>SUM(F94:F96)</f>
        <v>3.7200000000000002E-3</v>
      </c>
      <c r="AT18" s="69"/>
      <c r="AU18" s="69"/>
      <c r="AV18" s="69"/>
      <c r="AW18" s="69"/>
      <c r="AX18" s="69"/>
      <c r="AY18" s="69"/>
      <c r="AZ18" s="69"/>
      <c r="BA18" s="69"/>
      <c r="BB18" s="69"/>
      <c r="BC18" s="69"/>
      <c r="BD18" s="69"/>
      <c r="BE18" s="69"/>
      <c r="BF18" s="69"/>
      <c r="BG18" s="69"/>
      <c r="BH18" s="69"/>
      <c r="BI18" s="69"/>
      <c r="BJ18" s="69"/>
    </row>
    <row r="19" spans="1:62" x14ac:dyDescent="0.3">
      <c r="B19" t="s">
        <v>24</v>
      </c>
      <c r="C19" s="5">
        <f t="shared" ref="C19:AA19" si="59">C18/C24</f>
        <v>91.25</v>
      </c>
      <c r="D19" s="5">
        <f t="shared" si="59"/>
        <v>104.16666666666667</v>
      </c>
      <c r="E19" s="5">
        <f t="shared" si="59"/>
        <v>116.54171472510573</v>
      </c>
      <c r="F19" s="5">
        <f t="shared" si="59"/>
        <v>128.39141808203482</v>
      </c>
      <c r="G19" s="5">
        <f t="shared" si="59"/>
        <v>139.73162068651027</v>
      </c>
      <c r="H19" s="5">
        <f t="shared" si="59"/>
        <v>150.57774713422353</v>
      </c>
      <c r="I19" s="5">
        <f t="shared" si="59"/>
        <v>150.95513497165265</v>
      </c>
      <c r="J19" s="5">
        <f t="shared" si="59"/>
        <v>147.99523036436534</v>
      </c>
      <c r="K19" s="5">
        <f t="shared" si="59"/>
        <v>145.09336310231893</v>
      </c>
      <c r="L19" s="5">
        <f t="shared" si="59"/>
        <v>142.24839519835191</v>
      </c>
      <c r="M19" s="5">
        <f t="shared" si="59"/>
        <v>139.45921097877638</v>
      </c>
      <c r="N19" s="5">
        <f t="shared" si="59"/>
        <v>136.72471664585919</v>
      </c>
      <c r="O19" s="5">
        <f t="shared" si="59"/>
        <v>134.04383984888156</v>
      </c>
      <c r="P19" s="5">
        <f t="shared" si="59"/>
        <v>131.41552926360939</v>
      </c>
      <c r="Q19" s="5">
        <f t="shared" si="59"/>
        <v>128.83875418000918</v>
      </c>
      <c r="R19" s="5">
        <f t="shared" si="59"/>
        <v>126.31250409804822</v>
      </c>
      <c r="S19" s="5">
        <f t="shared" si="59"/>
        <v>123.83578833141982</v>
      </c>
      <c r="T19" s="5">
        <f t="shared" si="59"/>
        <v>121.40763561903903</v>
      </c>
      <c r="U19" s="5">
        <f t="shared" si="59"/>
        <v>119.02709374415591</v>
      </c>
      <c r="V19" s="5">
        <f t="shared" si="59"/>
        <v>116.69322916093716</v>
      </c>
      <c r="W19" s="5">
        <f t="shared" si="59"/>
        <v>114.40512662836976</v>
      </c>
      <c r="X19" s="5">
        <f t="shared" si="59"/>
        <v>112.16188885134289</v>
      </c>
      <c r="Y19" s="5">
        <f t="shared" si="59"/>
        <v>109.96263612876754</v>
      </c>
      <c r="Z19" s="5">
        <f t="shared" si="59"/>
        <v>107.80650600859563</v>
      </c>
      <c r="AA19" s="5">
        <f t="shared" si="59"/>
        <v>105.69265294960356</v>
      </c>
      <c r="AP19" s="104"/>
      <c r="AQ19" s="104"/>
      <c r="AR19" s="28" t="s">
        <v>12</v>
      </c>
      <c r="AS19" s="68">
        <f>SUM(AS15:AS18)*0.13</f>
        <v>1.6532100000000001E-2</v>
      </c>
      <c r="AT19" s="69"/>
      <c r="AU19" s="69"/>
      <c r="AV19" s="69"/>
      <c r="AW19" s="69"/>
      <c r="AX19" s="69"/>
      <c r="AY19" s="69"/>
      <c r="AZ19" s="69"/>
      <c r="BA19" s="69"/>
      <c r="BB19" s="69"/>
      <c r="BC19" s="69"/>
      <c r="BD19" s="69"/>
      <c r="BE19" s="69"/>
      <c r="BF19" s="69"/>
      <c r="BG19" s="69"/>
      <c r="BH19" s="69"/>
      <c r="BI19" s="69"/>
      <c r="BJ19" s="69"/>
    </row>
    <row r="20" spans="1:62" x14ac:dyDescent="0.3">
      <c r="B20" t="s">
        <v>27</v>
      </c>
      <c r="C20">
        <v>1.9319999999999999E-3</v>
      </c>
      <c r="D20" s="18" t="s">
        <v>169</v>
      </c>
      <c r="E20" s="5"/>
      <c r="F20" s="5"/>
      <c r="G20" s="5"/>
      <c r="H20" s="5"/>
      <c r="I20" s="5"/>
      <c r="J20" s="5"/>
      <c r="K20" s="5"/>
      <c r="L20" s="5"/>
      <c r="M20" s="5"/>
      <c r="N20" s="5"/>
      <c r="O20" s="5"/>
      <c r="P20" s="5"/>
      <c r="Q20" s="5"/>
      <c r="R20" s="5"/>
      <c r="S20" s="5"/>
      <c r="T20" s="5"/>
      <c r="U20" s="5"/>
      <c r="V20" s="5"/>
      <c r="W20" s="5"/>
      <c r="X20" s="5"/>
      <c r="Y20" s="5"/>
      <c r="Z20" s="5"/>
      <c r="AA20" s="5"/>
      <c r="AP20" s="104"/>
      <c r="AQ20" s="104"/>
      <c r="AR20" s="28" t="s">
        <v>22</v>
      </c>
      <c r="AS20" s="68">
        <f>SUM(AS15:AS19)</f>
        <v>0.1437021</v>
      </c>
      <c r="AT20" s="68">
        <f>AS20</f>
        <v>0.1437021</v>
      </c>
      <c r="AU20" s="68">
        <f t="shared" ref="AU20:BJ20" si="60">AT20</f>
        <v>0.1437021</v>
      </c>
      <c r="AV20" s="68">
        <f t="shared" si="60"/>
        <v>0.1437021</v>
      </c>
      <c r="AW20" s="68">
        <f t="shared" si="60"/>
        <v>0.1437021</v>
      </c>
      <c r="AX20" s="68">
        <f t="shared" si="60"/>
        <v>0.1437021</v>
      </c>
      <c r="AY20" s="68">
        <f t="shared" si="60"/>
        <v>0.1437021</v>
      </c>
      <c r="AZ20" s="68">
        <f t="shared" si="60"/>
        <v>0.1437021</v>
      </c>
      <c r="BA20" s="68">
        <f t="shared" si="60"/>
        <v>0.1437021</v>
      </c>
      <c r="BB20" s="68">
        <f t="shared" si="60"/>
        <v>0.1437021</v>
      </c>
      <c r="BC20" s="68">
        <f t="shared" si="60"/>
        <v>0.1437021</v>
      </c>
      <c r="BD20" s="68">
        <f t="shared" si="60"/>
        <v>0.1437021</v>
      </c>
      <c r="BE20" s="68">
        <f t="shared" si="60"/>
        <v>0.1437021</v>
      </c>
      <c r="BF20" s="68">
        <f t="shared" si="60"/>
        <v>0.1437021</v>
      </c>
      <c r="BG20" s="68">
        <f t="shared" si="60"/>
        <v>0.1437021</v>
      </c>
      <c r="BH20" s="68">
        <f t="shared" si="60"/>
        <v>0.1437021</v>
      </c>
      <c r="BI20" s="68">
        <f t="shared" si="60"/>
        <v>0.1437021</v>
      </c>
      <c r="BJ20" s="68">
        <f t="shared" si="60"/>
        <v>0.1437021</v>
      </c>
    </row>
    <row r="21" spans="1:62" x14ac:dyDescent="0.3">
      <c r="AS21" s="17"/>
    </row>
    <row r="22" spans="1:62" x14ac:dyDescent="0.3">
      <c r="A22" s="3" t="s">
        <v>23</v>
      </c>
    </row>
    <row r="23" spans="1:62" x14ac:dyDescent="0.3">
      <c r="B23" t="s">
        <v>5</v>
      </c>
      <c r="D23" s="8">
        <v>0.02</v>
      </c>
      <c r="E23" s="8">
        <f>D23</f>
        <v>0.02</v>
      </c>
      <c r="F23" s="8">
        <f t="shared" ref="F23:W23" si="61">E23</f>
        <v>0.02</v>
      </c>
      <c r="G23" s="8">
        <f t="shared" si="61"/>
        <v>0.02</v>
      </c>
      <c r="H23" s="8">
        <f t="shared" si="61"/>
        <v>0.02</v>
      </c>
      <c r="I23" s="8">
        <f t="shared" si="61"/>
        <v>0.02</v>
      </c>
      <c r="J23" s="8">
        <f t="shared" si="61"/>
        <v>0.02</v>
      </c>
      <c r="K23" s="8">
        <f t="shared" si="61"/>
        <v>0.02</v>
      </c>
      <c r="L23" s="8">
        <f t="shared" si="61"/>
        <v>0.02</v>
      </c>
      <c r="M23" s="8">
        <f t="shared" si="61"/>
        <v>0.02</v>
      </c>
      <c r="N23" s="8">
        <f t="shared" si="61"/>
        <v>0.02</v>
      </c>
      <c r="O23" s="8">
        <f t="shared" si="61"/>
        <v>0.02</v>
      </c>
      <c r="P23" s="8">
        <f t="shared" si="61"/>
        <v>0.02</v>
      </c>
      <c r="Q23" s="8">
        <f t="shared" si="61"/>
        <v>0.02</v>
      </c>
      <c r="R23" s="8">
        <f t="shared" si="61"/>
        <v>0.02</v>
      </c>
      <c r="S23" s="8">
        <f t="shared" si="61"/>
        <v>0.02</v>
      </c>
      <c r="T23" s="8">
        <f t="shared" si="61"/>
        <v>0.02</v>
      </c>
      <c r="U23" s="8">
        <f t="shared" si="61"/>
        <v>0.02</v>
      </c>
      <c r="V23" s="8">
        <f t="shared" si="61"/>
        <v>0.02</v>
      </c>
      <c r="W23" s="8">
        <f t="shared" si="61"/>
        <v>0.02</v>
      </c>
      <c r="X23" s="8">
        <f t="shared" ref="X23" si="62">W23</f>
        <v>0.02</v>
      </c>
      <c r="Y23" s="8">
        <f t="shared" ref="Y23" si="63">X23</f>
        <v>0.02</v>
      </c>
      <c r="Z23" s="8">
        <f t="shared" ref="Z23" si="64">Y23</f>
        <v>0.02</v>
      </c>
      <c r="AA23" s="8">
        <f t="shared" ref="AA23" si="65">Z23</f>
        <v>0.02</v>
      </c>
    </row>
    <row r="24" spans="1:62" x14ac:dyDescent="0.3">
      <c r="B24" t="s">
        <v>170</v>
      </c>
      <c r="C24" s="9">
        <v>1</v>
      </c>
      <c r="D24" s="9">
        <f>1+D23</f>
        <v>1.02</v>
      </c>
      <c r="E24" s="10">
        <f>D24*(1+E23)</f>
        <v>1.0404</v>
      </c>
      <c r="F24" s="10">
        <f t="shared" ref="F24:W24" si="66">E24*(1+F23)</f>
        <v>1.0612079999999999</v>
      </c>
      <c r="G24" s="10">
        <f t="shared" si="66"/>
        <v>1.08243216</v>
      </c>
      <c r="H24" s="10">
        <f t="shared" si="66"/>
        <v>1.1040808032</v>
      </c>
      <c r="I24" s="10">
        <f t="shared" si="66"/>
        <v>1.1261624192640001</v>
      </c>
      <c r="J24" s="10">
        <f t="shared" si="66"/>
        <v>1.14868566764928</v>
      </c>
      <c r="K24" s="10">
        <f t="shared" si="66"/>
        <v>1.1716593810022657</v>
      </c>
      <c r="L24" s="10">
        <f t="shared" si="66"/>
        <v>1.1950925686223111</v>
      </c>
      <c r="M24" s="10">
        <f t="shared" si="66"/>
        <v>1.2189944199947573</v>
      </c>
      <c r="N24" s="10">
        <f t="shared" si="66"/>
        <v>1.2433743083946525</v>
      </c>
      <c r="O24" s="10">
        <f t="shared" si="66"/>
        <v>1.2682417945625455</v>
      </c>
      <c r="P24" s="10">
        <f t="shared" si="66"/>
        <v>1.2936066304537963</v>
      </c>
      <c r="Q24" s="10">
        <f t="shared" si="66"/>
        <v>1.3194787630628724</v>
      </c>
      <c r="R24" s="10">
        <f t="shared" si="66"/>
        <v>1.3458683383241299</v>
      </c>
      <c r="S24" s="10">
        <f t="shared" si="66"/>
        <v>1.3727857050906125</v>
      </c>
      <c r="T24" s="10">
        <f t="shared" si="66"/>
        <v>1.4002414191924248</v>
      </c>
      <c r="U24" s="10">
        <f t="shared" si="66"/>
        <v>1.4282462475762734</v>
      </c>
      <c r="V24" s="10">
        <f t="shared" si="66"/>
        <v>1.4568111725277988</v>
      </c>
      <c r="W24" s="10">
        <f t="shared" si="66"/>
        <v>1.4859473959783549</v>
      </c>
      <c r="X24" s="10">
        <f t="shared" ref="X24" si="67">W24*(1+X23)</f>
        <v>1.5156663438979221</v>
      </c>
      <c r="Y24" s="10">
        <f t="shared" ref="Y24" si="68">X24*(1+Y23)</f>
        <v>1.5459796707758806</v>
      </c>
      <c r="Z24" s="10">
        <f t="shared" ref="Z24" si="69">Y24*(1+Z23)</f>
        <v>1.5768992641913981</v>
      </c>
      <c r="AA24" s="10">
        <f t="shared" ref="AA24" si="70">Z24*(1+AA23)</f>
        <v>1.6084372494752261</v>
      </c>
    </row>
    <row r="25" spans="1:62" x14ac:dyDescent="0.3">
      <c r="C25" s="9"/>
      <c r="D25" s="9"/>
      <c r="E25" s="10"/>
      <c r="F25" s="10"/>
      <c r="G25" s="10"/>
      <c r="H25" s="10"/>
      <c r="I25" s="10"/>
      <c r="J25" s="10"/>
      <c r="K25" s="10"/>
      <c r="L25" s="10"/>
      <c r="M25" s="10"/>
      <c r="N25" s="10"/>
      <c r="O25" s="10"/>
      <c r="P25" s="10"/>
      <c r="Q25" s="10"/>
      <c r="R25" s="10"/>
      <c r="S25" s="10"/>
      <c r="T25" s="10"/>
      <c r="U25" s="10"/>
      <c r="V25" s="10"/>
      <c r="W25" s="10"/>
    </row>
    <row r="26" spans="1:62" s="45" customFormat="1" ht="6.35" customHeight="1" x14ac:dyDescent="0.3">
      <c r="AS26" s="66"/>
      <c r="AT26" s="66"/>
      <c r="AU26" s="66"/>
      <c r="AV26" s="66"/>
      <c r="AW26" s="66"/>
      <c r="AX26" s="66"/>
      <c r="AY26" s="66"/>
      <c r="AZ26" s="66"/>
      <c r="BA26" s="66"/>
      <c r="BB26" s="66"/>
      <c r="BC26" s="66"/>
      <c r="BD26" s="66"/>
      <c r="BE26" s="66"/>
      <c r="BF26" s="66"/>
      <c r="BG26" s="66"/>
      <c r="BH26" s="66"/>
      <c r="BI26" s="66"/>
      <c r="BJ26" s="66"/>
    </row>
    <row r="27" spans="1:62" ht="17.850000000000001" x14ac:dyDescent="0.35">
      <c r="A27" s="44" t="s">
        <v>19</v>
      </c>
    </row>
    <row r="28" spans="1:62" ht="17.850000000000001" x14ac:dyDescent="0.35">
      <c r="A28" s="44"/>
      <c r="C28" s="13">
        <v>2025</v>
      </c>
      <c r="D28" s="13">
        <f>C28+1</f>
        <v>2026</v>
      </c>
      <c r="E28" s="13">
        <f t="shared" ref="E28:W28" si="71">D28+1</f>
        <v>2027</v>
      </c>
      <c r="F28" s="13">
        <f t="shared" si="71"/>
        <v>2028</v>
      </c>
      <c r="G28" s="13">
        <f t="shared" si="71"/>
        <v>2029</v>
      </c>
      <c r="H28" s="13">
        <f t="shared" si="71"/>
        <v>2030</v>
      </c>
      <c r="I28" s="13">
        <f t="shared" si="71"/>
        <v>2031</v>
      </c>
      <c r="J28" s="13">
        <f t="shared" si="71"/>
        <v>2032</v>
      </c>
      <c r="K28" s="13">
        <f t="shared" si="71"/>
        <v>2033</v>
      </c>
      <c r="L28" s="13">
        <f t="shared" si="71"/>
        <v>2034</v>
      </c>
      <c r="M28" s="13">
        <f t="shared" si="71"/>
        <v>2035</v>
      </c>
      <c r="N28" s="13">
        <f t="shared" si="71"/>
        <v>2036</v>
      </c>
      <c r="O28" s="13">
        <f t="shared" si="71"/>
        <v>2037</v>
      </c>
      <c r="P28" s="13">
        <f t="shared" si="71"/>
        <v>2038</v>
      </c>
      <c r="Q28" s="13">
        <f t="shared" si="71"/>
        <v>2039</v>
      </c>
      <c r="R28" s="13">
        <f t="shared" si="71"/>
        <v>2040</v>
      </c>
      <c r="S28" s="13">
        <f t="shared" si="71"/>
        <v>2041</v>
      </c>
      <c r="T28" s="13">
        <f t="shared" si="71"/>
        <v>2042</v>
      </c>
      <c r="U28" s="13">
        <f t="shared" si="71"/>
        <v>2043</v>
      </c>
      <c r="V28" s="13">
        <f t="shared" si="71"/>
        <v>2044</v>
      </c>
      <c r="W28" s="13">
        <f t="shared" si="71"/>
        <v>2045</v>
      </c>
      <c r="X28" s="13">
        <f t="shared" ref="X28" si="72">W28+1</f>
        <v>2046</v>
      </c>
      <c r="Y28" s="13">
        <f t="shared" ref="Y28" si="73">X28+1</f>
        <v>2047</v>
      </c>
      <c r="Z28" s="13">
        <f t="shared" ref="Z28" si="74">Y28+1</f>
        <v>2048</v>
      </c>
      <c r="AA28" s="13">
        <f t="shared" ref="AA28" si="75">Z28+1</f>
        <v>2049</v>
      </c>
    </row>
    <row r="29" spans="1:62" x14ac:dyDescent="0.3">
      <c r="A29" s="3" t="s">
        <v>237</v>
      </c>
    </row>
    <row r="30" spans="1:62" x14ac:dyDescent="0.3">
      <c r="A30" t="s">
        <v>1</v>
      </c>
      <c r="C30" s="2">
        <f>(F90*365.25/30)</f>
        <v>557.42226975000005</v>
      </c>
      <c r="D30" s="15">
        <f>C30</f>
        <v>557.42226975000005</v>
      </c>
      <c r="E30" s="15">
        <f t="shared" ref="E30:W30" si="76">D30</f>
        <v>557.42226975000005</v>
      </c>
      <c r="F30" s="15">
        <f t="shared" si="76"/>
        <v>557.42226975000005</v>
      </c>
      <c r="G30" s="15">
        <f t="shared" si="76"/>
        <v>557.42226975000005</v>
      </c>
      <c r="H30" s="15">
        <f t="shared" si="76"/>
        <v>557.42226975000005</v>
      </c>
      <c r="I30" s="15">
        <f t="shared" si="76"/>
        <v>557.42226975000005</v>
      </c>
      <c r="J30" s="15">
        <f t="shared" si="76"/>
        <v>557.42226975000005</v>
      </c>
      <c r="K30" s="15">
        <f t="shared" si="76"/>
        <v>557.42226975000005</v>
      </c>
      <c r="L30" s="15">
        <f t="shared" si="76"/>
        <v>557.42226975000005</v>
      </c>
      <c r="M30" s="15">
        <f t="shared" si="76"/>
        <v>557.42226975000005</v>
      </c>
      <c r="N30" s="15">
        <f t="shared" si="76"/>
        <v>557.42226975000005</v>
      </c>
      <c r="O30" s="15">
        <f t="shared" si="76"/>
        <v>557.42226975000005</v>
      </c>
      <c r="P30" s="15">
        <f t="shared" si="76"/>
        <v>557.42226975000005</v>
      </c>
      <c r="Q30" s="15">
        <f t="shared" si="76"/>
        <v>557.42226975000005</v>
      </c>
      <c r="R30" s="15">
        <f t="shared" si="76"/>
        <v>557.42226975000005</v>
      </c>
      <c r="S30" s="15">
        <f t="shared" si="76"/>
        <v>557.42226975000005</v>
      </c>
      <c r="T30" s="15">
        <f t="shared" si="76"/>
        <v>557.42226975000005</v>
      </c>
      <c r="U30" s="15">
        <f t="shared" si="76"/>
        <v>557.42226975000005</v>
      </c>
      <c r="V30" s="15">
        <f t="shared" si="76"/>
        <v>557.42226975000005</v>
      </c>
      <c r="W30" s="15">
        <f t="shared" si="76"/>
        <v>557.42226975000005</v>
      </c>
      <c r="X30" s="15">
        <f t="shared" ref="X30" si="77">W30</f>
        <v>557.42226975000005</v>
      </c>
      <c r="Y30" s="15">
        <f t="shared" ref="Y30" si="78">X30</f>
        <v>557.42226975000005</v>
      </c>
      <c r="Z30" s="15">
        <f t="shared" ref="Z30" si="79">Y30</f>
        <v>557.42226975000005</v>
      </c>
      <c r="AA30" s="15">
        <f t="shared" ref="AA30" si="80">Z30</f>
        <v>557.42226975000005</v>
      </c>
    </row>
    <row r="31" spans="1:62" x14ac:dyDescent="0.3">
      <c r="C31" s="1"/>
      <c r="D31" s="1"/>
      <c r="E31" s="1"/>
      <c r="F31" s="1"/>
      <c r="G31" s="1"/>
      <c r="H31" s="1"/>
      <c r="I31" s="1"/>
      <c r="J31" s="1"/>
      <c r="K31" s="1"/>
      <c r="L31" s="1"/>
      <c r="M31" s="1"/>
      <c r="N31" s="1"/>
      <c r="O31" s="1"/>
      <c r="P31" s="1"/>
      <c r="Q31" s="1"/>
      <c r="R31" s="1"/>
      <c r="S31" s="1"/>
      <c r="T31" s="1"/>
      <c r="U31" s="1"/>
      <c r="V31" s="1"/>
      <c r="W31" s="1"/>
      <c r="X31" s="1"/>
      <c r="Y31" s="1"/>
      <c r="Z31" s="1"/>
      <c r="AA31" s="1"/>
    </row>
    <row r="32" spans="1:62" x14ac:dyDescent="0.3">
      <c r="A32" s="3" t="s">
        <v>240</v>
      </c>
      <c r="C32" s="1"/>
      <c r="D32" s="1"/>
      <c r="E32" s="1"/>
      <c r="F32" s="1"/>
      <c r="G32" s="1"/>
      <c r="H32" s="1"/>
      <c r="I32" s="1"/>
      <c r="J32" s="1"/>
      <c r="K32" s="1"/>
      <c r="L32" s="1"/>
      <c r="M32" s="1"/>
      <c r="N32" s="1"/>
      <c r="O32" s="1"/>
      <c r="P32" s="1"/>
      <c r="Q32" s="1"/>
      <c r="R32" s="1"/>
      <c r="S32" s="1"/>
      <c r="T32" s="1"/>
      <c r="U32" s="1"/>
      <c r="V32" s="1"/>
      <c r="W32" s="1"/>
      <c r="X32" s="1"/>
      <c r="Y32" s="1"/>
      <c r="Z32" s="1"/>
      <c r="AA32" s="1"/>
    </row>
    <row r="33" spans="1:28" x14ac:dyDescent="0.3">
      <c r="B33" t="s">
        <v>2</v>
      </c>
      <c r="C33" s="6">
        <f>F102</f>
        <v>0.13303682999999999</v>
      </c>
      <c r="D33" s="6">
        <f t="shared" ref="D33:AA33" si="81">C33*(1+D36)</f>
        <v>0.13303682999999999</v>
      </c>
      <c r="E33" s="6">
        <f t="shared" si="81"/>
        <v>0.13303682999999999</v>
      </c>
      <c r="F33" s="6">
        <f t="shared" si="81"/>
        <v>0.13303682999999999</v>
      </c>
      <c r="G33" s="6">
        <f t="shared" si="81"/>
        <v>0.13303682999999999</v>
      </c>
      <c r="H33" s="6">
        <f t="shared" si="81"/>
        <v>0.13303682999999999</v>
      </c>
      <c r="I33" s="6">
        <f t="shared" si="81"/>
        <v>0.13303682999999999</v>
      </c>
      <c r="J33" s="6">
        <f t="shared" si="81"/>
        <v>0.13303682999999999</v>
      </c>
      <c r="K33" s="6">
        <f t="shared" si="81"/>
        <v>0.13303682999999999</v>
      </c>
      <c r="L33" s="6">
        <f t="shared" si="81"/>
        <v>0.13303682999999999</v>
      </c>
      <c r="M33" s="6">
        <f t="shared" si="81"/>
        <v>0.13303682999999999</v>
      </c>
      <c r="N33" s="6">
        <f t="shared" si="81"/>
        <v>0.13303682999999999</v>
      </c>
      <c r="O33" s="6">
        <f t="shared" si="81"/>
        <v>0.13303682999999999</v>
      </c>
      <c r="P33" s="6">
        <f t="shared" si="81"/>
        <v>0.13303682999999999</v>
      </c>
      <c r="Q33" s="6">
        <f t="shared" si="81"/>
        <v>0.13303682999999999</v>
      </c>
      <c r="R33" s="6">
        <f t="shared" si="81"/>
        <v>0.13303682999999999</v>
      </c>
      <c r="S33" s="6">
        <f t="shared" si="81"/>
        <v>0.13303682999999999</v>
      </c>
      <c r="T33" s="6">
        <f t="shared" si="81"/>
        <v>0.13303682999999999</v>
      </c>
      <c r="U33" s="6">
        <f t="shared" si="81"/>
        <v>0.13303682999999999</v>
      </c>
      <c r="V33" s="6">
        <f t="shared" si="81"/>
        <v>0.13303682999999999</v>
      </c>
      <c r="W33" s="6">
        <f t="shared" si="81"/>
        <v>0.13303682999999999</v>
      </c>
      <c r="X33" s="6">
        <f t="shared" si="81"/>
        <v>0.13303682999999999</v>
      </c>
      <c r="Y33" s="6">
        <f t="shared" si="81"/>
        <v>0.13303682999999999</v>
      </c>
      <c r="Z33" s="6">
        <f t="shared" si="81"/>
        <v>0.13303682999999999</v>
      </c>
      <c r="AA33" s="6">
        <f t="shared" si="81"/>
        <v>0.13303682999999999</v>
      </c>
    </row>
    <row r="34" spans="1:28" x14ac:dyDescent="0.3">
      <c r="C34" s="6"/>
      <c r="D34" s="48"/>
      <c r="E34" s="6"/>
      <c r="F34" s="6"/>
      <c r="G34" s="6"/>
      <c r="H34" s="6"/>
      <c r="I34" s="6"/>
      <c r="J34" s="6"/>
      <c r="K34" s="6"/>
      <c r="L34" s="6"/>
      <c r="M34" s="6"/>
      <c r="N34" s="6"/>
      <c r="O34" s="6"/>
      <c r="P34" s="6"/>
      <c r="Q34" s="6"/>
      <c r="R34" s="6"/>
      <c r="S34" s="6"/>
      <c r="T34" s="6"/>
      <c r="U34" s="6"/>
      <c r="V34" s="6"/>
      <c r="W34" s="6"/>
      <c r="X34" s="6"/>
      <c r="Y34" s="6"/>
      <c r="Z34" s="6"/>
      <c r="AA34" s="6"/>
    </row>
    <row r="35" spans="1:28" x14ac:dyDescent="0.3">
      <c r="A35" s="3" t="s">
        <v>4</v>
      </c>
    </row>
    <row r="36" spans="1:28" x14ac:dyDescent="0.3">
      <c r="A36" t="s">
        <v>1</v>
      </c>
      <c r="D36" s="8">
        <v>0</v>
      </c>
      <c r="E36" s="8">
        <f>D36</f>
        <v>0</v>
      </c>
      <c r="F36" s="8">
        <f t="shared" ref="F36:AA36" si="82">E36</f>
        <v>0</v>
      </c>
      <c r="G36" s="8">
        <f t="shared" si="82"/>
        <v>0</v>
      </c>
      <c r="H36" s="8">
        <f t="shared" si="82"/>
        <v>0</v>
      </c>
      <c r="I36" s="8">
        <f t="shared" si="82"/>
        <v>0</v>
      </c>
      <c r="J36" s="8">
        <f t="shared" si="82"/>
        <v>0</v>
      </c>
      <c r="K36" s="8">
        <f t="shared" si="82"/>
        <v>0</v>
      </c>
      <c r="L36" s="8">
        <f t="shared" si="82"/>
        <v>0</v>
      </c>
      <c r="M36" s="8">
        <f t="shared" si="82"/>
        <v>0</v>
      </c>
      <c r="N36" s="8">
        <f t="shared" si="82"/>
        <v>0</v>
      </c>
      <c r="O36" s="8">
        <f t="shared" si="82"/>
        <v>0</v>
      </c>
      <c r="P36" s="8">
        <f t="shared" si="82"/>
        <v>0</v>
      </c>
      <c r="Q36" s="8">
        <f t="shared" si="82"/>
        <v>0</v>
      </c>
      <c r="R36" s="8">
        <f t="shared" si="82"/>
        <v>0</v>
      </c>
      <c r="S36" s="8">
        <f t="shared" si="82"/>
        <v>0</v>
      </c>
      <c r="T36" s="8">
        <f t="shared" si="82"/>
        <v>0</v>
      </c>
      <c r="U36" s="8">
        <f t="shared" si="82"/>
        <v>0</v>
      </c>
      <c r="V36" s="8">
        <f t="shared" si="82"/>
        <v>0</v>
      </c>
      <c r="W36" s="8">
        <f t="shared" si="82"/>
        <v>0</v>
      </c>
      <c r="X36" s="8">
        <f t="shared" si="82"/>
        <v>0</v>
      </c>
      <c r="Y36" s="8">
        <f t="shared" si="82"/>
        <v>0</v>
      </c>
      <c r="Z36" s="8">
        <f t="shared" si="82"/>
        <v>0</v>
      </c>
      <c r="AA36" s="8">
        <f t="shared" si="82"/>
        <v>0</v>
      </c>
      <c r="AB36" s="57"/>
    </row>
    <row r="37" spans="1:28" x14ac:dyDescent="0.3">
      <c r="A37" t="s">
        <v>5</v>
      </c>
      <c r="D37" s="8">
        <v>0.02</v>
      </c>
      <c r="E37" s="8">
        <f>D37</f>
        <v>0.02</v>
      </c>
      <c r="F37" s="8">
        <f t="shared" ref="F37:W37" si="83">E37</f>
        <v>0.02</v>
      </c>
      <c r="G37" s="8">
        <f t="shared" si="83"/>
        <v>0.02</v>
      </c>
      <c r="H37" s="8">
        <f t="shared" si="83"/>
        <v>0.02</v>
      </c>
      <c r="I37" s="8">
        <f t="shared" si="83"/>
        <v>0.02</v>
      </c>
      <c r="J37" s="8">
        <f t="shared" si="83"/>
        <v>0.02</v>
      </c>
      <c r="K37" s="8">
        <f t="shared" si="83"/>
        <v>0.02</v>
      </c>
      <c r="L37" s="8">
        <f t="shared" si="83"/>
        <v>0.02</v>
      </c>
      <c r="M37" s="8">
        <f t="shared" si="83"/>
        <v>0.02</v>
      </c>
      <c r="N37" s="8">
        <f t="shared" si="83"/>
        <v>0.02</v>
      </c>
      <c r="O37" s="8">
        <f t="shared" si="83"/>
        <v>0.02</v>
      </c>
      <c r="P37" s="8">
        <f t="shared" si="83"/>
        <v>0.02</v>
      </c>
      <c r="Q37" s="8">
        <f t="shared" si="83"/>
        <v>0.02</v>
      </c>
      <c r="R37" s="8">
        <f t="shared" si="83"/>
        <v>0.02</v>
      </c>
      <c r="S37" s="8">
        <f t="shared" si="83"/>
        <v>0.02</v>
      </c>
      <c r="T37" s="8">
        <f t="shared" si="83"/>
        <v>0.02</v>
      </c>
      <c r="U37" s="8">
        <f t="shared" si="83"/>
        <v>0.02</v>
      </c>
      <c r="V37" s="8">
        <f t="shared" si="83"/>
        <v>0.02</v>
      </c>
      <c r="W37" s="8">
        <f t="shared" si="83"/>
        <v>0.02</v>
      </c>
      <c r="X37" s="8">
        <f t="shared" ref="X37" si="84">W37</f>
        <v>0.02</v>
      </c>
      <c r="Y37" s="8">
        <f t="shared" ref="Y37" si="85">X37</f>
        <v>0.02</v>
      </c>
      <c r="Z37" s="8">
        <f t="shared" ref="Z37" si="86">Y37</f>
        <v>0.02</v>
      </c>
      <c r="AA37" s="8">
        <f t="shared" ref="AA37" si="87">Z37</f>
        <v>0.02</v>
      </c>
    </row>
    <row r="38" spans="1:28" x14ac:dyDescent="0.3">
      <c r="A38" t="s">
        <v>170</v>
      </c>
      <c r="C38" s="9">
        <v>1</v>
      </c>
      <c r="D38" s="9">
        <f>1+D37</f>
        <v>1.02</v>
      </c>
      <c r="E38" s="10">
        <f>D38*(1+E37)</f>
        <v>1.0404</v>
      </c>
      <c r="F38" s="10">
        <f t="shared" ref="F38" si="88">E38*(1+F37)</f>
        <v>1.0612079999999999</v>
      </c>
      <c r="G38" s="10">
        <f t="shared" ref="G38" si="89">F38*(1+G37)</f>
        <v>1.08243216</v>
      </c>
      <c r="H38" s="10">
        <f t="shared" ref="H38" si="90">G38*(1+H37)</f>
        <v>1.1040808032</v>
      </c>
      <c r="I38" s="10">
        <f t="shared" ref="I38" si="91">H38*(1+I37)</f>
        <v>1.1261624192640001</v>
      </c>
      <c r="J38" s="10">
        <f t="shared" ref="J38" si="92">I38*(1+J37)</f>
        <v>1.14868566764928</v>
      </c>
      <c r="K38" s="10">
        <f t="shared" ref="K38" si="93">J38*(1+K37)</f>
        <v>1.1716593810022657</v>
      </c>
      <c r="L38" s="10">
        <f t="shared" ref="L38" si="94">K38*(1+L37)</f>
        <v>1.1950925686223111</v>
      </c>
      <c r="M38" s="10">
        <f t="shared" ref="M38" si="95">L38*(1+M37)</f>
        <v>1.2189944199947573</v>
      </c>
      <c r="N38" s="10">
        <f t="shared" ref="N38" si="96">M38*(1+N37)</f>
        <v>1.2433743083946525</v>
      </c>
      <c r="O38" s="10">
        <f t="shared" ref="O38" si="97">N38*(1+O37)</f>
        <v>1.2682417945625455</v>
      </c>
      <c r="P38" s="10">
        <f t="shared" ref="P38" si="98">O38*(1+P37)</f>
        <v>1.2936066304537963</v>
      </c>
      <c r="Q38" s="10">
        <f t="shared" ref="Q38" si="99">P38*(1+Q37)</f>
        <v>1.3194787630628724</v>
      </c>
      <c r="R38" s="10">
        <f t="shared" ref="R38" si="100">Q38*(1+R37)</f>
        <v>1.3458683383241299</v>
      </c>
      <c r="S38" s="10">
        <f t="shared" ref="S38" si="101">R38*(1+S37)</f>
        <v>1.3727857050906125</v>
      </c>
      <c r="T38" s="10">
        <f t="shared" ref="T38" si="102">S38*(1+T37)</f>
        <v>1.4002414191924248</v>
      </c>
      <c r="U38" s="10">
        <f t="shared" ref="U38" si="103">T38*(1+U37)</f>
        <v>1.4282462475762734</v>
      </c>
      <c r="V38" s="10">
        <f t="shared" ref="V38" si="104">U38*(1+V37)</f>
        <v>1.4568111725277988</v>
      </c>
      <c r="W38" s="10">
        <f t="shared" ref="W38" si="105">V38*(1+W37)</f>
        <v>1.4859473959783549</v>
      </c>
      <c r="X38" s="10">
        <f t="shared" ref="X38" si="106">W38*(1+X37)</f>
        <v>1.5156663438979221</v>
      </c>
      <c r="Y38" s="10">
        <f t="shared" ref="Y38" si="107">X38*(1+Y37)</f>
        <v>1.5459796707758806</v>
      </c>
      <c r="Z38" s="10">
        <f t="shared" ref="Z38" si="108">Y38*(1+Z37)</f>
        <v>1.5768992641913981</v>
      </c>
      <c r="AA38" s="10">
        <f t="shared" ref="AA38" si="109">Z38*(1+AA37)</f>
        <v>1.6084372494752261</v>
      </c>
    </row>
    <row r="39" spans="1:28" x14ac:dyDescent="0.3">
      <c r="C39" s="9"/>
      <c r="D39" s="9"/>
      <c r="E39" s="10"/>
      <c r="F39" s="10"/>
      <c r="G39" s="10"/>
      <c r="H39" s="10"/>
      <c r="I39" s="10"/>
      <c r="J39" s="10"/>
      <c r="K39" s="10"/>
      <c r="L39" s="10"/>
      <c r="M39" s="10"/>
      <c r="N39" s="10"/>
      <c r="O39" s="10"/>
      <c r="P39" s="10"/>
      <c r="Q39" s="10"/>
      <c r="R39" s="10"/>
      <c r="S39" s="10"/>
      <c r="T39" s="10"/>
      <c r="U39" s="10"/>
      <c r="V39" s="10"/>
      <c r="W39" s="10"/>
    </row>
    <row r="40" spans="1:28" x14ac:dyDescent="0.3">
      <c r="C40" s="9"/>
      <c r="D40" s="9"/>
      <c r="E40" s="10"/>
      <c r="F40" s="10"/>
      <c r="G40" s="10"/>
      <c r="H40" s="10"/>
      <c r="I40" s="10"/>
      <c r="J40" s="10"/>
      <c r="K40" s="10"/>
      <c r="L40" s="10"/>
      <c r="M40" s="10"/>
      <c r="N40" s="10"/>
      <c r="O40" s="10"/>
      <c r="P40" s="10"/>
      <c r="Q40" s="10"/>
      <c r="R40" s="10"/>
      <c r="S40" s="10"/>
      <c r="T40" s="10"/>
      <c r="U40" s="10"/>
      <c r="V40" s="10"/>
      <c r="W40" s="10"/>
    </row>
    <row r="41" spans="1:28" x14ac:dyDescent="0.3">
      <c r="C41" s="9"/>
      <c r="D41" s="9"/>
      <c r="E41" s="10"/>
      <c r="F41" s="10"/>
      <c r="G41" s="10"/>
      <c r="H41" s="10"/>
      <c r="I41" s="10"/>
      <c r="J41" s="10"/>
      <c r="K41" s="10"/>
      <c r="L41" s="10"/>
      <c r="M41" s="10"/>
      <c r="N41" s="10"/>
      <c r="O41" s="10"/>
      <c r="P41" s="10"/>
      <c r="Q41" s="10"/>
      <c r="R41" s="10"/>
      <c r="S41" s="10"/>
      <c r="T41" s="10"/>
      <c r="U41" s="10"/>
      <c r="V41" s="10"/>
      <c r="W41" s="10"/>
    </row>
    <row r="56" spans="1:14" x14ac:dyDescent="0.3">
      <c r="M56" s="70" t="s">
        <v>145</v>
      </c>
    </row>
    <row r="58" spans="1:14" x14ac:dyDescent="0.3">
      <c r="I58" s="46">
        <v>45658</v>
      </c>
      <c r="L58" s="46"/>
      <c r="M58" s="46"/>
      <c r="N58" s="1"/>
    </row>
    <row r="59" spans="1:14" x14ac:dyDescent="0.3">
      <c r="I59" s="13" t="s">
        <v>3</v>
      </c>
    </row>
    <row r="60" spans="1:14" x14ac:dyDescent="0.3">
      <c r="H60" s="12" t="s">
        <v>7</v>
      </c>
      <c r="I60" s="14">
        <v>0.124</v>
      </c>
      <c r="J60" s="2">
        <f>I60*100</f>
        <v>12.4</v>
      </c>
    </row>
    <row r="61" spans="1:14" x14ac:dyDescent="0.3">
      <c r="H61" s="12" t="s">
        <v>8</v>
      </c>
      <c r="I61" s="14">
        <v>9.2200000000000004E-2</v>
      </c>
      <c r="J61" s="2">
        <f t="shared" ref="J61:J65" si="110">I61*100</f>
        <v>9.2200000000000006</v>
      </c>
      <c r="N61" s="14"/>
    </row>
    <row r="62" spans="1:14" x14ac:dyDescent="0.3">
      <c r="A62" s="53" t="s">
        <v>6</v>
      </c>
      <c r="H62" s="12" t="s">
        <v>9</v>
      </c>
      <c r="I62" s="14">
        <v>-2.12E-2</v>
      </c>
      <c r="J62" s="2">
        <f t="shared" si="110"/>
        <v>-2.12</v>
      </c>
      <c r="N62" s="14"/>
    </row>
    <row r="63" spans="1:14" x14ac:dyDescent="0.3">
      <c r="H63" s="12" t="s">
        <v>10</v>
      </c>
      <c r="I63" s="14">
        <v>5.7599999999999998E-2</v>
      </c>
      <c r="J63" s="2">
        <f t="shared" si="110"/>
        <v>5.76</v>
      </c>
    </row>
    <row r="64" spans="1:14" x14ac:dyDescent="0.3">
      <c r="H64" s="12" t="s">
        <v>11</v>
      </c>
      <c r="I64" s="14">
        <v>0.1525</v>
      </c>
      <c r="J64" s="2">
        <f t="shared" si="110"/>
        <v>15.25</v>
      </c>
    </row>
    <row r="65" spans="1:20" x14ac:dyDescent="0.3">
      <c r="H65" s="12" t="s">
        <v>13</v>
      </c>
      <c r="I65" s="14">
        <f>SUM(I60:I64)</f>
        <v>0.40510000000000002</v>
      </c>
      <c r="J65" s="2">
        <f t="shared" si="110"/>
        <v>40.510000000000005</v>
      </c>
    </row>
    <row r="66" spans="1:20" x14ac:dyDescent="0.3">
      <c r="H66" s="12" t="s">
        <v>12</v>
      </c>
      <c r="I66" s="4">
        <v>0.13</v>
      </c>
      <c r="J66" s="2">
        <f>I66*J65</f>
        <v>5.2663000000000011</v>
      </c>
    </row>
    <row r="67" spans="1:20" x14ac:dyDescent="0.3">
      <c r="H67" s="12" t="s">
        <v>14</v>
      </c>
      <c r="J67" s="2">
        <f>J66+J65</f>
        <v>45.776300000000006</v>
      </c>
    </row>
    <row r="68" spans="1:20" x14ac:dyDescent="0.3">
      <c r="H68" s="12" t="s">
        <v>15</v>
      </c>
      <c r="J68" s="2">
        <v>26.74</v>
      </c>
      <c r="K68" s="2">
        <f>J68+J65</f>
        <v>67.25</v>
      </c>
    </row>
    <row r="69" spans="1:20" x14ac:dyDescent="0.3">
      <c r="H69" s="12" t="s">
        <v>12</v>
      </c>
      <c r="J69" s="2">
        <f>J68*I66</f>
        <v>3.4762</v>
      </c>
      <c r="K69" s="2">
        <f>J69+J66</f>
        <v>8.7425000000000015</v>
      </c>
    </row>
    <row r="70" spans="1:20" x14ac:dyDescent="0.3">
      <c r="H70" s="12" t="s">
        <v>16</v>
      </c>
      <c r="J70" s="2">
        <f>J69+J68</f>
        <v>30.216199999999997</v>
      </c>
    </row>
    <row r="71" spans="1:20" x14ac:dyDescent="0.3">
      <c r="H71" s="12" t="s">
        <v>17</v>
      </c>
      <c r="J71" s="2">
        <f>J70+J67</f>
        <v>75.992500000000007</v>
      </c>
    </row>
    <row r="73" spans="1:20" ht="17.850000000000001" x14ac:dyDescent="0.35">
      <c r="A73" s="16" t="s">
        <v>58</v>
      </c>
    </row>
    <row r="75" spans="1:20" x14ac:dyDescent="0.3">
      <c r="A75" s="3" t="s">
        <v>66</v>
      </c>
      <c r="T75" t="s">
        <v>156</v>
      </c>
    </row>
    <row r="76" spans="1:20" x14ac:dyDescent="0.3">
      <c r="B76" t="s">
        <v>59</v>
      </c>
      <c r="F76" s="25">
        <v>49.24</v>
      </c>
      <c r="G76" s="18" t="s">
        <v>68</v>
      </c>
    </row>
    <row r="77" spans="1:20" x14ac:dyDescent="0.3">
      <c r="B77" t="s">
        <v>146</v>
      </c>
      <c r="F77" s="25">
        <v>-1.41</v>
      </c>
      <c r="G77" s="18" t="s">
        <v>68</v>
      </c>
    </row>
    <row r="78" spans="1:20" x14ac:dyDescent="0.3">
      <c r="B78" t="s">
        <v>147</v>
      </c>
      <c r="F78" s="25">
        <v>-0.34</v>
      </c>
      <c r="G78" s="18" t="s">
        <v>68</v>
      </c>
    </row>
    <row r="79" spans="1:20" x14ac:dyDescent="0.3">
      <c r="B79" t="s">
        <v>148</v>
      </c>
      <c r="F79" s="25">
        <v>0.2</v>
      </c>
      <c r="G79" s="18" t="s">
        <v>68</v>
      </c>
    </row>
    <row r="80" spans="1:20" x14ac:dyDescent="0.3">
      <c r="B80" t="s">
        <v>149</v>
      </c>
      <c r="F80" s="25">
        <v>-0.65</v>
      </c>
      <c r="G80" s="18" t="s">
        <v>68</v>
      </c>
    </row>
    <row r="81" spans="1:30" x14ac:dyDescent="0.3">
      <c r="B81" t="s">
        <v>150</v>
      </c>
      <c r="F81" s="25">
        <v>-1.79</v>
      </c>
      <c r="G81" s="18" t="s">
        <v>68</v>
      </c>
    </row>
    <row r="82" spans="1:30" x14ac:dyDescent="0.3">
      <c r="B82" t="s">
        <v>60</v>
      </c>
      <c r="F82" s="25">
        <v>-0.09</v>
      </c>
      <c r="G82" s="18" t="s">
        <v>68</v>
      </c>
    </row>
    <row r="83" spans="1:30" x14ac:dyDescent="0.3">
      <c r="B83" t="s">
        <v>151</v>
      </c>
      <c r="F83" s="25">
        <v>-0.03</v>
      </c>
      <c r="G83" s="18" t="s">
        <v>68</v>
      </c>
    </row>
    <row r="84" spans="1:30" x14ac:dyDescent="0.3">
      <c r="B84" t="s">
        <v>152</v>
      </c>
      <c r="F84" s="25">
        <v>0.04</v>
      </c>
      <c r="G84" s="18" t="s">
        <v>68</v>
      </c>
    </row>
    <row r="85" spans="1:30" x14ac:dyDescent="0.3">
      <c r="B85" t="s">
        <v>61</v>
      </c>
      <c r="F85" s="25">
        <v>0.41</v>
      </c>
      <c r="G85" s="18" t="s">
        <v>68</v>
      </c>
    </row>
    <row r="86" spans="1:30" x14ac:dyDescent="0.3">
      <c r="B86" t="s">
        <v>154</v>
      </c>
      <c r="F86" s="25">
        <v>0.25</v>
      </c>
      <c r="G86" s="18" t="s">
        <v>68</v>
      </c>
    </row>
    <row r="87" spans="1:30" x14ac:dyDescent="0.3">
      <c r="B87" t="s">
        <v>22</v>
      </c>
      <c r="F87" s="25">
        <f>SUM(F76:F86)</f>
        <v>45.83</v>
      </c>
    </row>
    <row r="88" spans="1:30" x14ac:dyDescent="0.3">
      <c r="B88" t="s">
        <v>12</v>
      </c>
      <c r="E88" s="57">
        <v>0.13</v>
      </c>
      <c r="F88" s="25">
        <f>F87*E88</f>
        <v>5.9579000000000004</v>
      </c>
    </row>
    <row r="89" spans="1:30" x14ac:dyDescent="0.3">
      <c r="B89" t="s">
        <v>167</v>
      </c>
      <c r="E89" s="57">
        <v>-0.13100000000000001</v>
      </c>
      <c r="F89" s="25">
        <f>F87*E89</f>
        <v>-6.00373</v>
      </c>
    </row>
    <row r="90" spans="1:30" x14ac:dyDescent="0.3">
      <c r="B90" t="s">
        <v>67</v>
      </c>
      <c r="F90" s="25">
        <f>SUM(F87:F89)</f>
        <v>45.784170000000003</v>
      </c>
    </row>
    <row r="91" spans="1:30" x14ac:dyDescent="0.3">
      <c r="F91" s="25"/>
    </row>
    <row r="92" spans="1:30" x14ac:dyDescent="0.3">
      <c r="A92" s="3" t="s">
        <v>62</v>
      </c>
    </row>
    <row r="93" spans="1:30" x14ac:dyDescent="0.3">
      <c r="B93" t="s">
        <v>8</v>
      </c>
      <c r="F93" s="26">
        <f>C110</f>
        <v>9.9860000000000004E-2</v>
      </c>
      <c r="G93" s="18"/>
    </row>
    <row r="94" spans="1:30" x14ac:dyDescent="0.3">
      <c r="B94" t="s">
        <v>63</v>
      </c>
      <c r="F94" s="26">
        <v>1.8000000000000001E-4</v>
      </c>
      <c r="G94" s="53" t="s">
        <v>68</v>
      </c>
    </row>
    <row r="95" spans="1:30" x14ac:dyDescent="0.3">
      <c r="B95" t="s">
        <v>64</v>
      </c>
      <c r="F95" s="26">
        <v>2.3E-3</v>
      </c>
      <c r="G95" s="18" t="s">
        <v>68</v>
      </c>
    </row>
    <row r="96" spans="1:30" x14ac:dyDescent="0.3">
      <c r="B96" t="s">
        <v>65</v>
      </c>
      <c r="F96" s="26">
        <v>1.24E-3</v>
      </c>
      <c r="G96" s="18" t="s">
        <v>68</v>
      </c>
      <c r="AD96" s="25"/>
    </row>
    <row r="97" spans="1:30" x14ac:dyDescent="0.3">
      <c r="B97" t="s">
        <v>153</v>
      </c>
      <c r="F97" s="26">
        <v>2.359E-2</v>
      </c>
      <c r="G97" s="18" t="s">
        <v>68</v>
      </c>
      <c r="AD97" s="25"/>
    </row>
    <row r="98" spans="1:30" x14ac:dyDescent="0.3">
      <c r="B98" t="s">
        <v>155</v>
      </c>
      <c r="F98" s="26">
        <v>6.0000000000000001E-3</v>
      </c>
      <c r="G98" s="18" t="s">
        <v>68</v>
      </c>
      <c r="AD98" s="25"/>
    </row>
    <row r="99" spans="1:30" x14ac:dyDescent="0.3">
      <c r="B99" t="s">
        <v>13</v>
      </c>
      <c r="F99" s="26">
        <f>SUM(F93:F98)</f>
        <v>0.13317000000000001</v>
      </c>
    </row>
    <row r="100" spans="1:30" x14ac:dyDescent="0.3">
      <c r="B100" t="s">
        <v>12</v>
      </c>
      <c r="E100" s="57">
        <v>0.13</v>
      </c>
      <c r="F100" s="26">
        <f>F99*E100</f>
        <v>1.73121E-2</v>
      </c>
    </row>
    <row r="101" spans="1:30" x14ac:dyDescent="0.3">
      <c r="B101" t="s">
        <v>168</v>
      </c>
      <c r="E101" s="57">
        <v>-0.13100000000000001</v>
      </c>
      <c r="F101" s="26">
        <f>F99*E101</f>
        <v>-1.7445270000000002E-2</v>
      </c>
    </row>
    <row r="102" spans="1:30" x14ac:dyDescent="0.3">
      <c r="B102" t="s">
        <v>14</v>
      </c>
      <c r="F102" s="26">
        <f>SUM(F99:F101)</f>
        <v>0.13303682999999999</v>
      </c>
    </row>
    <row r="104" spans="1:30" x14ac:dyDescent="0.3">
      <c r="A104" s="7"/>
    </row>
    <row r="105" spans="1:30" x14ac:dyDescent="0.3">
      <c r="B105" s="71" t="s">
        <v>157</v>
      </c>
    </row>
    <row r="106" spans="1:30" x14ac:dyDescent="0.3">
      <c r="C106" t="s">
        <v>161</v>
      </c>
      <c r="D106" t="s">
        <v>162</v>
      </c>
    </row>
    <row r="107" spans="1:30" x14ac:dyDescent="0.3">
      <c r="B107" t="s">
        <v>158</v>
      </c>
      <c r="C107">
        <v>0.158</v>
      </c>
      <c r="D107" s="4">
        <v>0.19</v>
      </c>
    </row>
    <row r="108" spans="1:30" x14ac:dyDescent="0.3">
      <c r="B108" t="s">
        <v>159</v>
      </c>
      <c r="C108">
        <v>0.122</v>
      </c>
      <c r="D108" s="4">
        <v>0.18</v>
      </c>
    </row>
    <row r="109" spans="1:30" x14ac:dyDescent="0.3">
      <c r="B109" t="s">
        <v>160</v>
      </c>
      <c r="C109">
        <v>7.5999999999999998E-2</v>
      </c>
      <c r="D109" s="4">
        <v>0.63</v>
      </c>
    </row>
    <row r="110" spans="1:30" x14ac:dyDescent="0.3">
      <c r="B110" t="s">
        <v>166</v>
      </c>
      <c r="C110">
        <f>SUMPRODUCT(C107:C109,D107:D109)</f>
        <v>9.9860000000000004E-2</v>
      </c>
      <c r="D110" s="4"/>
    </row>
    <row r="112" spans="1:30" x14ac:dyDescent="0.3">
      <c r="B112" t="s">
        <v>163</v>
      </c>
      <c r="E112" s="18" t="s">
        <v>68</v>
      </c>
    </row>
    <row r="113" spans="2:5" x14ac:dyDescent="0.3">
      <c r="B113" t="s">
        <v>164</v>
      </c>
      <c r="E113" s="18" t="s">
        <v>165</v>
      </c>
    </row>
    <row r="131" spans="6:6" x14ac:dyDescent="0.3">
      <c r="F131" s="4"/>
    </row>
  </sheetData>
  <mergeCells count="9">
    <mergeCell ref="AP2:AR2"/>
    <mergeCell ref="AQ6:AQ11"/>
    <mergeCell ref="AP13:AP20"/>
    <mergeCell ref="AQ15:AQ20"/>
    <mergeCell ref="AQ5:BJ5"/>
    <mergeCell ref="AQ14:BJ14"/>
    <mergeCell ref="AP3:BJ3"/>
    <mergeCell ref="AP12:BJ12"/>
    <mergeCell ref="AP4:AP11"/>
  </mergeCells>
  <phoneticPr fontId="9" type="noConversion"/>
  <hyperlinks>
    <hyperlink ref="G76" r:id="rId1" xr:uid="{C5C15B4E-2D53-4D52-874A-DDD433F807D1}"/>
    <hyperlink ref="A62" r:id="rId2" xr:uid="{5A025963-5FB3-4E46-B5BE-D1727646D08B}"/>
    <hyperlink ref="G94" r:id="rId3" xr:uid="{DEF57D6E-309F-43F5-A44F-FCE71CCD2DBD}"/>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5D53E-E8FE-4229-8E56-58014E44C158}">
  <dimension ref="A1:V164"/>
  <sheetViews>
    <sheetView topLeftCell="A4" zoomScale="80" zoomScaleNormal="80" workbookViewId="0">
      <selection activeCell="I22" sqref="I22"/>
    </sheetView>
  </sheetViews>
  <sheetFormatPr defaultRowHeight="14.4" x14ac:dyDescent="0.3"/>
  <cols>
    <col min="1" max="1" width="2.296875" customWidth="1"/>
    <col min="2" max="2" width="28.296875" customWidth="1"/>
    <col min="3" max="3" width="10.796875" customWidth="1"/>
    <col min="4" max="4" width="9.09765625" customWidth="1"/>
    <col min="5" max="5" width="10.796875" customWidth="1"/>
    <col min="6" max="6" width="11.5" customWidth="1"/>
    <col min="7" max="7" width="10.296875" customWidth="1"/>
    <col min="8" max="14" width="6.69921875" customWidth="1"/>
    <col min="15" max="15" width="9.09765625" bestFit="1" customWidth="1"/>
  </cols>
  <sheetData>
    <row r="1" spans="1:22" ht="17.850000000000001" x14ac:dyDescent="0.35">
      <c r="A1" s="16" t="s">
        <v>69</v>
      </c>
    </row>
    <row r="2" spans="1:22" ht="17.850000000000001" x14ac:dyDescent="0.35">
      <c r="A2" s="16"/>
    </row>
    <row r="3" spans="1:22" x14ac:dyDescent="0.3">
      <c r="A3" s="103"/>
      <c r="B3" s="103"/>
      <c r="C3" s="109" t="s">
        <v>172</v>
      </c>
      <c r="D3" s="111" t="s">
        <v>126</v>
      </c>
      <c r="E3" s="109" t="s">
        <v>30</v>
      </c>
      <c r="F3" s="109" t="s">
        <v>137</v>
      </c>
      <c r="G3" s="109" t="s">
        <v>224</v>
      </c>
      <c r="H3" s="109" t="s">
        <v>53</v>
      </c>
      <c r="I3" s="109" t="s">
        <v>43</v>
      </c>
      <c r="J3" s="109" t="s">
        <v>138</v>
      </c>
      <c r="K3" s="108" t="s">
        <v>37</v>
      </c>
      <c r="L3" s="108"/>
      <c r="M3" s="108"/>
      <c r="N3" s="108"/>
    </row>
    <row r="4" spans="1:22" ht="43.2" customHeight="1" x14ac:dyDescent="0.3">
      <c r="A4" s="103"/>
      <c r="B4" s="103"/>
      <c r="C4" s="109"/>
      <c r="D4" s="112"/>
      <c r="E4" s="109"/>
      <c r="F4" s="109"/>
      <c r="G4" s="109"/>
      <c r="H4" s="109"/>
      <c r="I4" s="109"/>
      <c r="J4" s="109"/>
      <c r="K4" s="27" t="s">
        <v>50</v>
      </c>
      <c r="L4" s="27" t="s">
        <v>51</v>
      </c>
      <c r="M4" s="27" t="s">
        <v>52</v>
      </c>
      <c r="N4" s="27" t="s">
        <v>22</v>
      </c>
    </row>
    <row r="5" spans="1:22" x14ac:dyDescent="0.3">
      <c r="A5" s="106" t="s">
        <v>31</v>
      </c>
      <c r="B5" s="106"/>
      <c r="C5" s="106"/>
      <c r="D5" s="106"/>
      <c r="E5" s="106"/>
      <c r="F5" s="106"/>
      <c r="G5" s="106"/>
      <c r="H5" s="106"/>
      <c r="I5" s="106"/>
      <c r="J5" s="106"/>
      <c r="K5" s="106"/>
      <c r="L5" s="106"/>
      <c r="M5" s="106"/>
      <c r="N5" s="106"/>
    </row>
    <row r="6" spans="1:22" x14ac:dyDescent="0.3">
      <c r="A6" s="113"/>
      <c r="B6" s="28" t="s">
        <v>139</v>
      </c>
      <c r="C6" s="29"/>
      <c r="D6" s="29"/>
      <c r="E6" s="29"/>
      <c r="F6" s="29"/>
      <c r="G6" s="64">
        <v>0.9</v>
      </c>
      <c r="H6" s="62">
        <v>13</v>
      </c>
      <c r="I6" s="29"/>
      <c r="J6" s="32">
        <f>C38</f>
        <v>2101</v>
      </c>
      <c r="K6" s="28">
        <f>K7</f>
        <v>631</v>
      </c>
      <c r="L6" s="28">
        <v>779</v>
      </c>
      <c r="M6" s="28"/>
      <c r="N6" s="30">
        <f>SUM(K6:M6)</f>
        <v>1410</v>
      </c>
    </row>
    <row r="7" spans="1:22" x14ac:dyDescent="0.3">
      <c r="A7" s="114"/>
      <c r="B7" s="28" t="s">
        <v>48</v>
      </c>
      <c r="C7" s="60">
        <f>D93</f>
        <v>9120.0399999999991</v>
      </c>
      <c r="D7" s="61"/>
      <c r="E7" s="62">
        <v>18</v>
      </c>
      <c r="F7" s="31">
        <f>-PMT($C$23,E7,C7)</f>
        <v>720.42231240916442</v>
      </c>
      <c r="G7" s="64">
        <v>0.95</v>
      </c>
      <c r="H7" s="62">
        <v>14</v>
      </c>
      <c r="I7" s="29"/>
      <c r="J7" s="32">
        <f>J6*G6/G7</f>
        <v>1990.4210526315792</v>
      </c>
      <c r="K7" s="28">
        <f>C43</f>
        <v>631</v>
      </c>
      <c r="L7" s="32">
        <f>L6*H6/H7</f>
        <v>723.35714285714289</v>
      </c>
      <c r="M7" s="28"/>
      <c r="N7" s="30">
        <f t="shared" ref="N7:N19" si="0">SUM(K7:M7)</f>
        <v>1354.3571428571429</v>
      </c>
    </row>
    <row r="8" spans="1:22" ht="14.4" hidden="1" customHeight="1" x14ac:dyDescent="0.3">
      <c r="A8" s="114"/>
      <c r="B8" s="28" t="s">
        <v>29</v>
      </c>
      <c r="C8" s="60" t="e">
        <f>#REF!</f>
        <v>#REF!</v>
      </c>
      <c r="D8" s="61"/>
      <c r="E8" s="62">
        <v>18</v>
      </c>
      <c r="F8" s="31" t="e">
        <f>-PMT($C$23,E8,C8)</f>
        <v>#REF!</v>
      </c>
      <c r="G8" s="64">
        <v>1.22</v>
      </c>
      <c r="H8" s="62">
        <v>14</v>
      </c>
      <c r="I8" s="29"/>
      <c r="J8" s="32">
        <f>J7*G7/G8</f>
        <v>1549.9180327868853</v>
      </c>
      <c r="K8" s="28">
        <v>0</v>
      </c>
      <c r="L8" s="32">
        <f>L7*H7/H8</f>
        <v>723.35714285714289</v>
      </c>
      <c r="M8" s="28"/>
      <c r="N8" s="30">
        <f t="shared" si="0"/>
        <v>723.35714285714289</v>
      </c>
    </row>
    <row r="9" spans="1:22" x14ac:dyDescent="0.3">
      <c r="A9" s="115"/>
      <c r="B9" s="28" t="s">
        <v>28</v>
      </c>
      <c r="C9" s="60">
        <f>IF(Summary!D4="Y",C81-Equipment!C28,F81)</f>
        <v>9654.0554999999986</v>
      </c>
      <c r="D9" s="61"/>
      <c r="E9" s="62">
        <v>18</v>
      </c>
      <c r="F9" s="31">
        <f>-PMT($C$23,$E9,$C$9)</f>
        <v>762.60597403480813</v>
      </c>
      <c r="G9" s="64">
        <f>C82</f>
        <v>2.87</v>
      </c>
      <c r="H9" s="62">
        <v>18</v>
      </c>
      <c r="I9" s="29"/>
      <c r="J9" s="28"/>
      <c r="K9" s="33">
        <f>J6*C26*(G6/G9)/C27</f>
        <v>7148.4857706557295</v>
      </c>
      <c r="L9" s="32">
        <f>L8*H8/H9</f>
        <v>562.61111111111109</v>
      </c>
      <c r="M9" s="28"/>
      <c r="N9" s="30">
        <f t="shared" si="0"/>
        <v>7711.0968817668409</v>
      </c>
      <c r="O9" s="18" t="s">
        <v>175</v>
      </c>
    </row>
    <row r="10" spans="1:22" x14ac:dyDescent="0.3">
      <c r="A10" s="106" t="s">
        <v>32</v>
      </c>
      <c r="B10" s="106"/>
      <c r="C10" s="106"/>
      <c r="D10" s="106"/>
      <c r="E10" s="106"/>
      <c r="F10" s="106"/>
      <c r="G10" s="106"/>
      <c r="H10" s="106"/>
      <c r="I10" s="106"/>
      <c r="J10" s="106"/>
      <c r="K10" s="106"/>
      <c r="L10" s="106"/>
      <c r="M10" s="106"/>
      <c r="N10" s="106"/>
    </row>
    <row r="11" spans="1:22" x14ac:dyDescent="0.3">
      <c r="A11" s="113"/>
      <c r="B11" s="28" t="s">
        <v>49</v>
      </c>
      <c r="C11" s="29"/>
      <c r="D11" s="29"/>
      <c r="E11" s="29"/>
      <c r="F11" s="29"/>
      <c r="G11" s="29"/>
      <c r="H11" s="29"/>
      <c r="I11" s="63">
        <f>C72</f>
        <v>0.65</v>
      </c>
      <c r="J11" s="32">
        <f>C39</f>
        <v>440</v>
      </c>
      <c r="K11" s="28"/>
      <c r="L11" s="28"/>
      <c r="M11" s="28"/>
      <c r="N11" s="30">
        <f t="shared" si="0"/>
        <v>0</v>
      </c>
      <c r="O11" s="18" t="s">
        <v>97</v>
      </c>
    </row>
    <row r="12" spans="1:22" x14ac:dyDescent="0.3">
      <c r="A12" s="114"/>
      <c r="B12" s="28" t="s">
        <v>33</v>
      </c>
      <c r="C12" s="60">
        <f>H111</f>
        <v>3499.6600874999995</v>
      </c>
      <c r="D12" s="60">
        <f>PV($C$23,E12/2,PMT($C$23,E12,C12))*'Customer Cost Calcs'!C7</f>
        <v>1998.6307351572609</v>
      </c>
      <c r="E12" s="62">
        <f>C158</f>
        <v>14.6</v>
      </c>
      <c r="F12" s="31">
        <f>-PMT($C$23,E12,C12)</f>
        <v>321.102388656681</v>
      </c>
      <c r="G12" s="29"/>
      <c r="H12" s="29"/>
      <c r="I12" s="63">
        <f>H112</f>
        <v>0.69</v>
      </c>
      <c r="J12" s="32">
        <f>J11*(I11/I12)</f>
        <v>414.49275362318843</v>
      </c>
      <c r="K12" s="28"/>
      <c r="L12" s="28"/>
      <c r="M12" s="28"/>
      <c r="N12" s="30">
        <f t="shared" si="0"/>
        <v>0</v>
      </c>
      <c r="O12" s="18"/>
    </row>
    <row r="13" spans="1:22" x14ac:dyDescent="0.3">
      <c r="A13" s="115"/>
      <c r="B13" s="28" t="s">
        <v>34</v>
      </c>
      <c r="C13" s="60">
        <f>G101-C29</f>
        <v>3650.1760649999997</v>
      </c>
      <c r="D13" s="60"/>
      <c r="E13" s="62">
        <f>C157</f>
        <v>15.1</v>
      </c>
      <c r="F13" s="31">
        <f>-PMT($C$23,$E$13,$C$13)</f>
        <v>326.7041754623811</v>
      </c>
      <c r="G13" s="29"/>
      <c r="H13" s="29"/>
      <c r="I13" s="63">
        <f>G102</f>
        <v>3.75</v>
      </c>
      <c r="J13" s="28"/>
      <c r="K13" s="32">
        <f>J12*C26*(I12/I13)/C27</f>
        <v>827.48886283704576</v>
      </c>
      <c r="L13" s="28"/>
      <c r="M13" s="28"/>
      <c r="N13" s="30">
        <f t="shared" si="0"/>
        <v>827.48886283704576</v>
      </c>
      <c r="O13" s="18"/>
    </row>
    <row r="14" spans="1:22" x14ac:dyDescent="0.3">
      <c r="A14" s="106" t="s">
        <v>39</v>
      </c>
      <c r="B14" s="106"/>
      <c r="C14" s="106"/>
      <c r="D14" s="106"/>
      <c r="E14" s="106"/>
      <c r="F14" s="106"/>
      <c r="G14" s="106"/>
      <c r="H14" s="106"/>
      <c r="I14" s="106"/>
      <c r="J14" s="106"/>
      <c r="K14" s="106"/>
      <c r="L14" s="106"/>
      <c r="M14" s="106"/>
      <c r="N14" s="106"/>
      <c r="O14" s="18"/>
    </row>
    <row r="15" spans="1:22" x14ac:dyDescent="0.3">
      <c r="A15" s="116"/>
      <c r="B15" s="28" t="s">
        <v>35</v>
      </c>
      <c r="C15" s="60">
        <f>G130</f>
        <v>1139.17335</v>
      </c>
      <c r="D15" s="60">
        <f>PV($C$23,E15/2,PMT($C$23,E15,C15))*'Customer Cost Calcs'!C8</f>
        <v>641.79968003452427</v>
      </c>
      <c r="E15" s="62">
        <f>C159</f>
        <v>13</v>
      </c>
      <c r="F15" s="31">
        <f>-PMT($C$23,E15,C15)</f>
        <v>114.08106589539968</v>
      </c>
      <c r="G15" s="29"/>
      <c r="H15" s="29"/>
      <c r="I15" s="77">
        <f>E131</f>
        <v>3.48</v>
      </c>
      <c r="J15" s="32">
        <f>(((M16*C27)*(I16/I15))-(M15*C27))/C26</f>
        <v>53.386060967355334</v>
      </c>
      <c r="K15" s="28"/>
      <c r="L15" s="28"/>
      <c r="M15" s="33">
        <f>C44</f>
        <v>108</v>
      </c>
      <c r="N15" s="30">
        <f t="shared" si="0"/>
        <v>108</v>
      </c>
      <c r="O15" s="18" t="s">
        <v>124</v>
      </c>
    </row>
    <row r="16" spans="1:22" x14ac:dyDescent="0.3">
      <c r="A16" s="117"/>
      <c r="B16" s="28" t="s">
        <v>36</v>
      </c>
      <c r="C16" s="60">
        <f>G121</f>
        <v>886.86267750000002</v>
      </c>
      <c r="D16" s="60"/>
      <c r="E16" s="62">
        <f>C160</f>
        <v>13</v>
      </c>
      <c r="F16" s="31">
        <f>-PMT($C$23,E16,C16)</f>
        <v>88.813734583984171</v>
      </c>
      <c r="G16" s="29"/>
      <c r="H16" s="29"/>
      <c r="I16" s="63">
        <f>E122</f>
        <v>3.94</v>
      </c>
      <c r="J16" s="28"/>
      <c r="K16" s="28"/>
      <c r="L16" s="28"/>
      <c r="M16" s="33">
        <v>607</v>
      </c>
      <c r="N16" s="30">
        <f>SUM(K16:M16)</f>
        <v>607</v>
      </c>
      <c r="O16" s="18" t="s">
        <v>253</v>
      </c>
      <c r="V16" s="18" t="s">
        <v>93</v>
      </c>
    </row>
    <row r="17" spans="1:14" x14ac:dyDescent="0.3">
      <c r="A17" s="106" t="s">
        <v>38</v>
      </c>
      <c r="B17" s="106"/>
      <c r="C17" s="106"/>
      <c r="D17" s="106"/>
      <c r="E17" s="106"/>
      <c r="F17" s="106"/>
      <c r="G17" s="106"/>
      <c r="H17" s="106"/>
      <c r="I17" s="106"/>
      <c r="J17" s="106"/>
      <c r="K17" s="106"/>
      <c r="L17" s="106"/>
      <c r="M17" s="106"/>
      <c r="N17" s="106"/>
    </row>
    <row r="18" spans="1:14" x14ac:dyDescent="0.3">
      <c r="A18" s="116"/>
      <c r="B18" s="28" t="s">
        <v>40</v>
      </c>
      <c r="C18" s="60">
        <f>G148</f>
        <v>1515.3800125</v>
      </c>
      <c r="D18" s="60">
        <f>PV($C$23,E18/2,PMT($C$23,E18,C18))*'Customer Cost Calcs'!C9</f>
        <v>868.33263707736012</v>
      </c>
      <c r="E18" s="62">
        <f>C161</f>
        <v>15</v>
      </c>
      <c r="F18" s="31">
        <f>-PMT($C$23,E18,C18)</f>
        <v>136.29494580442912</v>
      </c>
      <c r="G18" s="29"/>
      <c r="H18" s="29"/>
      <c r="I18" s="29"/>
      <c r="J18" s="32">
        <f>C68</f>
        <v>94.054054054054063</v>
      </c>
      <c r="K18" s="28"/>
      <c r="L18" s="28"/>
      <c r="M18" s="28"/>
      <c r="N18" s="30">
        <f t="shared" si="0"/>
        <v>0</v>
      </c>
    </row>
    <row r="19" spans="1:14" x14ac:dyDescent="0.3">
      <c r="A19" s="117"/>
      <c r="B19" s="28" t="s">
        <v>42</v>
      </c>
      <c r="C19" s="60">
        <f>G139</f>
        <v>1613.3800125</v>
      </c>
      <c r="D19" s="60"/>
      <c r="E19" s="62">
        <f>C162</f>
        <v>17</v>
      </c>
      <c r="F19" s="31">
        <f>-PMT($C$23,E19,C19)</f>
        <v>132.61745259559282</v>
      </c>
      <c r="G19" s="29"/>
      <c r="H19" s="29"/>
      <c r="I19" s="29"/>
      <c r="J19" s="28"/>
      <c r="K19" s="28"/>
      <c r="L19" s="28"/>
      <c r="M19" s="33">
        <f>(J18*C26/C27/C47)*(1-C48)</f>
        <v>389.17275000000006</v>
      </c>
      <c r="N19" s="30">
        <f t="shared" si="0"/>
        <v>389.17275000000006</v>
      </c>
    </row>
    <row r="20" spans="1:14" x14ac:dyDescent="0.3">
      <c r="C20" s="20"/>
      <c r="D20" s="20"/>
    </row>
    <row r="21" spans="1:14" x14ac:dyDescent="0.3">
      <c r="C21" s="20"/>
      <c r="D21" s="20"/>
      <c r="E21" s="5"/>
    </row>
    <row r="22" spans="1:14" ht="16.149999999999999" x14ac:dyDescent="0.35">
      <c r="A22" s="35" t="s">
        <v>122</v>
      </c>
      <c r="J22" s="37"/>
    </row>
    <row r="23" spans="1:14" x14ac:dyDescent="0.3">
      <c r="B23" t="s">
        <v>41</v>
      </c>
      <c r="C23" s="21">
        <v>0.04</v>
      </c>
      <c r="D23" s="21"/>
      <c r="E23" s="18" t="s">
        <v>228</v>
      </c>
    </row>
    <row r="24" spans="1:14" x14ac:dyDescent="0.3">
      <c r="B24" t="s">
        <v>45</v>
      </c>
      <c r="C24" s="23">
        <v>3.9079999999999997E-2</v>
      </c>
      <c r="D24" s="23"/>
      <c r="E24" s="18" t="s">
        <v>180</v>
      </c>
      <c r="J24" s="37"/>
    </row>
    <row r="25" spans="1:14" x14ac:dyDescent="0.3">
      <c r="B25" t="s">
        <v>44</v>
      </c>
      <c r="C25">
        <v>3.7019999999999997E-2</v>
      </c>
      <c r="E25" s="18" t="s">
        <v>181</v>
      </c>
      <c r="J25" s="38"/>
    </row>
    <row r="26" spans="1:14" x14ac:dyDescent="0.3">
      <c r="B26" t="s">
        <v>46</v>
      </c>
      <c r="C26" s="22">
        <f>C25*1000000</f>
        <v>37020</v>
      </c>
      <c r="D26" s="22"/>
    </row>
    <row r="27" spans="1:14" x14ac:dyDescent="0.3">
      <c r="B27" t="s">
        <v>47</v>
      </c>
      <c r="C27">
        <v>3412</v>
      </c>
    </row>
    <row r="28" spans="1:14" x14ac:dyDescent="0.3">
      <c r="B28" t="s">
        <v>233</v>
      </c>
      <c r="C28" s="20">
        <v>3000</v>
      </c>
      <c r="E28" s="78" t="s">
        <v>235</v>
      </c>
    </row>
    <row r="29" spans="1:14" x14ac:dyDescent="0.3">
      <c r="B29" t="s">
        <v>234</v>
      </c>
      <c r="C29" s="20">
        <v>500</v>
      </c>
      <c r="E29" s="78" t="s">
        <v>235</v>
      </c>
    </row>
    <row r="30" spans="1:14" ht="28.8" customHeight="1" x14ac:dyDescent="0.3">
      <c r="B30" t="s">
        <v>5</v>
      </c>
      <c r="C30" s="75" t="s">
        <v>189</v>
      </c>
      <c r="D30" s="40" t="s">
        <v>190</v>
      </c>
      <c r="E30" s="40" t="s">
        <v>191</v>
      </c>
      <c r="F30" s="40" t="s">
        <v>192</v>
      </c>
      <c r="G30" s="40"/>
    </row>
    <row r="31" spans="1:14" x14ac:dyDescent="0.3">
      <c r="C31" s="10">
        <f>1.1122*1.025</f>
        <v>1.1400049999999999</v>
      </c>
      <c r="D31" s="10">
        <f>1.051*1.025</f>
        <v>1.0772749999999998</v>
      </c>
      <c r="E31" s="10">
        <f>1.019*1.025</f>
        <v>1.0444749999999998</v>
      </c>
      <c r="F31" s="10">
        <v>1.0249999999999999</v>
      </c>
      <c r="G31" s="18" t="s">
        <v>193</v>
      </c>
    </row>
    <row r="32" spans="1:14" x14ac:dyDescent="0.3">
      <c r="B32" t="s">
        <v>88</v>
      </c>
      <c r="C32">
        <v>1.37</v>
      </c>
      <c r="D32" s="59"/>
      <c r="E32" s="18" t="s">
        <v>243</v>
      </c>
    </row>
    <row r="33" spans="1:13" x14ac:dyDescent="0.3">
      <c r="E33" s="18"/>
    </row>
    <row r="35" spans="1:13" x14ac:dyDescent="0.3">
      <c r="M35" s="53" t="s">
        <v>87</v>
      </c>
    </row>
    <row r="36" spans="1:13" ht="16.149999999999999" x14ac:dyDescent="0.35">
      <c r="A36" s="35" t="s">
        <v>176</v>
      </c>
    </row>
    <row r="37" spans="1:13" ht="16.149999999999999" x14ac:dyDescent="0.35">
      <c r="A37" s="35"/>
    </row>
    <row r="38" spans="1:13" ht="16.149999999999999" x14ac:dyDescent="0.35">
      <c r="A38" s="35"/>
      <c r="B38" t="s">
        <v>50</v>
      </c>
      <c r="C38">
        <v>2101</v>
      </c>
      <c r="D38" s="18" t="s">
        <v>173</v>
      </c>
      <c r="E38" s="18"/>
    </row>
    <row r="39" spans="1:13" ht="16.149999999999999" x14ac:dyDescent="0.35">
      <c r="A39" s="35"/>
      <c r="B39" t="s">
        <v>32</v>
      </c>
      <c r="C39">
        <v>440</v>
      </c>
      <c r="D39" s="18" t="str">
        <f>D38</f>
        <v>Posterity response to JT2.1 (Rebasing Phase 1)</v>
      </c>
      <c r="E39" s="18"/>
    </row>
    <row r="40" spans="1:13" ht="16.149999999999999" x14ac:dyDescent="0.35">
      <c r="A40" s="35"/>
      <c r="B40" t="s">
        <v>110</v>
      </c>
      <c r="C40">
        <v>3371</v>
      </c>
      <c r="D40" s="18" t="str">
        <f t="shared" ref="D40:D41" si="1">D39</f>
        <v>Posterity response to JT2.1 (Rebasing Phase 1)</v>
      </c>
      <c r="E40" s="18"/>
    </row>
    <row r="41" spans="1:13" ht="16.149999999999999" x14ac:dyDescent="0.35">
      <c r="A41" s="35"/>
      <c r="B41" t="s">
        <v>111</v>
      </c>
      <c r="C41">
        <f>C40-C39-C38</f>
        <v>830</v>
      </c>
      <c r="D41" s="18" t="str">
        <f t="shared" si="1"/>
        <v>Posterity response to JT2.1 (Rebasing Phase 1)</v>
      </c>
      <c r="E41" s="18"/>
    </row>
    <row r="42" spans="1:13" ht="16.149999999999999" x14ac:dyDescent="0.35">
      <c r="A42" s="35"/>
      <c r="B42" t="s">
        <v>85</v>
      </c>
      <c r="C42" s="36">
        <v>779</v>
      </c>
      <c r="D42" s="18" t="s">
        <v>86</v>
      </c>
      <c r="E42" s="18"/>
      <c r="G42" s="36"/>
      <c r="H42" s="36"/>
      <c r="I42" s="1"/>
    </row>
    <row r="43" spans="1:13" ht="16.149999999999999" x14ac:dyDescent="0.35">
      <c r="A43" s="35"/>
      <c r="B43" t="s">
        <v>83</v>
      </c>
      <c r="C43">
        <v>631</v>
      </c>
      <c r="D43" s="18" t="s">
        <v>174</v>
      </c>
    </row>
    <row r="44" spans="1:13" x14ac:dyDescent="0.3">
      <c r="B44" t="s">
        <v>84</v>
      </c>
      <c r="C44">
        <v>108</v>
      </c>
      <c r="D44" t="s">
        <v>89</v>
      </c>
    </row>
    <row r="45" spans="1:13" x14ac:dyDescent="0.3">
      <c r="B45" t="s">
        <v>90</v>
      </c>
      <c r="C45">
        <v>290</v>
      </c>
      <c r="D45" t="s">
        <v>177</v>
      </c>
      <c r="G45" s="18" t="s">
        <v>251</v>
      </c>
    </row>
    <row r="46" spans="1:13" x14ac:dyDescent="0.3">
      <c r="B46" t="s">
        <v>91</v>
      </c>
      <c r="C46">
        <v>24</v>
      </c>
      <c r="D46" t="s">
        <v>178</v>
      </c>
      <c r="G46" s="18" t="s">
        <v>252</v>
      </c>
      <c r="H46" s="18"/>
    </row>
    <row r="47" spans="1:13" x14ac:dyDescent="0.3">
      <c r="B47" t="s">
        <v>92</v>
      </c>
      <c r="C47" s="9">
        <f>(C46*100000)/(C45*3412)</f>
        <v>2.4255164328738328</v>
      </c>
      <c r="H47" s="18"/>
    </row>
    <row r="48" spans="1:13" x14ac:dyDescent="0.3">
      <c r="B48" t="s">
        <v>94</v>
      </c>
      <c r="C48" s="43">
        <v>7.4999999999999997E-2</v>
      </c>
      <c r="D48" t="s">
        <v>96</v>
      </c>
      <c r="G48" s="18" t="s">
        <v>95</v>
      </c>
    </row>
    <row r="49" spans="1:9" ht="16.149999999999999" x14ac:dyDescent="0.35">
      <c r="A49" s="35"/>
    </row>
    <row r="50" spans="1:9" ht="16.149999999999999" x14ac:dyDescent="0.35">
      <c r="A50" s="35"/>
    </row>
    <row r="51" spans="1:9" ht="16.149999999999999" x14ac:dyDescent="0.35">
      <c r="A51" s="35"/>
    </row>
    <row r="63" spans="1:9" x14ac:dyDescent="0.3">
      <c r="B63" s="107"/>
      <c r="C63" s="110" t="s">
        <v>76</v>
      </c>
      <c r="D63" s="110"/>
      <c r="E63" s="110"/>
      <c r="F63" s="110"/>
      <c r="G63" s="110"/>
      <c r="H63" s="110"/>
      <c r="I63" s="3"/>
    </row>
    <row r="64" spans="1:9" x14ac:dyDescent="0.3">
      <c r="B64" s="107"/>
      <c r="C64" s="13" t="s">
        <v>71</v>
      </c>
      <c r="D64" s="13"/>
      <c r="E64" s="13" t="s">
        <v>72</v>
      </c>
      <c r="F64" s="13" t="s">
        <v>73</v>
      </c>
      <c r="G64" s="13" t="s">
        <v>74</v>
      </c>
      <c r="H64" s="13" t="s">
        <v>75</v>
      </c>
      <c r="I64" s="13" t="s">
        <v>22</v>
      </c>
    </row>
    <row r="65" spans="1:13" x14ac:dyDescent="0.3">
      <c r="B65" t="s">
        <v>77</v>
      </c>
      <c r="C65" s="4">
        <v>0.01</v>
      </c>
      <c r="D65" s="4"/>
      <c r="E65" s="8">
        <v>9.0999999999999998E-2</v>
      </c>
      <c r="F65" s="8">
        <v>0.753</v>
      </c>
      <c r="G65" s="8">
        <v>1.4999999999999999E-2</v>
      </c>
      <c r="H65" s="8">
        <v>0.13100000000000001</v>
      </c>
      <c r="I65" s="4">
        <f>SUM(C65:H65)</f>
        <v>1</v>
      </c>
    </row>
    <row r="66" spans="1:13" x14ac:dyDescent="0.3">
      <c r="B66" t="s">
        <v>78</v>
      </c>
      <c r="C66" s="34">
        <f>C65*$I$66</f>
        <v>27.84</v>
      </c>
      <c r="D66" s="34"/>
      <c r="E66" s="34">
        <f>E65*$I$66</f>
        <v>253.34399999999999</v>
      </c>
      <c r="F66" s="34">
        <f>F65*$I$66</f>
        <v>2096.3519999999999</v>
      </c>
      <c r="G66" s="34">
        <f>G65*$I$66</f>
        <v>41.76</v>
      </c>
      <c r="H66" s="34">
        <f>H65*$I$66</f>
        <v>364.70400000000001</v>
      </c>
      <c r="I66">
        <v>2784</v>
      </c>
    </row>
    <row r="67" spans="1:13" x14ac:dyDescent="0.3">
      <c r="B67" t="s">
        <v>79</v>
      </c>
      <c r="C67" s="8">
        <v>0.29599999999999999</v>
      </c>
      <c r="D67" s="8"/>
      <c r="E67" s="4">
        <v>0.5</v>
      </c>
      <c r="F67" s="8">
        <v>0.96299999999999997</v>
      </c>
      <c r="G67" s="8">
        <v>0.155</v>
      </c>
      <c r="H67" s="8">
        <v>0.81899999999999995</v>
      </c>
      <c r="I67" s="107"/>
    </row>
    <row r="68" spans="1:13" x14ac:dyDescent="0.3">
      <c r="B68" t="s">
        <v>80</v>
      </c>
      <c r="C68" s="36">
        <f>C66/C67</f>
        <v>94.054054054054063</v>
      </c>
      <c r="D68" s="36"/>
      <c r="E68" s="36">
        <f t="shared" ref="E68:H68" si="2">E66/E67</f>
        <v>506.68799999999999</v>
      </c>
      <c r="F68" s="36">
        <f t="shared" si="2"/>
        <v>2176.897196261682</v>
      </c>
      <c r="G68" s="36">
        <f t="shared" si="2"/>
        <v>269.41935483870969</v>
      </c>
      <c r="H68" s="36">
        <f t="shared" si="2"/>
        <v>445.30402930402931</v>
      </c>
      <c r="I68" s="107"/>
      <c r="J68" s="34"/>
    </row>
    <row r="69" spans="1:13" x14ac:dyDescent="0.3">
      <c r="C69" s="18" t="s">
        <v>179</v>
      </c>
      <c r="D69" s="36"/>
      <c r="E69" s="36"/>
      <c r="F69" s="36"/>
      <c r="G69" s="36"/>
      <c r="H69" s="36"/>
      <c r="I69" s="1"/>
      <c r="J69" s="34"/>
    </row>
    <row r="70" spans="1:13" x14ac:dyDescent="0.3">
      <c r="C70" s="36"/>
      <c r="D70" s="36"/>
      <c r="E70" s="36"/>
      <c r="F70" s="36"/>
      <c r="G70" s="36"/>
      <c r="H70" s="36"/>
      <c r="I70" s="1"/>
    </row>
    <row r="71" spans="1:13" ht="16.149999999999999" x14ac:dyDescent="0.35">
      <c r="A71" s="35" t="s">
        <v>216</v>
      </c>
      <c r="C71" s="36"/>
      <c r="D71" s="36"/>
      <c r="E71" s="36"/>
      <c r="F71" s="36"/>
      <c r="G71" s="36"/>
      <c r="H71" s="36"/>
      <c r="I71" s="1"/>
    </row>
    <row r="72" spans="1:13" ht="16.149999999999999" x14ac:dyDescent="0.35">
      <c r="A72" s="35"/>
      <c r="B72" t="s">
        <v>217</v>
      </c>
      <c r="C72" s="9">
        <v>0.65</v>
      </c>
      <c r="D72" s="18" t="s">
        <v>218</v>
      </c>
      <c r="E72" s="36"/>
      <c r="F72" s="36"/>
      <c r="G72" s="36"/>
      <c r="H72" s="36"/>
      <c r="I72" s="1"/>
    </row>
    <row r="73" spans="1:13" ht="16.149999999999999" x14ac:dyDescent="0.35">
      <c r="A73" s="35"/>
      <c r="C73" s="36"/>
      <c r="D73" s="36"/>
      <c r="E73" s="36"/>
      <c r="F73" s="36"/>
      <c r="G73" s="36"/>
      <c r="H73" s="36"/>
      <c r="I73" s="1"/>
    </row>
    <row r="74" spans="1:13" x14ac:dyDescent="0.3">
      <c r="C74" s="36"/>
      <c r="D74" s="36"/>
      <c r="E74" s="36"/>
      <c r="F74" s="36"/>
      <c r="G74" s="36"/>
      <c r="H74" s="36"/>
      <c r="I74" s="1"/>
    </row>
    <row r="75" spans="1:13" x14ac:dyDescent="0.3">
      <c r="C75" s="36"/>
      <c r="D75" s="36"/>
      <c r="E75" s="36"/>
      <c r="F75" s="36"/>
      <c r="G75" s="36"/>
      <c r="H75" s="36"/>
      <c r="I75" s="1"/>
    </row>
    <row r="76" spans="1:13" ht="16.149999999999999" x14ac:dyDescent="0.35">
      <c r="A76" s="35" t="s">
        <v>81</v>
      </c>
    </row>
    <row r="77" spans="1:13" ht="16.149999999999999" x14ac:dyDescent="0.35">
      <c r="A77" s="35"/>
      <c r="B77" s="3" t="s">
        <v>184</v>
      </c>
    </row>
    <row r="78" spans="1:13" ht="86.4" x14ac:dyDescent="0.3">
      <c r="B78" s="41"/>
      <c r="C78" s="19" t="s">
        <v>182</v>
      </c>
      <c r="D78" s="19" t="s">
        <v>194</v>
      </c>
      <c r="E78" s="19" t="s">
        <v>196</v>
      </c>
      <c r="F78" s="19" t="s">
        <v>199</v>
      </c>
      <c r="G78" s="19" t="s">
        <v>202</v>
      </c>
      <c r="L78" s="19"/>
      <c r="M78" s="18"/>
    </row>
    <row r="79" spans="1:13" x14ac:dyDescent="0.3">
      <c r="B79" t="s">
        <v>82</v>
      </c>
      <c r="C79" s="73">
        <v>11100</v>
      </c>
      <c r="D79" s="73">
        <v>11100</v>
      </c>
      <c r="E79" s="73">
        <v>6940</v>
      </c>
      <c r="F79" s="73">
        <f>13260+1090</f>
        <v>14350</v>
      </c>
      <c r="G79" s="1"/>
      <c r="H79" s="1"/>
      <c r="I79" s="1"/>
      <c r="L79" s="20"/>
      <c r="M79" s="18"/>
    </row>
    <row r="80" spans="1:13" x14ac:dyDescent="0.3">
      <c r="B80" t="s">
        <v>186</v>
      </c>
      <c r="C80" s="73" t="s">
        <v>187</v>
      </c>
      <c r="D80" s="73" t="s">
        <v>187</v>
      </c>
      <c r="E80" s="73" t="s">
        <v>198</v>
      </c>
      <c r="F80" s="73" t="s">
        <v>201</v>
      </c>
      <c r="G80" s="73"/>
      <c r="H80" s="1"/>
      <c r="I80" s="1"/>
      <c r="L80" s="20"/>
      <c r="M80" s="18"/>
    </row>
    <row r="81" spans="2:13" x14ac:dyDescent="0.3">
      <c r="B81" t="s">
        <v>188</v>
      </c>
      <c r="C81" s="73">
        <f>C79*C31</f>
        <v>12654.055499999999</v>
      </c>
      <c r="D81" s="73">
        <f>D79*C31</f>
        <v>12654.055499999999</v>
      </c>
      <c r="E81" s="73">
        <f>E79*D31*C32</f>
        <v>10242.515244999999</v>
      </c>
      <c r="F81" s="73">
        <f>F79*F31</f>
        <v>14708.749999999998</v>
      </c>
      <c r="G81" s="73">
        <f>AVERAGE(C81:F81)</f>
        <v>12564.844061249998</v>
      </c>
      <c r="H81" s="1"/>
      <c r="I81" s="1"/>
      <c r="L81" s="20"/>
      <c r="M81" s="18"/>
    </row>
    <row r="82" spans="2:13" x14ac:dyDescent="0.3">
      <c r="C82" s="1">
        <v>2.87</v>
      </c>
      <c r="D82" s="79"/>
      <c r="E82" s="1" t="s">
        <v>200</v>
      </c>
      <c r="F82" s="42">
        <v>2.8</v>
      </c>
      <c r="G82" s="42">
        <f>AVERAGE(C82:F82)</f>
        <v>2.835</v>
      </c>
      <c r="H82" s="1"/>
      <c r="I82" s="1"/>
      <c r="L82" s="20"/>
      <c r="M82" s="18"/>
    </row>
    <row r="83" spans="2:13" x14ac:dyDescent="0.3">
      <c r="C83" s="73"/>
      <c r="D83" s="73"/>
      <c r="E83" s="1"/>
      <c r="F83" s="1"/>
      <c r="G83" s="1"/>
      <c r="H83" s="1"/>
      <c r="I83" s="1"/>
      <c r="L83" s="20"/>
      <c r="M83" s="18"/>
    </row>
    <row r="84" spans="2:13" x14ac:dyDescent="0.3">
      <c r="B84" s="72" t="s">
        <v>183</v>
      </c>
      <c r="C84" s="73"/>
      <c r="D84" s="73"/>
      <c r="E84" s="1"/>
      <c r="F84" s="1"/>
      <c r="G84" s="1"/>
      <c r="H84" s="1"/>
      <c r="I84" s="1"/>
      <c r="L84" s="20"/>
      <c r="M84" s="18"/>
    </row>
    <row r="85" spans="2:13" x14ac:dyDescent="0.3">
      <c r="B85" s="72" t="s">
        <v>195</v>
      </c>
      <c r="C85" s="73"/>
      <c r="D85" s="73"/>
      <c r="E85" s="1"/>
      <c r="F85" s="1"/>
      <c r="G85" s="1"/>
      <c r="H85" s="1"/>
      <c r="I85" s="1"/>
      <c r="L85" s="20"/>
      <c r="M85" s="18"/>
    </row>
    <row r="86" spans="2:13" x14ac:dyDescent="0.3">
      <c r="B86" s="72" t="s">
        <v>197</v>
      </c>
      <c r="C86" s="73"/>
      <c r="D86" s="73"/>
      <c r="E86" s="1"/>
      <c r="F86" s="1"/>
      <c r="G86" s="1"/>
      <c r="H86" s="1"/>
      <c r="I86" s="1"/>
      <c r="L86" s="20"/>
      <c r="M86" s="18"/>
    </row>
    <row r="87" spans="2:13" x14ac:dyDescent="0.3">
      <c r="B87" s="72" t="s">
        <v>236</v>
      </c>
      <c r="C87" s="73"/>
      <c r="D87" s="73"/>
      <c r="E87" s="1"/>
      <c r="F87" s="1"/>
      <c r="G87" s="1"/>
      <c r="H87" s="1"/>
      <c r="I87" s="1"/>
      <c r="L87" s="20"/>
      <c r="M87" s="18"/>
    </row>
    <row r="88" spans="2:13" x14ac:dyDescent="0.3">
      <c r="B88" s="72"/>
      <c r="C88" s="73"/>
      <c r="D88" s="73"/>
      <c r="E88" s="1"/>
      <c r="F88" s="1"/>
      <c r="G88" s="1"/>
      <c r="H88" s="1"/>
      <c r="I88" s="1"/>
      <c r="L88" s="20"/>
      <c r="M88" s="18"/>
    </row>
    <row r="89" spans="2:13" x14ac:dyDescent="0.3">
      <c r="B89" s="3" t="s">
        <v>185</v>
      </c>
      <c r="C89" s="73"/>
      <c r="D89" s="73"/>
      <c r="E89" s="1"/>
      <c r="F89" s="1"/>
      <c r="G89" s="1"/>
      <c r="H89" s="1"/>
      <c r="I89" s="1"/>
      <c r="L89" s="20"/>
      <c r="M89" s="18"/>
    </row>
    <row r="90" spans="2:13" ht="86.4" x14ac:dyDescent="0.3">
      <c r="B90" s="72"/>
      <c r="C90" s="19" t="s">
        <v>182</v>
      </c>
      <c r="D90" s="19" t="s">
        <v>194</v>
      </c>
      <c r="E90" s="19" t="s">
        <v>196</v>
      </c>
      <c r="F90" s="19" t="s">
        <v>199</v>
      </c>
      <c r="G90" s="19" t="s">
        <v>202</v>
      </c>
      <c r="H90" s="1"/>
      <c r="I90" s="1"/>
      <c r="L90" s="20"/>
      <c r="M90" s="18"/>
    </row>
    <row r="91" spans="2:13" x14ac:dyDescent="0.3">
      <c r="B91" t="s">
        <v>203</v>
      </c>
      <c r="C91" s="73" t="s">
        <v>200</v>
      </c>
      <c r="D91" s="73">
        <v>8000</v>
      </c>
      <c r="E91" s="73">
        <f>(4150+5310)</f>
        <v>9460</v>
      </c>
      <c r="F91" s="73">
        <f>4990+4850</f>
        <v>9840</v>
      </c>
      <c r="G91" s="1"/>
      <c r="H91" s="1"/>
      <c r="I91" s="1"/>
      <c r="L91" s="20"/>
      <c r="M91" s="18"/>
    </row>
    <row r="92" spans="2:13" x14ac:dyDescent="0.3">
      <c r="B92" t="s">
        <v>204</v>
      </c>
      <c r="C92" s="73" t="s">
        <v>187</v>
      </c>
      <c r="D92" s="73" t="s">
        <v>187</v>
      </c>
      <c r="E92" s="73" t="s">
        <v>198</v>
      </c>
      <c r="F92" s="73" t="s">
        <v>201</v>
      </c>
      <c r="G92" s="1"/>
      <c r="H92" s="1"/>
      <c r="I92" s="1"/>
      <c r="L92" s="20"/>
      <c r="M92" s="18"/>
    </row>
    <row r="93" spans="2:13" x14ac:dyDescent="0.3">
      <c r="B93" t="s">
        <v>188</v>
      </c>
      <c r="C93" s="20" t="s">
        <v>200</v>
      </c>
      <c r="D93" s="20">
        <f>D91*C31</f>
        <v>9120.0399999999991</v>
      </c>
      <c r="E93" s="20">
        <f>E91*C32*D31</f>
        <v>13961.699454999998</v>
      </c>
      <c r="F93" s="73">
        <f>F91*F31</f>
        <v>10086</v>
      </c>
      <c r="G93" s="20">
        <f>AVERAGE(D93:F93)</f>
        <v>11055.913151666666</v>
      </c>
      <c r="L93" s="20"/>
      <c r="M93" s="18"/>
    </row>
    <row r="94" spans="2:13" x14ac:dyDescent="0.3">
      <c r="B94" s="72"/>
      <c r="C94" s="20"/>
      <c r="D94" s="20"/>
      <c r="L94" s="20"/>
      <c r="M94" s="18"/>
    </row>
    <row r="95" spans="2:13" x14ac:dyDescent="0.3">
      <c r="B95" s="18" t="s">
        <v>206</v>
      </c>
      <c r="C95" s="20"/>
      <c r="D95" s="20"/>
      <c r="L95" s="20"/>
      <c r="M95" s="18"/>
    </row>
    <row r="96" spans="2:13" x14ac:dyDescent="0.3">
      <c r="B96" s="72"/>
      <c r="C96" s="20"/>
      <c r="D96" s="20"/>
      <c r="L96" s="20"/>
      <c r="M96" s="18"/>
    </row>
    <row r="97" spans="2:8" x14ac:dyDescent="0.3">
      <c r="B97" s="3" t="s">
        <v>34</v>
      </c>
      <c r="E97" s="40"/>
      <c r="F97" s="18"/>
    </row>
    <row r="98" spans="2:8" ht="86.4" x14ac:dyDescent="0.3">
      <c r="B98" s="72"/>
      <c r="C98" s="19" t="s">
        <v>182</v>
      </c>
      <c r="D98" s="19" t="s">
        <v>194</v>
      </c>
      <c r="E98" s="19" t="s">
        <v>196</v>
      </c>
      <c r="F98" s="19" t="s">
        <v>199</v>
      </c>
      <c r="G98" s="19" t="s">
        <v>208</v>
      </c>
    </row>
    <row r="99" spans="2:8" x14ac:dyDescent="0.3">
      <c r="B99" t="s">
        <v>207</v>
      </c>
      <c r="C99" t="s">
        <v>200</v>
      </c>
      <c r="D99" s="20">
        <f>17250-11100</f>
        <v>6150</v>
      </c>
      <c r="E99" s="20">
        <v>2450</v>
      </c>
      <c r="F99" t="s">
        <v>200</v>
      </c>
    </row>
    <row r="100" spans="2:8" x14ac:dyDescent="0.3">
      <c r="B100" t="s">
        <v>204</v>
      </c>
      <c r="C100" s="73" t="s">
        <v>187</v>
      </c>
      <c r="D100" s="73" t="s">
        <v>187</v>
      </c>
      <c r="E100" s="73" t="s">
        <v>198</v>
      </c>
      <c r="F100" s="73" t="s">
        <v>201</v>
      </c>
    </row>
    <row r="101" spans="2:8" x14ac:dyDescent="0.3">
      <c r="B101" t="s">
        <v>188</v>
      </c>
      <c r="C101" t="s">
        <v>200</v>
      </c>
      <c r="D101" s="20">
        <f>D99*C31</f>
        <v>7011.0307499999999</v>
      </c>
      <c r="E101" s="74">
        <f>E99*C32*D31</f>
        <v>3615.8735374999997</v>
      </c>
      <c r="F101" t="s">
        <v>200</v>
      </c>
      <c r="G101" s="20">
        <f>2999+((780*C32*D31))</f>
        <v>4150.1760649999997</v>
      </c>
    </row>
    <row r="102" spans="2:8" x14ac:dyDescent="0.3">
      <c r="B102" t="s">
        <v>215</v>
      </c>
      <c r="D102" s="73" t="s">
        <v>205</v>
      </c>
      <c r="E102" s="1">
        <v>3.73</v>
      </c>
      <c r="G102" s="1">
        <v>3.75</v>
      </c>
    </row>
    <row r="103" spans="2:8" x14ac:dyDescent="0.3">
      <c r="D103" s="20"/>
      <c r="E103" s="74"/>
      <c r="G103" s="20"/>
    </row>
    <row r="104" spans="2:8" x14ac:dyDescent="0.3">
      <c r="B104" s="18" t="s">
        <v>211</v>
      </c>
      <c r="E104" s="39"/>
    </row>
    <row r="105" spans="2:8" x14ac:dyDescent="0.3">
      <c r="B105" s="18" t="s">
        <v>209</v>
      </c>
      <c r="E105" s="39"/>
    </row>
    <row r="106" spans="2:8" x14ac:dyDescent="0.3">
      <c r="E106" s="39"/>
    </row>
    <row r="107" spans="2:8" x14ac:dyDescent="0.3">
      <c r="B107" s="3" t="s">
        <v>210</v>
      </c>
      <c r="E107" s="39"/>
    </row>
    <row r="108" spans="2:8" ht="86.4" x14ac:dyDescent="0.3">
      <c r="B108" s="3"/>
      <c r="C108" s="19" t="s">
        <v>182</v>
      </c>
      <c r="D108" s="19" t="s">
        <v>194</v>
      </c>
      <c r="E108" s="19" t="s">
        <v>196</v>
      </c>
      <c r="F108" s="19" t="s">
        <v>199</v>
      </c>
      <c r="G108" s="19" t="s">
        <v>242</v>
      </c>
      <c r="H108" s="19" t="s">
        <v>241</v>
      </c>
    </row>
    <row r="109" spans="2:8" x14ac:dyDescent="0.3">
      <c r="B109" t="s">
        <v>207</v>
      </c>
      <c r="C109" t="s">
        <v>200</v>
      </c>
      <c r="D109" s="20">
        <f>10500-8000</f>
        <v>2500</v>
      </c>
      <c r="E109" s="20">
        <v>3160</v>
      </c>
      <c r="F109" t="s">
        <v>200</v>
      </c>
    </row>
    <row r="110" spans="2:8" x14ac:dyDescent="0.3">
      <c r="B110" t="s">
        <v>204</v>
      </c>
      <c r="C110" s="73" t="s">
        <v>187</v>
      </c>
      <c r="D110" s="73" t="s">
        <v>187</v>
      </c>
      <c r="E110" s="73" t="s">
        <v>198</v>
      </c>
      <c r="F110" s="73" t="s">
        <v>201</v>
      </c>
    </row>
    <row r="111" spans="2:8" x14ac:dyDescent="0.3">
      <c r="B111" t="s">
        <v>188</v>
      </c>
      <c r="C111" t="s">
        <v>200</v>
      </c>
      <c r="D111" s="20">
        <f>D109*C31</f>
        <v>2850.0124999999998</v>
      </c>
      <c r="E111" s="74">
        <f>E109*C32*D31</f>
        <v>4663.7389299999995</v>
      </c>
      <c r="F111" t="s">
        <v>200</v>
      </c>
      <c r="G111" s="74">
        <f>5350+(1990*C32*D31)</f>
        <v>8286.9748325</v>
      </c>
      <c r="H111" s="74">
        <f>1950+(1050*C32*D31)</f>
        <v>3499.6600874999995</v>
      </c>
    </row>
    <row r="112" spans="2:8" x14ac:dyDescent="0.3">
      <c r="B112" t="s">
        <v>212</v>
      </c>
      <c r="D112">
        <v>0.81</v>
      </c>
      <c r="E112" s="39">
        <v>0.84</v>
      </c>
      <c r="G112">
        <v>0.88</v>
      </c>
      <c r="H112">
        <v>0.69</v>
      </c>
    </row>
    <row r="113" spans="2:13" x14ac:dyDescent="0.3">
      <c r="B113" s="3"/>
      <c r="E113" s="39"/>
    </row>
    <row r="114" spans="2:13" x14ac:dyDescent="0.3">
      <c r="B114" s="18" t="s">
        <v>213</v>
      </c>
      <c r="E114" s="39"/>
    </row>
    <row r="115" spans="2:13" x14ac:dyDescent="0.3">
      <c r="B115" s="18" t="s">
        <v>214</v>
      </c>
    </row>
    <row r="116" spans="2:13" x14ac:dyDescent="0.3">
      <c r="E116" s="20"/>
      <c r="F116" s="20"/>
    </row>
    <row r="117" spans="2:13" x14ac:dyDescent="0.3">
      <c r="B117" s="3" t="s">
        <v>225</v>
      </c>
      <c r="E117" s="39"/>
    </row>
    <row r="118" spans="2:13" ht="86.4" x14ac:dyDescent="0.3">
      <c r="B118" s="3"/>
      <c r="C118" s="19" t="s">
        <v>182</v>
      </c>
      <c r="D118" s="19" t="s">
        <v>194</v>
      </c>
      <c r="E118" s="19" t="s">
        <v>196</v>
      </c>
      <c r="F118" s="19" t="s">
        <v>199</v>
      </c>
      <c r="G118" s="19" t="s">
        <v>208</v>
      </c>
    </row>
    <row r="119" spans="2:13" x14ac:dyDescent="0.3">
      <c r="B119" t="s">
        <v>207</v>
      </c>
      <c r="C119" t="s">
        <v>200</v>
      </c>
      <c r="D119" t="s">
        <v>200</v>
      </c>
      <c r="E119" s="20">
        <v>710</v>
      </c>
      <c r="F119" t="s">
        <v>200</v>
      </c>
      <c r="M119" s="18" t="s">
        <v>231</v>
      </c>
    </row>
    <row r="120" spans="2:13" x14ac:dyDescent="0.3">
      <c r="B120" t="s">
        <v>204</v>
      </c>
      <c r="C120" s="73" t="s">
        <v>187</v>
      </c>
      <c r="D120" s="73" t="s">
        <v>187</v>
      </c>
      <c r="E120" s="73" t="s">
        <v>198</v>
      </c>
      <c r="F120" s="73" t="s">
        <v>201</v>
      </c>
    </row>
    <row r="121" spans="2:13" x14ac:dyDescent="0.3">
      <c r="B121" t="s">
        <v>188</v>
      </c>
      <c r="C121" t="s">
        <v>200</v>
      </c>
      <c r="D121" t="s">
        <v>200</v>
      </c>
      <c r="E121" s="74">
        <f>E119*C32*D31</f>
        <v>1047.8653924999999</v>
      </c>
      <c r="F121" t="s">
        <v>200</v>
      </c>
      <c r="G121" s="74">
        <f>695+(130*C32*D31)</f>
        <v>886.86267750000002</v>
      </c>
    </row>
    <row r="122" spans="2:13" x14ac:dyDescent="0.3">
      <c r="B122" t="s">
        <v>227</v>
      </c>
      <c r="E122" s="76">
        <v>3.94</v>
      </c>
      <c r="G122" s="74"/>
    </row>
    <row r="123" spans="2:13" x14ac:dyDescent="0.3">
      <c r="B123" s="3"/>
      <c r="E123" s="39"/>
    </row>
    <row r="124" spans="2:13" x14ac:dyDescent="0.3">
      <c r="B124" s="18" t="s">
        <v>232</v>
      </c>
    </row>
    <row r="125" spans="2:13" x14ac:dyDescent="0.3">
      <c r="E125" s="20"/>
      <c r="F125" s="20"/>
    </row>
    <row r="126" spans="2:13" x14ac:dyDescent="0.3">
      <c r="B126" s="3" t="s">
        <v>226</v>
      </c>
      <c r="E126" s="39"/>
    </row>
    <row r="127" spans="2:13" ht="86.4" x14ac:dyDescent="0.3">
      <c r="B127" s="3"/>
      <c r="C127" s="19" t="s">
        <v>182</v>
      </c>
      <c r="D127" s="19" t="s">
        <v>194</v>
      </c>
      <c r="E127" s="19" t="s">
        <v>196</v>
      </c>
      <c r="F127" s="19" t="s">
        <v>199</v>
      </c>
      <c r="G127" s="19" t="s">
        <v>208</v>
      </c>
      <c r="M127" s="18" t="s">
        <v>231</v>
      </c>
    </row>
    <row r="128" spans="2:13" x14ac:dyDescent="0.3">
      <c r="B128" t="s">
        <v>207</v>
      </c>
      <c r="C128" t="s">
        <v>200</v>
      </c>
      <c r="D128" t="s">
        <v>200</v>
      </c>
      <c r="E128" s="20">
        <f>870</f>
        <v>870</v>
      </c>
      <c r="F128" t="s">
        <v>200</v>
      </c>
    </row>
    <row r="129" spans="2:7" x14ac:dyDescent="0.3">
      <c r="B129" t="s">
        <v>204</v>
      </c>
      <c r="C129" s="73" t="s">
        <v>187</v>
      </c>
      <c r="D129" s="73" t="s">
        <v>187</v>
      </c>
      <c r="E129" s="73" t="s">
        <v>198</v>
      </c>
      <c r="F129" s="73" t="s">
        <v>201</v>
      </c>
    </row>
    <row r="130" spans="2:7" x14ac:dyDescent="0.3">
      <c r="B130" t="s">
        <v>188</v>
      </c>
      <c r="C130" t="s">
        <v>200</v>
      </c>
      <c r="D130" t="s">
        <v>200</v>
      </c>
      <c r="E130" s="74">
        <f>E128*C32*D31</f>
        <v>1284.0040724999999</v>
      </c>
      <c r="F130" t="s">
        <v>200</v>
      </c>
      <c r="G130" s="74">
        <f>844+(200*C32*D31)</f>
        <v>1139.17335</v>
      </c>
    </row>
    <row r="131" spans="2:7" x14ac:dyDescent="0.3">
      <c r="B131" t="s">
        <v>227</v>
      </c>
      <c r="E131" s="76">
        <v>3.48</v>
      </c>
      <c r="G131" s="74"/>
    </row>
    <row r="132" spans="2:7" x14ac:dyDescent="0.3">
      <c r="B132" s="3"/>
    </row>
    <row r="133" spans="2:7" x14ac:dyDescent="0.3">
      <c r="B133" s="18" t="s">
        <v>232</v>
      </c>
    </row>
    <row r="134" spans="2:7" x14ac:dyDescent="0.3">
      <c r="B134" s="18"/>
    </row>
    <row r="135" spans="2:7" x14ac:dyDescent="0.3">
      <c r="B135" s="3" t="s">
        <v>229</v>
      </c>
      <c r="E135" s="39"/>
    </row>
    <row r="136" spans="2:7" ht="86.4" x14ac:dyDescent="0.3">
      <c r="B136" s="3"/>
      <c r="C136" s="19" t="s">
        <v>182</v>
      </c>
      <c r="D136" s="19" t="s">
        <v>194</v>
      </c>
      <c r="E136" s="19" t="s">
        <v>196</v>
      </c>
      <c r="F136" s="19" t="s">
        <v>199</v>
      </c>
      <c r="G136" s="19" t="s">
        <v>208</v>
      </c>
    </row>
    <row r="137" spans="2:7" x14ac:dyDescent="0.3">
      <c r="B137" t="s">
        <v>207</v>
      </c>
      <c r="C137" t="s">
        <v>200</v>
      </c>
      <c r="D137" t="s">
        <v>200</v>
      </c>
      <c r="E137" t="s">
        <v>200</v>
      </c>
      <c r="F137" t="s">
        <v>200</v>
      </c>
    </row>
    <row r="138" spans="2:7" x14ac:dyDescent="0.3">
      <c r="B138" t="s">
        <v>204</v>
      </c>
      <c r="C138" s="73" t="s">
        <v>187</v>
      </c>
      <c r="D138" s="73" t="s">
        <v>187</v>
      </c>
      <c r="E138" s="73" t="s">
        <v>198</v>
      </c>
      <c r="F138" s="73" t="s">
        <v>201</v>
      </c>
    </row>
    <row r="139" spans="2:7" x14ac:dyDescent="0.3">
      <c r="B139" t="s">
        <v>188</v>
      </c>
      <c r="C139" t="s">
        <v>200</v>
      </c>
      <c r="D139" t="s">
        <v>200</v>
      </c>
      <c r="E139" t="s">
        <v>200</v>
      </c>
      <c r="F139" t="s">
        <v>200</v>
      </c>
      <c r="G139" s="74">
        <f>1392+(150*C32*D31)</f>
        <v>1613.3800125</v>
      </c>
    </row>
    <row r="140" spans="2:7" x14ac:dyDescent="0.3">
      <c r="B140" t="s">
        <v>227</v>
      </c>
      <c r="E140" s="76"/>
      <c r="G140" s="74"/>
    </row>
    <row r="141" spans="2:7" x14ac:dyDescent="0.3">
      <c r="B141" s="3"/>
      <c r="E141" s="39"/>
    </row>
    <row r="142" spans="2:7" x14ac:dyDescent="0.3">
      <c r="B142" s="18" t="s">
        <v>232</v>
      </c>
    </row>
    <row r="143" spans="2:7" x14ac:dyDescent="0.3">
      <c r="E143" s="20"/>
      <c r="F143" s="20"/>
    </row>
    <row r="144" spans="2:7" x14ac:dyDescent="0.3">
      <c r="B144" s="3" t="s">
        <v>230</v>
      </c>
      <c r="E144" s="39"/>
    </row>
    <row r="145" spans="1:7" ht="86.4" x14ac:dyDescent="0.3">
      <c r="B145" s="3"/>
      <c r="C145" s="19" t="s">
        <v>182</v>
      </c>
      <c r="D145" s="19" t="s">
        <v>194</v>
      </c>
      <c r="E145" s="19" t="s">
        <v>196</v>
      </c>
      <c r="F145" s="19" t="s">
        <v>199</v>
      </c>
      <c r="G145" s="19" t="s">
        <v>208</v>
      </c>
    </row>
    <row r="146" spans="1:7" x14ac:dyDescent="0.3">
      <c r="B146" t="s">
        <v>207</v>
      </c>
      <c r="C146" t="s">
        <v>200</v>
      </c>
      <c r="D146" t="s">
        <v>200</v>
      </c>
      <c r="E146" s="20">
        <v>1000</v>
      </c>
      <c r="F146" t="s">
        <v>200</v>
      </c>
    </row>
    <row r="147" spans="1:7" x14ac:dyDescent="0.3">
      <c r="B147" t="s">
        <v>204</v>
      </c>
      <c r="C147" s="73" t="s">
        <v>187</v>
      </c>
      <c r="D147" s="73" t="s">
        <v>187</v>
      </c>
      <c r="E147" s="73" t="s">
        <v>198</v>
      </c>
      <c r="F147" s="73" t="s">
        <v>201</v>
      </c>
    </row>
    <row r="148" spans="1:7" x14ac:dyDescent="0.3">
      <c r="B148" t="s">
        <v>188</v>
      </c>
      <c r="C148" t="s">
        <v>200</v>
      </c>
      <c r="D148" t="s">
        <v>200</v>
      </c>
      <c r="E148" s="74">
        <f>E146*C32*D31</f>
        <v>1475.8667499999997</v>
      </c>
      <c r="F148" t="s">
        <v>200</v>
      </c>
      <c r="G148" s="74">
        <f>1294+(150*C32*D31)</f>
        <v>1515.3800125</v>
      </c>
    </row>
    <row r="149" spans="1:7" x14ac:dyDescent="0.3">
      <c r="B149" t="s">
        <v>227</v>
      </c>
      <c r="E149" s="76">
        <v>3.48</v>
      </c>
      <c r="G149" s="74"/>
    </row>
    <row r="150" spans="1:7" x14ac:dyDescent="0.3">
      <c r="B150" s="3"/>
    </row>
    <row r="151" spans="1:7" x14ac:dyDescent="0.3">
      <c r="B151" s="18" t="s">
        <v>232</v>
      </c>
    </row>
    <row r="152" spans="1:7" x14ac:dyDescent="0.3">
      <c r="B152" s="18"/>
    </row>
    <row r="154" spans="1:7" ht="16.149999999999999" x14ac:dyDescent="0.35">
      <c r="A154" s="35" t="s">
        <v>98</v>
      </c>
    </row>
    <row r="155" spans="1:7" x14ac:dyDescent="0.3">
      <c r="B155" t="s">
        <v>99</v>
      </c>
      <c r="C155">
        <v>18</v>
      </c>
      <c r="D155" s="18" t="s">
        <v>100</v>
      </c>
    </row>
    <row r="156" spans="1:7" x14ac:dyDescent="0.3">
      <c r="B156" t="s">
        <v>56</v>
      </c>
      <c r="C156">
        <v>18</v>
      </c>
      <c r="D156" s="18" t="s">
        <v>244</v>
      </c>
    </row>
    <row r="157" spans="1:7" x14ac:dyDescent="0.3">
      <c r="B157" t="s">
        <v>123</v>
      </c>
      <c r="C157">
        <v>15.1</v>
      </c>
      <c r="D157" s="18" t="s">
        <v>245</v>
      </c>
    </row>
    <row r="158" spans="1:7" x14ac:dyDescent="0.3">
      <c r="B158" t="s">
        <v>219</v>
      </c>
      <c r="C158">
        <v>14.6</v>
      </c>
      <c r="D158" s="18" t="s">
        <v>246</v>
      </c>
    </row>
    <row r="159" spans="1:7" x14ac:dyDescent="0.3">
      <c r="B159" t="s">
        <v>220</v>
      </c>
      <c r="C159">
        <v>13</v>
      </c>
      <c r="D159" s="18" t="s">
        <v>247</v>
      </c>
      <c r="E159" s="49"/>
    </row>
    <row r="160" spans="1:7" x14ac:dyDescent="0.3">
      <c r="B160" t="s">
        <v>221</v>
      </c>
      <c r="C160">
        <v>13</v>
      </c>
      <c r="D160" s="18" t="s">
        <v>248</v>
      </c>
      <c r="E160" s="7"/>
    </row>
    <row r="161" spans="1:5" x14ac:dyDescent="0.3">
      <c r="B161" t="s">
        <v>222</v>
      </c>
      <c r="C161">
        <v>15</v>
      </c>
      <c r="D161" s="18" t="s">
        <v>249</v>
      </c>
      <c r="E161" s="7"/>
    </row>
    <row r="162" spans="1:5" x14ac:dyDescent="0.3">
      <c r="B162" t="s">
        <v>223</v>
      </c>
      <c r="C162">
        <v>17</v>
      </c>
      <c r="D162" s="18" t="s">
        <v>250</v>
      </c>
      <c r="E162" s="7"/>
    </row>
    <row r="164" spans="1:5" ht="16.149999999999999" x14ac:dyDescent="0.35">
      <c r="A164" s="35"/>
      <c r="C164" s="50"/>
      <c r="D164" s="50"/>
    </row>
  </sheetData>
  <mergeCells count="21">
    <mergeCell ref="B63:B64"/>
    <mergeCell ref="A6:A9"/>
    <mergeCell ref="A11:A13"/>
    <mergeCell ref="A15:A16"/>
    <mergeCell ref="A18:A19"/>
    <mergeCell ref="I67:I68"/>
    <mergeCell ref="A10:N10"/>
    <mergeCell ref="A14:N14"/>
    <mergeCell ref="A17:N17"/>
    <mergeCell ref="K3:N3"/>
    <mergeCell ref="A5:N5"/>
    <mergeCell ref="A3:B4"/>
    <mergeCell ref="C3:C4"/>
    <mergeCell ref="E3:E4"/>
    <mergeCell ref="F3:F4"/>
    <mergeCell ref="G3:G4"/>
    <mergeCell ref="H3:H4"/>
    <mergeCell ref="I3:I4"/>
    <mergeCell ref="J3:J4"/>
    <mergeCell ref="C63:H63"/>
    <mergeCell ref="D3:D4"/>
  </mergeCells>
  <phoneticPr fontId="9" type="noConversion"/>
  <hyperlinks>
    <hyperlink ref="M35" r:id="rId1" xr:uid="{9A494E06-D3C3-48CD-A90E-CDE5A47A26B0}"/>
    <hyperlink ref="V16" r:id="rId2" display="https://www.energystar.gov/productfinder/product/certified-clothes-dryers/results?formId=0364-474-4040-77-08496445&amp;scrollTo=599.8079833984375&amp;search_text=&amp;low_price=&amp;high_price=&amp;type_filter=Gas+Clothes+Dryer&amp;is_most_efficient_filter=0&amp;other_features_and_characteristics_isopen=0&amp;brand_name_isopen=0&amp;markets_filter=United+States&amp;zip_code_filter=&amp;product_types=Select+a+Product+Category&amp;sort_by=combined_energy_factor_cef&amp;sort_direction=desc&amp;currentZipCode=05482&amp;page_number=0&amp;lastpage=0" xr:uid="{8403FBB6-4A26-45C7-81CB-68D57EAEF3B2}"/>
  </hyperlinks>
  <pageMargins left="0.7" right="0.7" top="0.75" bottom="0.75" header="0.3" footer="0.3"/>
  <pageSetup orientation="portrait" r:id="rId3"/>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FE6F6-D00D-47EC-929C-6EEDAD590662}">
  <dimension ref="A1:AF65"/>
  <sheetViews>
    <sheetView zoomScale="70" zoomScaleNormal="70" workbookViewId="0">
      <selection activeCell="E5" sqref="E5"/>
    </sheetView>
  </sheetViews>
  <sheetFormatPr defaultRowHeight="14.4" x14ac:dyDescent="0.3"/>
  <cols>
    <col min="1" max="1" width="3.19921875" customWidth="1"/>
    <col min="2" max="2" width="14.3984375" customWidth="1"/>
    <col min="29" max="29" width="10.5" bestFit="1" customWidth="1"/>
    <col min="31" max="31" width="11.796875" customWidth="1"/>
  </cols>
  <sheetData>
    <row r="1" spans="1:32" ht="17.850000000000001" x14ac:dyDescent="0.35">
      <c r="A1" s="16" t="s">
        <v>120</v>
      </c>
      <c r="AC1" s="110" t="s">
        <v>107</v>
      </c>
      <c r="AD1" s="110"/>
      <c r="AE1" s="110" t="s">
        <v>108</v>
      </c>
      <c r="AF1" s="110"/>
    </row>
    <row r="2" spans="1:32" ht="17.850000000000001" x14ac:dyDescent="0.35">
      <c r="A2" s="44" t="s">
        <v>127</v>
      </c>
      <c r="AC2" s="13"/>
      <c r="AD2" s="13"/>
      <c r="AE2" s="13"/>
      <c r="AF2" s="13"/>
    </row>
    <row r="3" spans="1:32" ht="28.8" x14ac:dyDescent="0.3">
      <c r="A3" s="107"/>
      <c r="B3" s="107"/>
      <c r="C3" s="3" t="s">
        <v>54</v>
      </c>
      <c r="D3" s="13">
        <v>2023</v>
      </c>
      <c r="E3" s="13">
        <f>D3+1</f>
        <v>2024</v>
      </c>
      <c r="F3" s="13">
        <f t="shared" ref="F3:U3" si="0">E3+1</f>
        <v>2025</v>
      </c>
      <c r="G3" s="13">
        <f t="shared" si="0"/>
        <v>2026</v>
      </c>
      <c r="H3" s="13">
        <f t="shared" si="0"/>
        <v>2027</v>
      </c>
      <c r="I3" s="13">
        <f t="shared" si="0"/>
        <v>2028</v>
      </c>
      <c r="J3" s="13">
        <f t="shared" si="0"/>
        <v>2029</v>
      </c>
      <c r="K3" s="13">
        <f t="shared" si="0"/>
        <v>2030</v>
      </c>
      <c r="L3" s="13">
        <f t="shared" si="0"/>
        <v>2031</v>
      </c>
      <c r="M3" s="13">
        <f t="shared" si="0"/>
        <v>2032</v>
      </c>
      <c r="N3" s="13">
        <f t="shared" si="0"/>
        <v>2033</v>
      </c>
      <c r="O3" s="13">
        <f t="shared" si="0"/>
        <v>2034</v>
      </c>
      <c r="P3" s="13">
        <f t="shared" si="0"/>
        <v>2035</v>
      </c>
      <c r="Q3" s="13">
        <f t="shared" si="0"/>
        <v>2036</v>
      </c>
      <c r="R3" s="13">
        <f t="shared" si="0"/>
        <v>2037</v>
      </c>
      <c r="S3" s="13">
        <f>R3+1</f>
        <v>2038</v>
      </c>
      <c r="T3" s="13">
        <f t="shared" si="0"/>
        <v>2039</v>
      </c>
      <c r="U3" s="13">
        <f t="shared" si="0"/>
        <v>2040</v>
      </c>
      <c r="V3" s="13">
        <f t="shared" ref="V3:W3" si="1">U3+1</f>
        <v>2041</v>
      </c>
      <c r="W3" s="13">
        <f t="shared" si="1"/>
        <v>2042</v>
      </c>
      <c r="X3" s="13">
        <f t="shared" ref="X3" si="2">W3+1</f>
        <v>2043</v>
      </c>
      <c r="Y3" s="13">
        <f t="shared" ref="Y3" si="3">X3+1</f>
        <v>2044</v>
      </c>
      <c r="Z3" s="13">
        <f t="shared" ref="Z3" si="4">Y3+1</f>
        <v>2045</v>
      </c>
      <c r="AA3" s="13">
        <f t="shared" ref="AA3" si="5">Z3+1</f>
        <v>2046</v>
      </c>
      <c r="AB3" s="13">
        <f t="shared" ref="AB3" si="6">AA3+1</f>
        <v>2047</v>
      </c>
      <c r="AC3" s="19" t="s">
        <v>106</v>
      </c>
      <c r="AD3" s="3" t="s">
        <v>70</v>
      </c>
      <c r="AE3" s="19" t="s">
        <v>106</v>
      </c>
      <c r="AF3" s="3" t="s">
        <v>70</v>
      </c>
    </row>
    <row r="4" spans="1:32" x14ac:dyDescent="0.3">
      <c r="A4" s="3" t="s">
        <v>129</v>
      </c>
      <c r="C4" s="3"/>
      <c r="D4" s="13"/>
      <c r="E4" s="13"/>
      <c r="F4" s="13"/>
      <c r="G4" s="13"/>
      <c r="H4" s="13"/>
      <c r="I4" s="13"/>
      <c r="J4" s="13"/>
      <c r="K4" s="13"/>
      <c r="L4" s="13"/>
      <c r="M4" s="13"/>
      <c r="N4" s="13"/>
      <c r="O4" s="13"/>
      <c r="P4" s="13"/>
      <c r="Q4" s="13"/>
      <c r="R4" s="13"/>
      <c r="S4" s="13"/>
      <c r="T4" s="13"/>
      <c r="U4" s="13"/>
      <c r="V4" s="13"/>
      <c r="W4" s="13"/>
      <c r="X4" s="13"/>
      <c r="Y4" s="13"/>
      <c r="Z4" s="13"/>
      <c r="AA4" s="13"/>
      <c r="AB4" s="13"/>
      <c r="AC4" s="19"/>
    </row>
    <row r="5" spans="1:32" x14ac:dyDescent="0.3">
      <c r="B5" t="s">
        <v>50</v>
      </c>
      <c r="C5" s="24">
        <v>1</v>
      </c>
      <c r="D5" s="20">
        <f>(Equipment!$J$7*$C$5*'Fuel Prices'!C12)+(Equipment!$K$7*'Customer Cost Calcs'!$C$5*'Fuel Prices'!C33)</f>
        <v>1096.2890166931579</v>
      </c>
      <c r="E5" s="20">
        <f>(Equipment!$J$7*$C$5*'Fuel Prices'!D12)+(Equipment!$K$7*'Customer Cost Calcs'!$C$5*'Fuel Prices'!D33)</f>
        <v>1152.4171985194739</v>
      </c>
      <c r="F5" s="20">
        <f>(Equipment!$J$7*$C$5*'Fuel Prices'!E12)+(Equipment!$K$7*'Customer Cost Calcs'!$C$5*'Fuel Prices'!E33)</f>
        <v>1206.1918267156129</v>
      </c>
      <c r="G5" s="20">
        <f>(Equipment!$J$7*$C$5*'Fuel Prices'!F12)+(Equipment!$K$7*'Customer Cost Calcs'!$C$5*'Fuel Prices'!F33)</f>
        <v>1257.6836180399191</v>
      </c>
      <c r="H5" s="20">
        <f>(Equipment!$J$7*$C$5*'Fuel Prices'!G12)+(Equipment!$K$7*'Customer Cost Calcs'!$C$5*'Fuel Prices'!G33)</f>
        <v>1306.9614209094357</v>
      </c>
      <c r="I5" s="20">
        <f>(Equipment!$J$7*$C$5*'Fuel Prices'!H12)+(Equipment!$K$7*'Customer Cost Calcs'!$C$5*'Fuel Prices'!H33)</f>
        <v>1354.0922614798974</v>
      </c>
      <c r="J5" s="20">
        <f>(Equipment!$J$7*$C$5*'Fuel Prices'!I12)+(Equipment!$K$7*'Customer Cost Calcs'!$C$5*'Fuel Prices'!I33)</f>
        <v>1355.7321654663433</v>
      </c>
      <c r="K5" s="20">
        <f>(Equipment!$J$7*$C$5*'Fuel Prices'!J12)+(Equipment!$K$7*'Customer Cost Calcs'!$C$5*'Fuel Prices'!J33)</f>
        <v>1342.8701734157858</v>
      </c>
      <c r="L5" s="20">
        <f>(Equipment!$J$7*$C$5*'Fuel Prices'!K12)+(Equipment!$K$7*'Customer Cost Calcs'!$C$5*'Fuel Prices'!K33)</f>
        <v>1330.2603772877874</v>
      </c>
      <c r="M5" s="20">
        <f>(Equipment!$J$7*$C$5*'Fuel Prices'!L12)+(Equipment!$K$7*'Customer Cost Calcs'!$C$5*'Fuel Prices'!L33)</f>
        <v>1317.8978320642605</v>
      </c>
      <c r="N5" s="20">
        <f>(Equipment!$J$7*$C$5*'Fuel Prices'!M12)+(Equipment!$K$7*'Customer Cost Calcs'!$C$5*'Fuel Prices'!M33)</f>
        <v>1305.7776896882533</v>
      </c>
      <c r="O5" s="20">
        <f>(Equipment!$J$7*$C$5*'Fuel Prices'!N12)+(Equipment!$K$7*'Customer Cost Calcs'!$C$5*'Fuel Prices'!N33)</f>
        <v>1293.8951971627557</v>
      </c>
      <c r="P5" s="20">
        <f>(Equipment!$J$7*$C$5*'Fuel Prices'!O12)+(Equipment!$K$7*'Customer Cost Calcs'!$C$5*'Fuel Prices'!O33)</f>
        <v>1282.2456946867787</v>
      </c>
      <c r="Q5" s="20">
        <f>(Equipment!$J$7*$C$5*'Fuel Prices'!P12)+(Equipment!$K$7*'Customer Cost Calcs'!$C$5*'Fuel Prices'!P33)</f>
        <v>1270.8246138279765</v>
      </c>
      <c r="R5" s="20">
        <f>(Equipment!$J$7*$C$5*'Fuel Prices'!Q12)+(Equipment!$K$7*'Customer Cost Calcs'!$C$5*'Fuel Prices'!Q33)</f>
        <v>1259.6274757311121</v>
      </c>
      <c r="S5" s="20">
        <f>(Equipment!$J$7*$C$5*'Fuel Prices'!R12)+(Equipment!$K$7*'Customer Cost Calcs'!$C$5*'Fuel Prices'!R33)</f>
        <v>1248.6498893616376</v>
      </c>
      <c r="T5" s="20">
        <f>(Equipment!$J$7*$C$5*'Fuel Prices'!S12)+(Equipment!$K$7*'Customer Cost Calcs'!$C$5*'Fuel Prices'!S33)</f>
        <v>1237.8875497837207</v>
      </c>
      <c r="U5" s="20">
        <f>(Equipment!$J$7*$C$5*'Fuel Prices'!T12)+(Equipment!$K$7*'Customer Cost Calcs'!$C$5*'Fuel Prices'!T33)</f>
        <v>1227.3362364720379</v>
      </c>
      <c r="V5" s="20">
        <f>(Equipment!$J$7*$C$5*'Fuel Prices'!U12)+(Equipment!$K$7*'Customer Cost Calcs'!$C$5*'Fuel Prices'!U33)</f>
        <v>1216.9918116566628</v>
      </c>
      <c r="W5" s="20">
        <f>(Equipment!$J$7*$C$5*'Fuel Prices'!V12)+(Equipment!$K$7*'Customer Cost Calcs'!$C$5*'Fuel Prices'!V33)</f>
        <v>1206.8502187004124</v>
      </c>
      <c r="X5" s="20">
        <f>(Equipment!$J$7*$C$5*'Fuel Prices'!W12)+(Equipment!$K$7*'Customer Cost Calcs'!$C$5*'Fuel Prices'!W33)</f>
        <v>1196.9074805080099</v>
      </c>
      <c r="Y5" s="20">
        <f>(Equipment!$J$7*$C$5*'Fuel Prices'!X12)+(Equipment!$K$7*'Customer Cost Calcs'!$C$5*'Fuel Prices'!X33)</f>
        <v>1187.1596979664391</v>
      </c>
      <c r="Z5" s="20">
        <f>(Equipment!$J$7*$C$5*'Fuel Prices'!Y12)+(Equipment!$K$7*'Customer Cost Calcs'!$C$5*'Fuel Prices'!Y33)</f>
        <v>1177.6030484158796</v>
      </c>
      <c r="AA5" s="20">
        <f>(Equipment!$J$7*$C$5*'Fuel Prices'!Z12)+(Equipment!$K$7*'Customer Cost Calcs'!$C$5*'Fuel Prices'!Z33)</f>
        <v>1168.2337841506246</v>
      </c>
      <c r="AB5" s="20">
        <f>(Equipment!$J$7*$C$5*'Fuel Prices'!AA12)+(Equipment!$K$7*'Customer Cost Calcs'!$C$5*'Fuel Prices'!AA33)</f>
        <v>1159.0482309493946</v>
      </c>
      <c r="AC5" s="5">
        <f>NPV(Equipment!$C$23,'Customer Cost Calcs'!D5:U5)*(1+Equipment!$C$23)</f>
        <v>16656.155355943843</v>
      </c>
      <c r="AE5" s="5">
        <f>NPV(Equipment!$C$23,'Customer Cost Calcs'!K5:AB5)*(1+Equipment!$C$23)</f>
        <v>16555.368584691263</v>
      </c>
    </row>
    <row r="6" spans="1:32" x14ac:dyDescent="0.3">
      <c r="B6" t="s">
        <v>51</v>
      </c>
      <c r="C6" s="4">
        <f>C5</f>
        <v>1</v>
      </c>
      <c r="D6" s="20">
        <f>Equipment!$L$7*'Customer Cost Calcs'!$C$6*'Fuel Prices'!C33</f>
        <v>96.233141243571424</v>
      </c>
      <c r="E6" s="20">
        <f>Equipment!$L$7*'Customer Cost Calcs'!$C$6*'Fuel Prices'!D33</f>
        <v>96.233141243571424</v>
      </c>
      <c r="F6" s="20">
        <f>Equipment!$L$7*'Customer Cost Calcs'!$C$6*'Fuel Prices'!E33</f>
        <v>96.233141243571424</v>
      </c>
      <c r="G6" s="20">
        <f>Equipment!$L$7*'Customer Cost Calcs'!$C$6*'Fuel Prices'!F33</f>
        <v>96.233141243571424</v>
      </c>
      <c r="H6" s="20">
        <f>Equipment!$L$7*'Customer Cost Calcs'!$C$6*'Fuel Prices'!G33</f>
        <v>96.233141243571424</v>
      </c>
      <c r="I6" s="20">
        <f>Equipment!$L$7*'Customer Cost Calcs'!$C$6*'Fuel Prices'!H33</f>
        <v>96.233141243571424</v>
      </c>
      <c r="J6" s="20">
        <f>Equipment!$L$7*'Customer Cost Calcs'!$C$6*'Fuel Prices'!I33</f>
        <v>96.233141243571424</v>
      </c>
      <c r="K6" s="20">
        <f>Equipment!$L$7*'Customer Cost Calcs'!$C$6*'Fuel Prices'!J33</f>
        <v>96.233141243571424</v>
      </c>
      <c r="L6" s="20">
        <f>Equipment!$L$7*'Customer Cost Calcs'!$C$6*'Fuel Prices'!K33</f>
        <v>96.233141243571424</v>
      </c>
      <c r="M6" s="20">
        <f>Equipment!$L$7*'Customer Cost Calcs'!$C$6*'Fuel Prices'!L33</f>
        <v>96.233141243571424</v>
      </c>
      <c r="N6" s="20">
        <f>Equipment!$L$7*'Customer Cost Calcs'!$C$6*'Fuel Prices'!M33</f>
        <v>96.233141243571424</v>
      </c>
      <c r="O6" s="20">
        <f>Equipment!$L$7*'Customer Cost Calcs'!$C$6*'Fuel Prices'!N33</f>
        <v>96.233141243571424</v>
      </c>
      <c r="P6" s="20">
        <f>Equipment!$L$7*'Customer Cost Calcs'!$C$6*'Fuel Prices'!O33</f>
        <v>96.233141243571424</v>
      </c>
      <c r="Q6" s="20">
        <f>Equipment!$L$7*'Customer Cost Calcs'!$C$6*'Fuel Prices'!P33</f>
        <v>96.233141243571424</v>
      </c>
      <c r="R6" s="20">
        <f>Equipment!$L$7*'Customer Cost Calcs'!$C$6*'Fuel Prices'!Q33</f>
        <v>96.233141243571424</v>
      </c>
      <c r="S6" s="20">
        <f>Equipment!$L$7*'Customer Cost Calcs'!$C$6*'Fuel Prices'!R33</f>
        <v>96.233141243571424</v>
      </c>
      <c r="T6" s="20">
        <f>Equipment!$L$7*'Customer Cost Calcs'!$C$6*'Fuel Prices'!S33</f>
        <v>96.233141243571424</v>
      </c>
      <c r="U6" s="20">
        <f>Equipment!$L$7*'Customer Cost Calcs'!$C$6*'Fuel Prices'!T33</f>
        <v>96.233141243571424</v>
      </c>
      <c r="V6" s="20">
        <f>Equipment!$L$7*'Customer Cost Calcs'!$C$6*'Fuel Prices'!U33</f>
        <v>96.233141243571424</v>
      </c>
      <c r="W6" s="20">
        <f>Equipment!$L$7*'Customer Cost Calcs'!$C$6*'Fuel Prices'!V33</f>
        <v>96.233141243571424</v>
      </c>
      <c r="X6" s="20">
        <f>Equipment!$L$7*'Customer Cost Calcs'!$C$6*'Fuel Prices'!W33</f>
        <v>96.233141243571424</v>
      </c>
      <c r="Y6" s="20">
        <f>Equipment!$L$7*'Customer Cost Calcs'!$C$6*'Fuel Prices'!X33</f>
        <v>96.233141243571424</v>
      </c>
      <c r="Z6" s="20">
        <f>Equipment!$L$7*'Customer Cost Calcs'!$C$6*'Fuel Prices'!Y33</f>
        <v>96.233141243571424</v>
      </c>
      <c r="AA6" s="20">
        <f>Equipment!$L$7*'Customer Cost Calcs'!$C$6*'Fuel Prices'!Z33</f>
        <v>96.233141243571424</v>
      </c>
      <c r="AB6" s="20">
        <f>Equipment!$L$7*'Customer Cost Calcs'!$C$6*'Fuel Prices'!AA33</f>
        <v>96.233141243571424</v>
      </c>
      <c r="AC6" s="5">
        <f>NPV(Equipment!$C$23,'Customer Cost Calcs'!D6:U6)*(1+Equipment!$C$23)</f>
        <v>1266.9736703647527</v>
      </c>
      <c r="AE6" s="5">
        <f>NPV(Equipment!$C$23,'Customer Cost Calcs'!K6:AB6)*(1+Equipment!$C$23)</f>
        <v>1266.9736703647527</v>
      </c>
    </row>
    <row r="7" spans="1:32" x14ac:dyDescent="0.3">
      <c r="B7" t="s">
        <v>32</v>
      </c>
      <c r="C7" s="24">
        <f>IF(Summary!D3="Y",Equipment!H67,1)</f>
        <v>1</v>
      </c>
      <c r="D7" s="20">
        <f>Equipment!$J$12*'Customer Cost Calcs'!$C$7*'Fuel Prices'!C12</f>
        <v>210.81406101449278</v>
      </c>
      <c r="E7" s="20">
        <f>Equipment!$J$12*'Customer Cost Calcs'!$C$7*'Fuel Prices'!D12</f>
        <v>222.50240434782609</v>
      </c>
      <c r="F7" s="20">
        <f>Equipment!$J$12*'Customer Cost Calcs'!$C$7*'Fuel Prices'!E12</f>
        <v>233.70063483609985</v>
      </c>
      <c r="G7" s="20">
        <f>Equipment!$J$12*'Customer Cost Calcs'!$C$7*'Fuel Prices'!F12</f>
        <v>244.42347880259842</v>
      </c>
      <c r="H7" s="20">
        <f>Equipment!$J$12*'Customer Cost Calcs'!$C$7*'Fuel Prices'!G12</f>
        <v>254.68527350019866</v>
      </c>
      <c r="I7" s="20">
        <f>Equipment!$J$12*'Customer Cost Calcs'!$C$7*'Fuel Prices'!H12</f>
        <v>264.49997670724019</v>
      </c>
      <c r="J7" s="20">
        <f>Equipment!$J$12*'Customer Cost Calcs'!$C$7*'Fuel Prices'!I12</f>
        <v>264.8414764708811</v>
      </c>
      <c r="K7" s="20">
        <f>Equipment!$J$12*'Customer Cost Calcs'!$C$7*'Fuel Prices'!J12</f>
        <v>262.16304695212841</v>
      </c>
      <c r="L7" s="20">
        <f>Equipment!$J$12*'Customer Cost Calcs'!$C$7*'Fuel Prices'!K12</f>
        <v>259.53713565923357</v>
      </c>
      <c r="M7" s="20">
        <f>Equipment!$J$12*'Customer Cost Calcs'!$C$7*'Fuel Prices'!L12</f>
        <v>256.96271282306219</v>
      </c>
      <c r="N7" s="20">
        <f>Equipment!$J$12*'Customer Cost Calcs'!$C$7*'Fuel Prices'!M12</f>
        <v>254.43876886603144</v>
      </c>
      <c r="O7" s="20">
        <f>Equipment!$J$12*'Customer Cost Calcs'!$C$7*'Fuel Prices'!N12</f>
        <v>251.96431400619727</v>
      </c>
      <c r="P7" s="20">
        <f>Equipment!$J$12*'Customer Cost Calcs'!$C$7*'Fuel Prices'!O12</f>
        <v>249.53837786910515</v>
      </c>
      <c r="Q7" s="20">
        <f>Equipment!$J$12*'Customer Cost Calcs'!$C$7*'Fuel Prices'!P12</f>
        <v>247.16000910724992</v>
      </c>
      <c r="R7" s="20">
        <f>Equipment!$J$12*'Customer Cost Calcs'!$C$7*'Fuel Prices'!Q12</f>
        <v>244.82827502699979</v>
      </c>
      <c r="S7" s="20">
        <f>Equipment!$J$12*'Customer Cost Calcs'!$C$7*'Fuel Prices'!R12</f>
        <v>242.54226122283299</v>
      </c>
      <c r="T7" s="20">
        <f>Equipment!$J$12*'Customer Cost Calcs'!$C$7*'Fuel Prices'!S12</f>
        <v>240.30107121874786</v>
      </c>
      <c r="U7" s="20">
        <f>Equipment!$J$12*'Customer Cost Calcs'!$C$7*'Fuel Prices'!T12</f>
        <v>238.10382611670366</v>
      </c>
      <c r="V7" s="20">
        <f>Equipment!$J$12*'Customer Cost Calcs'!$C$7*'Fuel Prices'!U12</f>
        <v>235.94966425195443</v>
      </c>
      <c r="W7" s="20">
        <f>Equipment!$J$12*'Customer Cost Calcs'!$C$7*'Fuel Prices'!V12</f>
        <v>233.83774085514145</v>
      </c>
      <c r="X7" s="20">
        <f>Equipment!$J$12*'Customer Cost Calcs'!$C$7*'Fuel Prices'!W12</f>
        <v>231.76722772101107</v>
      </c>
      <c r="Y7" s="20">
        <f>Equipment!$J$12*'Customer Cost Calcs'!$C$7*'Fuel Prices'!X12</f>
        <v>229.73731288362833</v>
      </c>
      <c r="Z7" s="20">
        <f>Equipment!$J$12*'Customer Cost Calcs'!$C$7*'Fuel Prices'!Y12</f>
        <v>227.74720029795904</v>
      </c>
      <c r="AA7" s="20">
        <f>Equipment!$J$12*'Customer Cost Calcs'!$C$7*'Fuel Prices'!Z12</f>
        <v>225.79610952769497</v>
      </c>
      <c r="AB7" s="20">
        <f>Equipment!$J$12*'Customer Cost Calcs'!$C$7*'Fuel Prices'!AA12</f>
        <v>223.88327543920082</v>
      </c>
      <c r="AC7" s="5">
        <f>NPV(Equipment!$C$23,'Customer Cost Calcs'!D7:U7)*(1+Equipment!$C$23)</f>
        <v>3238.3875860162898</v>
      </c>
      <c r="AE7" s="5">
        <f>NPV(Equipment!$C$23,'Customer Cost Calcs'!K7:AB7)*(1+Equipment!$C$23)</f>
        <v>3217.3993703369802</v>
      </c>
    </row>
    <row r="8" spans="1:32" x14ac:dyDescent="0.3">
      <c r="B8" t="s">
        <v>39</v>
      </c>
      <c r="C8" s="24">
        <f>IF(Summary!D3="Y",Equipment!G67,1)</f>
        <v>1</v>
      </c>
      <c r="D8" s="20">
        <f>(Equipment!$J$15*$C$8*'Fuel Prices'!C12)+(Equipment!$M$15*'Customer Cost Calcs'!$C$8*'Fuel Prices'!C33)</f>
        <v>41.520520635545033</v>
      </c>
      <c r="E8" s="20">
        <f>(Equipment!$J$15*$C$8*'Fuel Prices'!D12)+(Equipment!$M$15*'Customer Cost Calcs'!$C$8*'Fuel Prices'!D33)</f>
        <v>43.025962176672628</v>
      </c>
      <c r="F8" s="20">
        <f>(Equipment!$J$15*$C$8*'Fuel Prices'!E12)+(Equipment!$M$15*'Customer Cost Calcs'!$C$8*'Fuel Prices'!E33)</f>
        <v>44.468277899559695</v>
      </c>
      <c r="G8" s="20">
        <f>(Equipment!$J$15*$C$8*'Fuel Prices'!F12)+(Equipment!$M$15*'Customer Cost Calcs'!$C$8*'Fuel Prices'!F33)</f>
        <v>45.849364533125652</v>
      </c>
      <c r="H8" s="20">
        <f>(Equipment!$J$15*$C$8*'Fuel Prices'!G12)+(Equipment!$M$15*'Customer Cost Calcs'!$C$8*'Fuel Prices'!G33)</f>
        <v>47.171068694589962</v>
      </c>
      <c r="I8" s="20">
        <f>(Equipment!$J$15*$C$8*'Fuel Prices'!H12)+(Equipment!$M$15*'Customer Cost Calcs'!$C$8*'Fuel Prices'!H33)</f>
        <v>48.435188125406242</v>
      </c>
      <c r="J8" s="20">
        <f>(Equipment!$J$15*$C$8*'Fuel Prices'!I12)+(Equipment!$M$15*'Customer Cost Calcs'!$C$8*'Fuel Prices'!I33)</f>
        <v>48.479172795928719</v>
      </c>
      <c r="K8" s="20">
        <f>(Equipment!$J$15*$C$8*'Fuel Prices'!J12)+(Equipment!$M$15*'Customer Cost Calcs'!$C$8*'Fuel Prices'!J33)</f>
        <v>48.134194987909218</v>
      </c>
      <c r="L8" s="20">
        <f>(Equipment!$J$15*$C$8*'Fuel Prices'!K12)+(Equipment!$M$15*'Customer Cost Calcs'!$C$8*'Fuel Prices'!K33)</f>
        <v>47.795981450635189</v>
      </c>
      <c r="M8" s="20">
        <f>(Equipment!$J$15*$C$8*'Fuel Prices'!L12)+(Equipment!$M$15*'Customer Cost Calcs'!$C$8*'Fuel Prices'!L33)</f>
        <v>47.464399551346929</v>
      </c>
      <c r="N8" s="20">
        <f>(Equipment!$J$15*$C$8*'Fuel Prices'!M12)+(Equipment!$M$15*'Customer Cost Calcs'!$C$8*'Fuel Prices'!M33)</f>
        <v>47.13931925792707</v>
      </c>
      <c r="O8" s="20">
        <f>(Equipment!$J$15*$C$8*'Fuel Prices'!N12)+(Equipment!$M$15*'Customer Cost Calcs'!$C$8*'Fuel Prices'!N33)</f>
        <v>46.820613087907589</v>
      </c>
      <c r="P8" s="20">
        <f>(Equipment!$J$15*$C$8*'Fuel Prices'!O12)+(Equipment!$M$15*'Customer Cost Calcs'!$C$8*'Fuel Prices'!O33)</f>
        <v>46.508156058476743</v>
      </c>
      <c r="Q8" s="20">
        <f>(Equipment!$J$15*$C$8*'Fuel Prices'!P12)+(Equipment!$M$15*'Customer Cost Calcs'!$C$8*'Fuel Prices'!P33)</f>
        <v>46.201825637466094</v>
      </c>
      <c r="R8" s="20">
        <f>(Equipment!$J$15*$C$8*'Fuel Prices'!Q12)+(Equipment!$M$15*'Customer Cost Calcs'!$C$8*'Fuel Prices'!Q33)</f>
        <v>45.901501695298798</v>
      </c>
      <c r="S8" s="20">
        <f>(Equipment!$J$15*$C$8*'Fuel Prices'!R12)+(Equipment!$M$15*'Customer Cost Calcs'!$C$8*'Fuel Prices'!R33)</f>
        <v>45.607066457879881</v>
      </c>
      <c r="T8" s="20">
        <f>(Equipment!$J$15*$C$8*'Fuel Prices'!S12)+(Equipment!$M$15*'Customer Cost Calcs'!$C$8*'Fuel Prices'!S33)</f>
        <v>45.318404460410349</v>
      </c>
      <c r="U8" s="20">
        <f>(Equipment!$J$15*$C$8*'Fuel Prices'!T12)+(Equipment!$M$15*'Customer Cost Calcs'!$C$8*'Fuel Prices'!T33)</f>
        <v>45.035402502106891</v>
      </c>
      <c r="V8" s="20">
        <f>(Equipment!$J$15*$C$8*'Fuel Prices'!U12)+(Equipment!$M$15*'Customer Cost Calcs'!$C$8*'Fuel Prices'!U33)</f>
        <v>44.757949601809379</v>
      </c>
      <c r="W8" s="20">
        <f>(Equipment!$J$15*$C$8*'Fuel Prices'!V12)+(Equipment!$M$15*'Customer Cost Calcs'!$C$8*'Fuel Prices'!V33)</f>
        <v>44.485936954458879</v>
      </c>
      <c r="X8" s="20">
        <f>(Equipment!$J$15*$C$8*'Fuel Prices'!W12)+(Equipment!$M$15*'Customer Cost Calcs'!$C$8*'Fuel Prices'!W33)</f>
        <v>44.219257888428977</v>
      </c>
      <c r="Y8" s="20">
        <f>(Equipment!$J$15*$C$8*'Fuel Prices'!X12)+(Equipment!$M$15*'Customer Cost Calcs'!$C$8*'Fuel Prices'!X33)</f>
        <v>43.957807823693784</v>
      </c>
      <c r="Z8" s="20">
        <f>(Equipment!$J$15*$C$8*'Fuel Prices'!Y12)+(Equipment!$M$15*'Customer Cost Calcs'!$C$8*'Fuel Prices'!Y33)</f>
        <v>43.701484230816135</v>
      </c>
      <c r="AA8" s="20">
        <f>(Equipment!$J$15*$C$8*'Fuel Prices'!Z12)+(Equipment!$M$15*'Customer Cost Calcs'!$C$8*'Fuel Prices'!Z33)</f>
        <v>43.450186590740017</v>
      </c>
      <c r="AB8" s="20">
        <f>(Equipment!$J$15*$C$8*'Fuel Prices'!AA12)+(Equipment!$M$15*'Customer Cost Calcs'!$C$8*'Fuel Prices'!AA33)</f>
        <v>43.203816355371274</v>
      </c>
      <c r="AC8" s="5">
        <f>NPV(Equipment!$C$23,'Customer Cost Calcs'!D8:U8)*(1+Equipment!$C$23)</f>
        <v>606.26362452059982</v>
      </c>
      <c r="AE8" s="5">
        <f>NPV(Equipment!$C$23,'Customer Cost Calcs'!K8:AB8)*(1+Equipment!$C$23)</f>
        <v>603.5603730112374</v>
      </c>
    </row>
    <row r="9" spans="1:32" x14ac:dyDescent="0.3">
      <c r="B9" t="s">
        <v>38</v>
      </c>
      <c r="C9" s="24">
        <f>IF(Summary!D3="Y",Equipment!C67,1)</f>
        <v>1</v>
      </c>
      <c r="D9" s="20">
        <f>Equipment!$J$18*'Customer Cost Calcs'!$C$9*'Fuel Prices'!C12</f>
        <v>47.836583189189199</v>
      </c>
      <c r="E9" s="20">
        <f>Equipment!$J$18*'Customer Cost Calcs'!$C$9*'Fuel Prices'!D12</f>
        <v>50.488827567567569</v>
      </c>
      <c r="F9" s="20">
        <f>Equipment!$J$18*'Customer Cost Calcs'!$C$9*'Fuel Prices'!E12</f>
        <v>53.029858662676524</v>
      </c>
      <c r="G9" s="20">
        <f>Equipment!$J$18*'Customer Cost Calcs'!$C$9*'Fuel Prices'!F12</f>
        <v>55.463018077943616</v>
      </c>
      <c r="H9" s="20">
        <f>Equipment!$J$18*'Customer Cost Calcs'!$C$9*'Fuel Prices'!G12</f>
        <v>57.791559131419106</v>
      </c>
      <c r="I9" s="20">
        <f>Equipment!$J$18*'Customer Cost Calcs'!$C$9*'Fuel Prices'!H12</f>
        <v>60.018649033209712</v>
      </c>
      <c r="J9" s="20">
        <f>Equipment!$J$18*'Customer Cost Calcs'!$C$9*'Fuel Prices'!I12</f>
        <v>60.096139983167618</v>
      </c>
      <c r="K9" s="20">
        <f>Equipment!$J$18*'Customer Cost Calcs'!$C$9*'Fuel Prices'!J12</f>
        <v>59.488367826634921</v>
      </c>
      <c r="L9" s="20">
        <f>Equipment!$J$18*'Customer Cost Calcs'!$C$9*'Fuel Prices'!K12</f>
        <v>58.892512771210704</v>
      </c>
      <c r="M9" s="20">
        <f>Equipment!$J$18*'Customer Cost Calcs'!$C$9*'Fuel Prices'!L12</f>
        <v>58.308341148245795</v>
      </c>
      <c r="N9" s="20">
        <f>Equipment!$J$18*'Customer Cost Calcs'!$C$9*'Fuel Prices'!M12</f>
        <v>57.735623870829208</v>
      </c>
      <c r="O9" s="20">
        <f>Equipment!$J$18*'Customer Cost Calcs'!$C$9*'Fuel Prices'!N12</f>
        <v>57.174136343950195</v>
      </c>
      <c r="P9" s="20">
        <f>Equipment!$J$18*'Customer Cost Calcs'!$C$9*'Fuel Prices'!O12</f>
        <v>56.62365837642178</v>
      </c>
      <c r="Q9" s="20">
        <f>Equipment!$J$18*'Customer Cost Calcs'!$C$9*'Fuel Prices'!P12</f>
        <v>56.083974094531136</v>
      </c>
      <c r="R9" s="20">
        <f>Equipment!$J$18*'Customer Cost Calcs'!$C$9*'Fuel Prices'!Q12</f>
        <v>55.554871857383475</v>
      </c>
      <c r="S9" s="20">
        <f>Equipment!$J$18*'Customer Cost Calcs'!$C$9*'Fuel Prices'!R12</f>
        <v>55.036144173905363</v>
      </c>
      <c r="T9" s="20">
        <f>Equipment!$J$18*'Customer Cost Calcs'!$C$9*'Fuel Prices'!S12</f>
        <v>54.527587621475845</v>
      </c>
      <c r="U9" s="20">
        <f>Equipment!$J$18*'Customer Cost Calcs'!$C$9*'Fuel Prices'!T12</f>
        <v>54.029002766152793</v>
      </c>
      <c r="V9" s="20">
        <f>Equipment!$J$18*'Customer Cost Calcs'!$C$9*'Fuel Prices'!U12</f>
        <v>53.540194084463522</v>
      </c>
      <c r="W9" s="20">
        <f>Equipment!$J$18*'Customer Cost Calcs'!$C$9*'Fuel Prices'!V12</f>
        <v>53.060969886728941</v>
      </c>
      <c r="X9" s="20">
        <f>Equipment!$J$18*'Customer Cost Calcs'!$C$9*'Fuel Prices'!W12</f>
        <v>52.59114224189112</v>
      </c>
      <c r="Y9" s="20">
        <f>Equipment!$J$18*'Customer Cost Calcs'!$C$9*'Fuel Prices'!X12</f>
        <v>52.130526903814818</v>
      </c>
      <c r="Z9" s="20">
        <f>Equipment!$J$18*'Customer Cost Calcs'!$C$9*'Fuel Prices'!Y12</f>
        <v>51.67894323903414</v>
      </c>
      <c r="AA9" s="20">
        <f>Equipment!$J$18*'Customer Cost Calcs'!$C$9*'Fuel Prices'!Z12</f>
        <v>51.236214155915818</v>
      </c>
      <c r="AB9" s="20">
        <f>Equipment!$J$18*'Customer Cost Calcs'!$C$9*'Fuel Prices'!AA12</f>
        <v>50.802166035211592</v>
      </c>
      <c r="AC9" s="5">
        <f>NPV(Equipment!$C$23,'Customer Cost Calcs'!D9:U9)*(1+Equipment!$C$23)</f>
        <v>734.8342724950212</v>
      </c>
      <c r="AE9" s="5">
        <f>NPV(Equipment!$C$23,'Customer Cost Calcs'!K9:AB9)*(1+Equipment!$C$23)</f>
        <v>730.0717603527836</v>
      </c>
    </row>
    <row r="10" spans="1:32" x14ac:dyDescent="0.3">
      <c r="B10" t="s">
        <v>57</v>
      </c>
      <c r="C10" s="4"/>
      <c r="D10" s="20">
        <f>'Fuel Prices'!C4</f>
        <v>362.59439999999995</v>
      </c>
      <c r="E10" s="20">
        <f>'Fuel Prices'!D4</f>
        <v>362.59439999999995</v>
      </c>
      <c r="F10" s="20">
        <f>'Fuel Prices'!E4</f>
        <v>362.59439999999995</v>
      </c>
      <c r="G10" s="20">
        <f>'Fuel Prices'!F4</f>
        <v>362.59439999999995</v>
      </c>
      <c r="H10" s="20">
        <f>'Fuel Prices'!G4</f>
        <v>362.59439999999995</v>
      </c>
      <c r="I10" s="20">
        <f>'Fuel Prices'!H4</f>
        <v>362.59439999999995</v>
      </c>
      <c r="J10" s="20">
        <f>'Fuel Prices'!I4</f>
        <v>362.59439999999995</v>
      </c>
      <c r="K10" s="20">
        <f>'Fuel Prices'!J4</f>
        <v>362.59439999999995</v>
      </c>
      <c r="L10" s="20">
        <f>'Fuel Prices'!K4</f>
        <v>362.59439999999995</v>
      </c>
      <c r="M10" s="20">
        <f>'Fuel Prices'!L4</f>
        <v>362.59439999999995</v>
      </c>
      <c r="N10" s="20">
        <f>'Fuel Prices'!M4</f>
        <v>362.59439999999995</v>
      </c>
      <c r="O10" s="20">
        <f>'Fuel Prices'!N4</f>
        <v>362.59439999999995</v>
      </c>
      <c r="P10" s="20">
        <f>'Fuel Prices'!O4</f>
        <v>362.59439999999995</v>
      </c>
      <c r="Q10" s="20">
        <f>'Fuel Prices'!P4</f>
        <v>362.59439999999995</v>
      </c>
      <c r="R10" s="20">
        <f>'Fuel Prices'!Q4</f>
        <v>362.59439999999995</v>
      </c>
      <c r="S10" s="20">
        <f>'Fuel Prices'!R4</f>
        <v>362.59439999999995</v>
      </c>
      <c r="T10" s="20">
        <f>'Fuel Prices'!S4</f>
        <v>362.59439999999995</v>
      </c>
      <c r="U10" s="20">
        <f>'Fuel Prices'!T4</f>
        <v>362.59439999999995</v>
      </c>
      <c r="V10" s="20">
        <f>'Fuel Prices'!U4</f>
        <v>362.59439999999995</v>
      </c>
      <c r="W10" s="20">
        <f>'Fuel Prices'!V4</f>
        <v>362.59439999999995</v>
      </c>
      <c r="X10" s="20">
        <f>'Fuel Prices'!W4</f>
        <v>362.59439999999995</v>
      </c>
      <c r="Y10" s="20">
        <f>'Fuel Prices'!X4</f>
        <v>362.59439999999995</v>
      </c>
      <c r="Z10" s="20">
        <f>'Fuel Prices'!Y4</f>
        <v>362.59439999999995</v>
      </c>
      <c r="AA10" s="20">
        <f>'Fuel Prices'!Z4</f>
        <v>362.59439999999995</v>
      </c>
      <c r="AB10" s="20">
        <f>'Fuel Prices'!AA4</f>
        <v>362.59439999999995</v>
      </c>
      <c r="AC10" s="5">
        <f>NPV(Equipment!$C$23,'Customer Cost Calcs'!D10:U10)*(1+Equipment!$C$23)</f>
        <v>4773.7977986081169</v>
      </c>
      <c r="AE10" s="5">
        <f>NPV(Equipment!$C$23,'Customer Cost Calcs'!K10:AB10)*(1+Equipment!$C$23)</f>
        <v>4773.7977986081169</v>
      </c>
    </row>
    <row r="11" spans="1:32" x14ac:dyDescent="0.3">
      <c r="B11" t="s">
        <v>109</v>
      </c>
      <c r="C11" s="4"/>
      <c r="D11" s="20">
        <f>SUM(D5:D10)</f>
        <v>1855.2877227759564</v>
      </c>
      <c r="E11" s="20">
        <f t="shared" ref="E11:AB11" si="7">SUM(E5:E10)</f>
        <v>1927.2619338551117</v>
      </c>
      <c r="F11" s="20">
        <f t="shared" si="7"/>
        <v>1996.2181393575206</v>
      </c>
      <c r="G11" s="20">
        <f t="shared" si="7"/>
        <v>2062.2470206971584</v>
      </c>
      <c r="H11" s="20">
        <f t="shared" si="7"/>
        <v>2125.4368634792149</v>
      </c>
      <c r="I11" s="20">
        <f t="shared" si="7"/>
        <v>2185.8736165893251</v>
      </c>
      <c r="J11" s="20">
        <f t="shared" si="7"/>
        <v>2187.9764959598924</v>
      </c>
      <c r="K11" s="20">
        <f t="shared" si="7"/>
        <v>2171.4833244260299</v>
      </c>
      <c r="L11" s="20">
        <f t="shared" si="7"/>
        <v>2155.3135484124386</v>
      </c>
      <c r="M11" s="20">
        <f t="shared" si="7"/>
        <v>2139.4608268304869</v>
      </c>
      <c r="N11" s="20">
        <f t="shared" si="7"/>
        <v>2123.9189429266125</v>
      </c>
      <c r="O11" s="20">
        <f t="shared" si="7"/>
        <v>2108.6818018443823</v>
      </c>
      <c r="P11" s="20">
        <f t="shared" si="7"/>
        <v>2093.7434282343538</v>
      </c>
      <c r="Q11" s="20">
        <f t="shared" si="7"/>
        <v>2079.097963910795</v>
      </c>
      <c r="R11" s="20">
        <f t="shared" si="7"/>
        <v>2064.7396655543653</v>
      </c>
      <c r="S11" s="20">
        <f t="shared" si="7"/>
        <v>2050.6629024598274</v>
      </c>
      <c r="T11" s="20">
        <f t="shared" si="7"/>
        <v>2036.8621543279264</v>
      </c>
      <c r="U11" s="20">
        <f t="shared" si="7"/>
        <v>2023.3320091005728</v>
      </c>
      <c r="V11" s="20">
        <f t="shared" si="7"/>
        <v>2010.0671608384614</v>
      </c>
      <c r="W11" s="20">
        <f t="shared" si="7"/>
        <v>1997.062407640313</v>
      </c>
      <c r="X11" s="20">
        <f t="shared" si="7"/>
        <v>1984.3126496029124</v>
      </c>
      <c r="Y11" s="20">
        <f t="shared" si="7"/>
        <v>1971.8128868211477</v>
      </c>
      <c r="Z11" s="20">
        <f t="shared" si="7"/>
        <v>1959.5582174272604</v>
      </c>
      <c r="AA11" s="20">
        <f t="shared" si="7"/>
        <v>1947.543835668547</v>
      </c>
      <c r="AB11" s="20">
        <f t="shared" si="7"/>
        <v>1935.7650300227497</v>
      </c>
      <c r="AC11" s="5">
        <f>NPV(Equipment!$C$23,'Customer Cost Calcs'!D11:U11)*(1+Equipment!$C$23)</f>
        <v>27276.412307948623</v>
      </c>
      <c r="AE11" s="5">
        <f>NPV(Equipment!$C$23,'Customer Cost Calcs'!K11:AB11)*(1+Equipment!$C$23)</f>
        <v>27147.171557365131</v>
      </c>
    </row>
    <row r="12" spans="1:32" x14ac:dyDescent="0.3">
      <c r="AC12" s="5"/>
    </row>
    <row r="13" spans="1:32" x14ac:dyDescent="0.3">
      <c r="A13" s="3" t="s">
        <v>128</v>
      </c>
      <c r="AC13" s="5"/>
    </row>
    <row r="14" spans="1:32" x14ac:dyDescent="0.3">
      <c r="B14" t="s">
        <v>50</v>
      </c>
      <c r="C14" s="4">
        <f>C5</f>
        <v>1</v>
      </c>
      <c r="D14" s="5">
        <f>Equipment!$K$9*'Customer Cost Calcs'!$C$14*'Fuel Prices'!C33</f>
        <v>951.01188622814527</v>
      </c>
      <c r="E14" s="5">
        <f>Equipment!$K$9*'Customer Cost Calcs'!$C$14*'Fuel Prices'!D33</f>
        <v>951.01188622814527</v>
      </c>
      <c r="F14" s="5">
        <f>Equipment!$K$9*'Customer Cost Calcs'!$C$14*'Fuel Prices'!E33</f>
        <v>951.01188622814527</v>
      </c>
      <c r="G14" s="5">
        <f>Equipment!$K$9*'Customer Cost Calcs'!$C$14*'Fuel Prices'!F33</f>
        <v>951.01188622814527</v>
      </c>
      <c r="H14" s="5">
        <f>Equipment!$K$9*'Customer Cost Calcs'!$C$14*'Fuel Prices'!G33</f>
        <v>951.01188622814527</v>
      </c>
      <c r="I14" s="5">
        <f>Equipment!$K$9*'Customer Cost Calcs'!$C$14*'Fuel Prices'!H33</f>
        <v>951.01188622814527</v>
      </c>
      <c r="J14" s="5">
        <f>Equipment!$K$9*'Customer Cost Calcs'!$C$14*'Fuel Prices'!I33</f>
        <v>951.01188622814527</v>
      </c>
      <c r="K14" s="5">
        <f>Equipment!$K$9*'Customer Cost Calcs'!$C$14*'Fuel Prices'!J33</f>
        <v>951.01188622814527</v>
      </c>
      <c r="L14" s="5">
        <f>Equipment!$K$9*'Customer Cost Calcs'!$C$14*'Fuel Prices'!K33</f>
        <v>951.01188622814527</v>
      </c>
      <c r="M14" s="5">
        <f>Equipment!$K$9*'Customer Cost Calcs'!$C$14*'Fuel Prices'!L33</f>
        <v>951.01188622814527</v>
      </c>
      <c r="N14" s="5">
        <f>Equipment!$K$9*'Customer Cost Calcs'!$C$14*'Fuel Prices'!M33</f>
        <v>951.01188622814527</v>
      </c>
      <c r="O14" s="5">
        <f>Equipment!$K$9*'Customer Cost Calcs'!$C$14*'Fuel Prices'!N33</f>
        <v>951.01188622814527</v>
      </c>
      <c r="P14" s="5">
        <f>Equipment!$K$9*'Customer Cost Calcs'!$C$14*'Fuel Prices'!O33</f>
        <v>951.01188622814527</v>
      </c>
      <c r="Q14" s="5">
        <f>Equipment!$K$9*'Customer Cost Calcs'!$C$14*'Fuel Prices'!P33</f>
        <v>951.01188622814527</v>
      </c>
      <c r="R14" s="5">
        <f>Equipment!$K$9*'Customer Cost Calcs'!$C$14*'Fuel Prices'!Q33</f>
        <v>951.01188622814527</v>
      </c>
      <c r="S14" s="5">
        <f>Equipment!$K$9*'Customer Cost Calcs'!$C$14*'Fuel Prices'!R33</f>
        <v>951.01188622814527</v>
      </c>
      <c r="T14" s="5">
        <f>Equipment!$K$9*'Customer Cost Calcs'!$C$14*'Fuel Prices'!S33</f>
        <v>951.01188622814527</v>
      </c>
      <c r="U14" s="5">
        <f>Equipment!$K$9*'Customer Cost Calcs'!$C$14*'Fuel Prices'!T33</f>
        <v>951.01188622814527</v>
      </c>
      <c r="V14" s="5">
        <f>Equipment!$K$9*'Customer Cost Calcs'!$C$14*'Fuel Prices'!U33</f>
        <v>951.01188622814527</v>
      </c>
      <c r="W14" s="5">
        <f>Equipment!$K$9*'Customer Cost Calcs'!$C$14*'Fuel Prices'!V33</f>
        <v>951.01188622814527</v>
      </c>
      <c r="X14" s="5">
        <f>Equipment!$K$9*'Customer Cost Calcs'!$C$14*'Fuel Prices'!W33</f>
        <v>951.01188622814527</v>
      </c>
      <c r="Y14" s="5">
        <f>Equipment!$K$9*'Customer Cost Calcs'!$C$14*'Fuel Prices'!X33</f>
        <v>951.01188622814527</v>
      </c>
      <c r="Z14" s="5">
        <f>Equipment!$K$9*'Customer Cost Calcs'!$C$14*'Fuel Prices'!Y33</f>
        <v>951.01188622814527</v>
      </c>
      <c r="AA14" s="5">
        <f>Equipment!$K$9*'Customer Cost Calcs'!$C$14*'Fuel Prices'!Z33</f>
        <v>951.01188622814527</v>
      </c>
      <c r="AB14" s="5">
        <f>Equipment!$K$9*'Customer Cost Calcs'!$C$14*'Fuel Prices'!AA33</f>
        <v>951.01188622814527</v>
      </c>
      <c r="AC14" s="5">
        <f>NPV(Equipment!$C$23,'Customer Cost Calcs'!D14:U14)*(1+Equipment!$C$23)</f>
        <v>12520.707570017828</v>
      </c>
      <c r="AD14" s="5">
        <f t="shared" ref="AD14:AD18" si="8">AC14-AC5</f>
        <v>-4135.4477859260151</v>
      </c>
      <c r="AE14" s="5">
        <f>NPV(Equipment!$C$23,'Customer Cost Calcs'!K14:AB14)*(1+Equipment!$C$23)</f>
        <v>12520.707570017828</v>
      </c>
      <c r="AF14" s="5">
        <f t="shared" ref="AF14:AF18" si="9">AE14-AE5</f>
        <v>-4034.6610146734347</v>
      </c>
    </row>
    <row r="15" spans="1:32" x14ac:dyDescent="0.3">
      <c r="B15" t="s">
        <v>51</v>
      </c>
      <c r="C15" s="4">
        <f>C6</f>
        <v>1</v>
      </c>
      <c r="D15" s="5">
        <f>Equipment!$L$9*'Customer Cost Calcs'!$C$15*'Fuel Prices'!C33</f>
        <v>74.847998744999998</v>
      </c>
      <c r="E15" s="5">
        <f>Equipment!$L$9*'Customer Cost Calcs'!$C$15*'Fuel Prices'!D33</f>
        <v>74.847998744999998</v>
      </c>
      <c r="F15" s="5">
        <f>Equipment!$L$9*'Customer Cost Calcs'!$C$15*'Fuel Prices'!E33</f>
        <v>74.847998744999998</v>
      </c>
      <c r="G15" s="5">
        <f>Equipment!$L$9*'Customer Cost Calcs'!$C$15*'Fuel Prices'!F33</f>
        <v>74.847998744999998</v>
      </c>
      <c r="H15" s="5">
        <f>Equipment!$L$9*'Customer Cost Calcs'!$C$15*'Fuel Prices'!G33</f>
        <v>74.847998744999998</v>
      </c>
      <c r="I15" s="5">
        <f>Equipment!$L$9*'Customer Cost Calcs'!$C$15*'Fuel Prices'!H33</f>
        <v>74.847998744999998</v>
      </c>
      <c r="J15" s="5">
        <f>Equipment!$L$9*'Customer Cost Calcs'!$C$15*'Fuel Prices'!I33</f>
        <v>74.847998744999998</v>
      </c>
      <c r="K15" s="5">
        <f>Equipment!$L$9*'Customer Cost Calcs'!$C$15*'Fuel Prices'!J33</f>
        <v>74.847998744999998</v>
      </c>
      <c r="L15" s="5">
        <f>Equipment!$L$9*'Customer Cost Calcs'!$C$15*'Fuel Prices'!K33</f>
        <v>74.847998744999998</v>
      </c>
      <c r="M15" s="5">
        <f>Equipment!$L$9*'Customer Cost Calcs'!$C$15*'Fuel Prices'!L33</f>
        <v>74.847998744999998</v>
      </c>
      <c r="N15" s="5">
        <f>Equipment!$L$9*'Customer Cost Calcs'!$C$15*'Fuel Prices'!M33</f>
        <v>74.847998744999998</v>
      </c>
      <c r="O15" s="5">
        <f>Equipment!$L$9*'Customer Cost Calcs'!$C$15*'Fuel Prices'!N33</f>
        <v>74.847998744999998</v>
      </c>
      <c r="P15" s="5">
        <f>Equipment!$L$9*'Customer Cost Calcs'!$C$15*'Fuel Prices'!O33</f>
        <v>74.847998744999998</v>
      </c>
      <c r="Q15" s="5">
        <f>Equipment!$L$9*'Customer Cost Calcs'!$C$15*'Fuel Prices'!P33</f>
        <v>74.847998744999998</v>
      </c>
      <c r="R15" s="5">
        <f>Equipment!$L$9*'Customer Cost Calcs'!$C$15*'Fuel Prices'!Q33</f>
        <v>74.847998744999998</v>
      </c>
      <c r="S15" s="5">
        <f>Equipment!$L$9*'Customer Cost Calcs'!$C$15*'Fuel Prices'!R33</f>
        <v>74.847998744999998</v>
      </c>
      <c r="T15" s="5">
        <f>Equipment!$L$9*'Customer Cost Calcs'!$C$15*'Fuel Prices'!S33</f>
        <v>74.847998744999998</v>
      </c>
      <c r="U15" s="5">
        <f>Equipment!$L$9*'Customer Cost Calcs'!$C$15*'Fuel Prices'!T33</f>
        <v>74.847998744999998</v>
      </c>
      <c r="V15" s="5">
        <f>Equipment!$L$9*'Customer Cost Calcs'!$C$15*'Fuel Prices'!U33</f>
        <v>74.847998744999998</v>
      </c>
      <c r="W15" s="5">
        <f>Equipment!$L$9*'Customer Cost Calcs'!$C$15*'Fuel Prices'!V33</f>
        <v>74.847998744999998</v>
      </c>
      <c r="X15" s="5">
        <f>Equipment!$L$9*'Customer Cost Calcs'!$C$15*'Fuel Prices'!W33</f>
        <v>74.847998744999998</v>
      </c>
      <c r="Y15" s="5">
        <f>Equipment!$L$9*'Customer Cost Calcs'!$C$15*'Fuel Prices'!X33</f>
        <v>74.847998744999998</v>
      </c>
      <c r="Z15" s="5">
        <f>Equipment!$L$9*'Customer Cost Calcs'!$C$15*'Fuel Prices'!Y33</f>
        <v>74.847998744999998</v>
      </c>
      <c r="AA15" s="5">
        <f>Equipment!$L$9*'Customer Cost Calcs'!$C$15*'Fuel Prices'!Z33</f>
        <v>74.847998744999998</v>
      </c>
      <c r="AB15" s="5">
        <f>Equipment!$L$9*'Customer Cost Calcs'!$C$15*'Fuel Prices'!AA33</f>
        <v>74.847998744999998</v>
      </c>
      <c r="AC15" s="5">
        <f>NPV(Equipment!$C$23,'Customer Cost Calcs'!D15:U15)*(1+Equipment!$C$23)</f>
        <v>985.42396583925199</v>
      </c>
      <c r="AD15" s="5">
        <f t="shared" si="8"/>
        <v>-281.54970452550072</v>
      </c>
      <c r="AE15" s="5">
        <f>NPV(Equipment!$C$23,'Customer Cost Calcs'!K15:AB15)*(1+Equipment!$C$23)</f>
        <v>985.42396583925199</v>
      </c>
      <c r="AF15" s="5">
        <f t="shared" si="9"/>
        <v>-281.54970452550072</v>
      </c>
    </row>
    <row r="16" spans="1:32" x14ac:dyDescent="0.3">
      <c r="B16" t="s">
        <v>32</v>
      </c>
      <c r="C16" s="4">
        <f>C7</f>
        <v>1</v>
      </c>
      <c r="D16" s="5">
        <f>Equipment!$K$13*'Customer Cost Calcs'!$C$16*'Fuel Prices'!C33</f>
        <v>110.08649517214538</v>
      </c>
      <c r="E16" s="5">
        <f>Equipment!$K$13*'Customer Cost Calcs'!$C$16*'Fuel Prices'!D33</f>
        <v>110.08649517214538</v>
      </c>
      <c r="F16" s="5">
        <f>Equipment!$K$13*'Customer Cost Calcs'!$C$16*'Fuel Prices'!E33</f>
        <v>110.08649517214538</v>
      </c>
      <c r="G16" s="5">
        <f>Equipment!$K$13*'Customer Cost Calcs'!$C$16*'Fuel Prices'!F33</f>
        <v>110.08649517214538</v>
      </c>
      <c r="H16" s="5">
        <f>Equipment!$K$13*'Customer Cost Calcs'!$C$16*'Fuel Prices'!G33</f>
        <v>110.08649517214538</v>
      </c>
      <c r="I16" s="5">
        <f>Equipment!$K$13*'Customer Cost Calcs'!$C$16*'Fuel Prices'!H33</f>
        <v>110.08649517214538</v>
      </c>
      <c r="J16" s="5">
        <f>Equipment!$K$13*'Customer Cost Calcs'!$C$16*'Fuel Prices'!I33</f>
        <v>110.08649517214538</v>
      </c>
      <c r="K16" s="5">
        <f>Equipment!$K$13*'Customer Cost Calcs'!$C$16*'Fuel Prices'!J33</f>
        <v>110.08649517214538</v>
      </c>
      <c r="L16" s="5">
        <f>Equipment!$K$13*'Customer Cost Calcs'!$C$16*'Fuel Prices'!K33</f>
        <v>110.08649517214538</v>
      </c>
      <c r="M16" s="5">
        <f>Equipment!$K$13*'Customer Cost Calcs'!$C$16*'Fuel Prices'!L33</f>
        <v>110.08649517214538</v>
      </c>
      <c r="N16" s="5">
        <f>Equipment!$K$13*'Customer Cost Calcs'!$C$16*'Fuel Prices'!M33</f>
        <v>110.08649517214538</v>
      </c>
      <c r="O16" s="5">
        <f>Equipment!$K$13*'Customer Cost Calcs'!$C$16*'Fuel Prices'!N33</f>
        <v>110.08649517214538</v>
      </c>
      <c r="P16" s="5">
        <f>Equipment!$K$13*'Customer Cost Calcs'!$C$16*'Fuel Prices'!O33</f>
        <v>110.08649517214538</v>
      </c>
      <c r="Q16" s="5">
        <f>Equipment!$K$13*'Customer Cost Calcs'!$C$16*'Fuel Prices'!P33</f>
        <v>110.08649517214538</v>
      </c>
      <c r="R16" s="5">
        <f>Equipment!$K$13*'Customer Cost Calcs'!$C$16*'Fuel Prices'!Q33</f>
        <v>110.08649517214538</v>
      </c>
      <c r="S16" s="5">
        <f>Equipment!$K$13*'Customer Cost Calcs'!$C$16*'Fuel Prices'!R33</f>
        <v>110.08649517214538</v>
      </c>
      <c r="T16" s="5">
        <f>Equipment!$K$13*'Customer Cost Calcs'!$C$16*'Fuel Prices'!S33</f>
        <v>110.08649517214538</v>
      </c>
      <c r="U16" s="5">
        <f>Equipment!$K$13*'Customer Cost Calcs'!$C$16*'Fuel Prices'!T33</f>
        <v>110.08649517214538</v>
      </c>
      <c r="V16" s="5">
        <f>Equipment!$K$13*'Customer Cost Calcs'!$C$16*'Fuel Prices'!U33</f>
        <v>110.08649517214538</v>
      </c>
      <c r="W16" s="5">
        <f>Equipment!$K$13*'Customer Cost Calcs'!$C$16*'Fuel Prices'!V33</f>
        <v>110.08649517214538</v>
      </c>
      <c r="X16" s="5">
        <f>Equipment!$K$13*'Customer Cost Calcs'!$C$16*'Fuel Prices'!W33</f>
        <v>110.08649517214538</v>
      </c>
      <c r="Y16" s="5">
        <f>Equipment!$K$13*'Customer Cost Calcs'!$C$16*'Fuel Prices'!X33</f>
        <v>110.08649517214538</v>
      </c>
      <c r="Z16" s="5">
        <f>Equipment!$K$13*'Customer Cost Calcs'!$C$16*'Fuel Prices'!Y33</f>
        <v>110.08649517214538</v>
      </c>
      <c r="AA16" s="5">
        <f>Equipment!$K$13*'Customer Cost Calcs'!$C$16*'Fuel Prices'!Z33</f>
        <v>110.08649517214538</v>
      </c>
      <c r="AB16" s="5">
        <f>Equipment!$K$13*'Customer Cost Calcs'!$C$16*'Fuel Prices'!AA33</f>
        <v>110.08649517214538</v>
      </c>
      <c r="AC16" s="5">
        <f>NPV(Equipment!$C$23,'Customer Cost Calcs'!D16:U16)*(1+Equipment!$C$23)</f>
        <v>1449.3623407015405</v>
      </c>
      <c r="AD16" s="5">
        <f t="shared" si="8"/>
        <v>-1789.0252453147493</v>
      </c>
      <c r="AE16" s="5">
        <f>NPV(Equipment!$C$23,'Customer Cost Calcs'!K16:AB16)*(1+Equipment!$C$23)</f>
        <v>1449.3623407015405</v>
      </c>
      <c r="AF16" s="5">
        <f t="shared" si="9"/>
        <v>-1768.0370296354397</v>
      </c>
    </row>
    <row r="17" spans="1:32" x14ac:dyDescent="0.3">
      <c r="B17" t="s">
        <v>39</v>
      </c>
      <c r="C17" s="4">
        <f>C8</f>
        <v>1</v>
      </c>
      <c r="D17" s="5">
        <f>Equipment!$M$16*'Customer Cost Calcs'!$C$17*'Fuel Prices'!C33</f>
        <v>80.753355810000002</v>
      </c>
      <c r="E17" s="5">
        <f>Equipment!$M$16*'Customer Cost Calcs'!$C$17*'Fuel Prices'!D33</f>
        <v>80.753355810000002</v>
      </c>
      <c r="F17" s="5">
        <f>Equipment!$M$16*'Customer Cost Calcs'!$C$17*'Fuel Prices'!E33</f>
        <v>80.753355810000002</v>
      </c>
      <c r="G17" s="5">
        <f>Equipment!$M$16*'Customer Cost Calcs'!$C$17*'Fuel Prices'!F33</f>
        <v>80.753355810000002</v>
      </c>
      <c r="H17" s="5">
        <f>Equipment!$M$16*'Customer Cost Calcs'!$C$17*'Fuel Prices'!G33</f>
        <v>80.753355810000002</v>
      </c>
      <c r="I17" s="5">
        <f>Equipment!$M$16*'Customer Cost Calcs'!$C$17*'Fuel Prices'!H33</f>
        <v>80.753355810000002</v>
      </c>
      <c r="J17" s="5">
        <f>Equipment!$M$16*'Customer Cost Calcs'!$C$17*'Fuel Prices'!I33</f>
        <v>80.753355810000002</v>
      </c>
      <c r="K17" s="5">
        <f>Equipment!$M$16*'Customer Cost Calcs'!$C$17*'Fuel Prices'!J33</f>
        <v>80.753355810000002</v>
      </c>
      <c r="L17" s="5">
        <f>Equipment!$M$16*'Customer Cost Calcs'!$C$17*'Fuel Prices'!K33</f>
        <v>80.753355810000002</v>
      </c>
      <c r="M17" s="5">
        <f>Equipment!$M$16*'Customer Cost Calcs'!$C$17*'Fuel Prices'!L33</f>
        <v>80.753355810000002</v>
      </c>
      <c r="N17" s="5">
        <f>Equipment!$M$16*'Customer Cost Calcs'!$C$17*'Fuel Prices'!M33</f>
        <v>80.753355810000002</v>
      </c>
      <c r="O17" s="5">
        <f>Equipment!$M$16*'Customer Cost Calcs'!$C$17*'Fuel Prices'!N33</f>
        <v>80.753355810000002</v>
      </c>
      <c r="P17" s="5">
        <f>Equipment!$M$16*'Customer Cost Calcs'!$C$17*'Fuel Prices'!O33</f>
        <v>80.753355810000002</v>
      </c>
      <c r="Q17" s="5">
        <f>Equipment!$M$16*'Customer Cost Calcs'!$C$17*'Fuel Prices'!P33</f>
        <v>80.753355810000002</v>
      </c>
      <c r="R17" s="5">
        <f>Equipment!$M$16*'Customer Cost Calcs'!$C$17*'Fuel Prices'!Q33</f>
        <v>80.753355810000002</v>
      </c>
      <c r="S17" s="5">
        <f>Equipment!$M$16*'Customer Cost Calcs'!$C$17*'Fuel Prices'!R33</f>
        <v>80.753355810000002</v>
      </c>
      <c r="T17" s="5">
        <f>Equipment!$M$16*'Customer Cost Calcs'!$C$17*'Fuel Prices'!S33</f>
        <v>80.753355810000002</v>
      </c>
      <c r="U17" s="5">
        <f>Equipment!$M$16*'Customer Cost Calcs'!$C$17*'Fuel Prices'!T33</f>
        <v>80.753355810000002</v>
      </c>
      <c r="V17" s="5">
        <f>Equipment!$M$16*'Customer Cost Calcs'!$C$17*'Fuel Prices'!U33</f>
        <v>80.753355810000002</v>
      </c>
      <c r="W17" s="5">
        <f>Equipment!$M$16*'Customer Cost Calcs'!$C$17*'Fuel Prices'!V33</f>
        <v>80.753355810000002</v>
      </c>
      <c r="X17" s="5">
        <f>Equipment!$M$16*'Customer Cost Calcs'!$C$17*'Fuel Prices'!W33</f>
        <v>80.753355810000002</v>
      </c>
      <c r="Y17" s="5">
        <f>Equipment!$M$16*'Customer Cost Calcs'!$C$17*'Fuel Prices'!X33</f>
        <v>80.753355810000002</v>
      </c>
      <c r="Z17" s="5">
        <f>Equipment!$M$16*'Customer Cost Calcs'!$C$17*'Fuel Prices'!Y33</f>
        <v>80.753355810000002</v>
      </c>
      <c r="AA17" s="5">
        <f>Equipment!$M$16*'Customer Cost Calcs'!$C$17*'Fuel Prices'!Z33</f>
        <v>80.753355810000002</v>
      </c>
      <c r="AB17" s="5">
        <f>Equipment!$M$16*'Customer Cost Calcs'!$C$17*'Fuel Prices'!AA33</f>
        <v>80.753355810000002</v>
      </c>
      <c r="AC17" s="5">
        <f>NPV(Equipment!$C$23,'Customer Cost Calcs'!D17:U17)*(1+Equipment!$C$23)</f>
        <v>1063.1719414199335</v>
      </c>
      <c r="AD17" s="5">
        <f t="shared" si="8"/>
        <v>456.90831689933373</v>
      </c>
      <c r="AE17" s="5">
        <f>NPV(Equipment!$C$23,'Customer Cost Calcs'!K17:AB17)*(1+Equipment!$C$23)</f>
        <v>1063.1719414199335</v>
      </c>
      <c r="AF17" s="5">
        <f t="shared" si="9"/>
        <v>459.61156840869614</v>
      </c>
    </row>
    <row r="18" spans="1:32" x14ac:dyDescent="0.3">
      <c r="B18" t="s">
        <v>38</v>
      </c>
      <c r="C18" s="4">
        <f>C9</f>
        <v>1</v>
      </c>
      <c r="D18" s="5">
        <f>Equipment!$M$19*'Customer Cost Calcs'!$C$18*'Fuel Prices'!C33</f>
        <v>51.774308982382507</v>
      </c>
      <c r="E18" s="5">
        <f>Equipment!$M$19*'Customer Cost Calcs'!$C$18*'Fuel Prices'!D33</f>
        <v>51.774308982382507</v>
      </c>
      <c r="F18" s="5">
        <f>Equipment!$M$19*'Customer Cost Calcs'!$C$18*'Fuel Prices'!E33</f>
        <v>51.774308982382507</v>
      </c>
      <c r="G18" s="5">
        <f>Equipment!$M$19*'Customer Cost Calcs'!$C$18*'Fuel Prices'!F33</f>
        <v>51.774308982382507</v>
      </c>
      <c r="H18" s="5">
        <f>Equipment!$M$19*'Customer Cost Calcs'!$C$18*'Fuel Prices'!G33</f>
        <v>51.774308982382507</v>
      </c>
      <c r="I18" s="5">
        <f>Equipment!$M$19*'Customer Cost Calcs'!$C$18*'Fuel Prices'!H33</f>
        <v>51.774308982382507</v>
      </c>
      <c r="J18" s="5">
        <f>Equipment!$M$19*'Customer Cost Calcs'!$C$18*'Fuel Prices'!I33</f>
        <v>51.774308982382507</v>
      </c>
      <c r="K18" s="5">
        <f>Equipment!$M$19*'Customer Cost Calcs'!$C$18*'Fuel Prices'!J33</f>
        <v>51.774308982382507</v>
      </c>
      <c r="L18" s="5">
        <f>Equipment!$M$19*'Customer Cost Calcs'!$C$18*'Fuel Prices'!K33</f>
        <v>51.774308982382507</v>
      </c>
      <c r="M18" s="5">
        <f>Equipment!$M$19*'Customer Cost Calcs'!$C$18*'Fuel Prices'!L33</f>
        <v>51.774308982382507</v>
      </c>
      <c r="N18" s="5">
        <f>Equipment!$M$19*'Customer Cost Calcs'!$C$18*'Fuel Prices'!M33</f>
        <v>51.774308982382507</v>
      </c>
      <c r="O18" s="5">
        <f>Equipment!$M$19*'Customer Cost Calcs'!$C$18*'Fuel Prices'!N33</f>
        <v>51.774308982382507</v>
      </c>
      <c r="P18" s="5">
        <f>Equipment!$M$19*'Customer Cost Calcs'!$C$18*'Fuel Prices'!O33</f>
        <v>51.774308982382507</v>
      </c>
      <c r="Q18" s="5">
        <f>Equipment!$M$19*'Customer Cost Calcs'!$C$18*'Fuel Prices'!P33</f>
        <v>51.774308982382507</v>
      </c>
      <c r="R18" s="5">
        <f>Equipment!$M$19*'Customer Cost Calcs'!$C$18*'Fuel Prices'!Q33</f>
        <v>51.774308982382507</v>
      </c>
      <c r="S18" s="5">
        <f>Equipment!$M$19*'Customer Cost Calcs'!$C$18*'Fuel Prices'!R33</f>
        <v>51.774308982382507</v>
      </c>
      <c r="T18" s="5">
        <f>Equipment!$M$19*'Customer Cost Calcs'!$C$18*'Fuel Prices'!S33</f>
        <v>51.774308982382507</v>
      </c>
      <c r="U18" s="5">
        <f>Equipment!$M$19*'Customer Cost Calcs'!$C$18*'Fuel Prices'!T33</f>
        <v>51.774308982382507</v>
      </c>
      <c r="V18" s="5">
        <f>Equipment!$M$19*'Customer Cost Calcs'!$C$18*'Fuel Prices'!U33</f>
        <v>51.774308982382507</v>
      </c>
      <c r="W18" s="5">
        <f>Equipment!$M$19*'Customer Cost Calcs'!$C$18*'Fuel Prices'!V33</f>
        <v>51.774308982382507</v>
      </c>
      <c r="X18" s="5">
        <f>Equipment!$M$19*'Customer Cost Calcs'!$C$18*'Fuel Prices'!W33</f>
        <v>51.774308982382507</v>
      </c>
      <c r="Y18" s="5">
        <f>Equipment!$M$19*'Customer Cost Calcs'!$C$18*'Fuel Prices'!X33</f>
        <v>51.774308982382507</v>
      </c>
      <c r="Z18" s="5">
        <f>Equipment!$M$19*'Customer Cost Calcs'!$C$18*'Fuel Prices'!Y33</f>
        <v>51.774308982382507</v>
      </c>
      <c r="AA18" s="5">
        <f>Equipment!$M$19*'Customer Cost Calcs'!$C$18*'Fuel Prices'!Z33</f>
        <v>51.774308982382507</v>
      </c>
      <c r="AB18" s="5">
        <f>Equipment!$M$19*'Customer Cost Calcs'!$C$18*'Fuel Prices'!AA33</f>
        <v>51.774308982382507</v>
      </c>
      <c r="AC18" s="5">
        <f>NPV(Equipment!$C$23,'Customer Cost Calcs'!D18:U18)*(1+Equipment!$C$23)</f>
        <v>681.64340719149004</v>
      </c>
      <c r="AD18" s="5">
        <f t="shared" si="8"/>
        <v>-53.190865303531154</v>
      </c>
      <c r="AE18" s="5">
        <f>NPV(Equipment!$C$23,'Customer Cost Calcs'!K18:AB18)*(1+Equipment!$C$23)</f>
        <v>681.64340719149004</v>
      </c>
      <c r="AF18" s="5">
        <f t="shared" si="9"/>
        <v>-48.428353161293558</v>
      </c>
    </row>
    <row r="19" spans="1:32" x14ac:dyDescent="0.3">
      <c r="B19" t="s">
        <v>109</v>
      </c>
      <c r="C19" s="4"/>
      <c r="D19" s="5">
        <f t="shared" ref="D19:AB19" si="10">SUM(D14:D18)</f>
        <v>1268.4740449376729</v>
      </c>
      <c r="E19" s="5">
        <f t="shared" si="10"/>
        <v>1268.4740449376729</v>
      </c>
      <c r="F19" s="5">
        <f t="shared" si="10"/>
        <v>1268.4740449376729</v>
      </c>
      <c r="G19" s="5">
        <f t="shared" si="10"/>
        <v>1268.4740449376729</v>
      </c>
      <c r="H19" s="5">
        <f t="shared" si="10"/>
        <v>1268.4740449376729</v>
      </c>
      <c r="I19" s="5">
        <f t="shared" si="10"/>
        <v>1268.4740449376729</v>
      </c>
      <c r="J19" s="5">
        <f t="shared" si="10"/>
        <v>1268.4740449376729</v>
      </c>
      <c r="K19" s="5">
        <f t="shared" si="10"/>
        <v>1268.4740449376729</v>
      </c>
      <c r="L19" s="5">
        <f t="shared" si="10"/>
        <v>1268.4740449376729</v>
      </c>
      <c r="M19" s="5">
        <f t="shared" si="10"/>
        <v>1268.4740449376729</v>
      </c>
      <c r="N19" s="5">
        <f t="shared" si="10"/>
        <v>1268.4740449376729</v>
      </c>
      <c r="O19" s="5">
        <f t="shared" si="10"/>
        <v>1268.4740449376729</v>
      </c>
      <c r="P19" s="5">
        <f t="shared" si="10"/>
        <v>1268.4740449376729</v>
      </c>
      <c r="Q19" s="5">
        <f t="shared" si="10"/>
        <v>1268.4740449376729</v>
      </c>
      <c r="R19" s="5">
        <f t="shared" si="10"/>
        <v>1268.4740449376729</v>
      </c>
      <c r="S19" s="5">
        <f t="shared" si="10"/>
        <v>1268.4740449376729</v>
      </c>
      <c r="T19" s="5">
        <f t="shared" si="10"/>
        <v>1268.4740449376729</v>
      </c>
      <c r="U19" s="5">
        <f t="shared" si="10"/>
        <v>1268.4740449376729</v>
      </c>
      <c r="V19" s="5">
        <f t="shared" si="10"/>
        <v>1268.4740449376729</v>
      </c>
      <c r="W19" s="5">
        <f t="shared" si="10"/>
        <v>1268.4740449376729</v>
      </c>
      <c r="X19" s="5">
        <f t="shared" si="10"/>
        <v>1268.4740449376729</v>
      </c>
      <c r="Y19" s="5">
        <f t="shared" si="10"/>
        <v>1268.4740449376729</v>
      </c>
      <c r="Z19" s="5">
        <f t="shared" si="10"/>
        <v>1268.4740449376729</v>
      </c>
      <c r="AA19" s="5">
        <f t="shared" si="10"/>
        <v>1268.4740449376729</v>
      </c>
      <c r="AB19" s="5">
        <f t="shared" si="10"/>
        <v>1268.4740449376729</v>
      </c>
      <c r="AC19" s="5">
        <f>NPV(Equipment!$C$23,'Customer Cost Calcs'!D19:U19)*(1+Equipment!$C$23)</f>
        <v>16700.309225170044</v>
      </c>
      <c r="AD19" s="5">
        <f>AC19-AC11</f>
        <v>-10576.10308277858</v>
      </c>
      <c r="AE19" s="5">
        <f>NPV(Equipment!$C$23,'Customer Cost Calcs'!K19:AB19)*(1+Equipment!$C$23)</f>
        <v>16700.309225170044</v>
      </c>
      <c r="AF19" s="5">
        <f>AE19-AE11</f>
        <v>-10446.862332195087</v>
      </c>
    </row>
    <row r="20" spans="1:32" x14ac:dyDescent="0.3">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2" x14ac:dyDescent="0.3">
      <c r="B21" t="s">
        <v>101</v>
      </c>
      <c r="D21" s="5">
        <f t="shared" ref="D21:AC21" si="11">D19-D11</f>
        <v>-586.81367783828341</v>
      </c>
      <c r="E21" s="5">
        <f t="shared" si="11"/>
        <v>-658.78788891743875</v>
      </c>
      <c r="F21" s="5">
        <f t="shared" si="11"/>
        <v>-727.74409441984767</v>
      </c>
      <c r="G21" s="5">
        <f t="shared" si="11"/>
        <v>-793.77297575948546</v>
      </c>
      <c r="H21" s="5">
        <f t="shared" si="11"/>
        <v>-856.96281854154199</v>
      </c>
      <c r="I21" s="5">
        <f t="shared" si="11"/>
        <v>-917.3995716516522</v>
      </c>
      <c r="J21" s="5">
        <f t="shared" si="11"/>
        <v>-919.50245102221947</v>
      </c>
      <c r="K21" s="5">
        <f t="shared" si="11"/>
        <v>-903.00927948835692</v>
      </c>
      <c r="L21" s="5">
        <f t="shared" si="11"/>
        <v>-886.83950347476571</v>
      </c>
      <c r="M21" s="5">
        <f t="shared" si="11"/>
        <v>-870.98678189281395</v>
      </c>
      <c r="N21" s="5">
        <f t="shared" si="11"/>
        <v>-855.4448979889396</v>
      </c>
      <c r="O21" s="5">
        <f t="shared" si="11"/>
        <v>-840.20775690670939</v>
      </c>
      <c r="P21" s="5">
        <f t="shared" si="11"/>
        <v>-825.26938329668087</v>
      </c>
      <c r="Q21" s="5">
        <f t="shared" si="11"/>
        <v>-810.62391897312204</v>
      </c>
      <c r="R21" s="5">
        <f t="shared" si="11"/>
        <v>-796.26562061669233</v>
      </c>
      <c r="S21" s="5">
        <f t="shared" si="11"/>
        <v>-782.18885752215442</v>
      </c>
      <c r="T21" s="5">
        <f t="shared" si="11"/>
        <v>-768.38810939025348</v>
      </c>
      <c r="U21" s="5">
        <f t="shared" si="11"/>
        <v>-754.85796416289986</v>
      </c>
      <c r="V21" s="5">
        <f t="shared" si="11"/>
        <v>-741.59311590078846</v>
      </c>
      <c r="W21" s="5">
        <f t="shared" si="11"/>
        <v>-728.5883627026401</v>
      </c>
      <c r="X21" s="5">
        <f t="shared" si="11"/>
        <v>-715.83860466523947</v>
      </c>
      <c r="Y21" s="5">
        <f t="shared" si="11"/>
        <v>-703.33884188347474</v>
      </c>
      <c r="Z21" s="5">
        <f t="shared" si="11"/>
        <v>-691.08417248958744</v>
      </c>
      <c r="AA21" s="5">
        <f t="shared" si="11"/>
        <v>-679.06979073087405</v>
      </c>
      <c r="AB21" s="5">
        <f t="shared" si="11"/>
        <v>-667.29098508507673</v>
      </c>
      <c r="AC21" s="5">
        <f t="shared" si="11"/>
        <v>-10576.10308277858</v>
      </c>
      <c r="AD21" s="5"/>
      <c r="AE21" s="5">
        <f>AE19-AE11</f>
        <v>-10446.862332195087</v>
      </c>
    </row>
    <row r="22" spans="1:32" x14ac:dyDescent="0.3">
      <c r="B22" t="s">
        <v>102</v>
      </c>
      <c r="D22" s="5">
        <f t="shared" ref="D22:AC22" si="12">SUM(D14:D18)-SUM(D5:D9)</f>
        <v>-224.21927783828346</v>
      </c>
      <c r="E22" s="5">
        <f t="shared" si="12"/>
        <v>-296.1934889174388</v>
      </c>
      <c r="F22" s="5">
        <f t="shared" si="12"/>
        <v>-365.14969441984772</v>
      </c>
      <c r="G22" s="5">
        <f t="shared" si="12"/>
        <v>-431.17857575948528</v>
      </c>
      <c r="H22" s="5">
        <f t="shared" si="12"/>
        <v>-494.36841854154204</v>
      </c>
      <c r="I22" s="5">
        <f t="shared" si="12"/>
        <v>-554.80517165165202</v>
      </c>
      <c r="J22" s="5">
        <f t="shared" si="12"/>
        <v>-556.9080510222193</v>
      </c>
      <c r="K22" s="5">
        <f t="shared" si="12"/>
        <v>-540.41487948835675</v>
      </c>
      <c r="L22" s="5">
        <f t="shared" si="12"/>
        <v>-524.24510347476553</v>
      </c>
      <c r="M22" s="5">
        <f t="shared" si="12"/>
        <v>-508.392381892814</v>
      </c>
      <c r="N22" s="5">
        <f t="shared" si="12"/>
        <v>-492.85049798893965</v>
      </c>
      <c r="O22" s="5">
        <f t="shared" si="12"/>
        <v>-477.61335690670944</v>
      </c>
      <c r="P22" s="5">
        <f t="shared" si="12"/>
        <v>-462.67498329668115</v>
      </c>
      <c r="Q22" s="5">
        <f t="shared" si="12"/>
        <v>-448.02951897312209</v>
      </c>
      <c r="R22" s="5">
        <f t="shared" si="12"/>
        <v>-433.67122061669261</v>
      </c>
      <c r="S22" s="5">
        <f t="shared" si="12"/>
        <v>-419.59445752215447</v>
      </c>
      <c r="T22" s="5">
        <f t="shared" si="12"/>
        <v>-405.79370939025353</v>
      </c>
      <c r="U22" s="5">
        <f t="shared" si="12"/>
        <v>-392.26356416289991</v>
      </c>
      <c r="V22" s="5">
        <f t="shared" si="12"/>
        <v>-378.99871590078851</v>
      </c>
      <c r="W22" s="5">
        <f t="shared" si="12"/>
        <v>-365.99396270264015</v>
      </c>
      <c r="X22" s="5">
        <f t="shared" si="12"/>
        <v>-353.24420466523952</v>
      </c>
      <c r="Y22" s="5">
        <f t="shared" si="12"/>
        <v>-340.74444188347479</v>
      </c>
      <c r="Z22" s="5">
        <f t="shared" si="12"/>
        <v>-328.48977248958749</v>
      </c>
      <c r="AA22" s="5">
        <f t="shared" si="12"/>
        <v>-316.4753907308741</v>
      </c>
      <c r="AB22" s="5">
        <f t="shared" si="12"/>
        <v>-304.69658508507678</v>
      </c>
      <c r="AC22" s="5">
        <f t="shared" si="12"/>
        <v>-5802.305284170463</v>
      </c>
      <c r="AD22" s="5"/>
      <c r="AE22" s="5">
        <f>SUM(AE14:AE18)-SUM(AE5:AE9)</f>
        <v>-5673.0645335869776</v>
      </c>
    </row>
    <row r="24" spans="1:32" ht="17.850000000000001" x14ac:dyDescent="0.35">
      <c r="A24" s="44" t="s">
        <v>134</v>
      </c>
    </row>
    <row r="25" spans="1:32" ht="28.8" x14ac:dyDescent="0.3">
      <c r="A25" s="107"/>
      <c r="B25" s="107"/>
      <c r="C25" s="3" t="s">
        <v>54</v>
      </c>
      <c r="D25" s="13">
        <v>2023</v>
      </c>
      <c r="E25" s="13">
        <f>D25+1</f>
        <v>2024</v>
      </c>
      <c r="F25" s="13">
        <f t="shared" ref="F25" si="13">E25+1</f>
        <v>2025</v>
      </c>
      <c r="G25" s="13">
        <f t="shared" ref="G25" si="14">F25+1</f>
        <v>2026</v>
      </c>
      <c r="H25" s="13">
        <f t="shared" ref="H25" si="15">G25+1</f>
        <v>2027</v>
      </c>
      <c r="I25" s="13">
        <f t="shared" ref="I25" si="16">H25+1</f>
        <v>2028</v>
      </c>
      <c r="J25" s="13">
        <f t="shared" ref="J25" si="17">I25+1</f>
        <v>2029</v>
      </c>
      <c r="K25" s="13">
        <f t="shared" ref="K25" si="18">J25+1</f>
        <v>2030</v>
      </c>
      <c r="L25" s="13">
        <f t="shared" ref="L25" si="19">K25+1</f>
        <v>2031</v>
      </c>
      <c r="M25" s="13">
        <f t="shared" ref="M25" si="20">L25+1</f>
        <v>2032</v>
      </c>
      <c r="N25" s="13">
        <f t="shared" ref="N25" si="21">M25+1</f>
        <v>2033</v>
      </c>
      <c r="O25" s="13">
        <f t="shared" ref="O25" si="22">N25+1</f>
        <v>2034</v>
      </c>
      <c r="P25" s="13">
        <f t="shared" ref="P25" si="23">O25+1</f>
        <v>2035</v>
      </c>
      <c r="Q25" s="13">
        <f t="shared" ref="Q25" si="24">P25+1</f>
        <v>2036</v>
      </c>
      <c r="R25" s="13">
        <f t="shared" ref="R25" si="25">Q25+1</f>
        <v>2037</v>
      </c>
      <c r="S25" s="13">
        <f>R25+1</f>
        <v>2038</v>
      </c>
      <c r="T25" s="13">
        <f t="shared" ref="T25" si="26">S25+1</f>
        <v>2039</v>
      </c>
      <c r="U25" s="13">
        <f t="shared" ref="U25" si="27">T25+1</f>
        <v>2040</v>
      </c>
      <c r="V25" s="13">
        <f t="shared" ref="V25" si="28">U25+1</f>
        <v>2041</v>
      </c>
      <c r="W25" s="13">
        <f t="shared" ref="W25" si="29">V25+1</f>
        <v>2042</v>
      </c>
      <c r="X25" s="13">
        <f t="shared" ref="X25" si="30">W25+1</f>
        <v>2043</v>
      </c>
      <c r="Y25" s="13">
        <f t="shared" ref="Y25" si="31">X25+1</f>
        <v>2044</v>
      </c>
      <c r="Z25" s="13">
        <f t="shared" ref="Z25" si="32">Y25+1</f>
        <v>2045</v>
      </c>
      <c r="AA25" s="13">
        <f t="shared" ref="AA25" si="33">Z25+1</f>
        <v>2046</v>
      </c>
      <c r="AB25" s="13">
        <f t="shared" ref="AB25" si="34">AA25+1</f>
        <v>2047</v>
      </c>
      <c r="AC25" s="19" t="s">
        <v>106</v>
      </c>
      <c r="AD25" s="3" t="s">
        <v>70</v>
      </c>
      <c r="AE25" s="19"/>
      <c r="AF25" s="3"/>
    </row>
    <row r="26" spans="1:32" x14ac:dyDescent="0.3">
      <c r="A26" s="3" t="str">
        <f>A4</f>
        <v>Staying Gas</v>
      </c>
      <c r="C26" s="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9"/>
    </row>
    <row r="27" spans="1:32" x14ac:dyDescent="0.3">
      <c r="B27" t="s">
        <v>31</v>
      </c>
      <c r="C27" s="54">
        <f>C5</f>
        <v>1</v>
      </c>
      <c r="D27" s="20">
        <f>Equipment!$F$7*$C$27</f>
        <v>720.42231240916442</v>
      </c>
      <c r="E27" s="20">
        <f>Equipment!$F$7*$C$27</f>
        <v>720.42231240916442</v>
      </c>
      <c r="F27" s="20">
        <f>Equipment!$F$7*$C$27</f>
        <v>720.42231240916442</v>
      </c>
      <c r="G27" s="20">
        <f>Equipment!$F$7*$C$27</f>
        <v>720.42231240916442</v>
      </c>
      <c r="H27" s="20">
        <f>Equipment!$F$7*$C$27</f>
        <v>720.42231240916442</v>
      </c>
      <c r="I27" s="20">
        <f>Equipment!$F$7*$C$27</f>
        <v>720.42231240916442</v>
      </c>
      <c r="J27" s="20">
        <f>Equipment!$F$7*$C$27</f>
        <v>720.42231240916442</v>
      </c>
      <c r="K27" s="20">
        <f>Equipment!$F$7*$C$27</f>
        <v>720.42231240916442</v>
      </c>
      <c r="L27" s="20">
        <f>Equipment!$F$7*$C$27</f>
        <v>720.42231240916442</v>
      </c>
      <c r="M27" s="20">
        <f>Equipment!$F$7*$C$27</f>
        <v>720.42231240916442</v>
      </c>
      <c r="N27" s="20">
        <f>Equipment!$F$7*$C$27</f>
        <v>720.42231240916442</v>
      </c>
      <c r="O27" s="20">
        <f>Equipment!$F$7*$C$27</f>
        <v>720.42231240916442</v>
      </c>
      <c r="P27" s="20">
        <f>Equipment!$F$7*$C$27</f>
        <v>720.42231240916442</v>
      </c>
      <c r="Q27" s="20">
        <f>Equipment!$F$7*$C$27</f>
        <v>720.42231240916442</v>
      </c>
      <c r="R27" s="20">
        <f>Equipment!$F$7*$C$27</f>
        <v>720.42231240916442</v>
      </c>
      <c r="S27" s="20">
        <f>Equipment!$F$7*$C$27</f>
        <v>720.42231240916442</v>
      </c>
      <c r="T27" s="20">
        <f>Equipment!$F$7*$C$27</f>
        <v>720.42231240916442</v>
      </c>
      <c r="U27" s="20">
        <f>Equipment!$F$7*$C$27</f>
        <v>720.42231240916442</v>
      </c>
      <c r="V27" s="20">
        <f>Equipment!$F$7*$C$27</f>
        <v>720.42231240916442</v>
      </c>
      <c r="W27" s="20">
        <f>Equipment!$F$7*$C$27</f>
        <v>720.42231240916442</v>
      </c>
      <c r="X27" s="20">
        <f>Equipment!$F$7*$C$27</f>
        <v>720.42231240916442</v>
      </c>
      <c r="Y27" s="20">
        <f>Equipment!$F$7*$C$27</f>
        <v>720.42231240916442</v>
      </c>
      <c r="Z27" s="20">
        <f>Equipment!$F$7*$C$27</f>
        <v>720.42231240916442</v>
      </c>
      <c r="AA27" s="20">
        <f>Equipment!$F$7*$C$27</f>
        <v>720.42231240916442</v>
      </c>
      <c r="AB27" s="20">
        <f>Equipment!$F$7*$C$27</f>
        <v>720.42231240916442</v>
      </c>
      <c r="AC27" s="5">
        <f>NPV(Equipment!$C$23,'Customer Cost Calcs'!D27:U27)*(1+Equipment!$C$23)</f>
        <v>9484.8415999999943</v>
      </c>
      <c r="AE27" s="5"/>
    </row>
    <row r="28" spans="1:32" x14ac:dyDescent="0.3">
      <c r="B28" t="s">
        <v>32</v>
      </c>
      <c r="C28" s="54">
        <f>C7</f>
        <v>1</v>
      </c>
      <c r="D28" s="20">
        <f>IF((D$25-$D$25)&gt;(Equipment!$E$12/2)-1,Equipment!$F$12*'Customer Cost Calcs'!$C$28,0)</f>
        <v>0</v>
      </c>
      <c r="E28" s="20">
        <f>IF((E25-$D$25)&gt;(Equipment!$E$12/2)-1,Equipment!$F$12*'Customer Cost Calcs'!$C$28,0)</f>
        <v>0</v>
      </c>
      <c r="F28" s="20">
        <f>IF((F25-$D$25)&gt;(Equipment!$E$12/2)-1,Equipment!$F$12*'Customer Cost Calcs'!$C$28,0)</f>
        <v>0</v>
      </c>
      <c r="G28" s="20">
        <f>IF((G25-$D$25)&gt;(Equipment!$E$12/2)-1,Equipment!$F$12*'Customer Cost Calcs'!$C$28,0)</f>
        <v>0</v>
      </c>
      <c r="H28" s="20">
        <f>IF((H25-$D$25)&gt;(Equipment!$E$12/2)-1,Equipment!$F$12*'Customer Cost Calcs'!$C$28,0)</f>
        <v>0</v>
      </c>
      <c r="I28" s="20">
        <f>IF((I25-$D$25)&gt;(Equipment!$E$12/2)-1,Equipment!$F$12*'Customer Cost Calcs'!$C$28,0)</f>
        <v>0</v>
      </c>
      <c r="J28" s="20">
        <f>IF((J25-$D$25)&gt;(Equipment!$E$12/2)-1,Equipment!$F$12*'Customer Cost Calcs'!$C$28,0)</f>
        <v>0</v>
      </c>
      <c r="K28" s="20">
        <f>IF((K25-$D$25)&gt;(Equipment!$E$12/2)-1,Equipment!$F$12*'Customer Cost Calcs'!$C$28,0)</f>
        <v>321.102388656681</v>
      </c>
      <c r="L28" s="20">
        <f>IF((L25-$D$25)&gt;(Equipment!$E$12/2)-1,Equipment!$F$12*'Customer Cost Calcs'!$C$28,0)</f>
        <v>321.102388656681</v>
      </c>
      <c r="M28" s="20">
        <f>IF((M25-$D$25)&gt;(Equipment!$E$12/2)-1,Equipment!$F$12*'Customer Cost Calcs'!$C$28,0)</f>
        <v>321.102388656681</v>
      </c>
      <c r="N28" s="20">
        <f>IF((N25-$D$25)&gt;(Equipment!$E$12/2)-1,Equipment!$F$12*'Customer Cost Calcs'!$C$28,0)</f>
        <v>321.102388656681</v>
      </c>
      <c r="O28" s="20">
        <f>IF((O25-$D$25)&gt;(Equipment!$E$12/2)-1,Equipment!$F$12*'Customer Cost Calcs'!$C$28,0)</f>
        <v>321.102388656681</v>
      </c>
      <c r="P28" s="20">
        <f>IF((P25-$D$25)&gt;(Equipment!$E$12/2)-1,Equipment!$F$12*'Customer Cost Calcs'!$C$28,0)</f>
        <v>321.102388656681</v>
      </c>
      <c r="Q28" s="20">
        <f>IF((Q25-$D$25)&gt;(Equipment!$E$12/2)-1,Equipment!$F$12*'Customer Cost Calcs'!$C$28,0)</f>
        <v>321.102388656681</v>
      </c>
      <c r="R28" s="20">
        <f>IF((R25-$D$25)&gt;(Equipment!$E$12/2)-1,Equipment!$F$12*'Customer Cost Calcs'!$C$28,0)</f>
        <v>321.102388656681</v>
      </c>
      <c r="S28" s="20">
        <f>IF((S25-$D$25)&gt;(Equipment!$E$12/2)-1,Equipment!$F$12*'Customer Cost Calcs'!$C$28,0)</f>
        <v>321.102388656681</v>
      </c>
      <c r="T28" s="20">
        <f>IF((T25-$D$25)&gt;(Equipment!$E$12/2)-1,Equipment!$F$12*'Customer Cost Calcs'!$C$28,0)</f>
        <v>321.102388656681</v>
      </c>
      <c r="U28" s="20">
        <f>IF((U25-$D$25)&gt;(Equipment!$E$12/2)-1,Equipment!$F$12*'Customer Cost Calcs'!$C$28,0)</f>
        <v>321.102388656681</v>
      </c>
      <c r="V28" s="20">
        <f>IF((V25-$D$25)&gt;(Equipment!$E$12/2)-1,Equipment!$F$12*'Customer Cost Calcs'!$C$28,0)</f>
        <v>321.102388656681</v>
      </c>
      <c r="W28" s="20">
        <f>IF((W25-$D$25)&gt;(Equipment!$E$12/2)-1,Equipment!$F$12*'Customer Cost Calcs'!$C$28,0)</f>
        <v>321.102388656681</v>
      </c>
      <c r="X28" s="20">
        <f>IF((X25-$D$25)&gt;(Equipment!$E$12/2)-1,Equipment!$F$12*'Customer Cost Calcs'!$C$28,0)</f>
        <v>321.102388656681</v>
      </c>
      <c r="Y28" s="20">
        <f>IF((Y25-$D$25)&gt;(Equipment!$E$12/2)-1,Equipment!$F$12*'Customer Cost Calcs'!$C$28,0)</f>
        <v>321.102388656681</v>
      </c>
      <c r="Z28" s="20">
        <f>IF((Z25-$D$25)&gt;(Equipment!$E$12/2)-1,Equipment!$F$12*'Customer Cost Calcs'!$C$28,0)</f>
        <v>321.102388656681</v>
      </c>
      <c r="AA28" s="20">
        <f>IF((AA25-$D$25)&gt;(Equipment!$E$12/2)-1,Equipment!$F$12*'Customer Cost Calcs'!$C$28,0)</f>
        <v>321.102388656681</v>
      </c>
      <c r="AB28" s="20">
        <f>IF((AB25-$D$25)&gt;(Equipment!$E$12/2)-1,Equipment!$F$12*'Customer Cost Calcs'!$C$28,0)</f>
        <v>321.102388656681</v>
      </c>
      <c r="AC28" s="5">
        <f>NPV(Equipment!$C$23,'Customer Cost Calcs'!D28:U28)*(1+Equipment!$C$23)</f>
        <v>2223.1626621646174</v>
      </c>
      <c r="AE28" s="5"/>
    </row>
    <row r="29" spans="1:32" x14ac:dyDescent="0.3">
      <c r="B29" t="s">
        <v>39</v>
      </c>
      <c r="C29" s="54">
        <f>C8</f>
        <v>1</v>
      </c>
      <c r="D29" s="20">
        <f>IF((D$25-$D$25)&gt;(Equipment!$E$15/2)-1,Equipment!$F$15*'Customer Cost Calcs'!$C$29,0)</f>
        <v>0</v>
      </c>
      <c r="E29" s="20">
        <f>IF((E$25-$D$25)&gt;(Equipment!$E$15/2)-1,Equipment!$F$15*'Customer Cost Calcs'!$C$29,0)</f>
        <v>0</v>
      </c>
      <c r="F29" s="20">
        <f>IF((F$25-$D$25)&gt;(Equipment!$E$15/2)-1,Equipment!$F$15*'Customer Cost Calcs'!$C$29,0)</f>
        <v>0</v>
      </c>
      <c r="G29" s="20">
        <f>IF((G$25-$D$25)&gt;(Equipment!$E$15/2)-1,Equipment!$F$15*'Customer Cost Calcs'!$C$29,0)</f>
        <v>0</v>
      </c>
      <c r="H29" s="20">
        <f>IF((H$25-$D$25)&gt;(Equipment!$E$15/2)-1,Equipment!$F$15*'Customer Cost Calcs'!$C$29,0)</f>
        <v>0</v>
      </c>
      <c r="I29" s="20">
        <f>IF((I$25-$D$25)&gt;(Equipment!$E$15/2)-1,Equipment!$F$15*'Customer Cost Calcs'!$C$29,0)</f>
        <v>0</v>
      </c>
      <c r="J29" s="20">
        <f>IF((J$25-$D$25)&gt;(Equipment!$E$15/2)-1,Equipment!$F$15*'Customer Cost Calcs'!$C$29,0)</f>
        <v>114.08106589539968</v>
      </c>
      <c r="K29" s="20">
        <f>IF((K$25-$D$25)&gt;(Equipment!$E$15/2)-1,Equipment!$F$15*'Customer Cost Calcs'!$C$29,0)</f>
        <v>114.08106589539968</v>
      </c>
      <c r="L29" s="20">
        <f>IF((L$25-$D$25)&gt;(Equipment!$E$15/2)-1,Equipment!$F$15*'Customer Cost Calcs'!$C$29,0)</f>
        <v>114.08106589539968</v>
      </c>
      <c r="M29" s="20">
        <f>IF((M$25-$D$25)&gt;(Equipment!$E$15/2)-1,Equipment!$F$15*'Customer Cost Calcs'!$C$29,0)</f>
        <v>114.08106589539968</v>
      </c>
      <c r="N29" s="20">
        <f>IF((N$25-$D$25)&gt;(Equipment!$E$15/2)-1,Equipment!$F$15*'Customer Cost Calcs'!$C$29,0)</f>
        <v>114.08106589539968</v>
      </c>
      <c r="O29" s="20">
        <f>IF((O$25-$D$25)&gt;(Equipment!$E$15/2)-1,Equipment!$F$15*'Customer Cost Calcs'!$C$29,0)</f>
        <v>114.08106589539968</v>
      </c>
      <c r="P29" s="20">
        <f>IF((P$25-$D$25)&gt;(Equipment!$E$15/2)-1,Equipment!$F$15*'Customer Cost Calcs'!$C$29,0)</f>
        <v>114.08106589539968</v>
      </c>
      <c r="Q29" s="20">
        <f>IF((Q$25-$D$25)&gt;(Equipment!$E$15/2)-1,Equipment!$F$15*'Customer Cost Calcs'!$C$29,0)</f>
        <v>114.08106589539968</v>
      </c>
      <c r="R29" s="20">
        <f>IF((R$25-$D$25)&gt;(Equipment!$E$15/2)-1,Equipment!$F$15*'Customer Cost Calcs'!$C$29,0)</f>
        <v>114.08106589539968</v>
      </c>
      <c r="S29" s="20">
        <f>IF((S$25-$D$25)&gt;(Equipment!$E$15/2)-1,Equipment!$F$15*'Customer Cost Calcs'!$C$29,0)</f>
        <v>114.08106589539968</v>
      </c>
      <c r="T29" s="20">
        <f>IF((T$25-$D$25)&gt;(Equipment!$E$15/2)-1,Equipment!$F$15*'Customer Cost Calcs'!$C$29,0)</f>
        <v>114.08106589539968</v>
      </c>
      <c r="U29" s="20">
        <f>IF((U$25-$D$25)&gt;(Equipment!$E$15/2)-1,Equipment!$F$15*'Customer Cost Calcs'!$C$29,0)</f>
        <v>114.08106589539968</v>
      </c>
      <c r="V29" s="20">
        <f>IF((V$25-$D$25)&gt;(Equipment!$E$15/2)-1,Equipment!$F$15*'Customer Cost Calcs'!$C$29,0)</f>
        <v>114.08106589539968</v>
      </c>
      <c r="W29" s="20">
        <f>IF((W$25-$D$25)&gt;(Equipment!$E$15/2)-1,Equipment!$F$15*'Customer Cost Calcs'!$C$29,0)</f>
        <v>114.08106589539968</v>
      </c>
      <c r="X29" s="20">
        <f>IF((X$25-$D$25)&gt;(Equipment!$E$15/2)-1,Equipment!$F$15*'Customer Cost Calcs'!$C$29,0)</f>
        <v>114.08106589539968</v>
      </c>
      <c r="Y29" s="20">
        <f>IF((Y$25-$D$25)&gt;(Equipment!$E$15/2)-1,Equipment!$F$15*'Customer Cost Calcs'!$C$29,0)</f>
        <v>114.08106589539968</v>
      </c>
      <c r="Z29" s="20">
        <f>IF((Z$25-$D$25)&gt;(Equipment!$E$15/2)-1,Equipment!$F$15*'Customer Cost Calcs'!$C$29,0)</f>
        <v>114.08106589539968</v>
      </c>
      <c r="AA29" s="20">
        <f>IF((AA$25-$D$25)&gt;(Equipment!$E$15/2)-1,Equipment!$F$15*'Customer Cost Calcs'!$C$29,0)</f>
        <v>114.08106589539968</v>
      </c>
      <c r="AB29" s="20">
        <f>IF((AB$25-$D$25)&gt;(Equipment!$E$15/2)-1,Equipment!$F$15*'Customer Cost Calcs'!$C$29,0)</f>
        <v>114.08106589539968</v>
      </c>
      <c r="AC29" s="5">
        <f>NPV(Equipment!$C$23,'Customer Cost Calcs'!D29:U29)*(1+Equipment!$C$23)</f>
        <v>880.00383346194337</v>
      </c>
      <c r="AE29" s="5"/>
    </row>
    <row r="30" spans="1:32" x14ac:dyDescent="0.3">
      <c r="B30" t="s">
        <v>38</v>
      </c>
      <c r="C30" s="54">
        <f>C9</f>
        <v>1</v>
      </c>
      <c r="D30" s="20">
        <f>IF((D$25-$D$25)&gt;(Equipment!$E$18/2)-1,Equipment!$F$18*'Customer Cost Calcs'!$C$30,0)</f>
        <v>0</v>
      </c>
      <c r="E30" s="20">
        <f>IF((E$25-$D$25)&gt;(Equipment!$E$18/2)-1,Equipment!$F$18*'Customer Cost Calcs'!$C$30,0)</f>
        <v>0</v>
      </c>
      <c r="F30" s="20">
        <f>IF((F$25-$D$25)&gt;(Equipment!$E$18/2)-1,Equipment!$F$18*'Customer Cost Calcs'!$C$30,0)</f>
        <v>0</v>
      </c>
      <c r="G30" s="20">
        <f>IF((G$25-$D$25)&gt;(Equipment!$E$18/2)-1,Equipment!$F$18*'Customer Cost Calcs'!$C$30,0)</f>
        <v>0</v>
      </c>
      <c r="H30" s="20">
        <f>IF((H$25-$D$25)&gt;(Equipment!$E$18/2)-1,Equipment!$F$18*'Customer Cost Calcs'!$C$30,0)</f>
        <v>0</v>
      </c>
      <c r="I30" s="20">
        <f>IF((I$25-$D$25)&gt;(Equipment!$E$18/2)-1,Equipment!$F$18*'Customer Cost Calcs'!$C$30,0)</f>
        <v>0</v>
      </c>
      <c r="J30" s="20">
        <f>IF((J$25-$D$25)&gt;(Equipment!$E$18/2)-1,Equipment!$F$18*'Customer Cost Calcs'!$C$30,0)</f>
        <v>0</v>
      </c>
      <c r="K30" s="20">
        <f>IF((K$25-$D$25)&gt;(Equipment!$E$18/2)-1,Equipment!$F$18*'Customer Cost Calcs'!$C$30,0)</f>
        <v>136.29494580442912</v>
      </c>
      <c r="L30" s="20">
        <f>IF((L$25-$D$25)&gt;(Equipment!$E$18/2)-1,Equipment!$F$18*'Customer Cost Calcs'!$C$30,0)</f>
        <v>136.29494580442912</v>
      </c>
      <c r="M30" s="20">
        <f>IF((M$25-$D$25)&gt;(Equipment!$E$18/2)-1,Equipment!$F$18*'Customer Cost Calcs'!$C$30,0)</f>
        <v>136.29494580442912</v>
      </c>
      <c r="N30" s="20">
        <f>IF((N$25-$D$25)&gt;(Equipment!$E$18/2)-1,Equipment!$F$18*'Customer Cost Calcs'!$C$30,0)</f>
        <v>136.29494580442912</v>
      </c>
      <c r="O30" s="20">
        <f>IF((O$25-$D$25)&gt;(Equipment!$E$18/2)-1,Equipment!$F$18*'Customer Cost Calcs'!$C$30,0)</f>
        <v>136.29494580442912</v>
      </c>
      <c r="P30" s="20">
        <f>IF((P$25-$D$25)&gt;(Equipment!$E$18/2)-1,Equipment!$F$18*'Customer Cost Calcs'!$C$30,0)</f>
        <v>136.29494580442912</v>
      </c>
      <c r="Q30" s="20">
        <f>IF((Q$25-$D$25)&gt;(Equipment!$E$18/2)-1,Equipment!$F$18*'Customer Cost Calcs'!$C$30,0)</f>
        <v>136.29494580442912</v>
      </c>
      <c r="R30" s="20">
        <f>IF((R$25-$D$25)&gt;(Equipment!$E$18/2)-1,Equipment!$F$18*'Customer Cost Calcs'!$C$30,0)</f>
        <v>136.29494580442912</v>
      </c>
      <c r="S30" s="20">
        <f>IF((S$25-$D$25)&gt;(Equipment!$E$18/2)-1,Equipment!$F$18*'Customer Cost Calcs'!$C$30,0)</f>
        <v>136.29494580442912</v>
      </c>
      <c r="T30" s="20">
        <f>IF((T$25-$D$25)&gt;(Equipment!$E$18/2)-1,Equipment!$F$18*'Customer Cost Calcs'!$C$30,0)</f>
        <v>136.29494580442912</v>
      </c>
      <c r="U30" s="20">
        <f>IF((U$25-$D$25)&gt;(Equipment!$E$18/2)-1,Equipment!$F$18*'Customer Cost Calcs'!$C$30,0)</f>
        <v>136.29494580442912</v>
      </c>
      <c r="V30" s="20">
        <f>IF((V$25-$D$25)&gt;(Equipment!$E$18/2)-1,Equipment!$F$18*'Customer Cost Calcs'!$C$30,0)</f>
        <v>136.29494580442912</v>
      </c>
      <c r="W30" s="20">
        <f>IF((W$25-$D$25)&gt;(Equipment!$E$18/2)-1,Equipment!$F$18*'Customer Cost Calcs'!$C$30,0)</f>
        <v>136.29494580442912</v>
      </c>
      <c r="X30" s="20">
        <f>IF((X$25-$D$25)&gt;(Equipment!$E$18/2)-1,Equipment!$F$18*'Customer Cost Calcs'!$C$30,0)</f>
        <v>136.29494580442912</v>
      </c>
      <c r="Y30" s="20">
        <f>IF((Y$25-$D$25)&gt;(Equipment!$E$18/2)-1,Equipment!$F$18*'Customer Cost Calcs'!$C$30,0)</f>
        <v>136.29494580442912</v>
      </c>
      <c r="Z30" s="20">
        <f>IF((Z$25-$D$25)&gt;(Equipment!$E$18/2)-1,Equipment!$F$18*'Customer Cost Calcs'!$C$30,0)</f>
        <v>136.29494580442912</v>
      </c>
      <c r="AA30" s="20">
        <f>IF((AA$25-$D$25)&gt;(Equipment!$E$18/2)-1,Equipment!$F$18*'Customer Cost Calcs'!$C$30,0)</f>
        <v>136.29494580442912</v>
      </c>
      <c r="AB30" s="20">
        <f>IF((AB$25-$D$25)&gt;(Equipment!$E$18/2)-1,Equipment!$F$18*'Customer Cost Calcs'!$C$30,0)</f>
        <v>136.29494580442912</v>
      </c>
      <c r="AC30" s="5">
        <f>NPV(Equipment!$C$23,'Customer Cost Calcs'!D30:U30)*(1+Equipment!$C$23)</f>
        <v>943.64241830080937</v>
      </c>
      <c r="AE30" s="5"/>
    </row>
    <row r="31" spans="1:32" x14ac:dyDescent="0.3">
      <c r="B31" t="s">
        <v>55</v>
      </c>
      <c r="C31" s="4"/>
      <c r="D31" s="20">
        <f t="shared" ref="D31:AB31" si="35">SUM(D27:D30)</f>
        <v>720.42231240916442</v>
      </c>
      <c r="E31" s="20">
        <f t="shared" si="35"/>
        <v>720.42231240916442</v>
      </c>
      <c r="F31" s="20">
        <f t="shared" si="35"/>
        <v>720.42231240916442</v>
      </c>
      <c r="G31" s="20">
        <f t="shared" si="35"/>
        <v>720.42231240916442</v>
      </c>
      <c r="H31" s="20">
        <f t="shared" si="35"/>
        <v>720.42231240916442</v>
      </c>
      <c r="I31" s="20">
        <f t="shared" si="35"/>
        <v>720.42231240916442</v>
      </c>
      <c r="J31" s="20">
        <f t="shared" si="35"/>
        <v>834.50337830456408</v>
      </c>
      <c r="K31" s="20">
        <f t="shared" si="35"/>
        <v>1291.9007127656741</v>
      </c>
      <c r="L31" s="20">
        <f t="shared" si="35"/>
        <v>1291.9007127656741</v>
      </c>
      <c r="M31" s="20">
        <f t="shared" si="35"/>
        <v>1291.9007127656741</v>
      </c>
      <c r="N31" s="20">
        <f t="shared" si="35"/>
        <v>1291.9007127656741</v>
      </c>
      <c r="O31" s="20">
        <f t="shared" si="35"/>
        <v>1291.9007127656741</v>
      </c>
      <c r="P31" s="20">
        <f t="shared" si="35"/>
        <v>1291.9007127656741</v>
      </c>
      <c r="Q31" s="20">
        <f t="shared" si="35"/>
        <v>1291.9007127656741</v>
      </c>
      <c r="R31" s="20">
        <f t="shared" si="35"/>
        <v>1291.9007127656741</v>
      </c>
      <c r="S31" s="20">
        <f t="shared" si="35"/>
        <v>1291.9007127656741</v>
      </c>
      <c r="T31" s="20">
        <f t="shared" si="35"/>
        <v>1291.9007127656741</v>
      </c>
      <c r="U31" s="20">
        <f t="shared" si="35"/>
        <v>1291.9007127656741</v>
      </c>
      <c r="V31" s="20">
        <f t="shared" si="35"/>
        <v>1291.9007127656741</v>
      </c>
      <c r="W31" s="20">
        <f t="shared" si="35"/>
        <v>1291.9007127656741</v>
      </c>
      <c r="X31" s="20">
        <f t="shared" si="35"/>
        <v>1291.9007127656741</v>
      </c>
      <c r="Y31" s="20">
        <f t="shared" si="35"/>
        <v>1291.9007127656741</v>
      </c>
      <c r="Z31" s="20">
        <f t="shared" si="35"/>
        <v>1291.9007127656741</v>
      </c>
      <c r="AA31" s="20">
        <f t="shared" si="35"/>
        <v>1291.9007127656741</v>
      </c>
      <c r="AB31" s="20">
        <f t="shared" si="35"/>
        <v>1291.9007127656741</v>
      </c>
      <c r="AC31" s="5">
        <f>NPV(Equipment!$C$23,'Customer Cost Calcs'!D31:U31)*(1+Equipment!$C$23)</f>
        <v>13531.650513927361</v>
      </c>
      <c r="AE31" s="5"/>
    </row>
    <row r="32" spans="1:32" x14ac:dyDescent="0.3">
      <c r="AC32" s="5"/>
    </row>
    <row r="33" spans="1:32" x14ac:dyDescent="0.3">
      <c r="A33" s="3" t="str">
        <f>A13</f>
        <v>Electrification</v>
      </c>
      <c r="AC33" s="5"/>
    </row>
    <row r="34" spans="1:32" x14ac:dyDescent="0.3">
      <c r="B34" t="str">
        <f>B27</f>
        <v>Heating/Cooling</v>
      </c>
      <c r="C34" s="4">
        <f>C27</f>
        <v>1</v>
      </c>
      <c r="D34" s="5">
        <f>Equipment!$F$9*$C$34</f>
        <v>762.60597403480813</v>
      </c>
      <c r="E34" s="5">
        <f>Equipment!$F$9*$C$34</f>
        <v>762.60597403480813</v>
      </c>
      <c r="F34" s="5">
        <f>Equipment!$F$9*$C$34</f>
        <v>762.60597403480813</v>
      </c>
      <c r="G34" s="5">
        <f>Equipment!$F$9*$C$34</f>
        <v>762.60597403480813</v>
      </c>
      <c r="H34" s="5">
        <f>Equipment!$F$9*$C$34</f>
        <v>762.60597403480813</v>
      </c>
      <c r="I34" s="5">
        <f>Equipment!$F$9*$C$34</f>
        <v>762.60597403480813</v>
      </c>
      <c r="J34" s="5">
        <f>Equipment!$F$9*$C$34</f>
        <v>762.60597403480813</v>
      </c>
      <c r="K34" s="5">
        <f>Equipment!$F$9*$C$34</f>
        <v>762.60597403480813</v>
      </c>
      <c r="L34" s="5">
        <f>Equipment!$F$9*$C$34</f>
        <v>762.60597403480813</v>
      </c>
      <c r="M34" s="5">
        <f>Equipment!$F$9*$C$34</f>
        <v>762.60597403480813</v>
      </c>
      <c r="N34" s="5">
        <f>Equipment!$F$9*$C$34</f>
        <v>762.60597403480813</v>
      </c>
      <c r="O34" s="5">
        <f>Equipment!$F$9*$C$34</f>
        <v>762.60597403480813</v>
      </c>
      <c r="P34" s="5">
        <f>Equipment!$F$9*$C$34</f>
        <v>762.60597403480813</v>
      </c>
      <c r="Q34" s="5">
        <f>Equipment!$F$9*$C$34</f>
        <v>762.60597403480813</v>
      </c>
      <c r="R34" s="5">
        <f>Equipment!$F$9*$C$34</f>
        <v>762.60597403480813</v>
      </c>
      <c r="S34" s="5">
        <f>Equipment!$F$9*$C$34</f>
        <v>762.60597403480813</v>
      </c>
      <c r="T34" s="5">
        <f>Equipment!$F$9*$C$34</f>
        <v>762.60597403480813</v>
      </c>
      <c r="U34" s="5">
        <f>Equipment!$F$9*$C$34</f>
        <v>762.60597403480813</v>
      </c>
      <c r="V34" s="5">
        <f>Equipment!$F$9*$C$34</f>
        <v>762.60597403480813</v>
      </c>
      <c r="W34" s="5">
        <f>Equipment!$F$9*$C$34</f>
        <v>762.60597403480813</v>
      </c>
      <c r="X34" s="5">
        <f>Equipment!$F$9*$C$34</f>
        <v>762.60597403480813</v>
      </c>
      <c r="Y34" s="5">
        <f>Equipment!$F$9*$C$34</f>
        <v>762.60597403480813</v>
      </c>
      <c r="Z34" s="5">
        <f>Equipment!$F$9*$C$34</f>
        <v>762.60597403480813</v>
      </c>
      <c r="AA34" s="5">
        <f>Equipment!$F$9*$C$34</f>
        <v>762.60597403480813</v>
      </c>
      <c r="AB34" s="5">
        <f>Equipment!$F$9*$C$34</f>
        <v>762.60597403480813</v>
      </c>
      <c r="AC34" s="5">
        <f>NPV(Equipment!$C$23,'Customer Cost Calcs'!D34:U34)*(1+Equipment!$C$23)</f>
        <v>10040.217719999993</v>
      </c>
      <c r="AD34" s="5">
        <f>AC34-AC27</f>
        <v>555.37611999999899</v>
      </c>
      <c r="AE34" s="5"/>
      <c r="AF34" s="5"/>
    </row>
    <row r="35" spans="1:32" x14ac:dyDescent="0.3">
      <c r="B35" t="str">
        <f t="shared" ref="B35:B38" si="36">B28</f>
        <v>Water Heating</v>
      </c>
      <c r="C35" s="4">
        <f>C28</f>
        <v>1</v>
      </c>
      <c r="D35" s="5">
        <f>Equipment!$F$13*'Customer Cost Calcs'!$C$35</f>
        <v>326.7041754623811</v>
      </c>
      <c r="E35" s="5">
        <f>Equipment!$F$13*'Customer Cost Calcs'!$C$35</f>
        <v>326.7041754623811</v>
      </c>
      <c r="F35" s="5">
        <f>Equipment!$F$13*'Customer Cost Calcs'!$C$35</f>
        <v>326.7041754623811</v>
      </c>
      <c r="G35" s="5">
        <f>Equipment!$F$13*'Customer Cost Calcs'!$C$35</f>
        <v>326.7041754623811</v>
      </c>
      <c r="H35" s="5">
        <f>Equipment!$F$13*'Customer Cost Calcs'!$C$35</f>
        <v>326.7041754623811</v>
      </c>
      <c r="I35" s="5">
        <f>Equipment!$F$13*'Customer Cost Calcs'!$C$35</f>
        <v>326.7041754623811</v>
      </c>
      <c r="J35" s="5">
        <f>Equipment!$F$13*'Customer Cost Calcs'!$C$35</f>
        <v>326.7041754623811</v>
      </c>
      <c r="K35" s="5">
        <f>Equipment!$F$13*'Customer Cost Calcs'!$C$35</f>
        <v>326.7041754623811</v>
      </c>
      <c r="L35" s="5">
        <f>Equipment!$F$13*'Customer Cost Calcs'!$C$35</f>
        <v>326.7041754623811</v>
      </c>
      <c r="M35" s="5">
        <f>Equipment!$F$13*'Customer Cost Calcs'!$C$35</f>
        <v>326.7041754623811</v>
      </c>
      <c r="N35" s="5">
        <f>Equipment!$F$13*'Customer Cost Calcs'!$C$35</f>
        <v>326.7041754623811</v>
      </c>
      <c r="O35" s="5">
        <f>Equipment!$F$13*'Customer Cost Calcs'!$C$35</f>
        <v>326.7041754623811</v>
      </c>
      <c r="P35" s="5">
        <f>Equipment!$F$13*'Customer Cost Calcs'!$C$35</f>
        <v>326.7041754623811</v>
      </c>
      <c r="Q35" s="5">
        <f>Equipment!$F$13*'Customer Cost Calcs'!$C$35</f>
        <v>326.7041754623811</v>
      </c>
      <c r="R35" s="5">
        <f>Equipment!$F$13*'Customer Cost Calcs'!$C$35</f>
        <v>326.7041754623811</v>
      </c>
      <c r="S35" s="5">
        <f>Equipment!$F$13*'Customer Cost Calcs'!$C$35</f>
        <v>326.7041754623811</v>
      </c>
      <c r="T35" s="5">
        <f>Equipment!$F$13*'Customer Cost Calcs'!$C$35</f>
        <v>326.7041754623811</v>
      </c>
      <c r="U35" s="5">
        <f>Equipment!$F$13*'Customer Cost Calcs'!$C$35</f>
        <v>326.7041754623811</v>
      </c>
      <c r="V35" s="5">
        <f>Equipment!$F$13*'Customer Cost Calcs'!$C$35</f>
        <v>326.7041754623811</v>
      </c>
      <c r="W35" s="5">
        <f>Equipment!$F$13*'Customer Cost Calcs'!$C$35</f>
        <v>326.7041754623811</v>
      </c>
      <c r="X35" s="5">
        <f>Equipment!$F$13*'Customer Cost Calcs'!$C$35</f>
        <v>326.7041754623811</v>
      </c>
      <c r="Y35" s="5">
        <f>Equipment!$F$13*'Customer Cost Calcs'!$C$35</f>
        <v>326.7041754623811</v>
      </c>
      <c r="Z35" s="5">
        <f>Equipment!$F$13*'Customer Cost Calcs'!$C$35</f>
        <v>326.7041754623811</v>
      </c>
      <c r="AA35" s="5">
        <f>Equipment!$F$13*'Customer Cost Calcs'!$C$35</f>
        <v>326.7041754623811</v>
      </c>
      <c r="AB35" s="5">
        <f>Equipment!$F$13*'Customer Cost Calcs'!$C$35</f>
        <v>326.7041754623811</v>
      </c>
      <c r="AC35" s="5">
        <f>NPV(Equipment!$C$23,'Customer Cost Calcs'!D35:U35)*(1+Equipment!$C$23)</f>
        <v>4301.2789872606827</v>
      </c>
      <c r="AD35" s="5">
        <f>AC35-AC28</f>
        <v>2078.1163250960653</v>
      </c>
      <c r="AE35" s="5"/>
      <c r="AF35" s="5"/>
    </row>
    <row r="36" spans="1:32" x14ac:dyDescent="0.3">
      <c r="B36" t="str">
        <f t="shared" si="36"/>
        <v>Drying</v>
      </c>
      <c r="C36" s="4">
        <f>C29</f>
        <v>1</v>
      </c>
      <c r="D36" s="5">
        <f>Equipment!$F$16*'Customer Cost Calcs'!$C$36</f>
        <v>88.813734583984171</v>
      </c>
      <c r="E36" s="5">
        <f>Equipment!$F$16*'Customer Cost Calcs'!$C$36</f>
        <v>88.813734583984171</v>
      </c>
      <c r="F36" s="5">
        <f>Equipment!$F$16*'Customer Cost Calcs'!$C$36</f>
        <v>88.813734583984171</v>
      </c>
      <c r="G36" s="5">
        <f>Equipment!$F$16*'Customer Cost Calcs'!$C$36</f>
        <v>88.813734583984171</v>
      </c>
      <c r="H36" s="5">
        <f>Equipment!$F$16*'Customer Cost Calcs'!$C$36</f>
        <v>88.813734583984171</v>
      </c>
      <c r="I36" s="5">
        <f>Equipment!$F$16*'Customer Cost Calcs'!$C$36</f>
        <v>88.813734583984171</v>
      </c>
      <c r="J36" s="5">
        <f>Equipment!$F$16*'Customer Cost Calcs'!$C$36</f>
        <v>88.813734583984171</v>
      </c>
      <c r="K36" s="5">
        <f>Equipment!$F$16*'Customer Cost Calcs'!$C$36</f>
        <v>88.813734583984171</v>
      </c>
      <c r="L36" s="5">
        <f>Equipment!$F$16*'Customer Cost Calcs'!$C$36</f>
        <v>88.813734583984171</v>
      </c>
      <c r="M36" s="5">
        <f>Equipment!$F$16*'Customer Cost Calcs'!$C$36</f>
        <v>88.813734583984171</v>
      </c>
      <c r="N36" s="5">
        <f>Equipment!$F$16*'Customer Cost Calcs'!$C$36</f>
        <v>88.813734583984171</v>
      </c>
      <c r="O36" s="5">
        <f>Equipment!$F$16*'Customer Cost Calcs'!$C$36</f>
        <v>88.813734583984171</v>
      </c>
      <c r="P36" s="5">
        <f>Equipment!$F$16*'Customer Cost Calcs'!$C$36</f>
        <v>88.813734583984171</v>
      </c>
      <c r="Q36" s="5">
        <f>Equipment!$F$16*'Customer Cost Calcs'!$C$36</f>
        <v>88.813734583984171</v>
      </c>
      <c r="R36" s="5">
        <f>Equipment!$F$16*'Customer Cost Calcs'!$C$36</f>
        <v>88.813734583984171</v>
      </c>
      <c r="S36" s="5">
        <f>Equipment!$F$16*'Customer Cost Calcs'!$C$36</f>
        <v>88.813734583984171</v>
      </c>
      <c r="T36" s="5">
        <f>Equipment!$F$16*'Customer Cost Calcs'!$C$36</f>
        <v>88.813734583984171</v>
      </c>
      <c r="U36" s="5">
        <f>Equipment!$F$16*'Customer Cost Calcs'!$C$36</f>
        <v>88.813734583984171</v>
      </c>
      <c r="V36" s="5">
        <f>Equipment!$F$16*'Customer Cost Calcs'!$C$36</f>
        <v>88.813734583984171</v>
      </c>
      <c r="W36" s="5">
        <f>Equipment!$F$16*'Customer Cost Calcs'!$C$36</f>
        <v>88.813734583984171</v>
      </c>
      <c r="X36" s="5">
        <f>Equipment!$F$16*'Customer Cost Calcs'!$C$36</f>
        <v>88.813734583984171</v>
      </c>
      <c r="Y36" s="5">
        <f>Equipment!$F$16*'Customer Cost Calcs'!$C$36</f>
        <v>88.813734583984171</v>
      </c>
      <c r="Z36" s="5">
        <f>Equipment!$F$16*'Customer Cost Calcs'!$C$36</f>
        <v>88.813734583984171</v>
      </c>
      <c r="AA36" s="5">
        <f>Equipment!$F$16*'Customer Cost Calcs'!$C$36</f>
        <v>88.813734583984171</v>
      </c>
      <c r="AB36" s="5">
        <f>Equipment!$F$16*'Customer Cost Calcs'!$C$36</f>
        <v>88.813734583984171</v>
      </c>
      <c r="AC36" s="5">
        <f>NPV(Equipment!$C$23,'Customer Cost Calcs'!D36:U36)*(1+Equipment!$C$23)</f>
        <v>1169.2922191936477</v>
      </c>
      <c r="AD36" s="5">
        <f>AC36-AC29</f>
        <v>289.28838573170435</v>
      </c>
      <c r="AE36" s="5"/>
      <c r="AF36" s="5"/>
    </row>
    <row r="37" spans="1:32" x14ac:dyDescent="0.3">
      <c r="B37" t="str">
        <f t="shared" si="36"/>
        <v>Cooking</v>
      </c>
      <c r="C37" s="4">
        <f>C30</f>
        <v>1</v>
      </c>
      <c r="D37" s="5">
        <f>Equipment!$F$19*'Customer Cost Calcs'!$C$37</f>
        <v>132.61745259559282</v>
      </c>
      <c r="E37" s="5">
        <f>Equipment!$F$19*'Customer Cost Calcs'!$C$37</f>
        <v>132.61745259559282</v>
      </c>
      <c r="F37" s="5">
        <f>Equipment!$F$19*'Customer Cost Calcs'!$C$37</f>
        <v>132.61745259559282</v>
      </c>
      <c r="G37" s="5">
        <f>Equipment!$F$19*'Customer Cost Calcs'!$C$37</f>
        <v>132.61745259559282</v>
      </c>
      <c r="H37" s="5">
        <f>Equipment!$F$19*'Customer Cost Calcs'!$C$37</f>
        <v>132.61745259559282</v>
      </c>
      <c r="I37" s="5">
        <f>Equipment!$F$19*'Customer Cost Calcs'!$C$37</f>
        <v>132.61745259559282</v>
      </c>
      <c r="J37" s="5">
        <f>Equipment!$F$19*'Customer Cost Calcs'!$C$37</f>
        <v>132.61745259559282</v>
      </c>
      <c r="K37" s="5">
        <f>Equipment!$F$19*'Customer Cost Calcs'!$C$37</f>
        <v>132.61745259559282</v>
      </c>
      <c r="L37" s="5">
        <f>Equipment!$F$19*'Customer Cost Calcs'!$C$37</f>
        <v>132.61745259559282</v>
      </c>
      <c r="M37" s="5">
        <f>Equipment!$F$19*'Customer Cost Calcs'!$C$37</f>
        <v>132.61745259559282</v>
      </c>
      <c r="N37" s="5">
        <f>Equipment!$F$19*'Customer Cost Calcs'!$C$37</f>
        <v>132.61745259559282</v>
      </c>
      <c r="O37" s="5">
        <f>Equipment!$F$19*'Customer Cost Calcs'!$C$37</f>
        <v>132.61745259559282</v>
      </c>
      <c r="P37" s="5">
        <f>Equipment!$F$19*'Customer Cost Calcs'!$C$37</f>
        <v>132.61745259559282</v>
      </c>
      <c r="Q37" s="5">
        <f>Equipment!$F$19*'Customer Cost Calcs'!$C$37</f>
        <v>132.61745259559282</v>
      </c>
      <c r="R37" s="5">
        <f>Equipment!$F$19*'Customer Cost Calcs'!$C$37</f>
        <v>132.61745259559282</v>
      </c>
      <c r="S37" s="5">
        <f>Equipment!$F$19*'Customer Cost Calcs'!$C$37</f>
        <v>132.61745259559282</v>
      </c>
      <c r="T37" s="5">
        <f>Equipment!$F$19*'Customer Cost Calcs'!$C$37</f>
        <v>132.61745259559282</v>
      </c>
      <c r="U37" s="5">
        <f>Equipment!$F$19*'Customer Cost Calcs'!$C$37</f>
        <v>132.61745259559282</v>
      </c>
      <c r="V37" s="5">
        <f>Equipment!$F$19*'Customer Cost Calcs'!$C$37</f>
        <v>132.61745259559282</v>
      </c>
      <c r="W37" s="5">
        <f>Equipment!$F$19*'Customer Cost Calcs'!$C$37</f>
        <v>132.61745259559282</v>
      </c>
      <c r="X37" s="5">
        <f>Equipment!$F$19*'Customer Cost Calcs'!$C$37</f>
        <v>132.61745259559282</v>
      </c>
      <c r="Y37" s="5">
        <f>Equipment!$F$19*'Customer Cost Calcs'!$C$37</f>
        <v>132.61745259559282</v>
      </c>
      <c r="Z37" s="5">
        <f>Equipment!$F$19*'Customer Cost Calcs'!$C$37</f>
        <v>132.61745259559282</v>
      </c>
      <c r="AA37" s="5">
        <f>Equipment!$F$19*'Customer Cost Calcs'!$C$37</f>
        <v>132.61745259559282</v>
      </c>
      <c r="AB37" s="5">
        <f>Equipment!$F$19*'Customer Cost Calcs'!$C$37</f>
        <v>132.61745259559282</v>
      </c>
      <c r="AC37" s="5">
        <f>NPV(Equipment!$C$23,'Customer Cost Calcs'!D37:U37)*(1+Equipment!$C$23)</f>
        <v>1745.9974650955926</v>
      </c>
      <c r="AD37" s="5">
        <f>AC37-AC30</f>
        <v>802.35504679478322</v>
      </c>
      <c r="AE37" s="5"/>
      <c r="AF37" s="5"/>
    </row>
    <row r="38" spans="1:32" x14ac:dyDescent="0.3">
      <c r="B38" t="str">
        <f t="shared" si="36"/>
        <v>Total Cost</v>
      </c>
      <c r="C38" s="4"/>
      <c r="D38" s="5">
        <f t="shared" ref="D38:AB38" si="37">SUM(D34:D37)</f>
        <v>1310.7413366767662</v>
      </c>
      <c r="E38" s="5">
        <f t="shared" si="37"/>
        <v>1310.7413366767662</v>
      </c>
      <c r="F38" s="5">
        <f t="shared" si="37"/>
        <v>1310.7413366767662</v>
      </c>
      <c r="G38" s="5">
        <f t="shared" si="37"/>
        <v>1310.7413366767662</v>
      </c>
      <c r="H38" s="5">
        <f t="shared" si="37"/>
        <v>1310.7413366767662</v>
      </c>
      <c r="I38" s="5">
        <f t="shared" si="37"/>
        <v>1310.7413366767662</v>
      </c>
      <c r="J38" s="5">
        <f t="shared" si="37"/>
        <v>1310.7413366767662</v>
      </c>
      <c r="K38" s="5">
        <f t="shared" si="37"/>
        <v>1310.7413366767662</v>
      </c>
      <c r="L38" s="5">
        <f t="shared" si="37"/>
        <v>1310.7413366767662</v>
      </c>
      <c r="M38" s="5">
        <f t="shared" si="37"/>
        <v>1310.7413366767662</v>
      </c>
      <c r="N38" s="5">
        <f t="shared" si="37"/>
        <v>1310.7413366767662</v>
      </c>
      <c r="O38" s="5">
        <f t="shared" si="37"/>
        <v>1310.7413366767662</v>
      </c>
      <c r="P38" s="5">
        <f t="shared" si="37"/>
        <v>1310.7413366767662</v>
      </c>
      <c r="Q38" s="5">
        <f t="shared" si="37"/>
        <v>1310.7413366767662</v>
      </c>
      <c r="R38" s="5">
        <f t="shared" si="37"/>
        <v>1310.7413366767662</v>
      </c>
      <c r="S38" s="5">
        <f t="shared" si="37"/>
        <v>1310.7413366767662</v>
      </c>
      <c r="T38" s="5">
        <f t="shared" si="37"/>
        <v>1310.7413366767662</v>
      </c>
      <c r="U38" s="5">
        <f t="shared" si="37"/>
        <v>1310.7413366767662</v>
      </c>
      <c r="V38" s="5">
        <f t="shared" si="37"/>
        <v>1310.7413366767662</v>
      </c>
      <c r="W38" s="5">
        <f t="shared" si="37"/>
        <v>1310.7413366767662</v>
      </c>
      <c r="X38" s="5">
        <f t="shared" si="37"/>
        <v>1310.7413366767662</v>
      </c>
      <c r="Y38" s="5">
        <f t="shared" si="37"/>
        <v>1310.7413366767662</v>
      </c>
      <c r="Z38" s="5">
        <f t="shared" si="37"/>
        <v>1310.7413366767662</v>
      </c>
      <c r="AA38" s="5">
        <f t="shared" si="37"/>
        <v>1310.7413366767662</v>
      </c>
      <c r="AB38" s="5">
        <f t="shared" si="37"/>
        <v>1310.7413366767662</v>
      </c>
      <c r="AC38" s="5">
        <f>NPV(Equipment!$C$23,'Customer Cost Calcs'!D38:U38)*(1+Equipment!$C$23)</f>
        <v>17256.786391549915</v>
      </c>
      <c r="AD38" s="5">
        <f>AC38-AC31</f>
        <v>3725.1358776225534</v>
      </c>
      <c r="AE38" s="5"/>
      <c r="AF38" s="5"/>
    </row>
    <row r="39" spans="1:32" x14ac:dyDescent="0.3">
      <c r="AC39" s="5"/>
      <c r="AE39" s="5"/>
    </row>
    <row r="40" spans="1:32" ht="17.850000000000001" x14ac:dyDescent="0.35">
      <c r="A40" s="44" t="s">
        <v>134</v>
      </c>
    </row>
    <row r="41" spans="1:32" x14ac:dyDescent="0.3">
      <c r="A41" s="107"/>
      <c r="B41" s="107"/>
      <c r="C41" s="3" t="s">
        <v>54</v>
      </c>
      <c r="D41" s="13">
        <v>2023</v>
      </c>
      <c r="E41" s="13">
        <f>D41+1</f>
        <v>2024</v>
      </c>
      <c r="F41" s="13">
        <f t="shared" ref="F41" si="38">E41+1</f>
        <v>2025</v>
      </c>
      <c r="G41" s="13">
        <f t="shared" ref="G41" si="39">F41+1</f>
        <v>2026</v>
      </c>
      <c r="H41" s="13">
        <f t="shared" ref="H41" si="40">G41+1</f>
        <v>2027</v>
      </c>
      <c r="I41" s="13">
        <f t="shared" ref="I41" si="41">H41+1</f>
        <v>2028</v>
      </c>
      <c r="J41" s="13">
        <f t="shared" ref="J41" si="42">I41+1</f>
        <v>2029</v>
      </c>
      <c r="K41" s="13">
        <f t="shared" ref="K41" si="43">J41+1</f>
        <v>2030</v>
      </c>
      <c r="L41" s="13">
        <f t="shared" ref="L41" si="44">K41+1</f>
        <v>2031</v>
      </c>
      <c r="M41" s="13">
        <f t="shared" ref="M41" si="45">L41+1</f>
        <v>2032</v>
      </c>
      <c r="N41" s="13">
        <f t="shared" ref="N41" si="46">M41+1</f>
        <v>2033</v>
      </c>
      <c r="O41" s="13">
        <f t="shared" ref="O41" si="47">N41+1</f>
        <v>2034</v>
      </c>
      <c r="P41" s="13">
        <f t="shared" ref="P41" si="48">O41+1</f>
        <v>2035</v>
      </c>
      <c r="Q41" s="13">
        <f t="shared" ref="Q41" si="49">P41+1</f>
        <v>2036</v>
      </c>
      <c r="R41" s="13">
        <f t="shared" ref="R41" si="50">Q41+1</f>
        <v>2037</v>
      </c>
      <c r="S41" s="13">
        <f>R41+1</f>
        <v>2038</v>
      </c>
      <c r="T41" s="13">
        <f t="shared" ref="T41" si="51">S41+1</f>
        <v>2039</v>
      </c>
      <c r="U41" s="13">
        <f t="shared" ref="U41" si="52">T41+1</f>
        <v>2040</v>
      </c>
      <c r="V41" s="13">
        <f t="shared" ref="V41" si="53">U41+1</f>
        <v>2041</v>
      </c>
      <c r="W41" s="13">
        <f t="shared" ref="W41" si="54">V41+1</f>
        <v>2042</v>
      </c>
      <c r="X41" s="13">
        <f t="shared" ref="X41" si="55">W41+1</f>
        <v>2043</v>
      </c>
      <c r="Y41" s="13">
        <f t="shared" ref="Y41" si="56">X41+1</f>
        <v>2044</v>
      </c>
      <c r="Z41" s="13">
        <f t="shared" ref="Z41" si="57">Y41+1</f>
        <v>2045</v>
      </c>
      <c r="AA41" s="13">
        <f t="shared" ref="AA41" si="58">Z41+1</f>
        <v>2046</v>
      </c>
      <c r="AB41" s="13">
        <f t="shared" ref="AB41" si="59">AA41+1</f>
        <v>2047</v>
      </c>
      <c r="AC41" s="19"/>
      <c r="AD41" s="3"/>
      <c r="AE41" s="19" t="s">
        <v>106</v>
      </c>
      <c r="AF41" s="3" t="s">
        <v>70</v>
      </c>
    </row>
    <row r="42" spans="1:32" x14ac:dyDescent="0.3">
      <c r="A42" s="3" t="str">
        <f>A26</f>
        <v>Staying Gas</v>
      </c>
      <c r="C42" s="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9"/>
    </row>
    <row r="43" spans="1:32" x14ac:dyDescent="0.3">
      <c r="B43" t="s">
        <v>31</v>
      </c>
      <c r="C43" s="54">
        <f>C27</f>
        <v>1</v>
      </c>
      <c r="D43" s="20"/>
      <c r="E43" s="20"/>
      <c r="F43" s="20"/>
      <c r="G43" s="20"/>
      <c r="H43" s="20"/>
      <c r="I43" s="20"/>
      <c r="J43" s="20"/>
      <c r="K43" s="20">
        <f>Equipment!$F$7*$C$27</f>
        <v>720.42231240916442</v>
      </c>
      <c r="L43" s="20">
        <f>Equipment!$F$7*$C$27</f>
        <v>720.42231240916442</v>
      </c>
      <c r="M43" s="20">
        <f>Equipment!$F$7*$C$27</f>
        <v>720.42231240916442</v>
      </c>
      <c r="N43" s="20">
        <f>Equipment!$F$7*$C$27</f>
        <v>720.42231240916442</v>
      </c>
      <c r="O43" s="20">
        <f>Equipment!$F$7*$C$27</f>
        <v>720.42231240916442</v>
      </c>
      <c r="P43" s="20">
        <f>Equipment!$F$7*$C$27</f>
        <v>720.42231240916442</v>
      </c>
      <c r="Q43" s="20">
        <f>Equipment!$F$7*$C$27</f>
        <v>720.42231240916442</v>
      </c>
      <c r="R43" s="20">
        <f>Equipment!$F$7*$C$27</f>
        <v>720.42231240916442</v>
      </c>
      <c r="S43" s="20">
        <f>Equipment!$F$7*$C$27</f>
        <v>720.42231240916442</v>
      </c>
      <c r="T43" s="20">
        <f>Equipment!$F$7*$C$27</f>
        <v>720.42231240916442</v>
      </c>
      <c r="U43" s="20">
        <f>Equipment!$F$7*$C$27</f>
        <v>720.42231240916442</v>
      </c>
      <c r="V43" s="20">
        <f>Equipment!$F$7*$C$27</f>
        <v>720.42231240916442</v>
      </c>
      <c r="W43" s="20">
        <f>Equipment!$F$7*$C$27</f>
        <v>720.42231240916442</v>
      </c>
      <c r="X43" s="20">
        <f>Equipment!$F$7*$C$27</f>
        <v>720.42231240916442</v>
      </c>
      <c r="Y43" s="20">
        <f>Equipment!$F$7*$C$27</f>
        <v>720.42231240916442</v>
      </c>
      <c r="Z43" s="20">
        <f>Equipment!$F$7*$C$27</f>
        <v>720.42231240916442</v>
      </c>
      <c r="AA43" s="20">
        <f>Equipment!$F$7*$C$27</f>
        <v>720.42231240916442</v>
      </c>
      <c r="AB43" s="20">
        <f>Equipment!$F$7*$C$27</f>
        <v>720.42231240916442</v>
      </c>
      <c r="AC43" s="5"/>
      <c r="AE43" s="5">
        <f>NPV(Equipment!$C$23,'Customer Cost Calcs'!K43:AB43)*(1+Equipment!$C$23)</f>
        <v>9484.8415999999943</v>
      </c>
    </row>
    <row r="44" spans="1:32" x14ac:dyDescent="0.3">
      <c r="B44" t="s">
        <v>32</v>
      </c>
      <c r="C44" s="54">
        <f t="shared" ref="C44:C46" si="60">C28</f>
        <v>1</v>
      </c>
      <c r="D44" s="20"/>
      <c r="E44" s="20"/>
      <c r="F44" s="20"/>
      <c r="G44" s="20"/>
      <c r="H44" s="20"/>
      <c r="I44" s="20"/>
      <c r="J44" s="20"/>
      <c r="K44" s="20">
        <f>IF((K41-$K$41)&gt;(Equipment!$E$12/2)-1,Equipment!$F$12*'Customer Cost Calcs'!$C$28,0)</f>
        <v>0</v>
      </c>
      <c r="L44" s="20">
        <f>IF((L41-$K$41)&gt;(Equipment!$E$12/2)-1,Equipment!$F$12*'Customer Cost Calcs'!$C$28,0)</f>
        <v>0</v>
      </c>
      <c r="M44" s="20">
        <f>IF((M41-$K$41)&gt;(Equipment!$E$12/2)-1,Equipment!$F$12*'Customer Cost Calcs'!$C$28,0)</f>
        <v>0</v>
      </c>
      <c r="N44" s="20">
        <f>IF((N41-$K$41)&gt;(Equipment!$E$12/2)-1,Equipment!$F$12*'Customer Cost Calcs'!$C$28,0)</f>
        <v>0</v>
      </c>
      <c r="O44" s="20">
        <f>IF((O41-$K$41)&gt;(Equipment!$E$12/2)-1,Equipment!$F$12*'Customer Cost Calcs'!$C$28,0)</f>
        <v>0</v>
      </c>
      <c r="P44" s="20">
        <f>IF((P41-$K$41)&gt;(Equipment!$E$12/2)-1,Equipment!$F$12*'Customer Cost Calcs'!$C$28,0)</f>
        <v>0</v>
      </c>
      <c r="Q44" s="20">
        <f>IF((Q41-$K$41)&gt;(Equipment!$E$12/2)-1,Equipment!$F$12*'Customer Cost Calcs'!$C$28,0)</f>
        <v>0</v>
      </c>
      <c r="R44" s="20">
        <f>IF((R41-$K$41)&gt;(Equipment!$E$12/2)-1,Equipment!$F$12*'Customer Cost Calcs'!$C$28,0)</f>
        <v>321.102388656681</v>
      </c>
      <c r="S44" s="20">
        <f>IF((S41-$K$41)&gt;(Equipment!$E$12/2)-1,Equipment!$F$12*'Customer Cost Calcs'!$C$28,0)</f>
        <v>321.102388656681</v>
      </c>
      <c r="T44" s="20">
        <f>IF((T41-$K$41)&gt;(Equipment!$E$12/2)-1,Equipment!$F$12*'Customer Cost Calcs'!$C$28,0)</f>
        <v>321.102388656681</v>
      </c>
      <c r="U44" s="20">
        <f>IF((U41-$K$41)&gt;(Equipment!$E$12/2)-1,Equipment!$F$12*'Customer Cost Calcs'!$C$28,0)</f>
        <v>321.102388656681</v>
      </c>
      <c r="V44" s="20">
        <f>IF((V41-$K$41)&gt;(Equipment!$E$12/2)-1,Equipment!$F$12*'Customer Cost Calcs'!$C$28,0)</f>
        <v>321.102388656681</v>
      </c>
      <c r="W44" s="20">
        <f>IF((W41-$K$41)&gt;(Equipment!$E$12/2)-1,Equipment!$F$12*'Customer Cost Calcs'!$C$28,0)</f>
        <v>321.102388656681</v>
      </c>
      <c r="X44" s="20">
        <f>IF((X41-$K$41)&gt;(Equipment!$E$12/2)-1,Equipment!$F$12*'Customer Cost Calcs'!$C$28,0)</f>
        <v>321.102388656681</v>
      </c>
      <c r="Y44" s="20">
        <f>IF((Y41-$K$41)&gt;(Equipment!$E$12/2)-1,Equipment!$F$12*'Customer Cost Calcs'!$C$28,0)</f>
        <v>321.102388656681</v>
      </c>
      <c r="Z44" s="20">
        <f>IF((Z41-$K$41)&gt;(Equipment!$E$12/2)-1,Equipment!$F$12*'Customer Cost Calcs'!$C$28,0)</f>
        <v>321.102388656681</v>
      </c>
      <c r="AA44" s="20">
        <f>IF((AA41-$K$41)&gt;(Equipment!$E$12/2)-1,Equipment!$F$12*'Customer Cost Calcs'!$C$28,0)</f>
        <v>321.102388656681</v>
      </c>
      <c r="AB44" s="20">
        <f>IF((AB41-$K$41)&gt;(Equipment!$E$12/2)-1,Equipment!$F$12*'Customer Cost Calcs'!$C$28,0)</f>
        <v>321.102388656681</v>
      </c>
      <c r="AC44" s="5"/>
      <c r="AE44" s="5">
        <f>NPV(Equipment!$C$23,'Customer Cost Calcs'!K44:AB44)*(1+Equipment!$C$23)</f>
        <v>2223.1626621646174</v>
      </c>
    </row>
    <row r="45" spans="1:32" x14ac:dyDescent="0.3">
      <c r="B45" t="s">
        <v>39</v>
      </c>
      <c r="C45" s="54">
        <f t="shared" si="60"/>
        <v>1</v>
      </c>
      <c r="D45" s="20"/>
      <c r="E45" s="20"/>
      <c r="F45" s="20"/>
      <c r="G45" s="20"/>
      <c r="H45" s="20"/>
      <c r="I45" s="20"/>
      <c r="J45" s="20"/>
      <c r="K45" s="20">
        <f>IF((K$25-$K$41)&gt;(Equipment!$E$15/2)-1,Equipment!$F$15*'Customer Cost Calcs'!$C$29,0)</f>
        <v>0</v>
      </c>
      <c r="L45" s="20">
        <f>IF((L$25-$K$41)&gt;(Equipment!$E$15/2)-1,Equipment!$F$15*'Customer Cost Calcs'!$C$29,0)</f>
        <v>0</v>
      </c>
      <c r="M45" s="20">
        <f>IF((M$25-$K$41)&gt;(Equipment!$E$15/2)-1,Equipment!$F$15*'Customer Cost Calcs'!$C$29,0)</f>
        <v>0</v>
      </c>
      <c r="N45" s="20">
        <f>IF((N$25-$K$41)&gt;(Equipment!$E$15/2)-1,Equipment!$F$15*'Customer Cost Calcs'!$C$29,0)</f>
        <v>0</v>
      </c>
      <c r="O45" s="20">
        <f>IF((O$25-$K$41)&gt;(Equipment!$E$15/2)-1,Equipment!$F$15*'Customer Cost Calcs'!$C$29,0)</f>
        <v>0</v>
      </c>
      <c r="P45" s="20">
        <f>IF((P$25-$K$41)&gt;(Equipment!$E$15/2)-1,Equipment!$F$15*'Customer Cost Calcs'!$C$29,0)</f>
        <v>0</v>
      </c>
      <c r="Q45" s="20">
        <f>IF((Q$25-$K$41)&gt;(Equipment!$E$15/2)-1,Equipment!$F$15*'Customer Cost Calcs'!$C$29,0)</f>
        <v>114.08106589539968</v>
      </c>
      <c r="R45" s="20">
        <f>IF((R$25-$K$41)&gt;(Equipment!$E$15/2)-1,Equipment!$F$15*'Customer Cost Calcs'!$C$29,0)</f>
        <v>114.08106589539968</v>
      </c>
      <c r="S45" s="20">
        <f>IF((S$25-$K$41)&gt;(Equipment!$E$15/2)-1,Equipment!$F$15*'Customer Cost Calcs'!$C$29,0)</f>
        <v>114.08106589539968</v>
      </c>
      <c r="T45" s="20">
        <f>IF((T$25-$K$41)&gt;(Equipment!$E$15/2)-1,Equipment!$F$15*'Customer Cost Calcs'!$C$29,0)</f>
        <v>114.08106589539968</v>
      </c>
      <c r="U45" s="20">
        <f>IF((U$25-$K$41)&gt;(Equipment!$E$15/2)-1,Equipment!$F$15*'Customer Cost Calcs'!$C$29,0)</f>
        <v>114.08106589539968</v>
      </c>
      <c r="V45" s="20">
        <f>IF((V$25-$K$41)&gt;(Equipment!$E$15/2)-1,Equipment!$F$15*'Customer Cost Calcs'!$C$29,0)</f>
        <v>114.08106589539968</v>
      </c>
      <c r="W45" s="20">
        <f>IF((W$25-$K$41)&gt;(Equipment!$E$15/2)-1,Equipment!$F$15*'Customer Cost Calcs'!$C$29,0)</f>
        <v>114.08106589539968</v>
      </c>
      <c r="X45" s="20">
        <f>IF((X$25-$K$41)&gt;(Equipment!$E$15/2)-1,Equipment!$F$15*'Customer Cost Calcs'!$C$29,0)</f>
        <v>114.08106589539968</v>
      </c>
      <c r="Y45" s="20">
        <f>IF((Y$25-$K$41)&gt;(Equipment!$E$15/2)-1,Equipment!$F$15*'Customer Cost Calcs'!$C$29,0)</f>
        <v>114.08106589539968</v>
      </c>
      <c r="Z45" s="20">
        <f>IF((Z$25-$K$41)&gt;(Equipment!$E$15/2)-1,Equipment!$F$15*'Customer Cost Calcs'!$C$29,0)</f>
        <v>114.08106589539968</v>
      </c>
      <c r="AA45" s="20">
        <f>IF((AA$25-$K$41)&gt;(Equipment!$E$15/2)-1,Equipment!$F$15*'Customer Cost Calcs'!$C$29,0)</f>
        <v>114.08106589539968</v>
      </c>
      <c r="AB45" s="20">
        <f>IF((AB$25-$K$41)&gt;(Equipment!$E$15/2)-1,Equipment!$F$15*'Customer Cost Calcs'!$C$29,0)</f>
        <v>114.08106589539968</v>
      </c>
      <c r="AC45" s="5"/>
      <c r="AE45" s="5">
        <f>NPV(Equipment!$C$23,'Customer Cost Calcs'!K45:AB45)*(1+Equipment!$C$23)</f>
        <v>880.00383346194337</v>
      </c>
    </row>
    <row r="46" spans="1:32" x14ac:dyDescent="0.3">
      <c r="B46" t="s">
        <v>38</v>
      </c>
      <c r="C46" s="54">
        <f t="shared" si="60"/>
        <v>1</v>
      </c>
      <c r="D46" s="20"/>
      <c r="E46" s="20"/>
      <c r="F46" s="20"/>
      <c r="G46" s="20"/>
      <c r="H46" s="20"/>
      <c r="I46" s="20"/>
      <c r="J46" s="20"/>
      <c r="K46" s="20">
        <f>IF((K$41-$K$41)&gt;(Equipment!$E$18/2)-1,Equipment!$F$18*'Customer Cost Calcs'!$C$30,0)</f>
        <v>0</v>
      </c>
      <c r="L46" s="20">
        <f>IF((L$41-$K$41)&gt;(Equipment!$E$18/2)-1,Equipment!$F$18*'Customer Cost Calcs'!$C$30,0)</f>
        <v>0</v>
      </c>
      <c r="M46" s="20">
        <f>IF((M$41-$K$41)&gt;(Equipment!$E$18/2)-1,Equipment!$F$18*'Customer Cost Calcs'!$C$30,0)</f>
        <v>0</v>
      </c>
      <c r="N46" s="20">
        <f>IF((N$41-$K$41)&gt;(Equipment!$E$18/2)-1,Equipment!$F$18*'Customer Cost Calcs'!$C$30,0)</f>
        <v>0</v>
      </c>
      <c r="O46" s="20">
        <f>IF((O$41-$K$41)&gt;(Equipment!$E$18/2)-1,Equipment!$F$18*'Customer Cost Calcs'!$C$30,0)</f>
        <v>0</v>
      </c>
      <c r="P46" s="20">
        <f>IF((P$41-$K$41)&gt;(Equipment!$E$18/2)-1,Equipment!$F$18*'Customer Cost Calcs'!$C$30,0)</f>
        <v>0</v>
      </c>
      <c r="Q46" s="20">
        <f>IF((Q$41-$K$41)&gt;(Equipment!$E$18/2)-1,Equipment!$F$18*'Customer Cost Calcs'!$C$30,0)</f>
        <v>0</v>
      </c>
      <c r="R46" s="20">
        <f>IF((R$41-$K$41)&gt;(Equipment!$E$18/2)-1,Equipment!$F$18*'Customer Cost Calcs'!$C$30,0)</f>
        <v>136.29494580442912</v>
      </c>
      <c r="S46" s="20">
        <f>IF((S$41-$K$41)&gt;(Equipment!$E$18/2)-1,Equipment!$F$18*'Customer Cost Calcs'!$C$30,0)</f>
        <v>136.29494580442912</v>
      </c>
      <c r="T46" s="20">
        <f>IF((T$41-$K$41)&gt;(Equipment!$E$18/2)-1,Equipment!$F$18*'Customer Cost Calcs'!$C$30,0)</f>
        <v>136.29494580442912</v>
      </c>
      <c r="U46" s="20">
        <f>IF((U$41-$K$41)&gt;(Equipment!$E$18/2)-1,Equipment!$F$18*'Customer Cost Calcs'!$C$30,0)</f>
        <v>136.29494580442912</v>
      </c>
      <c r="V46" s="20">
        <f>IF((V$41-$K$41)&gt;(Equipment!$E$18/2)-1,Equipment!$F$18*'Customer Cost Calcs'!$C$30,0)</f>
        <v>136.29494580442912</v>
      </c>
      <c r="W46" s="20">
        <f>IF((W$41-$K$41)&gt;(Equipment!$E$18/2)-1,Equipment!$F$18*'Customer Cost Calcs'!$C$30,0)</f>
        <v>136.29494580442912</v>
      </c>
      <c r="X46" s="20">
        <f>IF((X$41-$K$41)&gt;(Equipment!$E$18/2)-1,Equipment!$F$18*'Customer Cost Calcs'!$C$30,0)</f>
        <v>136.29494580442912</v>
      </c>
      <c r="Y46" s="20">
        <f>IF((Y$41-$K$41)&gt;(Equipment!$E$18/2)-1,Equipment!$F$18*'Customer Cost Calcs'!$C$30,0)</f>
        <v>136.29494580442912</v>
      </c>
      <c r="Z46" s="20">
        <f>IF((Z$41-$K$41)&gt;(Equipment!$E$18/2)-1,Equipment!$F$18*'Customer Cost Calcs'!$C$30,0)</f>
        <v>136.29494580442912</v>
      </c>
      <c r="AA46" s="20">
        <f>IF((AA$41-$K$41)&gt;(Equipment!$E$18/2)-1,Equipment!$F$18*'Customer Cost Calcs'!$C$30,0)</f>
        <v>136.29494580442912</v>
      </c>
      <c r="AB46" s="20">
        <f>IF((AB$41-$K$41)&gt;(Equipment!$E$18/2)-1,Equipment!$F$18*'Customer Cost Calcs'!$C$30,0)</f>
        <v>136.29494580442912</v>
      </c>
      <c r="AC46" s="5"/>
      <c r="AE46" s="5">
        <f>NPV(Equipment!$C$23,'Customer Cost Calcs'!K46:AB46)*(1+Equipment!$C$23)</f>
        <v>943.64241830080937</v>
      </c>
    </row>
    <row r="47" spans="1:32" x14ac:dyDescent="0.3">
      <c r="B47" t="s">
        <v>55</v>
      </c>
      <c r="C47" s="4"/>
      <c r="D47" s="20">
        <f t="shared" ref="D47:AB47" si="61">SUM(D43:D46)</f>
        <v>0</v>
      </c>
      <c r="E47" s="20">
        <f t="shared" si="61"/>
        <v>0</v>
      </c>
      <c r="F47" s="20">
        <f t="shared" si="61"/>
        <v>0</v>
      </c>
      <c r="G47" s="20">
        <f t="shared" si="61"/>
        <v>0</v>
      </c>
      <c r="H47" s="20">
        <f t="shared" si="61"/>
        <v>0</v>
      </c>
      <c r="I47" s="20">
        <f t="shared" si="61"/>
        <v>0</v>
      </c>
      <c r="J47" s="20">
        <f t="shared" si="61"/>
        <v>0</v>
      </c>
      <c r="K47" s="20">
        <f t="shared" si="61"/>
        <v>720.42231240916442</v>
      </c>
      <c r="L47" s="20">
        <f t="shared" si="61"/>
        <v>720.42231240916442</v>
      </c>
      <c r="M47" s="20">
        <f t="shared" si="61"/>
        <v>720.42231240916442</v>
      </c>
      <c r="N47" s="20">
        <f t="shared" si="61"/>
        <v>720.42231240916442</v>
      </c>
      <c r="O47" s="20">
        <f t="shared" si="61"/>
        <v>720.42231240916442</v>
      </c>
      <c r="P47" s="20">
        <f t="shared" si="61"/>
        <v>720.42231240916442</v>
      </c>
      <c r="Q47" s="20">
        <f t="shared" si="61"/>
        <v>834.50337830456408</v>
      </c>
      <c r="R47" s="20">
        <f t="shared" si="61"/>
        <v>1291.9007127656741</v>
      </c>
      <c r="S47" s="20">
        <f t="shared" si="61"/>
        <v>1291.9007127656741</v>
      </c>
      <c r="T47" s="20">
        <f t="shared" si="61"/>
        <v>1291.9007127656741</v>
      </c>
      <c r="U47" s="20">
        <f t="shared" si="61"/>
        <v>1291.9007127656741</v>
      </c>
      <c r="V47" s="20">
        <f t="shared" si="61"/>
        <v>1291.9007127656741</v>
      </c>
      <c r="W47" s="20">
        <f t="shared" si="61"/>
        <v>1291.9007127656741</v>
      </c>
      <c r="X47" s="20">
        <f t="shared" si="61"/>
        <v>1291.9007127656741</v>
      </c>
      <c r="Y47" s="20">
        <f t="shared" si="61"/>
        <v>1291.9007127656741</v>
      </c>
      <c r="Z47" s="20">
        <f t="shared" si="61"/>
        <v>1291.9007127656741</v>
      </c>
      <c r="AA47" s="20">
        <f t="shared" si="61"/>
        <v>1291.9007127656741</v>
      </c>
      <c r="AB47" s="20">
        <f t="shared" si="61"/>
        <v>1291.9007127656741</v>
      </c>
      <c r="AC47" s="5"/>
      <c r="AE47" s="5">
        <f>NPV(Equipment!$C$23,'Customer Cost Calcs'!K47:AB47)*(1+Equipment!$C$23)</f>
        <v>13531.650513927361</v>
      </c>
    </row>
    <row r="48" spans="1:32" x14ac:dyDescent="0.3">
      <c r="AC48" s="5"/>
    </row>
    <row r="49" spans="1:32" x14ac:dyDescent="0.3">
      <c r="A49" s="3" t="str">
        <f>A33</f>
        <v>Electrification</v>
      </c>
      <c r="AC49" s="5"/>
    </row>
    <row r="50" spans="1:32" x14ac:dyDescent="0.3">
      <c r="B50" t="str">
        <f>B43</f>
        <v>Heating/Cooling</v>
      </c>
      <c r="C50" s="4">
        <f>C34</f>
        <v>1</v>
      </c>
      <c r="D50" s="5"/>
      <c r="E50" s="5"/>
      <c r="F50" s="5"/>
      <c r="G50" s="5"/>
      <c r="H50" s="5"/>
      <c r="I50" s="5"/>
      <c r="J50" s="5"/>
      <c r="K50" s="5">
        <f>Equipment!$F$9*$C$34</f>
        <v>762.60597403480813</v>
      </c>
      <c r="L50" s="5">
        <f>Equipment!$F$9*$C$34</f>
        <v>762.60597403480813</v>
      </c>
      <c r="M50" s="5">
        <f>Equipment!$F$9*$C$34</f>
        <v>762.60597403480813</v>
      </c>
      <c r="N50" s="5">
        <f>Equipment!$F$9*$C$34</f>
        <v>762.60597403480813</v>
      </c>
      <c r="O50" s="5">
        <f>Equipment!$F$9*$C$34</f>
        <v>762.60597403480813</v>
      </c>
      <c r="P50" s="5">
        <f>Equipment!$F$9*$C$34</f>
        <v>762.60597403480813</v>
      </c>
      <c r="Q50" s="5">
        <f>Equipment!$F$9*$C$34</f>
        <v>762.60597403480813</v>
      </c>
      <c r="R50" s="5">
        <f>Equipment!$F$9*$C$34</f>
        <v>762.60597403480813</v>
      </c>
      <c r="S50" s="5">
        <f>Equipment!$F$9*$C$34</f>
        <v>762.60597403480813</v>
      </c>
      <c r="T50" s="5">
        <f>Equipment!$F$9*$C$34</f>
        <v>762.60597403480813</v>
      </c>
      <c r="U50" s="5">
        <f>Equipment!$F$9*$C$34</f>
        <v>762.60597403480813</v>
      </c>
      <c r="V50" s="5">
        <f>Equipment!$F$9*$C$34</f>
        <v>762.60597403480813</v>
      </c>
      <c r="W50" s="5">
        <f>Equipment!$F$9*$C$34</f>
        <v>762.60597403480813</v>
      </c>
      <c r="X50" s="5">
        <f>Equipment!$F$9*$C$34</f>
        <v>762.60597403480813</v>
      </c>
      <c r="Y50" s="5">
        <f>Equipment!$F$9*$C$34</f>
        <v>762.60597403480813</v>
      </c>
      <c r="Z50" s="5">
        <f>Equipment!$F$9*$C$34</f>
        <v>762.60597403480813</v>
      </c>
      <c r="AA50" s="5">
        <f>Equipment!$F$9*$C$34</f>
        <v>762.60597403480813</v>
      </c>
      <c r="AB50" s="5">
        <f>Equipment!$F$9*$C$34</f>
        <v>762.60597403480813</v>
      </c>
      <c r="AC50" s="5"/>
      <c r="AD50" s="5"/>
      <c r="AE50" s="5">
        <f>NPV(Equipment!$C$23,'Customer Cost Calcs'!K50:AB50)*(1+Equipment!$C$23)</f>
        <v>10040.217719999993</v>
      </c>
      <c r="AF50" s="5">
        <f>AE50-AE43</f>
        <v>555.37611999999899</v>
      </c>
    </row>
    <row r="51" spans="1:32" x14ac:dyDescent="0.3">
      <c r="B51" t="str">
        <f t="shared" ref="B51:B54" si="62">B44</f>
        <v>Water Heating</v>
      </c>
      <c r="C51" s="4">
        <f t="shared" ref="C51:C53" si="63">C35</f>
        <v>1</v>
      </c>
      <c r="D51" s="5"/>
      <c r="E51" s="5"/>
      <c r="F51" s="5"/>
      <c r="G51" s="5"/>
      <c r="H51" s="5"/>
      <c r="I51" s="5"/>
      <c r="J51" s="5"/>
      <c r="K51" s="5">
        <f>Equipment!$F$13*'Customer Cost Calcs'!$C$35</f>
        <v>326.7041754623811</v>
      </c>
      <c r="L51" s="5">
        <f>Equipment!$F$13*'Customer Cost Calcs'!$C$35</f>
        <v>326.7041754623811</v>
      </c>
      <c r="M51" s="5">
        <f>Equipment!$F$13*'Customer Cost Calcs'!$C$35</f>
        <v>326.7041754623811</v>
      </c>
      <c r="N51" s="5">
        <f>Equipment!$F$13*'Customer Cost Calcs'!$C$35</f>
        <v>326.7041754623811</v>
      </c>
      <c r="O51" s="5">
        <f>Equipment!$F$13*'Customer Cost Calcs'!$C$35</f>
        <v>326.7041754623811</v>
      </c>
      <c r="P51" s="5">
        <f>Equipment!$F$13*'Customer Cost Calcs'!$C$35</f>
        <v>326.7041754623811</v>
      </c>
      <c r="Q51" s="5">
        <f>Equipment!$F$13*'Customer Cost Calcs'!$C$35</f>
        <v>326.7041754623811</v>
      </c>
      <c r="R51" s="5">
        <f>Equipment!$F$13*'Customer Cost Calcs'!$C$35</f>
        <v>326.7041754623811</v>
      </c>
      <c r="S51" s="5">
        <f>Equipment!$F$13*'Customer Cost Calcs'!$C$35</f>
        <v>326.7041754623811</v>
      </c>
      <c r="T51" s="5">
        <f>Equipment!$F$13*'Customer Cost Calcs'!$C$35</f>
        <v>326.7041754623811</v>
      </c>
      <c r="U51" s="5">
        <f>Equipment!$F$13*'Customer Cost Calcs'!$C$35</f>
        <v>326.7041754623811</v>
      </c>
      <c r="V51" s="5">
        <f>Equipment!$F$13*'Customer Cost Calcs'!$C$35</f>
        <v>326.7041754623811</v>
      </c>
      <c r="W51" s="5">
        <f>Equipment!$F$13*'Customer Cost Calcs'!$C$35</f>
        <v>326.7041754623811</v>
      </c>
      <c r="X51" s="5">
        <f>Equipment!$F$13*'Customer Cost Calcs'!$C$35</f>
        <v>326.7041754623811</v>
      </c>
      <c r="Y51" s="5">
        <f>Equipment!$F$13*'Customer Cost Calcs'!$C$35</f>
        <v>326.7041754623811</v>
      </c>
      <c r="Z51" s="5">
        <f>Equipment!$F$13*'Customer Cost Calcs'!$C$35</f>
        <v>326.7041754623811</v>
      </c>
      <c r="AA51" s="5">
        <f>Equipment!$F$13*'Customer Cost Calcs'!$C$35</f>
        <v>326.7041754623811</v>
      </c>
      <c r="AB51" s="5">
        <f>Equipment!$F$13*'Customer Cost Calcs'!$C$35</f>
        <v>326.7041754623811</v>
      </c>
      <c r="AC51" s="5"/>
      <c r="AD51" s="5"/>
      <c r="AE51" s="5">
        <f>NPV(Equipment!$C$23,'Customer Cost Calcs'!K51:AB51)*(1+Equipment!$C$23)</f>
        <v>4301.2789872606827</v>
      </c>
      <c r="AF51" s="5">
        <f>AE51-AE44</f>
        <v>2078.1163250960653</v>
      </c>
    </row>
    <row r="52" spans="1:32" x14ac:dyDescent="0.3">
      <c r="B52" t="str">
        <f t="shared" si="62"/>
        <v>Drying</v>
      </c>
      <c r="C52" s="4">
        <f t="shared" si="63"/>
        <v>1</v>
      </c>
      <c r="D52" s="5"/>
      <c r="E52" s="5"/>
      <c r="F52" s="5"/>
      <c r="G52" s="5"/>
      <c r="H52" s="5"/>
      <c r="I52" s="5"/>
      <c r="J52" s="5"/>
      <c r="K52" s="5">
        <f>Equipment!$F$16*'Customer Cost Calcs'!$C$36</f>
        <v>88.813734583984171</v>
      </c>
      <c r="L52" s="5">
        <f>Equipment!$F$16*'Customer Cost Calcs'!$C$36</f>
        <v>88.813734583984171</v>
      </c>
      <c r="M52" s="5">
        <f>Equipment!$F$16*'Customer Cost Calcs'!$C$36</f>
        <v>88.813734583984171</v>
      </c>
      <c r="N52" s="5">
        <f>Equipment!$F$16*'Customer Cost Calcs'!$C$36</f>
        <v>88.813734583984171</v>
      </c>
      <c r="O52" s="5">
        <f>Equipment!$F$16*'Customer Cost Calcs'!$C$36</f>
        <v>88.813734583984171</v>
      </c>
      <c r="P52" s="5">
        <f>Equipment!$F$16*'Customer Cost Calcs'!$C$36</f>
        <v>88.813734583984171</v>
      </c>
      <c r="Q52" s="5">
        <f>Equipment!$F$16*'Customer Cost Calcs'!$C$36</f>
        <v>88.813734583984171</v>
      </c>
      <c r="R52" s="5">
        <f>Equipment!$F$16*'Customer Cost Calcs'!$C$36</f>
        <v>88.813734583984171</v>
      </c>
      <c r="S52" s="5">
        <f>Equipment!$F$16*'Customer Cost Calcs'!$C$36</f>
        <v>88.813734583984171</v>
      </c>
      <c r="T52" s="5">
        <f>Equipment!$F$16*'Customer Cost Calcs'!$C$36</f>
        <v>88.813734583984171</v>
      </c>
      <c r="U52" s="5">
        <f>Equipment!$F$16*'Customer Cost Calcs'!$C$36</f>
        <v>88.813734583984171</v>
      </c>
      <c r="V52" s="5">
        <f>Equipment!$F$16*'Customer Cost Calcs'!$C$36</f>
        <v>88.813734583984171</v>
      </c>
      <c r="W52" s="5">
        <f>Equipment!$F$16*'Customer Cost Calcs'!$C$36</f>
        <v>88.813734583984171</v>
      </c>
      <c r="X52" s="5">
        <f>Equipment!$F$16*'Customer Cost Calcs'!$C$36</f>
        <v>88.813734583984171</v>
      </c>
      <c r="Y52" s="5">
        <f>Equipment!$F$16*'Customer Cost Calcs'!$C$36</f>
        <v>88.813734583984171</v>
      </c>
      <c r="Z52" s="5">
        <f>Equipment!$F$16*'Customer Cost Calcs'!$C$36</f>
        <v>88.813734583984171</v>
      </c>
      <c r="AA52" s="5">
        <f>Equipment!$F$16*'Customer Cost Calcs'!$C$36</f>
        <v>88.813734583984171</v>
      </c>
      <c r="AB52" s="5">
        <f>Equipment!$F$16*'Customer Cost Calcs'!$C$36</f>
        <v>88.813734583984171</v>
      </c>
      <c r="AC52" s="5"/>
      <c r="AD52" s="5"/>
      <c r="AE52" s="5">
        <f>NPV(Equipment!$C$23,'Customer Cost Calcs'!K52:AB52)*(1+Equipment!$C$23)</f>
        <v>1169.2922191936477</v>
      </c>
      <c r="AF52" s="5">
        <f>AE52-AE45</f>
        <v>289.28838573170435</v>
      </c>
    </row>
    <row r="53" spans="1:32" x14ac:dyDescent="0.3">
      <c r="B53" t="str">
        <f t="shared" si="62"/>
        <v>Cooking</v>
      </c>
      <c r="C53" s="4">
        <f t="shared" si="63"/>
        <v>1</v>
      </c>
      <c r="D53" s="5"/>
      <c r="E53" s="5"/>
      <c r="F53" s="5"/>
      <c r="G53" s="5"/>
      <c r="H53" s="5"/>
      <c r="I53" s="5"/>
      <c r="J53" s="5"/>
      <c r="K53" s="5">
        <f>Equipment!$F$19*'Customer Cost Calcs'!$C$37</f>
        <v>132.61745259559282</v>
      </c>
      <c r="L53" s="5">
        <f>Equipment!$F$19*'Customer Cost Calcs'!$C$37</f>
        <v>132.61745259559282</v>
      </c>
      <c r="M53" s="5">
        <f>Equipment!$F$19*'Customer Cost Calcs'!$C$37</f>
        <v>132.61745259559282</v>
      </c>
      <c r="N53" s="5">
        <f>Equipment!$F$19*'Customer Cost Calcs'!$C$37</f>
        <v>132.61745259559282</v>
      </c>
      <c r="O53" s="5">
        <f>Equipment!$F$19*'Customer Cost Calcs'!$C$37</f>
        <v>132.61745259559282</v>
      </c>
      <c r="P53" s="5">
        <f>Equipment!$F$19*'Customer Cost Calcs'!$C$37</f>
        <v>132.61745259559282</v>
      </c>
      <c r="Q53" s="5">
        <f>Equipment!$F$19*'Customer Cost Calcs'!$C$37</f>
        <v>132.61745259559282</v>
      </c>
      <c r="R53" s="5">
        <f>Equipment!$F$19*'Customer Cost Calcs'!$C$37</f>
        <v>132.61745259559282</v>
      </c>
      <c r="S53" s="5">
        <f>Equipment!$F$19*'Customer Cost Calcs'!$C$37</f>
        <v>132.61745259559282</v>
      </c>
      <c r="T53" s="5">
        <f>Equipment!$F$19*'Customer Cost Calcs'!$C$37</f>
        <v>132.61745259559282</v>
      </c>
      <c r="U53" s="5">
        <f>Equipment!$F$19*'Customer Cost Calcs'!$C$37</f>
        <v>132.61745259559282</v>
      </c>
      <c r="V53" s="5">
        <f>Equipment!$F$19*'Customer Cost Calcs'!$C$37</f>
        <v>132.61745259559282</v>
      </c>
      <c r="W53" s="5">
        <f>Equipment!$F$19*'Customer Cost Calcs'!$C$37</f>
        <v>132.61745259559282</v>
      </c>
      <c r="X53" s="5">
        <f>Equipment!$F$19*'Customer Cost Calcs'!$C$37</f>
        <v>132.61745259559282</v>
      </c>
      <c r="Y53" s="5">
        <f>Equipment!$F$19*'Customer Cost Calcs'!$C$37</f>
        <v>132.61745259559282</v>
      </c>
      <c r="Z53" s="5">
        <f>Equipment!$F$19*'Customer Cost Calcs'!$C$37</f>
        <v>132.61745259559282</v>
      </c>
      <c r="AA53" s="5">
        <f>Equipment!$F$19*'Customer Cost Calcs'!$C$37</f>
        <v>132.61745259559282</v>
      </c>
      <c r="AB53" s="5">
        <f>Equipment!$F$19*'Customer Cost Calcs'!$C$37</f>
        <v>132.61745259559282</v>
      </c>
      <c r="AC53" s="5"/>
      <c r="AD53" s="5"/>
      <c r="AE53" s="5">
        <f>NPV(Equipment!$C$23,'Customer Cost Calcs'!K53:AB53)*(1+Equipment!$C$23)</f>
        <v>1745.9974650955926</v>
      </c>
      <c r="AF53" s="5">
        <f>AE53-AE46</f>
        <v>802.35504679478322</v>
      </c>
    </row>
    <row r="54" spans="1:32" x14ac:dyDescent="0.3">
      <c r="B54" t="str">
        <f t="shared" si="62"/>
        <v>Total Cost</v>
      </c>
      <c r="C54" s="4"/>
      <c r="D54" s="5">
        <f t="shared" ref="D54:AB54" si="64">SUM(D50:D53)</f>
        <v>0</v>
      </c>
      <c r="E54" s="5">
        <f t="shared" si="64"/>
        <v>0</v>
      </c>
      <c r="F54" s="5">
        <f t="shared" si="64"/>
        <v>0</v>
      </c>
      <c r="G54" s="5">
        <f t="shared" si="64"/>
        <v>0</v>
      </c>
      <c r="H54" s="5">
        <f t="shared" si="64"/>
        <v>0</v>
      </c>
      <c r="I54" s="5">
        <f t="shared" si="64"/>
        <v>0</v>
      </c>
      <c r="J54" s="5">
        <f t="shared" si="64"/>
        <v>0</v>
      </c>
      <c r="K54" s="5">
        <f t="shared" si="64"/>
        <v>1310.7413366767662</v>
      </c>
      <c r="L54" s="5">
        <f t="shared" si="64"/>
        <v>1310.7413366767662</v>
      </c>
      <c r="M54" s="5">
        <f t="shared" si="64"/>
        <v>1310.7413366767662</v>
      </c>
      <c r="N54" s="5">
        <f t="shared" si="64"/>
        <v>1310.7413366767662</v>
      </c>
      <c r="O54" s="5">
        <f t="shared" si="64"/>
        <v>1310.7413366767662</v>
      </c>
      <c r="P54" s="5">
        <f t="shared" si="64"/>
        <v>1310.7413366767662</v>
      </c>
      <c r="Q54" s="5">
        <f t="shared" si="64"/>
        <v>1310.7413366767662</v>
      </c>
      <c r="R54" s="5">
        <f t="shared" si="64"/>
        <v>1310.7413366767662</v>
      </c>
      <c r="S54" s="5">
        <f t="shared" si="64"/>
        <v>1310.7413366767662</v>
      </c>
      <c r="T54" s="5">
        <f t="shared" si="64"/>
        <v>1310.7413366767662</v>
      </c>
      <c r="U54" s="5">
        <f t="shared" si="64"/>
        <v>1310.7413366767662</v>
      </c>
      <c r="V54" s="5">
        <f t="shared" si="64"/>
        <v>1310.7413366767662</v>
      </c>
      <c r="W54" s="5">
        <f t="shared" si="64"/>
        <v>1310.7413366767662</v>
      </c>
      <c r="X54" s="5">
        <f t="shared" si="64"/>
        <v>1310.7413366767662</v>
      </c>
      <c r="Y54" s="5">
        <f t="shared" si="64"/>
        <v>1310.7413366767662</v>
      </c>
      <c r="Z54" s="5">
        <f t="shared" si="64"/>
        <v>1310.7413366767662</v>
      </c>
      <c r="AA54" s="5">
        <f t="shared" si="64"/>
        <v>1310.7413366767662</v>
      </c>
      <c r="AB54" s="5">
        <f t="shared" si="64"/>
        <v>1310.7413366767662</v>
      </c>
      <c r="AC54" s="5"/>
      <c r="AD54" s="5"/>
      <c r="AE54" s="5">
        <f>NPV(Equipment!$C$23,'Customer Cost Calcs'!K54:AB54)*(1+Equipment!$C$23)</f>
        <v>17256.786391549915</v>
      </c>
      <c r="AF54" s="5">
        <f>AE54-AE47</f>
        <v>3725.1358776225534</v>
      </c>
    </row>
    <row r="55" spans="1:32" x14ac:dyDescent="0.3">
      <c r="C55" s="4"/>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2" ht="17.850000000000001" x14ac:dyDescent="0.35">
      <c r="A56" s="44" t="s">
        <v>130</v>
      </c>
      <c r="C56" s="4"/>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2" x14ac:dyDescent="0.3">
      <c r="A57" s="3" t="s">
        <v>135</v>
      </c>
      <c r="C57" s="4"/>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row>
    <row r="58" spans="1:32" x14ac:dyDescent="0.3">
      <c r="B58" t="s">
        <v>129</v>
      </c>
      <c r="D58" s="5">
        <f t="shared" ref="D58:AB58" si="65">D31+D11</f>
        <v>2575.7100351851209</v>
      </c>
      <c r="E58" s="5">
        <f t="shared" si="65"/>
        <v>2647.6842462642762</v>
      </c>
      <c r="F58" s="5">
        <f t="shared" si="65"/>
        <v>2716.6404517666851</v>
      </c>
      <c r="G58" s="5">
        <f t="shared" si="65"/>
        <v>2782.6693331063229</v>
      </c>
      <c r="H58" s="5">
        <f t="shared" si="65"/>
        <v>2845.8591758883795</v>
      </c>
      <c r="I58" s="5">
        <f t="shared" si="65"/>
        <v>2906.2959289984897</v>
      </c>
      <c r="J58" s="5">
        <f t="shared" si="65"/>
        <v>3022.4798742644566</v>
      </c>
      <c r="K58" s="5">
        <f t="shared" si="65"/>
        <v>3463.384037191704</v>
      </c>
      <c r="L58" s="5">
        <f t="shared" si="65"/>
        <v>3447.2142611781128</v>
      </c>
      <c r="M58" s="5">
        <f t="shared" si="65"/>
        <v>3431.361539596161</v>
      </c>
      <c r="N58" s="5">
        <f t="shared" si="65"/>
        <v>3415.8196556922867</v>
      </c>
      <c r="O58" s="5">
        <f t="shared" si="65"/>
        <v>3400.5825146100565</v>
      </c>
      <c r="P58" s="5">
        <f t="shared" si="65"/>
        <v>3385.644141000028</v>
      </c>
      <c r="Q58" s="5">
        <f t="shared" si="65"/>
        <v>3370.9986766764691</v>
      </c>
      <c r="R58" s="5">
        <f t="shared" si="65"/>
        <v>3356.6403783200394</v>
      </c>
      <c r="S58" s="5">
        <f t="shared" si="65"/>
        <v>3342.5636152255015</v>
      </c>
      <c r="T58" s="5">
        <f t="shared" si="65"/>
        <v>3328.7628670936006</v>
      </c>
      <c r="U58" s="5">
        <f t="shared" si="65"/>
        <v>3315.2327218662467</v>
      </c>
      <c r="V58" s="5">
        <f t="shared" si="65"/>
        <v>3301.9678736041355</v>
      </c>
      <c r="W58" s="5">
        <f t="shared" si="65"/>
        <v>3288.963120405987</v>
      </c>
      <c r="X58" s="5">
        <f t="shared" si="65"/>
        <v>3276.2133623685868</v>
      </c>
      <c r="Y58" s="5">
        <f t="shared" si="65"/>
        <v>3263.7135995868221</v>
      </c>
      <c r="Z58" s="5">
        <f t="shared" si="65"/>
        <v>3251.4589301929345</v>
      </c>
      <c r="AA58" s="5">
        <f t="shared" si="65"/>
        <v>3239.4445484342214</v>
      </c>
      <c r="AB58" s="5">
        <f t="shared" si="65"/>
        <v>3227.6657427884238</v>
      </c>
      <c r="AC58" s="5">
        <f>NPV(Equipment!$C$23,'Customer Cost Calcs'!D58:U58)*(1+Equipment!$C$23)</f>
        <v>40808.062821875988</v>
      </c>
      <c r="AE58" s="5">
        <f>NPV(Equipment!$C$23,'Customer Cost Calcs'!K58:AB58)*(1+Equipment!$C$23)</f>
        <v>44155.9085335044</v>
      </c>
    </row>
    <row r="59" spans="1:32" x14ac:dyDescent="0.3">
      <c r="B59" t="s">
        <v>128</v>
      </c>
      <c r="D59" s="5">
        <f t="shared" ref="D59:AB59" si="66">D38+D19</f>
        <v>2579.2153816144391</v>
      </c>
      <c r="E59" s="5">
        <f t="shared" si="66"/>
        <v>2579.2153816144391</v>
      </c>
      <c r="F59" s="5">
        <f t="shared" si="66"/>
        <v>2579.2153816144391</v>
      </c>
      <c r="G59" s="5">
        <f t="shared" si="66"/>
        <v>2579.2153816144391</v>
      </c>
      <c r="H59" s="5">
        <f t="shared" si="66"/>
        <v>2579.2153816144391</v>
      </c>
      <c r="I59" s="5">
        <f t="shared" si="66"/>
        <v>2579.2153816144391</v>
      </c>
      <c r="J59" s="5">
        <f t="shared" si="66"/>
        <v>2579.2153816144391</v>
      </c>
      <c r="K59" s="5">
        <f t="shared" si="66"/>
        <v>2579.2153816144391</v>
      </c>
      <c r="L59" s="5">
        <f t="shared" si="66"/>
        <v>2579.2153816144391</v>
      </c>
      <c r="M59" s="5">
        <f t="shared" si="66"/>
        <v>2579.2153816144391</v>
      </c>
      <c r="N59" s="5">
        <f t="shared" si="66"/>
        <v>2579.2153816144391</v>
      </c>
      <c r="O59" s="5">
        <f t="shared" si="66"/>
        <v>2579.2153816144391</v>
      </c>
      <c r="P59" s="5">
        <f t="shared" si="66"/>
        <v>2579.2153816144391</v>
      </c>
      <c r="Q59" s="5">
        <f t="shared" si="66"/>
        <v>2579.2153816144391</v>
      </c>
      <c r="R59" s="5">
        <f t="shared" si="66"/>
        <v>2579.2153816144391</v>
      </c>
      <c r="S59" s="5">
        <f t="shared" si="66"/>
        <v>2579.2153816144391</v>
      </c>
      <c r="T59" s="5">
        <f t="shared" si="66"/>
        <v>2579.2153816144391</v>
      </c>
      <c r="U59" s="5">
        <f t="shared" si="66"/>
        <v>2579.2153816144391</v>
      </c>
      <c r="V59" s="5">
        <f t="shared" si="66"/>
        <v>2579.2153816144391</v>
      </c>
      <c r="W59" s="5">
        <f t="shared" si="66"/>
        <v>2579.2153816144391</v>
      </c>
      <c r="X59" s="5">
        <f t="shared" si="66"/>
        <v>2579.2153816144391</v>
      </c>
      <c r="Y59" s="5">
        <f t="shared" si="66"/>
        <v>2579.2153816144391</v>
      </c>
      <c r="Z59" s="5">
        <f t="shared" si="66"/>
        <v>2579.2153816144391</v>
      </c>
      <c r="AA59" s="5">
        <f t="shared" si="66"/>
        <v>2579.2153816144391</v>
      </c>
      <c r="AB59" s="5">
        <f t="shared" si="66"/>
        <v>2579.2153816144391</v>
      </c>
      <c r="AC59" s="5">
        <f>NPV(Equipment!$C$23,'Customer Cost Calcs'!D59:U59)*(1+Equipment!$C$23)</f>
        <v>33957.095616719955</v>
      </c>
      <c r="AD59" s="5"/>
      <c r="AE59" s="5">
        <f>NPV(Equipment!$C$23,'Customer Cost Calcs'!K59:AB59)*(1+Equipment!$C$23)</f>
        <v>33957.095616719955</v>
      </c>
    </row>
    <row r="60" spans="1:32" x14ac:dyDescent="0.3">
      <c r="B60" t="s">
        <v>133</v>
      </c>
      <c r="D60" s="5">
        <f>D59-D58</f>
        <v>3.5053464293182515</v>
      </c>
      <c r="E60" s="5">
        <f t="shared" ref="E60:AC60" si="67">E59-E58</f>
        <v>-68.468864649837087</v>
      </c>
      <c r="F60" s="5">
        <f t="shared" si="67"/>
        <v>-137.42507015224601</v>
      </c>
      <c r="G60" s="5">
        <f t="shared" si="67"/>
        <v>-203.4539514918838</v>
      </c>
      <c r="H60" s="5">
        <f t="shared" si="67"/>
        <v>-266.64379427394033</v>
      </c>
      <c r="I60" s="5">
        <f t="shared" si="67"/>
        <v>-327.08054738405053</v>
      </c>
      <c r="J60" s="5">
        <f t="shared" si="67"/>
        <v>-443.26449265001747</v>
      </c>
      <c r="K60" s="5">
        <f t="shared" si="67"/>
        <v>-884.16865557726487</v>
      </c>
      <c r="L60" s="5">
        <f t="shared" si="67"/>
        <v>-867.99887956367365</v>
      </c>
      <c r="M60" s="5">
        <f t="shared" si="67"/>
        <v>-852.1461579817219</v>
      </c>
      <c r="N60" s="5">
        <f t="shared" si="67"/>
        <v>-836.60427407784755</v>
      </c>
      <c r="O60" s="5">
        <f t="shared" si="67"/>
        <v>-821.36713299561734</v>
      </c>
      <c r="P60" s="5">
        <f t="shared" si="67"/>
        <v>-806.42875938558882</v>
      </c>
      <c r="Q60" s="5">
        <f t="shared" si="67"/>
        <v>-791.78329506202999</v>
      </c>
      <c r="R60" s="5">
        <f t="shared" si="67"/>
        <v>-777.42499670560028</v>
      </c>
      <c r="S60" s="5">
        <f t="shared" si="67"/>
        <v>-763.34823361106237</v>
      </c>
      <c r="T60" s="5">
        <f t="shared" si="67"/>
        <v>-749.54748547916142</v>
      </c>
      <c r="U60" s="5">
        <f t="shared" si="67"/>
        <v>-736.01734025180758</v>
      </c>
      <c r="V60" s="5">
        <f t="shared" si="67"/>
        <v>-722.75249198969641</v>
      </c>
      <c r="W60" s="5">
        <f t="shared" si="67"/>
        <v>-709.74773879154782</v>
      </c>
      <c r="X60" s="5">
        <f t="shared" si="67"/>
        <v>-696.99798075414765</v>
      </c>
      <c r="Y60" s="5">
        <f t="shared" si="67"/>
        <v>-684.49821797238292</v>
      </c>
      <c r="Z60" s="5">
        <f t="shared" si="67"/>
        <v>-672.24354857849539</v>
      </c>
      <c r="AA60" s="5">
        <f t="shared" si="67"/>
        <v>-660.22916681978222</v>
      </c>
      <c r="AB60" s="5">
        <f t="shared" si="67"/>
        <v>-648.45036117398467</v>
      </c>
      <c r="AC60" s="5">
        <f t="shared" si="67"/>
        <v>-6850.9672051560337</v>
      </c>
      <c r="AE60" s="5">
        <f>AE59-AE58</f>
        <v>-10198.812916784445</v>
      </c>
    </row>
    <row r="62" spans="1:32" x14ac:dyDescent="0.3">
      <c r="A62" s="3" t="s">
        <v>136</v>
      </c>
    </row>
    <row r="63" spans="1:32" x14ac:dyDescent="0.3">
      <c r="B63" t="str">
        <f>B58</f>
        <v>Staying Gas</v>
      </c>
    </row>
    <row r="64" spans="1:32" x14ac:dyDescent="0.3">
      <c r="B64" t="str">
        <f t="shared" ref="B64:B65" si="68">B59</f>
        <v>Electrification</v>
      </c>
    </row>
    <row r="65" spans="2:2" x14ac:dyDescent="0.3">
      <c r="B65" t="str">
        <f t="shared" si="68"/>
        <v>Change</v>
      </c>
    </row>
  </sheetData>
  <mergeCells count="5">
    <mergeCell ref="AC1:AD1"/>
    <mergeCell ref="AE1:AF1"/>
    <mergeCell ref="A3:B3"/>
    <mergeCell ref="A25:B25"/>
    <mergeCell ref="A41:B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99018-8EB8-42C4-809F-4AE17BEEC361}">
  <dimension ref="A1:F43"/>
  <sheetViews>
    <sheetView tabSelected="1" workbookViewId="0">
      <selection sqref="A1:F43"/>
    </sheetView>
  </sheetViews>
  <sheetFormatPr defaultRowHeight="13.25" x14ac:dyDescent="0.3"/>
  <cols>
    <col min="1" max="1" width="2.09765625" style="80" customWidth="1"/>
    <col min="2" max="2" width="2.19921875" style="80" customWidth="1"/>
    <col min="3" max="3" width="34.5" style="80" customWidth="1"/>
    <col min="4" max="5" width="9.8984375" style="80" customWidth="1"/>
    <col min="6" max="6" width="56.8984375" style="80" customWidth="1"/>
    <col min="7" max="16384" width="8.796875" style="80"/>
  </cols>
  <sheetData>
    <row r="1" spans="1:6" ht="39.75" x14ac:dyDescent="0.3">
      <c r="A1" s="125"/>
      <c r="B1" s="125"/>
      <c r="C1" s="125"/>
      <c r="D1" s="89" t="s">
        <v>254</v>
      </c>
      <c r="E1" s="89" t="s">
        <v>256</v>
      </c>
      <c r="F1" s="90" t="s">
        <v>257</v>
      </c>
    </row>
    <row r="2" spans="1:6" x14ac:dyDescent="0.3">
      <c r="A2" s="118" t="s">
        <v>18</v>
      </c>
      <c r="B2" s="118"/>
      <c r="C2" s="118"/>
      <c r="D2" s="118"/>
      <c r="E2" s="118"/>
      <c r="F2" s="118"/>
    </row>
    <row r="3" spans="1:6" x14ac:dyDescent="0.3">
      <c r="A3" s="124"/>
      <c r="B3" s="81" t="s">
        <v>255</v>
      </c>
      <c r="C3" s="81"/>
      <c r="D3" s="82">
        <f>'Fuel Prices'!C4</f>
        <v>362.59439999999995</v>
      </c>
      <c r="E3" s="82">
        <v>310.25279999999992</v>
      </c>
      <c r="F3" s="126" t="s">
        <v>286</v>
      </c>
    </row>
    <row r="4" spans="1:6" x14ac:dyDescent="0.3">
      <c r="A4" s="124"/>
      <c r="B4" s="81" t="s">
        <v>258</v>
      </c>
      <c r="C4" s="81"/>
      <c r="D4" s="81"/>
      <c r="E4" s="83"/>
      <c r="F4" s="126"/>
    </row>
    <row r="5" spans="1:6" ht="14.4" customHeight="1" x14ac:dyDescent="0.3">
      <c r="A5" s="124"/>
      <c r="B5" s="124"/>
      <c r="C5" s="81" t="s">
        <v>25</v>
      </c>
      <c r="D5" s="83">
        <f>'Fuel Prices'!C7</f>
        <v>9.2200000000000004E-2</v>
      </c>
      <c r="E5" s="83">
        <v>0.22068837629276056</v>
      </c>
      <c r="F5" s="126"/>
    </row>
    <row r="6" spans="1:6" x14ac:dyDescent="0.3">
      <c r="A6" s="124"/>
      <c r="B6" s="124"/>
      <c r="C6" s="81" t="s">
        <v>26</v>
      </c>
      <c r="D6" s="83">
        <f>'Fuel Prices'!C8</f>
        <v>5.7599999999999998E-2</v>
      </c>
      <c r="E6" s="83">
        <v>5.033412887828162E-2</v>
      </c>
      <c r="F6" s="126"/>
    </row>
    <row r="7" spans="1:6" x14ac:dyDescent="0.3">
      <c r="A7" s="124"/>
      <c r="B7" s="124"/>
      <c r="C7" s="81" t="s">
        <v>20</v>
      </c>
      <c r="D7" s="83">
        <f>'Fuel Prices'!C9</f>
        <v>0.124</v>
      </c>
      <c r="E7" s="83">
        <v>0.11837708830548926</v>
      </c>
      <c r="F7" s="126"/>
    </row>
    <row r="8" spans="1:6" x14ac:dyDescent="0.3">
      <c r="A8" s="124"/>
      <c r="B8" s="124"/>
      <c r="C8" s="81" t="s">
        <v>21</v>
      </c>
      <c r="D8" s="83">
        <f>'Fuel Prices'!C10</f>
        <v>0.17629499999999998</v>
      </c>
      <c r="E8" s="83">
        <v>0.12558</v>
      </c>
      <c r="F8" s="126"/>
    </row>
    <row r="9" spans="1:6" x14ac:dyDescent="0.3">
      <c r="A9" s="124"/>
      <c r="B9" s="124"/>
      <c r="C9" s="81" t="s">
        <v>12</v>
      </c>
      <c r="D9" s="83">
        <f>'Fuel Prices'!C11</f>
        <v>5.8512349999999998E-2</v>
      </c>
      <c r="E9" s="83">
        <v>6.6947347151949083E-2</v>
      </c>
      <c r="F9" s="126"/>
    </row>
    <row r="10" spans="1:6" x14ac:dyDescent="0.3">
      <c r="A10" s="124"/>
      <c r="B10" s="124"/>
      <c r="C10" s="81" t="s">
        <v>22</v>
      </c>
      <c r="D10" s="83">
        <f>'Fuel Prices'!C12</f>
        <v>0.50860735000000001</v>
      </c>
      <c r="E10" s="83">
        <v>0.58192694062848049</v>
      </c>
      <c r="F10" s="126"/>
    </row>
    <row r="11" spans="1:6" x14ac:dyDescent="0.3">
      <c r="A11" s="118" t="s">
        <v>19</v>
      </c>
      <c r="B11" s="118"/>
      <c r="C11" s="118"/>
      <c r="D11" s="118"/>
      <c r="E11" s="118"/>
      <c r="F11" s="118"/>
    </row>
    <row r="12" spans="1:6" x14ac:dyDescent="0.3">
      <c r="A12" s="124"/>
      <c r="B12" s="81" t="s">
        <v>25</v>
      </c>
      <c r="C12" s="81"/>
      <c r="D12" s="83">
        <f>'Fuel Prices'!F93</f>
        <v>9.9860000000000004E-2</v>
      </c>
      <c r="E12" s="83">
        <v>9.3399999999999997E-2</v>
      </c>
      <c r="F12" s="127" t="s">
        <v>278</v>
      </c>
    </row>
    <row r="13" spans="1:6" x14ac:dyDescent="0.3">
      <c r="A13" s="124"/>
      <c r="B13" s="81" t="s">
        <v>259</v>
      </c>
      <c r="C13" s="81"/>
      <c r="D13" s="83">
        <f>'Fuel Prices'!F94</f>
        <v>1.8000000000000001E-4</v>
      </c>
      <c r="E13" s="83">
        <v>-1.4999999999999999E-4</v>
      </c>
      <c r="F13" s="127"/>
    </row>
    <row r="14" spans="1:6" x14ac:dyDescent="0.3">
      <c r="A14" s="124"/>
      <c r="B14" s="81" t="s">
        <v>260</v>
      </c>
      <c r="C14" s="81"/>
      <c r="D14" s="83">
        <f>'Fuel Prices'!F95</f>
        <v>2.3E-3</v>
      </c>
      <c r="E14" s="83">
        <v>3.1900000000000001E-3</v>
      </c>
      <c r="F14" s="127"/>
    </row>
    <row r="15" spans="1:6" x14ac:dyDescent="0.3">
      <c r="A15" s="124"/>
      <c r="B15" s="81" t="s">
        <v>261</v>
      </c>
      <c r="C15" s="81"/>
      <c r="D15" s="83">
        <f>'Fuel Prices'!F96</f>
        <v>1.24E-3</v>
      </c>
      <c r="E15" s="83">
        <v>-2.5100000000000001E-3</v>
      </c>
      <c r="F15" s="127"/>
    </row>
    <row r="16" spans="1:6" x14ac:dyDescent="0.3">
      <c r="A16" s="124"/>
      <c r="B16" s="81" t="s">
        <v>153</v>
      </c>
      <c r="C16" s="81"/>
      <c r="D16" s="83">
        <f>'Fuel Prices'!F97</f>
        <v>2.359E-2</v>
      </c>
      <c r="E16" s="83">
        <v>1.891E-2</v>
      </c>
      <c r="F16" s="127"/>
    </row>
    <row r="17" spans="1:6" x14ac:dyDescent="0.3">
      <c r="A17" s="124"/>
      <c r="B17" s="81" t="s">
        <v>262</v>
      </c>
      <c r="C17" s="81"/>
      <c r="D17" s="83">
        <f>'Fuel Prices'!F98</f>
        <v>6.0000000000000001E-3</v>
      </c>
      <c r="E17" s="83">
        <v>5.1999999999999998E-3</v>
      </c>
      <c r="F17" s="127"/>
    </row>
    <row r="18" spans="1:6" x14ac:dyDescent="0.3">
      <c r="A18" s="124"/>
      <c r="B18" s="81" t="s">
        <v>22</v>
      </c>
      <c r="C18" s="81"/>
      <c r="D18" s="83">
        <f>'Fuel Prices'!F99</f>
        <v>0.13317000000000001</v>
      </c>
      <c r="E18" s="83">
        <f>SUM(E12:E17)</f>
        <v>0.11803999999999999</v>
      </c>
      <c r="F18" s="127"/>
    </row>
    <row r="19" spans="1:6" x14ac:dyDescent="0.3">
      <c r="A19" s="124"/>
      <c r="B19" s="81" t="s">
        <v>12</v>
      </c>
      <c r="C19" s="81"/>
      <c r="D19" s="85">
        <v>0.13</v>
      </c>
      <c r="E19" s="85">
        <v>0.13</v>
      </c>
      <c r="F19" s="127"/>
    </row>
    <row r="20" spans="1:6" x14ac:dyDescent="0.3">
      <c r="A20" s="124"/>
      <c r="B20" s="81" t="s">
        <v>168</v>
      </c>
      <c r="C20" s="81"/>
      <c r="D20" s="85">
        <v>-0.13100000000000001</v>
      </c>
      <c r="E20" s="83"/>
      <c r="F20" s="127"/>
    </row>
    <row r="21" spans="1:6" x14ac:dyDescent="0.3">
      <c r="A21" s="124"/>
      <c r="B21" s="81" t="s">
        <v>263</v>
      </c>
      <c r="C21" s="81"/>
      <c r="D21" s="83">
        <f>'Fuel Prices'!F102</f>
        <v>0.13303682999999999</v>
      </c>
      <c r="E21" s="83">
        <f>E18*(1+E19)</f>
        <v>0.13338519999999998</v>
      </c>
      <c r="F21" s="127"/>
    </row>
    <row r="22" spans="1:6" x14ac:dyDescent="0.3">
      <c r="A22" s="118" t="s">
        <v>264</v>
      </c>
      <c r="B22" s="118"/>
      <c r="C22" s="118"/>
      <c r="D22" s="118"/>
      <c r="E22" s="118"/>
      <c r="F22" s="118"/>
    </row>
    <row r="23" spans="1:6" x14ac:dyDescent="0.3">
      <c r="A23" s="124"/>
      <c r="B23" s="81" t="s">
        <v>50</v>
      </c>
      <c r="C23" s="81"/>
      <c r="D23" s="81">
        <f>Equipment!J6</f>
        <v>2101</v>
      </c>
      <c r="E23" s="81">
        <v>2117</v>
      </c>
      <c r="F23" s="127" t="s">
        <v>265</v>
      </c>
    </row>
    <row r="24" spans="1:6" x14ac:dyDescent="0.3">
      <c r="A24" s="124"/>
      <c r="B24" s="81" t="s">
        <v>32</v>
      </c>
      <c r="C24" s="81"/>
      <c r="D24" s="81">
        <f>Equipment!J11</f>
        <v>440</v>
      </c>
      <c r="E24" s="81">
        <v>441</v>
      </c>
      <c r="F24" s="127"/>
    </row>
    <row r="25" spans="1:6" x14ac:dyDescent="0.3">
      <c r="A25" s="118" t="s">
        <v>279</v>
      </c>
      <c r="B25" s="118"/>
      <c r="C25" s="118"/>
      <c r="D25" s="118"/>
      <c r="E25" s="118"/>
      <c r="F25" s="118"/>
    </row>
    <row r="26" spans="1:6" ht="26.5" x14ac:dyDescent="0.3">
      <c r="A26" s="120"/>
      <c r="B26" s="122" t="s">
        <v>271</v>
      </c>
      <c r="C26" s="123"/>
      <c r="D26" s="93">
        <f>Equipment!G9</f>
        <v>2.87</v>
      </c>
      <c r="E26" s="81">
        <v>2.84</v>
      </c>
      <c r="F26" s="84" t="s">
        <v>280</v>
      </c>
    </row>
    <row r="27" spans="1:6" ht="39.75" x14ac:dyDescent="0.3">
      <c r="A27" s="121"/>
      <c r="B27" s="91" t="s">
        <v>268</v>
      </c>
      <c r="C27" s="92"/>
      <c r="D27" s="93">
        <f>Equipment!I12</f>
        <v>0.69</v>
      </c>
      <c r="E27" s="81">
        <v>0.83</v>
      </c>
      <c r="F27" s="84" t="s">
        <v>287</v>
      </c>
    </row>
    <row r="28" spans="1:6" x14ac:dyDescent="0.3">
      <c r="A28" s="121"/>
      <c r="B28" s="91" t="s">
        <v>34</v>
      </c>
      <c r="C28" s="92"/>
      <c r="D28" s="93">
        <f>Equipment!I13</f>
        <v>3.75</v>
      </c>
      <c r="E28" s="81">
        <v>3.73</v>
      </c>
      <c r="F28" s="84" t="s">
        <v>281</v>
      </c>
    </row>
    <row r="29" spans="1:6" x14ac:dyDescent="0.3">
      <c r="A29" s="121"/>
      <c r="B29" s="91" t="s">
        <v>36</v>
      </c>
      <c r="C29" s="92"/>
      <c r="D29" s="93">
        <f>Equipment!I16</f>
        <v>3.94</v>
      </c>
      <c r="E29" s="81">
        <v>3.93</v>
      </c>
      <c r="F29" s="84" t="s">
        <v>281</v>
      </c>
    </row>
    <row r="30" spans="1:6" x14ac:dyDescent="0.3">
      <c r="A30" s="118" t="s">
        <v>266</v>
      </c>
      <c r="B30" s="118"/>
      <c r="C30" s="118"/>
      <c r="D30" s="118"/>
      <c r="E30" s="118"/>
      <c r="F30" s="118"/>
    </row>
    <row r="31" spans="1:6" x14ac:dyDescent="0.3">
      <c r="A31" s="124"/>
      <c r="B31" s="81" t="s">
        <v>267</v>
      </c>
      <c r="C31" s="81"/>
      <c r="D31" s="86">
        <f>Equipment!C7</f>
        <v>9120.0399999999991</v>
      </c>
      <c r="E31" s="86">
        <v>8000</v>
      </c>
      <c r="F31" s="127" t="s">
        <v>269</v>
      </c>
    </row>
    <row r="32" spans="1:6" x14ac:dyDescent="0.3">
      <c r="A32" s="124"/>
      <c r="B32" s="81" t="s">
        <v>271</v>
      </c>
      <c r="C32" s="81"/>
      <c r="D32" s="86">
        <f>Equipment!C9+Equipment!C28</f>
        <v>12654.055499999999</v>
      </c>
      <c r="E32" s="86">
        <v>11100</v>
      </c>
      <c r="F32" s="127"/>
    </row>
    <row r="33" spans="1:6" ht="13.25" customHeight="1" x14ac:dyDescent="0.3">
      <c r="A33" s="124"/>
      <c r="B33" s="81" t="s">
        <v>268</v>
      </c>
      <c r="C33" s="81"/>
      <c r="D33" s="86">
        <f>Equipment!C12</f>
        <v>3499.6600874999995</v>
      </c>
      <c r="E33" s="86">
        <v>3016</v>
      </c>
      <c r="F33" s="127" t="s">
        <v>288</v>
      </c>
    </row>
    <row r="34" spans="1:6" x14ac:dyDescent="0.3">
      <c r="A34" s="124"/>
      <c r="B34" s="81" t="s">
        <v>273</v>
      </c>
      <c r="C34" s="81"/>
      <c r="D34" s="86">
        <f>Equipment!C13+Equipment!C29</f>
        <v>4150.1760649999997</v>
      </c>
      <c r="E34" s="86">
        <v>2411</v>
      </c>
      <c r="F34" s="127"/>
    </row>
    <row r="35" spans="1:6" x14ac:dyDescent="0.3">
      <c r="A35" s="124"/>
      <c r="B35" s="81" t="s">
        <v>35</v>
      </c>
      <c r="C35" s="81"/>
      <c r="D35" s="86">
        <f>Equipment!C15</f>
        <v>1139.17335</v>
      </c>
      <c r="E35" s="86">
        <v>1223</v>
      </c>
      <c r="F35" s="127"/>
    </row>
    <row r="36" spans="1:6" x14ac:dyDescent="0.3">
      <c r="A36" s="124"/>
      <c r="B36" s="81" t="s">
        <v>36</v>
      </c>
      <c r="C36" s="81"/>
      <c r="D36" s="86">
        <f>Equipment!C16</f>
        <v>886.86267750000002</v>
      </c>
      <c r="E36" s="86">
        <v>998</v>
      </c>
      <c r="F36" s="127"/>
    </row>
    <row r="37" spans="1:6" x14ac:dyDescent="0.3">
      <c r="A37" s="124"/>
      <c r="B37" s="81" t="s">
        <v>230</v>
      </c>
      <c r="C37" s="81"/>
      <c r="D37" s="86">
        <f>Equipment!C18</f>
        <v>1515.3800125</v>
      </c>
      <c r="E37" s="86">
        <v>1195</v>
      </c>
      <c r="F37" s="127"/>
    </row>
    <row r="38" spans="1:6" x14ac:dyDescent="0.3">
      <c r="A38" s="124"/>
      <c r="B38" s="81" t="s">
        <v>229</v>
      </c>
      <c r="C38" s="81"/>
      <c r="D38" s="86">
        <f>Equipment!C19</f>
        <v>1613.3800125</v>
      </c>
      <c r="E38" s="86">
        <v>1476</v>
      </c>
      <c r="F38" s="127"/>
    </row>
    <row r="39" spans="1:6" x14ac:dyDescent="0.3">
      <c r="A39" s="124"/>
      <c r="B39" s="81" t="s">
        <v>270</v>
      </c>
      <c r="C39" s="81"/>
      <c r="D39" s="86">
        <f>Equipment!C28</f>
        <v>3000</v>
      </c>
      <c r="E39" s="86">
        <v>6500</v>
      </c>
      <c r="F39" s="81" t="s">
        <v>282</v>
      </c>
    </row>
    <row r="40" spans="1:6" x14ac:dyDescent="0.3">
      <c r="A40" s="124"/>
      <c r="B40" s="81" t="s">
        <v>272</v>
      </c>
      <c r="C40" s="81"/>
      <c r="D40" s="86">
        <f>Equipment!C29</f>
        <v>500</v>
      </c>
      <c r="E40" s="86">
        <v>1300</v>
      </c>
      <c r="F40" s="81" t="s">
        <v>283</v>
      </c>
    </row>
    <row r="41" spans="1:6" x14ac:dyDescent="0.3">
      <c r="A41" s="118" t="s">
        <v>52</v>
      </c>
      <c r="B41" s="118"/>
      <c r="C41" s="118"/>
      <c r="D41" s="118"/>
      <c r="E41" s="118"/>
      <c r="F41" s="118"/>
    </row>
    <row r="42" spans="1:6" ht="39.75" x14ac:dyDescent="0.3">
      <c r="A42" s="119"/>
      <c r="B42" s="81" t="s">
        <v>274</v>
      </c>
      <c r="C42" s="81"/>
      <c r="D42" s="81">
        <f>Equipment!C32</f>
        <v>1.37</v>
      </c>
      <c r="E42" s="81">
        <v>1.34</v>
      </c>
      <c r="F42" s="87" t="s">
        <v>275</v>
      </c>
    </row>
    <row r="43" spans="1:6" x14ac:dyDescent="0.3">
      <c r="A43" s="119"/>
      <c r="B43" s="81" t="s">
        <v>276</v>
      </c>
      <c r="C43" s="81"/>
      <c r="D43" s="85">
        <v>2.5000000000000001E-2</v>
      </c>
      <c r="E43" s="88" t="s">
        <v>205</v>
      </c>
      <c r="F43" s="81" t="s">
        <v>277</v>
      </c>
    </row>
  </sheetData>
  <mergeCells count="20">
    <mergeCell ref="A23:A24"/>
    <mergeCell ref="A12:A21"/>
    <mergeCell ref="A3:A10"/>
    <mergeCell ref="B5:B10"/>
    <mergeCell ref="A1:C1"/>
    <mergeCell ref="A2:F2"/>
    <mergeCell ref="A11:F11"/>
    <mergeCell ref="A22:F22"/>
    <mergeCell ref="F3:F10"/>
    <mergeCell ref="F12:F21"/>
    <mergeCell ref="F23:F24"/>
    <mergeCell ref="A41:F41"/>
    <mergeCell ref="A42:A43"/>
    <mergeCell ref="A25:F25"/>
    <mergeCell ref="A26:A29"/>
    <mergeCell ref="B26:C26"/>
    <mergeCell ref="A31:A40"/>
    <mergeCell ref="A30:F30"/>
    <mergeCell ref="F31:F32"/>
    <mergeCell ref="F33:F38"/>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58427FD0CC4444B87AB1CF5C8D52EB" ma:contentTypeVersion="18" ma:contentTypeDescription="Create a new document." ma:contentTypeScope="" ma:versionID="32dbf7a0f17796f9da56b6408b8a9ae1">
  <xsd:schema xmlns:xsd="http://www.w3.org/2001/XMLSchema" xmlns:xs="http://www.w3.org/2001/XMLSchema" xmlns:p="http://schemas.microsoft.com/office/2006/metadata/properties" xmlns:ns2="173c2605-4b7d-457e-8dba-1d57dca954fb" xmlns:ns3="2546f5b2-04f2-4a0e-9993-466f4f9aad71" targetNamespace="http://schemas.microsoft.com/office/2006/metadata/properties" ma:root="true" ma:fieldsID="b86024cd66901b11a44ef487c32ad869" ns2:_="" ns3:_="">
    <xsd:import namespace="173c2605-4b7d-457e-8dba-1d57dca954fb"/>
    <xsd:import namespace="2546f5b2-04f2-4a0e-9993-466f4f9aad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c2605-4b7d-457e-8dba-1d57dca954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e670ea6-2f79-449f-ac2a-ce9deb4e7c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46f5b2-04f2-4a0e-9993-466f4f9aad7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4d66dc-3591-49a4-96e5-0b2840783e5f}" ma:internalName="TaxCatchAll" ma:showField="CatchAllData" ma:web="2546f5b2-04f2-4a0e-9993-466f4f9aad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546f5b2-04f2-4a0e-9993-466f4f9aad71" xsi:nil="true"/>
    <lcf76f155ced4ddcb4097134ff3c332f xmlns="173c2605-4b7d-457e-8dba-1d57dca954f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D4B02-63CC-4568-A18C-6508D0864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c2605-4b7d-457e-8dba-1d57dca954fb"/>
    <ds:schemaRef ds:uri="2546f5b2-04f2-4a0e-9993-466f4f9aad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492251-6891-4C14-8B81-A3820A66D844}">
  <ds:schemaRef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2546f5b2-04f2-4a0e-9993-466f4f9aad71"/>
    <ds:schemaRef ds:uri="173c2605-4b7d-457e-8dba-1d57dca954fb"/>
    <ds:schemaRef ds:uri="http://www.w3.org/XML/1998/namespace"/>
  </ds:schemaRefs>
</ds:datastoreItem>
</file>

<file path=customXml/itemProps3.xml><?xml version="1.0" encoding="utf-8"?>
<ds:datastoreItem xmlns:ds="http://schemas.openxmlformats.org/officeDocument/2006/customXml" ds:itemID="{93C11F87-6BEC-4590-BB0D-1E4E3E5A52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Fuel Prices</vt:lpstr>
      <vt:lpstr>Equipment</vt:lpstr>
      <vt:lpstr>Customer Cost Calcs</vt:lpstr>
      <vt:lpstr>Changes since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Neme</dc:creator>
  <cp:lastModifiedBy>Chris Neme</cp:lastModifiedBy>
  <dcterms:created xsi:type="dcterms:W3CDTF">2023-03-24T14:22:38Z</dcterms:created>
  <dcterms:modified xsi:type="dcterms:W3CDTF">2025-01-17T18:33:51Z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0x010100A558427FD0CC4444B87AB1CF5C8D52EB</vt:lpwstr>
  </property>
  <property fmtid="{D5CDD505-2E9C-101B-9397-08002B2CF9AE}" pid="3" name="MediaServiceImageTags">
    <vt:lpwstr/>
  </property>
</Properties>
</file>