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pcorweb/en-ca/departments/natgas/sites/ON/ONReg/RC_QRAM/EB-2024-0130 - Aylmer 2025-2029 Cost of Service/DRO/"/>
    </mc:Choice>
  </mc:AlternateContent>
  <workbookProtection lockStructure="1"/>
  <bookViews>
    <workbookView xWindow="0" yWindow="0" windowWidth="38400" windowHeight="15510"/>
  </bookViews>
  <sheets>
    <sheet name="PGTVA Continuity" sheetId="3" r:id="rId1"/>
    <sheet name="UFGVA Continuity" sheetId="14" r:id="rId2"/>
    <sheet name="Load Forecast" sheetId="19" r:id="rId3"/>
  </sheets>
  <definedNames>
    <definedName name="_MailEndCompose" localSheetId="1">'UFGVA Continuity'!#REF!</definedName>
    <definedName name="_xlnm.Print_Area" localSheetId="0">'PGTVA Continuity'!$A$1:$O$54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4" l="1"/>
  <c r="F61" i="14"/>
  <c r="G61" i="14"/>
  <c r="H61" i="14"/>
  <c r="D61" i="14"/>
  <c r="E60" i="14"/>
  <c r="F60" i="14"/>
  <c r="G60" i="14"/>
  <c r="H60" i="14"/>
  <c r="D60" i="14"/>
  <c r="C59" i="14"/>
  <c r="E59" i="14"/>
  <c r="F59" i="14"/>
  <c r="G59" i="14"/>
  <c r="H59" i="14"/>
  <c r="D59" i="14"/>
  <c r="E58" i="14"/>
  <c r="F58" i="14"/>
  <c r="G58" i="14"/>
  <c r="H58" i="14"/>
  <c r="D58" i="14"/>
  <c r="H59" i="3"/>
  <c r="H62" i="3" s="1"/>
  <c r="G59" i="3"/>
  <c r="G62" i="3" s="1"/>
  <c r="F59" i="3"/>
  <c r="F62" i="3" s="1"/>
  <c r="E59" i="3"/>
  <c r="E62" i="3" s="1"/>
  <c r="D59" i="3"/>
  <c r="D62" i="3" s="1"/>
  <c r="E60" i="3"/>
  <c r="F60" i="3"/>
  <c r="G60" i="3"/>
  <c r="H60" i="3"/>
  <c r="D60" i="3"/>
  <c r="C58" i="14" l="1"/>
  <c r="C60" i="3"/>
  <c r="C60" i="14" l="1"/>
  <c r="M14" i="19" l="1"/>
  <c r="C59" i="3"/>
  <c r="A2" i="19" l="1"/>
  <c r="A1" i="19"/>
  <c r="B14" i="19" l="1"/>
  <c r="B25" i="19"/>
  <c r="B37" i="14" l="1"/>
  <c r="D37" i="14" s="1"/>
  <c r="J18" i="19" l="1"/>
  <c r="H44" i="3" s="1"/>
  <c r="I18" i="19"/>
  <c r="G44" i="3" s="1"/>
  <c r="H18" i="19"/>
  <c r="F44" i="3" s="1"/>
  <c r="G18" i="19"/>
  <c r="E44" i="3" s="1"/>
  <c r="F18" i="19"/>
  <c r="D44" i="3" s="1"/>
  <c r="J7" i="19"/>
  <c r="H50" i="14" s="1"/>
  <c r="I7" i="19"/>
  <c r="G50" i="14" s="1"/>
  <c r="G7" i="19"/>
  <c r="E50" i="14" s="1"/>
  <c r="C37" i="19"/>
  <c r="D37" i="19"/>
  <c r="B37" i="19"/>
  <c r="H7" i="19"/>
  <c r="F50" i="14" s="1"/>
  <c r="J30" i="19"/>
  <c r="H43" i="14" s="1"/>
  <c r="I30" i="19"/>
  <c r="G43" i="14" s="1"/>
  <c r="H30" i="19"/>
  <c r="F43" i="14" s="1"/>
  <c r="G30" i="19"/>
  <c r="E43" i="14" s="1"/>
  <c r="F30" i="19"/>
  <c r="D43" i="14" s="1"/>
  <c r="H51" i="3" l="1"/>
  <c r="G51" i="3"/>
  <c r="F51" i="3"/>
  <c r="E51" i="3"/>
  <c r="H31" i="19"/>
  <c r="F31" i="19"/>
  <c r="I31" i="19"/>
  <c r="G31" i="19"/>
  <c r="J31" i="19"/>
  <c r="F7" i="19"/>
  <c r="F8" i="19" l="1"/>
  <c r="D50" i="14"/>
  <c r="D51" i="3"/>
  <c r="H8" i="19"/>
  <c r="I8" i="19"/>
  <c r="J8" i="19"/>
  <c r="G8" i="19"/>
  <c r="F19" i="19" s="1"/>
  <c r="J19" i="19" l="1"/>
  <c r="H19" i="19"/>
  <c r="G19" i="19"/>
  <c r="I19" i="19"/>
  <c r="C50" i="14"/>
  <c r="C43" i="14"/>
  <c r="D44" i="14" s="1"/>
  <c r="N21" i="14"/>
  <c r="E44" i="14" l="1"/>
  <c r="F44" i="14"/>
  <c r="G44" i="14"/>
  <c r="H44" i="14"/>
  <c r="D51" i="14"/>
  <c r="AV32" i="14"/>
  <c r="N29" i="14"/>
  <c r="B29" i="14"/>
  <c r="B30" i="14" s="1"/>
  <c r="C28" i="14" s="1"/>
  <c r="AV19" i="14"/>
  <c r="AV22" i="14" s="1"/>
  <c r="AT19" i="14"/>
  <c r="AT22" i="14" s="1"/>
  <c r="AL19" i="14"/>
  <c r="AL22" i="14" s="1"/>
  <c r="AI19" i="14"/>
  <c r="AI22" i="14" s="1"/>
  <c r="AF19" i="14"/>
  <c r="AF22" i="14" s="1"/>
  <c r="X19" i="14"/>
  <c r="S19" i="14"/>
  <c r="AS16" i="14"/>
  <c r="AR16" i="14"/>
  <c r="AQ16" i="14"/>
  <c r="AQ32" i="14" s="1"/>
  <c r="AP16" i="14"/>
  <c r="AK16" i="14"/>
  <c r="AJ16" i="14"/>
  <c r="AI16" i="14"/>
  <c r="AI32" i="14" s="1"/>
  <c r="AH16" i="14"/>
  <c r="AA16" i="14"/>
  <c r="AA32" i="14" s="1"/>
  <c r="Z16" i="14"/>
  <c r="U16" i="14"/>
  <c r="T16" i="14"/>
  <c r="S16" i="14"/>
  <c r="S32" i="14" s="1"/>
  <c r="R16" i="14"/>
  <c r="K16" i="14"/>
  <c r="K32" i="14" s="1"/>
  <c r="G16" i="14"/>
  <c r="G32" i="14" s="1"/>
  <c r="AW13" i="14"/>
  <c r="AW16" i="14" s="1"/>
  <c r="AW32" i="14" s="1"/>
  <c r="AV13" i="14"/>
  <c r="AV16" i="14" s="1"/>
  <c r="AU13" i="14"/>
  <c r="AU16" i="14" s="1"/>
  <c r="AT13" i="14"/>
  <c r="AT16" i="14" s="1"/>
  <c r="AT32" i="14" s="1"/>
  <c r="AS13" i="14"/>
  <c r="AR13" i="14"/>
  <c r="AQ13" i="14"/>
  <c r="AP13" i="14"/>
  <c r="AO13" i="14"/>
  <c r="AO16" i="14" s="1"/>
  <c r="AO32" i="14" s="1"/>
  <c r="AN13" i="14"/>
  <c r="AN16" i="14" s="1"/>
  <c r="AN32" i="14" s="1"/>
  <c r="AM13" i="14"/>
  <c r="AM16" i="14" s="1"/>
  <c r="AL13" i="14"/>
  <c r="AL16" i="14" s="1"/>
  <c r="AL32" i="14" s="1"/>
  <c r="AK13" i="14"/>
  <c r="AJ13" i="14"/>
  <c r="AI13" i="14"/>
  <c r="AH13" i="14"/>
  <c r="AG13" i="14"/>
  <c r="AG16" i="14" s="1"/>
  <c r="AG19" i="14" s="1"/>
  <c r="AG22" i="14" s="1"/>
  <c r="AF13" i="14"/>
  <c r="AF16" i="14" s="1"/>
  <c r="AF32" i="14" s="1"/>
  <c r="AE13" i="14"/>
  <c r="AE16" i="14" s="1"/>
  <c r="AD13" i="14"/>
  <c r="AD16" i="14" s="1"/>
  <c r="AD32" i="14" s="1"/>
  <c r="AC13" i="14"/>
  <c r="AC16" i="14" s="1"/>
  <c r="AB13" i="14"/>
  <c r="AB16" i="14" s="1"/>
  <c r="AA13" i="14"/>
  <c r="Z13" i="14"/>
  <c r="Y13" i="14"/>
  <c r="Y16" i="14" s="1"/>
  <c r="Y19" i="14" s="1"/>
  <c r="X13" i="14"/>
  <c r="X16" i="14" s="1"/>
  <c r="X32" i="14" s="1"/>
  <c r="W13" i="14"/>
  <c r="W16" i="14" s="1"/>
  <c r="V13" i="14"/>
  <c r="V16" i="14" s="1"/>
  <c r="V32" i="14" s="1"/>
  <c r="U13" i="14"/>
  <c r="T13" i="14"/>
  <c r="S13" i="14"/>
  <c r="R13" i="14"/>
  <c r="Q13" i="14"/>
  <c r="Q16" i="14" s="1"/>
  <c r="Q32" i="14" s="1"/>
  <c r="P13" i="14"/>
  <c r="P16" i="14" s="1"/>
  <c r="P32" i="14" s="1"/>
  <c r="O13" i="14"/>
  <c r="O16" i="14" s="1"/>
  <c r="N13" i="14"/>
  <c r="G13" i="14"/>
  <c r="F13" i="14"/>
  <c r="F16" i="14" s="1"/>
  <c r="F32" i="14" s="1"/>
  <c r="D13" i="14"/>
  <c r="D16" i="14" s="1"/>
  <c r="I13" i="14"/>
  <c r="I16" i="14" s="1"/>
  <c r="M13" i="14"/>
  <c r="M16" i="14" s="1"/>
  <c r="L13" i="14"/>
  <c r="L16" i="14" s="1"/>
  <c r="K13" i="14"/>
  <c r="J13" i="14"/>
  <c r="J16" i="14" s="1"/>
  <c r="E13" i="14"/>
  <c r="E16" i="14" s="1"/>
  <c r="C13" i="14"/>
  <c r="C16" i="14" s="1"/>
  <c r="B13" i="14"/>
  <c r="B16" i="14" s="1"/>
  <c r="F51" i="14" l="1"/>
  <c r="E51" i="14"/>
  <c r="G51" i="14"/>
  <c r="H51" i="14"/>
  <c r="C44" i="14"/>
  <c r="C51" i="14" s="1"/>
  <c r="J19" i="14"/>
  <c r="J22" i="14" s="1"/>
  <c r="J32" i="14"/>
  <c r="C32" i="14"/>
  <c r="C19" i="14"/>
  <c r="C22" i="14" s="1"/>
  <c r="AB32" i="14"/>
  <c r="AB19" i="14"/>
  <c r="AB22" i="14" s="1"/>
  <c r="B19" i="14"/>
  <c r="B22" i="14" s="1"/>
  <c r="B23" i="14" s="1"/>
  <c r="C21" i="14" s="1"/>
  <c r="B32" i="14"/>
  <c r="D32" i="14"/>
  <c r="D19" i="14"/>
  <c r="D22" i="14" s="1"/>
  <c r="L32" i="14"/>
  <c r="L19" i="14"/>
  <c r="L22" i="14" s="1"/>
  <c r="AC19" i="14"/>
  <c r="AC22" i="14" s="1"/>
  <c r="AC32" i="14"/>
  <c r="E19" i="14"/>
  <c r="E22" i="14" s="1"/>
  <c r="E32" i="14"/>
  <c r="M19" i="14"/>
  <c r="M22" i="14" s="1"/>
  <c r="M32" i="14"/>
  <c r="I32" i="14"/>
  <c r="I19" i="14"/>
  <c r="I22" i="14" s="1"/>
  <c r="O32" i="14"/>
  <c r="O19" i="14"/>
  <c r="W32" i="14"/>
  <c r="W19" i="14"/>
  <c r="AE19" i="14"/>
  <c r="AE22" i="14" s="1"/>
  <c r="AE32" i="14"/>
  <c r="AM32" i="14"/>
  <c r="AM19" i="14"/>
  <c r="AM22" i="14" s="1"/>
  <c r="AU32" i="14"/>
  <c r="AU19" i="14"/>
  <c r="AU22" i="14" s="1"/>
  <c r="AH19" i="14"/>
  <c r="AH22" i="14" s="1"/>
  <c r="AH32" i="14"/>
  <c r="Z19" i="14"/>
  <c r="Z22" i="14" s="1"/>
  <c r="Z32" i="14"/>
  <c r="K19" i="14"/>
  <c r="K22" i="14" s="1"/>
  <c r="AW19" i="14"/>
  <c r="AW22" i="14" s="1"/>
  <c r="AP19" i="14"/>
  <c r="AP22" i="14" s="1"/>
  <c r="AP32" i="14"/>
  <c r="AA19" i="14"/>
  <c r="AA22" i="14" s="1"/>
  <c r="AN19" i="14"/>
  <c r="AN22" i="14" s="1"/>
  <c r="AG32" i="14"/>
  <c r="T32" i="14"/>
  <c r="T19" i="14"/>
  <c r="G19" i="14"/>
  <c r="G22" i="14" s="1"/>
  <c r="Y32" i="14"/>
  <c r="AK19" i="14"/>
  <c r="AK22" i="14" s="1"/>
  <c r="AK32" i="14"/>
  <c r="H13" i="14"/>
  <c r="H16" i="14" s="1"/>
  <c r="R19" i="14"/>
  <c r="R32" i="14"/>
  <c r="P19" i="14"/>
  <c r="AD19" i="14"/>
  <c r="AD22" i="14" s="1"/>
  <c r="AO19" i="14"/>
  <c r="AO22" i="14" s="1"/>
  <c r="AS19" i="14"/>
  <c r="AS22" i="14" s="1"/>
  <c r="AS32" i="14"/>
  <c r="AJ19" i="14"/>
  <c r="AJ22" i="14" s="1"/>
  <c r="AJ32" i="14"/>
  <c r="N16" i="14"/>
  <c r="AR32" i="14"/>
  <c r="AR19" i="14"/>
  <c r="AR22" i="14" s="1"/>
  <c r="F19" i="14"/>
  <c r="F22" i="14" s="1"/>
  <c r="Q19" i="14"/>
  <c r="AQ19" i="14"/>
  <c r="AQ22" i="14" s="1"/>
  <c r="U19" i="14"/>
  <c r="U32" i="14"/>
  <c r="V19" i="14"/>
  <c r="H19" i="14" l="1"/>
  <c r="H22" i="14" s="1"/>
  <c r="H32" i="14"/>
  <c r="C23" i="14"/>
  <c r="D21" i="14" s="1"/>
  <c r="C29" i="14"/>
  <c r="C30" i="14" s="1"/>
  <c r="D28" i="14" s="1"/>
  <c r="N32" i="14"/>
  <c r="N19" i="14"/>
  <c r="N23" i="14" s="1"/>
  <c r="O21" i="14" s="1"/>
  <c r="O23" i="14" l="1"/>
  <c r="P21" i="14" s="1"/>
  <c r="O29" i="14"/>
  <c r="D23" i="14"/>
  <c r="E21" i="14" s="1"/>
  <c r="D29" i="14"/>
  <c r="D30" i="14" s="1"/>
  <c r="E28" i="14" s="1"/>
  <c r="P29" i="14" l="1"/>
  <c r="P23" i="14"/>
  <c r="Q21" i="14" s="1"/>
  <c r="E23" i="14"/>
  <c r="F21" i="14" s="1"/>
  <c r="E29" i="14"/>
  <c r="E30" i="14" s="1"/>
  <c r="F28" i="14" s="1"/>
  <c r="F29" i="14" l="1"/>
  <c r="F30" i="14" s="1"/>
  <c r="G28" i="14" s="1"/>
  <c r="F23" i="14"/>
  <c r="G21" i="14" s="1"/>
  <c r="Q29" i="14"/>
  <c r="Q23" i="14"/>
  <c r="R21" i="14" s="1"/>
  <c r="R23" i="14" l="1"/>
  <c r="S21" i="14" s="1"/>
  <c r="R29" i="14"/>
  <c r="G23" i="14"/>
  <c r="H21" i="14" s="1"/>
  <c r="G29" i="14"/>
  <c r="G30" i="14" s="1"/>
  <c r="H28" i="14" s="1"/>
  <c r="H30" i="14" l="1"/>
  <c r="I28" i="14" s="1"/>
  <c r="H29" i="14"/>
  <c r="H23" i="14"/>
  <c r="I21" i="14" s="1"/>
  <c r="S23" i="14"/>
  <c r="T21" i="14" s="1"/>
  <c r="S29" i="14"/>
  <c r="T23" i="14" l="1"/>
  <c r="U21" i="14" s="1"/>
  <c r="T29" i="14"/>
  <c r="I23" i="14"/>
  <c r="J21" i="14" s="1"/>
  <c r="I29" i="14"/>
  <c r="I30" i="14" s="1"/>
  <c r="J28" i="14" s="1"/>
  <c r="U23" i="14" l="1"/>
  <c r="V21" i="14" s="1"/>
  <c r="U29" i="14"/>
  <c r="J29" i="14"/>
  <c r="J30" i="14" s="1"/>
  <c r="K28" i="14" s="1"/>
  <c r="J23" i="14"/>
  <c r="K21" i="14" s="1"/>
  <c r="K23" i="14" l="1"/>
  <c r="L21" i="14" s="1"/>
  <c r="K29" i="14"/>
  <c r="K30" i="14" s="1"/>
  <c r="L28" i="14" s="1"/>
  <c r="V29" i="14"/>
  <c r="V23" i="14"/>
  <c r="W21" i="14" s="1"/>
  <c r="W23" i="14" l="1"/>
  <c r="X21" i="14" s="1"/>
  <c r="W29" i="14"/>
  <c r="L23" i="14"/>
  <c r="M21" i="14" s="1"/>
  <c r="L29" i="14"/>
  <c r="L30" i="14" s="1"/>
  <c r="M28" i="14" s="1"/>
  <c r="M23" i="14" l="1"/>
  <c r="M29" i="14"/>
  <c r="M30" i="14" s="1"/>
  <c r="N28" i="14" s="1"/>
  <c r="N30" i="14" s="1"/>
  <c r="O28" i="14" s="1"/>
  <c r="O30" i="14" s="1"/>
  <c r="P28" i="14" s="1"/>
  <c r="P30" i="14" s="1"/>
  <c r="Q28" i="14" s="1"/>
  <c r="Q30" i="14" s="1"/>
  <c r="R28" i="14" s="1"/>
  <c r="R30" i="14" s="1"/>
  <c r="S28" i="14" s="1"/>
  <c r="S30" i="14" s="1"/>
  <c r="T28" i="14" s="1"/>
  <c r="T30" i="14" s="1"/>
  <c r="U28" i="14" s="1"/>
  <c r="U30" i="14" s="1"/>
  <c r="V28" i="14" s="1"/>
  <c r="V30" i="14" s="1"/>
  <c r="W28" i="14" s="1"/>
  <c r="W30" i="14" s="1"/>
  <c r="X28" i="14" s="1"/>
  <c r="X29" i="14"/>
  <c r="X23" i="14"/>
  <c r="Y21" i="14" s="1"/>
  <c r="X30" i="14" l="1"/>
  <c r="Y28" i="14" s="1"/>
  <c r="Y29" i="14"/>
  <c r="Y30" i="14" s="1"/>
  <c r="Z28" i="14" s="1"/>
  <c r="Y23" i="14"/>
  <c r="Z21" i="14" s="1"/>
  <c r="Z23" i="14" l="1"/>
  <c r="AA21" i="14" s="1"/>
  <c r="Z29" i="14"/>
  <c r="Z30" i="14" s="1"/>
  <c r="AA28" i="14" s="1"/>
  <c r="AA23" i="14" l="1"/>
  <c r="AB21" i="14" s="1"/>
  <c r="AA29" i="14"/>
  <c r="AA30" i="14" s="1"/>
  <c r="AB28" i="14" s="1"/>
  <c r="AB23" i="14" l="1"/>
  <c r="AC21" i="14" s="1"/>
  <c r="AB29" i="14"/>
  <c r="AB30" i="14" s="1"/>
  <c r="AC28" i="14" s="1"/>
  <c r="AC23" i="14" l="1"/>
  <c r="AD21" i="14" s="1"/>
  <c r="AC29" i="14"/>
  <c r="AC30" i="14" s="1"/>
  <c r="AD28" i="14" s="1"/>
  <c r="AD29" i="14" l="1"/>
  <c r="AD30" i="14" s="1"/>
  <c r="AE28" i="14" s="1"/>
  <c r="AD23" i="14"/>
  <c r="AE21" i="14" s="1"/>
  <c r="AE23" i="14" l="1"/>
  <c r="AF21" i="14" s="1"/>
  <c r="AE29" i="14"/>
  <c r="AE30" i="14" s="1"/>
  <c r="AF28" i="14" s="1"/>
  <c r="AF29" i="14" l="1"/>
  <c r="AF30" i="14" s="1"/>
  <c r="AG28" i="14" s="1"/>
  <c r="AF23" i="14"/>
  <c r="AG21" i="14" s="1"/>
  <c r="AG29" i="14" l="1"/>
  <c r="AG30" i="14" s="1"/>
  <c r="AH28" i="14" s="1"/>
  <c r="AG23" i="14"/>
  <c r="AH21" i="14" s="1"/>
  <c r="AH29" i="14" l="1"/>
  <c r="AH30" i="14" s="1"/>
  <c r="AI28" i="14" s="1"/>
  <c r="AH23" i="14"/>
  <c r="AI21" i="14" s="1"/>
  <c r="AI23" i="14" l="1"/>
  <c r="AJ21" i="14" s="1"/>
  <c r="AI29" i="14"/>
  <c r="AI30" i="14" s="1"/>
  <c r="AJ28" i="14" s="1"/>
  <c r="AJ23" i="14" l="1"/>
  <c r="AK21" i="14" s="1"/>
  <c r="AJ29" i="14"/>
  <c r="AJ30" i="14" s="1"/>
  <c r="AK28" i="14" s="1"/>
  <c r="AK23" i="14" l="1"/>
  <c r="AL21" i="14" s="1"/>
  <c r="AK29" i="14"/>
  <c r="AK30" i="14" s="1"/>
  <c r="AL28" i="14" s="1"/>
  <c r="AL23" i="14" l="1"/>
  <c r="AM21" i="14" s="1"/>
  <c r="AL29" i="14"/>
  <c r="AL30" i="14" s="1"/>
  <c r="AM28" i="14" s="1"/>
  <c r="AM23" i="14" l="1"/>
  <c r="AN21" i="14" s="1"/>
  <c r="AM29" i="14"/>
  <c r="AM30" i="14" s="1"/>
  <c r="AN28" i="14" s="1"/>
  <c r="AN29" i="14" l="1"/>
  <c r="AN30" i="14" s="1"/>
  <c r="AO28" i="14" s="1"/>
  <c r="AN23" i="14"/>
  <c r="AO21" i="14" s="1"/>
  <c r="AO23" i="14" l="1"/>
  <c r="AP21" i="14" s="1"/>
  <c r="AO29" i="14"/>
  <c r="AO30" i="14" s="1"/>
  <c r="AP28" i="14" s="1"/>
  <c r="AP23" i="14" l="1"/>
  <c r="AQ21" i="14" s="1"/>
  <c r="AP29" i="14"/>
  <c r="AP30" i="14" s="1"/>
  <c r="AQ28" i="14" s="1"/>
  <c r="AQ23" i="14" l="1"/>
  <c r="AR21" i="14" s="1"/>
  <c r="AQ29" i="14"/>
  <c r="AQ30" i="14" s="1"/>
  <c r="AR28" i="14" s="1"/>
  <c r="AR23" i="14" l="1"/>
  <c r="AS21" i="14" s="1"/>
  <c r="AR29" i="14"/>
  <c r="AR30" i="14" s="1"/>
  <c r="AS28" i="14" s="1"/>
  <c r="AS23" i="14" l="1"/>
  <c r="AT21" i="14" s="1"/>
  <c r="AS29" i="14"/>
  <c r="AS30" i="14" s="1"/>
  <c r="AT28" i="14" s="1"/>
  <c r="AT29" i="14" l="1"/>
  <c r="AT30" i="14" s="1"/>
  <c r="AU28" i="14" s="1"/>
  <c r="AT23" i="14"/>
  <c r="AU21" i="14" s="1"/>
  <c r="AU23" i="14" l="1"/>
  <c r="AV21" i="14" s="1"/>
  <c r="AU29" i="14"/>
  <c r="AU30" i="14" s="1"/>
  <c r="AV28" i="14" s="1"/>
  <c r="AV29" i="14" l="1"/>
  <c r="AV30" i="14" s="1"/>
  <c r="AW28" i="14" s="1"/>
  <c r="AV23" i="14"/>
  <c r="AW21" i="14" s="1"/>
  <c r="AW23" i="14" l="1"/>
  <c r="AX29" i="14" s="1"/>
  <c r="AW29" i="14"/>
  <c r="AW30" i="14" s="1"/>
  <c r="AX28" i="14" l="1"/>
  <c r="AX30" i="14" s="1"/>
  <c r="B38" i="14"/>
  <c r="B31" i="3"/>
  <c r="B32" i="3" s="1"/>
  <c r="C30" i="3" s="1"/>
  <c r="M13" i="3"/>
  <c r="M17" i="3" s="1"/>
  <c r="M19" i="3" s="1"/>
  <c r="M21" i="3" s="1"/>
  <c r="M24" i="3" s="1"/>
  <c r="L13" i="3"/>
  <c r="L17" i="3" s="1"/>
  <c r="L19" i="3" s="1"/>
  <c r="L21" i="3" s="1"/>
  <c r="L24" i="3" s="1"/>
  <c r="K13" i="3"/>
  <c r="K17" i="3" s="1"/>
  <c r="K19" i="3" s="1"/>
  <c r="K21" i="3" s="1"/>
  <c r="K24" i="3" s="1"/>
  <c r="J13" i="3"/>
  <c r="J17" i="3" s="1"/>
  <c r="J19" i="3" s="1"/>
  <c r="J21" i="3" s="1"/>
  <c r="J24" i="3" s="1"/>
  <c r="I13" i="3"/>
  <c r="I17" i="3" s="1"/>
  <c r="I19" i="3" s="1"/>
  <c r="I21" i="3" s="1"/>
  <c r="I24" i="3" s="1"/>
  <c r="H13" i="3"/>
  <c r="H17" i="3" s="1"/>
  <c r="H19" i="3" s="1"/>
  <c r="H21" i="3" s="1"/>
  <c r="H24" i="3" s="1"/>
  <c r="G13" i="3"/>
  <c r="G17" i="3" s="1"/>
  <c r="G19" i="3" s="1"/>
  <c r="G21" i="3" s="1"/>
  <c r="G24" i="3" s="1"/>
  <c r="F13" i="3"/>
  <c r="F17" i="3" s="1"/>
  <c r="F19" i="3" s="1"/>
  <c r="F21" i="3" s="1"/>
  <c r="F24" i="3" s="1"/>
  <c r="E13" i="3"/>
  <c r="E17" i="3" s="1"/>
  <c r="E19" i="3" s="1"/>
  <c r="E21" i="3" s="1"/>
  <c r="E24" i="3" s="1"/>
  <c r="D13" i="3"/>
  <c r="D17" i="3" s="1"/>
  <c r="D19" i="3" s="1"/>
  <c r="D21" i="3" s="1"/>
  <c r="D24" i="3" s="1"/>
  <c r="C13" i="3"/>
  <c r="C17" i="3" s="1"/>
  <c r="C19" i="3" s="1"/>
  <c r="C21" i="3" s="1"/>
  <c r="C24" i="3" s="1"/>
  <c r="B13" i="3"/>
  <c r="B17" i="3" s="1"/>
  <c r="B19" i="3" s="1"/>
  <c r="B21" i="3" s="1"/>
  <c r="B24" i="3" s="1"/>
  <c r="B25" i="3" s="1"/>
  <c r="C23" i="3" s="1"/>
  <c r="B39" i="14" l="1"/>
  <c r="C38" i="14"/>
  <c r="C39" i="14" s="1"/>
  <c r="D45" i="14"/>
  <c r="G45" i="14"/>
  <c r="G53" i="14" s="1"/>
  <c r="G52" i="14" s="1"/>
  <c r="F45" i="14"/>
  <c r="F53" i="14" s="1"/>
  <c r="F52" i="14" s="1"/>
  <c r="E45" i="14"/>
  <c r="E53" i="14" s="1"/>
  <c r="E52" i="14" s="1"/>
  <c r="H45" i="14"/>
  <c r="H53" i="14" s="1"/>
  <c r="H52" i="14" s="1"/>
  <c r="C31" i="3"/>
  <c r="C32" i="3" s="1"/>
  <c r="D30" i="3" s="1"/>
  <c r="C25" i="3"/>
  <c r="D23" i="3" s="1"/>
  <c r="D53" i="14" l="1"/>
  <c r="D52" i="14" s="1"/>
  <c r="C45" i="14"/>
  <c r="D39" i="14"/>
  <c r="C52" i="14"/>
  <c r="D38" i="14"/>
  <c r="D31" i="3"/>
  <c r="D32" i="3" s="1"/>
  <c r="E30" i="3" s="1"/>
  <c r="D25" i="3"/>
  <c r="E23" i="3" s="1"/>
  <c r="E25" i="3" l="1"/>
  <c r="F23" i="3" s="1"/>
  <c r="E31" i="3"/>
  <c r="E32" i="3" s="1"/>
  <c r="F30" i="3" s="1"/>
  <c r="F31" i="3" l="1"/>
  <c r="F32" i="3" s="1"/>
  <c r="G30" i="3" s="1"/>
  <c r="F25" i="3"/>
  <c r="G23" i="3" s="1"/>
  <c r="G31" i="3" l="1"/>
  <c r="G32" i="3" s="1"/>
  <c r="H30" i="3" s="1"/>
  <c r="G25" i="3"/>
  <c r="H23" i="3" s="1"/>
  <c r="H31" i="3" l="1"/>
  <c r="H32" i="3" s="1"/>
  <c r="I30" i="3" s="1"/>
  <c r="H25" i="3"/>
  <c r="I23" i="3" s="1"/>
  <c r="I31" i="3" l="1"/>
  <c r="I32" i="3" s="1"/>
  <c r="J30" i="3" s="1"/>
  <c r="I25" i="3"/>
  <c r="J23" i="3" s="1"/>
  <c r="J31" i="3" l="1"/>
  <c r="J32" i="3" s="1"/>
  <c r="K30" i="3" s="1"/>
  <c r="J25" i="3"/>
  <c r="K23" i="3" s="1"/>
  <c r="K31" i="3" l="1"/>
  <c r="K32" i="3" s="1"/>
  <c r="L30" i="3" s="1"/>
  <c r="K25" i="3"/>
  <c r="L23" i="3" s="1"/>
  <c r="L25" i="3" l="1"/>
  <c r="M23" i="3" s="1"/>
  <c r="L31" i="3"/>
  <c r="L32" i="3" s="1"/>
  <c r="M30" i="3" s="1"/>
  <c r="M31" i="3" l="1"/>
  <c r="M32" i="3" s="1"/>
  <c r="M25" i="3"/>
  <c r="O31" i="3" l="1"/>
  <c r="C38" i="3" s="1"/>
  <c r="C39" i="3" s="1"/>
  <c r="B37" i="3"/>
  <c r="O30" i="3"/>
  <c r="B38" i="3"/>
  <c r="O32" i="3"/>
  <c r="D38" i="3" l="1"/>
  <c r="B39" i="3"/>
  <c r="D39" i="3" s="1"/>
  <c r="C51" i="3"/>
  <c r="C44" i="3" l="1"/>
  <c r="H45" i="3" l="1"/>
  <c r="F45" i="3"/>
  <c r="G45" i="3"/>
  <c r="E45" i="3"/>
  <c r="D45" i="3"/>
  <c r="E52" i="3" l="1"/>
  <c r="E46" i="3"/>
  <c r="F52" i="3"/>
  <c r="F46" i="3"/>
  <c r="D52" i="3"/>
  <c r="D46" i="3"/>
  <c r="G52" i="3"/>
  <c r="G46" i="3"/>
  <c r="H52" i="3"/>
  <c r="H46" i="3"/>
  <c r="C45" i="3"/>
  <c r="C52" i="3" s="1"/>
  <c r="D54" i="3" l="1"/>
  <c r="E54" i="3"/>
  <c r="G54" i="3"/>
  <c r="F54" i="3"/>
  <c r="H54" i="3"/>
  <c r="F53" i="3" l="1"/>
  <c r="F61" i="3"/>
  <c r="G53" i="3"/>
  <c r="G61" i="3"/>
  <c r="H53" i="3"/>
  <c r="H61" i="3"/>
  <c r="E53" i="3"/>
  <c r="E61" i="3"/>
  <c r="D53" i="3"/>
  <c r="D61" i="3"/>
  <c r="C46" i="3"/>
  <c r="C61" i="3" l="1"/>
  <c r="C53" i="3"/>
  <c r="D37" i="3"/>
</calcChain>
</file>

<file path=xl/sharedStrings.xml><?xml version="1.0" encoding="utf-8"?>
<sst xmlns="http://schemas.openxmlformats.org/spreadsheetml/2006/main" count="274" uniqueCount="102">
  <si>
    <t>EPCOR Natural Gas Limited Partnership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</si>
  <si>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</si>
  <si>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</si>
  <si>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</si>
  <si>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</si>
  <si>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</si>
  <si>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</si>
  <si>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</si>
  <si>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</si>
  <si>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</si>
  <si>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</si>
  <si>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</si>
  <si>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</si>
  <si>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Opening PGTVA Balance</t>
  </si>
  <si>
    <t>Change in PGTVA Balance</t>
  </si>
  <si>
    <t>Closing PGTVA Balance</t>
  </si>
  <si>
    <t>Monthly Interest Rate</t>
  </si>
  <si>
    <t>Opening Interest Balance</t>
  </si>
  <si>
    <t>Monthly Interest Calculation</t>
  </si>
  <si>
    <t>Closing Interest Balance</t>
  </si>
  <si>
    <t>Total</t>
  </si>
  <si>
    <t>Unit</t>
  </si>
  <si>
    <t>Row Sum</t>
  </si>
  <si>
    <t>Rate 2</t>
  </si>
  <si>
    <t>Rate 3</t>
  </si>
  <si>
    <t>Rate 4</t>
  </si>
  <si>
    <t>Rate 5</t>
  </si>
  <si>
    <t>%</t>
  </si>
  <si>
    <t>$</t>
  </si>
  <si>
    <t>Allocation</t>
  </si>
  <si>
    <t>Rate Rider</t>
  </si>
  <si>
    <t>Volume</t>
  </si>
  <si>
    <t>Rate 1</t>
  </si>
  <si>
    <t>2024 Carrying Charges</t>
  </si>
  <si>
    <t>Purchased Gas Transportation Variance Account</t>
  </si>
  <si>
    <t>PGTVA Account Balance Allocation (Based on 2023 Actual Volumes)</t>
  </si>
  <si>
    <t>JAN-DEC</t>
  </si>
  <si>
    <r>
      <t>000's m</t>
    </r>
    <r>
      <rPr>
        <vertAlign val="superscript"/>
        <sz val="11"/>
        <rFont val="Arial"/>
        <family val="2"/>
      </rPr>
      <t>3</t>
    </r>
  </si>
  <si>
    <r>
      <t>¢/m</t>
    </r>
    <r>
      <rPr>
        <b/>
        <vertAlign val="superscript"/>
        <sz val="11"/>
        <rFont val="Arial"/>
        <family val="2"/>
      </rPr>
      <t>3</t>
    </r>
  </si>
  <si>
    <t>Transportation Cost</t>
  </si>
  <si>
    <t>Enbridge/Union Gas - Delivery</t>
  </si>
  <si>
    <t>Enbridge/Union Gas - Adjustments</t>
  </si>
  <si>
    <t>Enbridge/Union Gas - Demand</t>
  </si>
  <si>
    <t xml:space="preserve">Lagasco - Demand </t>
  </si>
  <si>
    <t>Lagasco - Delivery</t>
  </si>
  <si>
    <t>PGTVA Interest</t>
  </si>
  <si>
    <t>Total Cost (A)</t>
  </si>
  <si>
    <t>Reference Price - 2023 (EB-2018-0336) (D)</t>
  </si>
  <si>
    <t>Rate Difference (C-D) = (E)</t>
  </si>
  <si>
    <t>Monthly Variance (B x E)</t>
  </si>
  <si>
    <r>
      <t>Volumes Transported (m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) (B)</t>
    </r>
  </si>
  <si>
    <r>
      <t>Average Cost ($/m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) (A/B) = C</t>
    </r>
  </si>
  <si>
    <t>Unaccounted for Gas Variance Account Calculation</t>
  </si>
  <si>
    <t>2020-2023 Activity</t>
  </si>
  <si>
    <t>Jan-Dec</t>
  </si>
  <si>
    <t>Purchase Volumes:</t>
  </si>
  <si>
    <t xml:space="preserve">  SA1550 volumes</t>
  </si>
  <si>
    <t xml:space="preserve">  Lagasco Wells</t>
  </si>
  <si>
    <t xml:space="preserve">  Lagasco Lake</t>
  </si>
  <si>
    <t xml:space="preserve">  Walker RNG</t>
  </si>
  <si>
    <t xml:space="preserve">  SA25050 volumes</t>
  </si>
  <si>
    <t>Opening UFG Balance</t>
  </si>
  <si>
    <t>Closing UFG Balance</t>
  </si>
  <si>
    <t>UFG Interest</t>
  </si>
  <si>
    <t>UFG%</t>
  </si>
  <si>
    <r>
      <t>Total Purchases (</t>
    </r>
    <r>
      <rPr>
        <b/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)</t>
    </r>
  </si>
  <si>
    <r>
      <t>Calendarized billing volume (</t>
    </r>
    <r>
      <rPr>
        <b/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)</t>
    </r>
  </si>
  <si>
    <r>
      <t xml:space="preserve">Volume difference (A - B = </t>
    </r>
    <r>
      <rPr>
        <b/>
        <sz val="11"/>
        <color rgb="FFFF0000"/>
        <rFont val="Arial"/>
        <family val="2"/>
      </rPr>
      <t>C</t>
    </r>
    <r>
      <rPr>
        <sz val="11"/>
        <color theme="1"/>
        <rFont val="Arial"/>
        <family val="2"/>
      </rPr>
      <t>)</t>
    </r>
  </si>
  <si>
    <r>
      <t>PGCVA Reference price (per OEB Decisions) (</t>
    </r>
    <r>
      <rPr>
        <b/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)</t>
    </r>
  </si>
  <si>
    <r>
      <t xml:space="preserve">Unit Difference (C * D = </t>
    </r>
    <r>
      <rPr>
        <b/>
        <sz val="11"/>
        <color rgb="FFFF0000"/>
        <rFont val="Arial"/>
        <family val="2"/>
      </rPr>
      <t>E</t>
    </r>
    <r>
      <rPr>
        <sz val="11"/>
        <color theme="1"/>
        <rFont val="Arial"/>
        <family val="2"/>
      </rPr>
      <t>)</t>
    </r>
  </si>
  <si>
    <r>
      <t>Change in UFG Balance (</t>
    </r>
    <r>
      <rPr>
        <b/>
        <sz val="11"/>
        <color rgb="FFFF0000"/>
        <rFont val="Arial"/>
        <family val="2"/>
      </rPr>
      <t>E</t>
    </r>
    <r>
      <rPr>
        <sz val="11"/>
        <color theme="1"/>
        <rFont val="Arial"/>
        <family val="2"/>
      </rPr>
      <t>)</t>
    </r>
  </si>
  <si>
    <t>UFGVA Account Balance Allocation (Based on 2020, 2022 and 2023 Actual Volumes)</t>
  </si>
  <si>
    <t>2020 Actual</t>
  </si>
  <si>
    <t>2022 Actual</t>
  </si>
  <si>
    <t>2023 Actual</t>
  </si>
  <si>
    <t>R1 Residential</t>
  </si>
  <si>
    <t>R1 Industrial</t>
  </si>
  <si>
    <t>R1 Commercial</t>
  </si>
  <si>
    <t>R2 Seasonal</t>
  </si>
  <si>
    <t>R3</t>
  </si>
  <si>
    <t>R4</t>
  </si>
  <si>
    <t>R5</t>
  </si>
  <si>
    <t>R1</t>
  </si>
  <si>
    <t>R2</t>
  </si>
  <si>
    <t>UFGVA Account Balance Recovery (Based on 2025 Forecast Volumes)</t>
  </si>
  <si>
    <t>Actual Volumes - UFG Allocation</t>
  </si>
  <si>
    <t>2025 Test</t>
  </si>
  <si>
    <t>Projected Volumes - 2025 Test Year</t>
  </si>
  <si>
    <t>Actual Volumes - PGTVA Allocation</t>
  </si>
  <si>
    <t>2023 Activity</t>
  </si>
  <si>
    <t>PGTVA Account Balance</t>
  </si>
  <si>
    <t>Principal</t>
  </si>
  <si>
    <t>Carrying Charges</t>
  </si>
  <si>
    <t>2023 Balance</t>
  </si>
  <si>
    <t>2024 Balance</t>
  </si>
  <si>
    <t>UFGVA Account Balance</t>
  </si>
  <si>
    <t>EB-2024-0130</t>
  </si>
  <si>
    <t>Billing &amp; Allocation Determinants</t>
  </si>
  <si>
    <r>
      <rPr>
        <b/>
        <sz val="11"/>
        <color rgb="FFFF0000"/>
        <rFont val="Arial"/>
        <family val="2"/>
      </rPr>
      <t>10 Month</t>
    </r>
    <r>
      <rPr>
        <b/>
        <sz val="11"/>
        <color theme="1"/>
        <rFont val="Arial"/>
        <family val="2"/>
      </rPr>
      <t xml:space="preserve"> PGTVA Account Balance Recovery (Based on </t>
    </r>
    <r>
      <rPr>
        <b/>
        <sz val="11"/>
        <color rgb="FFFF0000"/>
        <rFont val="Arial"/>
        <family val="2"/>
      </rPr>
      <t>Mar-Dec 2025</t>
    </r>
    <r>
      <rPr>
        <b/>
        <sz val="11"/>
        <color theme="1"/>
        <rFont val="Arial"/>
        <family val="2"/>
      </rPr>
      <t xml:space="preserve"> Forecast Volumes)</t>
    </r>
  </si>
  <si>
    <t>Projected Volumes - 2025 Test Year - Mar-Dec</t>
  </si>
  <si>
    <r>
      <rPr>
        <b/>
        <sz val="11"/>
        <color rgb="FFFF0000"/>
        <rFont val="Arial"/>
        <family val="2"/>
      </rPr>
      <t>10 Month</t>
    </r>
    <r>
      <rPr>
        <b/>
        <sz val="11"/>
        <color theme="1"/>
        <rFont val="Arial"/>
        <family val="2"/>
      </rPr>
      <t xml:space="preserve"> UFGVA Account Balance Recovery (Based on</t>
    </r>
    <r>
      <rPr>
        <b/>
        <sz val="11"/>
        <color rgb="FFFF0000"/>
        <rFont val="Arial"/>
        <family val="2"/>
      </rPr>
      <t xml:space="preserve"> Mar-Dec 2025 </t>
    </r>
    <r>
      <rPr>
        <b/>
        <sz val="11"/>
        <color theme="1"/>
        <rFont val="Arial"/>
        <family val="2"/>
      </rPr>
      <t>Forecast Volumes)</t>
    </r>
  </si>
  <si>
    <t>Settlement PGTVA Account Balance Recovery (Based on 2025 Forecast Volumes)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</si>
</sst>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_-* #,##0_-;\-* #,##0_-;_-* &quot;-&quot;??_-;_-@_-"/>
    <numFmt numFmtId="168" formatCode="_-&quot;$&quot;* #,##0.000000_-;\-&quot;$&quot;* #,##0.000000_-;_-&quot;$&quot;* &quot;-&quot;??_-;_-@_-"/>
    <numFmt numFmtId="169" formatCode="#,##0.0000_);\(#,##0.0000\)"/>
    <numFmt numFmtId="170" formatCode="0.000000"/>
    <numFmt numFmtId="171" formatCode="_(* #,##0.0000_);_(* \(#,##0.0000\);_(* &quot;-&quot;??_);_(@_)"/>
    <numFmt numFmtId="172" formatCode="_-&quot;$&quot;* #,##0_-;\-&quot;$&quot;* #,##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</cellStyleXfs>
  <cellXfs count="99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Border="1"/>
    <xf numFmtId="0" fontId="0" fillId="0" borderId="4" xfId="0" applyFont="1" applyBorder="1"/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168" fontId="5" fillId="0" borderId="4" xfId="3" applyNumberFormat="1" applyFont="1" applyBorder="1"/>
    <xf numFmtId="5" fontId="5" fillId="0" borderId="4" xfId="4" applyNumberFormat="1" applyFont="1" applyBorder="1"/>
    <xf numFmtId="5" fontId="10" fillId="0" borderId="4" xfId="4" applyNumberFormat="1" applyFont="1" applyBorder="1" applyProtection="1">
      <protection locked="0"/>
    </xf>
    <xf numFmtId="5" fontId="9" fillId="0" borderId="4" xfId="4" applyNumberFormat="1" applyFont="1" applyBorder="1"/>
    <xf numFmtId="0" fontId="10" fillId="0" borderId="4" xfId="0" applyFont="1" applyBorder="1" applyAlignment="1">
      <alignment horizontal="left" indent="1"/>
    </xf>
    <xf numFmtId="165" fontId="5" fillId="0" borderId="4" xfId="4" applyFont="1" applyBorder="1"/>
    <xf numFmtId="0" fontId="5" fillId="0" borderId="4" xfId="0" applyFont="1" applyFill="1" applyBorder="1"/>
    <xf numFmtId="5" fontId="9" fillId="0" borderId="5" xfId="4" applyNumberFormat="1" applyFont="1" applyBorder="1"/>
    <xf numFmtId="0" fontId="9" fillId="0" borderId="0" xfId="8" applyFont="1"/>
    <xf numFmtId="0" fontId="5" fillId="0" borderId="0" xfId="8" applyFont="1"/>
    <xf numFmtId="0" fontId="8" fillId="0" borderId="6" xfId="8" applyFont="1" applyBorder="1" applyAlignment="1">
      <alignment horizontal="center" vertical="center" wrapText="1"/>
    </xf>
    <xf numFmtId="10" fontId="5" fillId="0" borderId="0" xfId="8" applyNumberFormat="1" applyFont="1"/>
    <xf numFmtId="0" fontId="10" fillId="0" borderId="4" xfId="8" applyFont="1" applyBorder="1" applyAlignment="1">
      <alignment horizontal="left" vertical="center" wrapText="1"/>
    </xf>
    <xf numFmtId="0" fontId="10" fillId="0" borderId="4" xfId="8" applyFont="1" applyBorder="1" applyAlignment="1">
      <alignment horizontal="center" vertical="center" wrapText="1"/>
    </xf>
    <xf numFmtId="37" fontId="10" fillId="0" borderId="4" xfId="4" applyNumberFormat="1" applyFont="1" applyBorder="1" applyAlignment="1">
      <alignment horizontal="center" vertical="center" wrapText="1"/>
    </xf>
    <xf numFmtId="164" fontId="10" fillId="0" borderId="4" xfId="4" applyNumberFormat="1" applyFont="1" applyBorder="1" applyAlignment="1">
      <alignment horizontal="center" vertical="center" wrapText="1"/>
    </xf>
    <xf numFmtId="9" fontId="10" fillId="0" borderId="4" xfId="2" applyFont="1" applyBorder="1" applyAlignment="1">
      <alignment horizontal="center" vertical="center" wrapText="1"/>
    </xf>
    <xf numFmtId="165" fontId="5" fillId="0" borderId="0" xfId="4" applyFont="1"/>
    <xf numFmtId="0" fontId="8" fillId="0" borderId="5" xfId="8" applyFont="1" applyBorder="1" applyAlignment="1">
      <alignment horizontal="left"/>
    </xf>
    <xf numFmtId="0" fontId="8" fillId="0" borderId="5" xfId="8" applyFont="1" applyBorder="1" applyAlignment="1">
      <alignment horizontal="center" vertical="center"/>
    </xf>
    <xf numFmtId="5" fontId="8" fillId="0" borderId="5" xfId="4" applyNumberFormat="1" applyFont="1" applyBorder="1" applyAlignment="1">
      <alignment horizontal="center" vertical="center" wrapText="1"/>
    </xf>
    <xf numFmtId="9" fontId="10" fillId="0" borderId="4" xfId="9" applyFont="1" applyBorder="1" applyAlignment="1">
      <alignment horizontal="center" vertical="center" wrapText="1"/>
    </xf>
    <xf numFmtId="0" fontId="8" fillId="0" borderId="4" xfId="8" applyFont="1" applyBorder="1" applyAlignment="1">
      <alignment horizontal="left"/>
    </xf>
    <xf numFmtId="0" fontId="8" fillId="0" borderId="4" xfId="8" applyFont="1" applyBorder="1" applyAlignment="1">
      <alignment horizontal="center" vertical="center"/>
    </xf>
    <xf numFmtId="5" fontId="8" fillId="0" borderId="4" xfId="4" applyNumberFormat="1" applyFont="1" applyBorder="1" applyAlignment="1">
      <alignment horizontal="center" vertical="center" wrapText="1"/>
    </xf>
    <xf numFmtId="169" fontId="8" fillId="0" borderId="5" xfId="8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5" fontId="9" fillId="0" borderId="0" xfId="4" applyNumberFormat="1" applyFont="1" applyBorder="1"/>
    <xf numFmtId="41" fontId="10" fillId="0" borderId="4" xfId="0" applyNumberFormat="1" applyFont="1" applyBorder="1" applyAlignment="1">
      <alignment horizontal="left" indent="1"/>
    </xf>
    <xf numFmtId="5" fontId="13" fillId="0" borderId="4" xfId="4" applyNumberFormat="1" applyFont="1" applyBorder="1"/>
    <xf numFmtId="37" fontId="5" fillId="0" borderId="4" xfId="4" applyNumberFormat="1" applyFont="1" applyBorder="1"/>
    <xf numFmtId="170" fontId="10" fillId="0" borderId="4" xfId="2" applyNumberFormat="1" applyFont="1" applyBorder="1"/>
    <xf numFmtId="170" fontId="5" fillId="0" borderId="4" xfId="4" applyNumberFormat="1" applyFont="1" applyBorder="1"/>
    <xf numFmtId="170" fontId="14" fillId="0" borderId="4" xfId="2" applyNumberFormat="1" applyFont="1" applyBorder="1"/>
    <xf numFmtId="5" fontId="4" fillId="0" borderId="4" xfId="4" applyNumberFormat="1" applyFont="1" applyBorder="1"/>
    <xf numFmtId="0" fontId="10" fillId="0" borderId="5" xfId="0" applyFont="1" applyBorder="1" applyAlignment="1">
      <alignment horizontal="left"/>
    </xf>
    <xf numFmtId="10" fontId="4" fillId="0" borderId="4" xfId="2" applyNumberFormat="1" applyFont="1" applyBorder="1"/>
    <xf numFmtId="41" fontId="5" fillId="0" borderId="4" xfId="0" applyNumberFormat="1" applyFont="1" applyFill="1" applyBorder="1"/>
    <xf numFmtId="167" fontId="5" fillId="0" borderId="4" xfId="4" applyNumberFormat="1" applyFont="1" applyFill="1" applyBorder="1"/>
    <xf numFmtId="41" fontId="10" fillId="0" borderId="4" xfId="0" applyNumberFormat="1" applyFont="1" applyFill="1" applyBorder="1"/>
    <xf numFmtId="0" fontId="3" fillId="0" borderId="0" xfId="0" applyFont="1"/>
    <xf numFmtId="10" fontId="3" fillId="0" borderId="0" xfId="2" applyNumberFormat="1" applyFont="1"/>
    <xf numFmtId="43" fontId="3" fillId="0" borderId="0" xfId="1" applyFont="1"/>
    <xf numFmtId="0" fontId="3" fillId="0" borderId="3" xfId="0" applyFont="1" applyFill="1" applyBorder="1"/>
    <xf numFmtId="0" fontId="9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164" fontId="3" fillId="0" borderId="4" xfId="1" applyNumberFormat="1" applyFont="1" applyFill="1" applyBorder="1"/>
    <xf numFmtId="164" fontId="3" fillId="0" borderId="5" xfId="1" applyNumberFormat="1" applyFont="1" applyFill="1" applyBorder="1"/>
    <xf numFmtId="164" fontId="3" fillId="0" borderId="6" xfId="1" applyNumberFormat="1" applyFont="1" applyFill="1" applyBorder="1"/>
    <xf numFmtId="171" fontId="3" fillId="0" borderId="4" xfId="1" applyNumberFormat="1" applyFont="1" applyFill="1" applyBorder="1"/>
    <xf numFmtId="164" fontId="9" fillId="0" borderId="6" xfId="1" applyNumberFormat="1" applyFont="1" applyFill="1" applyBorder="1"/>
    <xf numFmtId="0" fontId="9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indent="1"/>
    </xf>
    <xf numFmtId="10" fontId="3" fillId="0" borderId="4" xfId="2" applyNumberFormat="1" applyFont="1" applyFill="1" applyBorder="1"/>
    <xf numFmtId="10" fontId="10" fillId="0" borderId="4" xfId="2" applyNumberFormat="1" applyFont="1" applyFill="1" applyBorder="1"/>
    <xf numFmtId="0" fontId="10" fillId="0" borderId="4" xfId="0" applyFont="1" applyFill="1" applyBorder="1" applyAlignment="1" applyProtection="1">
      <alignment horizontal="left" indent="2"/>
      <protection locked="0"/>
    </xf>
    <xf numFmtId="165" fontId="10" fillId="0" borderId="4" xfId="4" applyFont="1" applyFill="1" applyBorder="1" applyProtection="1">
      <protection locked="0"/>
    </xf>
    <xf numFmtId="172" fontId="3" fillId="0" borderId="4" xfId="3" applyNumberFormat="1" applyFont="1" applyFill="1" applyBorder="1"/>
    <xf numFmtId="167" fontId="10" fillId="0" borderId="4" xfId="4" applyNumberFormat="1" applyFont="1" applyFill="1" applyBorder="1" applyProtection="1">
      <protection locked="0"/>
    </xf>
    <xf numFmtId="0" fontId="3" fillId="0" borderId="5" xfId="0" applyFont="1" applyFill="1" applyBorder="1"/>
    <xf numFmtId="9" fontId="3" fillId="0" borderId="5" xfId="2" applyFont="1" applyFill="1" applyBorder="1"/>
    <xf numFmtId="0" fontId="2" fillId="0" borderId="0" xfId="0" applyFont="1" applyFill="1" applyProtection="1"/>
    <xf numFmtId="0" fontId="2" fillId="0" borderId="0" xfId="0" applyFont="1" applyFill="1"/>
    <xf numFmtId="0" fontId="9" fillId="0" borderId="6" xfId="0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0" fontId="9" fillId="0" borderId="0" xfId="0" applyFont="1" applyFill="1" applyProtection="1"/>
    <xf numFmtId="0" fontId="8" fillId="0" borderId="0" xfId="8" applyFont="1" applyFill="1"/>
    <xf numFmtId="0" fontId="10" fillId="0" borderId="0" xfId="8" applyFont="1" applyFill="1"/>
    <xf numFmtId="0" fontId="16" fillId="0" borderId="7" xfId="10" applyFont="1" applyFill="1" applyBorder="1" applyAlignment="1">
      <alignment horizontal="center" vertical="center"/>
    </xf>
    <xf numFmtId="3" fontId="8" fillId="0" borderId="6" xfId="10" applyNumberFormat="1" applyFont="1" applyFill="1" applyBorder="1" applyAlignment="1">
      <alignment horizontal="center" vertical="center"/>
    </xf>
    <xf numFmtId="0" fontId="8" fillId="0" borderId="2" xfId="8" applyFont="1" applyFill="1" applyBorder="1" applyAlignment="1">
      <alignment horizontal="left"/>
    </xf>
    <xf numFmtId="3" fontId="10" fillId="0" borderId="4" xfId="1" applyNumberFormat="1" applyFont="1" applyFill="1" applyBorder="1" applyAlignment="1">
      <alignment horizontal="center"/>
    </xf>
    <xf numFmtId="0" fontId="8" fillId="0" borderId="1" xfId="8" applyFont="1" applyFill="1" applyBorder="1" applyAlignment="1">
      <alignment horizontal="left"/>
    </xf>
    <xf numFmtId="3" fontId="10" fillId="0" borderId="4" xfId="8" applyNumberFormat="1" applyFont="1" applyFill="1" applyBorder="1" applyAlignment="1">
      <alignment horizontal="center"/>
    </xf>
    <xf numFmtId="0" fontId="8" fillId="0" borderId="7" xfId="8" applyFont="1" applyFill="1" applyBorder="1" applyAlignment="1">
      <alignment horizontal="left"/>
    </xf>
    <xf numFmtId="3" fontId="8" fillId="0" borderId="6" xfId="8" applyNumberFormat="1" applyFont="1" applyFill="1" applyBorder="1" applyAlignment="1">
      <alignment horizontal="center"/>
    </xf>
    <xf numFmtId="9" fontId="2" fillId="0" borderId="6" xfId="2" applyFont="1" applyFill="1" applyBorder="1" applyAlignment="1">
      <alignment horizontal="center"/>
    </xf>
    <xf numFmtId="0" fontId="10" fillId="0" borderId="3" xfId="8" applyFont="1" applyBorder="1" applyAlignment="1">
      <alignment horizontal="left" vertical="center" wrapText="1"/>
    </xf>
    <xf numFmtId="5" fontId="10" fillId="0" borderId="3" xfId="8" applyNumberFormat="1" applyFont="1" applyBorder="1" applyAlignment="1">
      <alignment horizontal="center" vertical="center" wrapText="1"/>
    </xf>
    <xf numFmtId="5" fontId="10" fillId="0" borderId="5" xfId="8" applyNumberFormat="1" applyFont="1" applyBorder="1" applyAlignment="1">
      <alignment horizontal="center" vertical="center" wrapText="1"/>
    </xf>
    <xf numFmtId="0" fontId="8" fillId="0" borderId="0" xfId="8" applyFont="1" applyBorder="1" applyAlignment="1">
      <alignment horizontal="left"/>
    </xf>
    <xf numFmtId="5" fontId="10" fillId="0" borderId="0" xfId="8" applyNumberFormat="1" applyFont="1" applyBorder="1" applyAlignment="1">
      <alignment horizontal="center" vertical="center" wrapText="1"/>
    </xf>
    <xf numFmtId="5" fontId="14" fillId="0" borderId="4" xfId="8" applyNumberFormat="1" applyFont="1" applyBorder="1" applyAlignment="1">
      <alignment horizontal="center" vertical="center" wrapText="1"/>
    </xf>
    <xf numFmtId="5" fontId="8" fillId="0" borderId="4" xfId="5" applyNumberFormat="1" applyFont="1" applyBorder="1" applyAlignment="1">
      <alignment horizontal="center" vertical="center" wrapText="1"/>
    </xf>
    <xf numFmtId="0" fontId="9" fillId="0" borderId="0" xfId="0" applyFont="1" applyFill="1"/>
  </cellXfs>
  <cellStyles count="11">
    <cellStyle name="Comma" xfId="1" builtinId="3"/>
    <cellStyle name="Comma 2" xfId="4"/>
    <cellStyle name="Comma 2 2" xfId="5"/>
    <cellStyle name="Comma 3" xfId="6"/>
    <cellStyle name="Currency 2" xfId="3"/>
    <cellStyle name="Normal" xfId="0" builtinId="0"/>
    <cellStyle name="Normal 2" xfId="8"/>
    <cellStyle name="Normal 2 2 2 2 2" xfId="10"/>
    <cellStyle name="Percent" xfId="2" builtinId="5"/>
    <cellStyle name="Percent 2" xfId="9"/>
    <cellStyle name="Percent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62"/>
  <sheetViews>
    <sheetView showGridLines="0" tabSelected="1" zoomScale="90" zoomScaleNormal="90" zoomScaleSheetLayoutView="85" workbookViewId="0">
      <selection activeCell="C12" sqref="C12"/>
    </sheetView>
  </sheetViews>
  <sheetFormatPr defaultColWidth="12.5703125" defaultRowHeight="15" x14ac:dyDescent="0.25"/>
  <cols>
    <col min="1" max="1" width="48.140625" style="1" customWidth="1"/>
    <col min="2" max="3" width="11.7109375" style="1" bestFit="1" customWidth="1"/>
    <col min="4" max="4" width="12.42578125" style="1" customWidth="1"/>
    <col min="5" max="6" width="11.7109375" style="1" bestFit="1" customWidth="1"/>
    <col min="7" max="8" width="11.28515625" style="1" bestFit="1" customWidth="1"/>
    <col min="9" max="13" width="11.7109375" style="1" bestFit="1" customWidth="1"/>
    <col min="14" max="14" width="1.5703125" style="1" customWidth="1"/>
    <col min="15" max="15" width="12.28515625" style="1" bestFit="1" customWidth="1"/>
    <col min="16" max="16384" width="12.5703125" style="1"/>
  </cols>
  <sheetData>
    <row r="1" spans="1:16384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pans="1:16384" x14ac:dyDescent="0.25">
      <c r="A2" s="5" t="s">
        <v>96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x14ac:dyDescent="0.25">
      <c r="A3" s="5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  <c r="XFB3" s="5"/>
      <c r="XFC3" s="5"/>
      <c r="XFD3" s="5"/>
    </row>
    <row r="4" spans="1:16384" x14ac:dyDescent="0.25">
      <c r="A4" s="5" t="s">
        <v>89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  <c r="XEW4" s="5"/>
      <c r="XEX4" s="5"/>
      <c r="XEY4" s="5"/>
      <c r="XEZ4" s="5"/>
      <c r="XFA4" s="5"/>
      <c r="XFB4" s="5"/>
      <c r="XFC4" s="5"/>
      <c r="XFD4" s="5"/>
    </row>
    <row r="5" spans="1:16384" x14ac:dyDescent="0.25">
      <c r="A5" s="6"/>
      <c r="B5" s="7">
        <v>2023</v>
      </c>
      <c r="C5" s="7">
        <v>2023</v>
      </c>
      <c r="D5" s="7">
        <v>2023</v>
      </c>
      <c r="E5" s="7">
        <v>2023</v>
      </c>
      <c r="F5" s="7">
        <v>2023</v>
      </c>
      <c r="G5" s="7">
        <v>2023</v>
      </c>
      <c r="H5" s="7">
        <v>2023</v>
      </c>
      <c r="I5" s="7">
        <v>2023</v>
      </c>
      <c r="J5" s="7">
        <v>2023</v>
      </c>
      <c r="K5" s="7">
        <v>2023</v>
      </c>
      <c r="L5" s="7">
        <v>2023</v>
      </c>
      <c r="M5" s="7">
        <v>2023</v>
      </c>
      <c r="O5" s="7">
        <v>2024</v>
      </c>
    </row>
    <row r="6" spans="1:16384" x14ac:dyDescent="0.25">
      <c r="A6" s="8"/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O6" s="9" t="s">
        <v>36</v>
      </c>
    </row>
    <row r="7" spans="1:16384" x14ac:dyDescent="0.25">
      <c r="A7" s="10" t="s">
        <v>39</v>
      </c>
      <c r="B7" s="48"/>
      <c r="C7" s="48"/>
      <c r="D7" s="48"/>
      <c r="E7" s="48"/>
      <c r="F7" s="49"/>
      <c r="G7" s="49"/>
      <c r="H7" s="50"/>
      <c r="I7" s="49"/>
      <c r="J7" s="49"/>
      <c r="K7" s="49"/>
      <c r="L7" s="49"/>
      <c r="M7" s="49"/>
      <c r="N7" s="2"/>
      <c r="O7" s="49"/>
    </row>
    <row r="8" spans="1:16384" x14ac:dyDescent="0.25">
      <c r="A8" s="10" t="s">
        <v>40</v>
      </c>
      <c r="B8" s="12">
        <v>39741.1</v>
      </c>
      <c r="C8" s="12">
        <v>13714.060000000001</v>
      </c>
      <c r="D8" s="12">
        <v>13636.84</v>
      </c>
      <c r="E8" s="12">
        <v>4481.7700000000004</v>
      </c>
      <c r="F8" s="12">
        <v>1930.53</v>
      </c>
      <c r="G8" s="12">
        <v>574.06000000000006</v>
      </c>
      <c r="H8" s="12">
        <v>573.03</v>
      </c>
      <c r="I8" s="12">
        <v>727.81000000000006</v>
      </c>
      <c r="J8" s="12">
        <v>745.44999999999993</v>
      </c>
      <c r="K8" s="12">
        <v>4163.4399999999996</v>
      </c>
      <c r="L8" s="12">
        <v>14695.12</v>
      </c>
      <c r="M8" s="12">
        <v>8989.880000000001</v>
      </c>
      <c r="O8" s="11"/>
    </row>
    <row r="9" spans="1:16384" x14ac:dyDescent="0.25">
      <c r="A9" s="10" t="s">
        <v>41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O9" s="11"/>
    </row>
    <row r="10" spans="1:16384" x14ac:dyDescent="0.25">
      <c r="A10" s="10" t="s">
        <v>42</v>
      </c>
      <c r="B10" s="12">
        <v>60391.23</v>
      </c>
      <c r="C10" s="12">
        <v>60391.23</v>
      </c>
      <c r="D10" s="12">
        <v>60391.23</v>
      </c>
      <c r="E10" s="12">
        <v>60391.23</v>
      </c>
      <c r="F10" s="12">
        <v>60391.23</v>
      </c>
      <c r="G10" s="12">
        <v>60391.23</v>
      </c>
      <c r="H10" s="12">
        <v>60391.23</v>
      </c>
      <c r="I10" s="12">
        <v>60391.23</v>
      </c>
      <c r="J10" s="12">
        <v>60391.23</v>
      </c>
      <c r="K10" s="12">
        <v>60391.23</v>
      </c>
      <c r="L10" s="12">
        <v>60391.23</v>
      </c>
      <c r="M10" s="12">
        <v>60391.23</v>
      </c>
      <c r="O10" s="11"/>
    </row>
    <row r="11" spans="1:16384" x14ac:dyDescent="0.25">
      <c r="A11" s="39" t="s">
        <v>43</v>
      </c>
      <c r="B11" s="12">
        <v>8352.27</v>
      </c>
      <c r="C11" s="12">
        <v>8352.27</v>
      </c>
      <c r="D11" s="12">
        <v>8352.27</v>
      </c>
      <c r="E11" s="12">
        <v>8341.61</v>
      </c>
      <c r="F11" s="12">
        <v>8341.61</v>
      </c>
      <c r="G11" s="12">
        <v>8584.8866791435594</v>
      </c>
      <c r="H11" s="12">
        <v>8341.61</v>
      </c>
      <c r="I11" s="12">
        <v>8341.61</v>
      </c>
      <c r="J11" s="12">
        <v>8542.91</v>
      </c>
      <c r="K11" s="12">
        <v>8341.61</v>
      </c>
      <c r="L11" s="12">
        <v>8689.18</v>
      </c>
      <c r="M11" s="12">
        <v>8709.68</v>
      </c>
      <c r="O11" s="11"/>
    </row>
    <row r="12" spans="1:16384" x14ac:dyDescent="0.25">
      <c r="A12" s="39" t="s">
        <v>44</v>
      </c>
      <c r="B12" s="40">
        <v>4040.97</v>
      </c>
      <c r="C12" s="40">
        <v>3661.62</v>
      </c>
      <c r="D12" s="40">
        <v>3750.11</v>
      </c>
      <c r="E12" s="40">
        <v>1865.47</v>
      </c>
      <c r="F12" s="40">
        <v>1652.43</v>
      </c>
      <c r="G12" s="40">
        <v>1395.4441998266523</v>
      </c>
      <c r="H12" s="40">
        <v>1024.0999999999999</v>
      </c>
      <c r="I12" s="40">
        <v>1442.42</v>
      </c>
      <c r="J12" s="40">
        <v>1653.21</v>
      </c>
      <c r="K12" s="40">
        <v>1710.48</v>
      </c>
      <c r="L12" s="40">
        <v>2683.56</v>
      </c>
      <c r="M12" s="40">
        <v>2283.42</v>
      </c>
      <c r="O12" s="11"/>
    </row>
    <row r="13" spans="1:16384" x14ac:dyDescent="0.25">
      <c r="A13" s="10" t="s">
        <v>46</v>
      </c>
      <c r="B13" s="12">
        <f>SUM(B8:B12)</f>
        <v>112525.57</v>
      </c>
      <c r="C13" s="12">
        <f>SUM(C8:C12)</f>
        <v>86119.180000000008</v>
      </c>
      <c r="D13" s="12">
        <f>SUM(D8:D12)</f>
        <v>86130.450000000012</v>
      </c>
      <c r="E13" s="12">
        <f>SUM(E8:E12)</f>
        <v>75080.08</v>
      </c>
      <c r="F13" s="12">
        <f>SUM(F8:F12)</f>
        <v>72315.799999999988</v>
      </c>
      <c r="G13" s="12">
        <f t="shared" ref="G13:M13" si="0">SUM(G8:G12)</f>
        <v>70945.620878970221</v>
      </c>
      <c r="H13" s="12">
        <f t="shared" si="0"/>
        <v>70329.97</v>
      </c>
      <c r="I13" s="12">
        <f t="shared" si="0"/>
        <v>70903.069999999992</v>
      </c>
      <c r="J13" s="12">
        <f t="shared" si="0"/>
        <v>71332.800000000003</v>
      </c>
      <c r="K13" s="12">
        <f t="shared" si="0"/>
        <v>74606.759999999995</v>
      </c>
      <c r="L13" s="12">
        <f t="shared" si="0"/>
        <v>86459.09</v>
      </c>
      <c r="M13" s="12">
        <f t="shared" si="0"/>
        <v>80374.210000000006</v>
      </c>
      <c r="O13" s="11"/>
    </row>
    <row r="14" spans="1:16384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O14" s="11"/>
    </row>
    <row r="15" spans="1:16384" ht="17.25" x14ac:dyDescent="0.25">
      <c r="A15" s="10" t="s">
        <v>50</v>
      </c>
      <c r="B15" s="41">
        <v>4282230.26</v>
      </c>
      <c r="C15" s="41">
        <v>3983099.3000000003</v>
      </c>
      <c r="D15" s="41">
        <v>3989374.9459999995</v>
      </c>
      <c r="E15" s="41">
        <v>2266246.503</v>
      </c>
      <c r="F15" s="41">
        <v>1285331.6919999998</v>
      </c>
      <c r="G15" s="41">
        <v>729720.82799999998</v>
      </c>
      <c r="H15" s="41">
        <v>731710.36098</v>
      </c>
      <c r="I15" s="41">
        <v>1000617.0870599999</v>
      </c>
      <c r="J15" s="41">
        <v>1051737.68674</v>
      </c>
      <c r="K15" s="41">
        <v>2361962.79</v>
      </c>
      <c r="L15" s="41">
        <v>6092014.2856099997</v>
      </c>
      <c r="M15" s="41">
        <v>4114920.7394999997</v>
      </c>
      <c r="N15" s="14"/>
      <c r="O15" s="14"/>
    </row>
    <row r="16" spans="1:16384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4"/>
      <c r="O16" s="14"/>
    </row>
    <row r="17" spans="1:15" ht="17.25" x14ac:dyDescent="0.25">
      <c r="A17" s="10" t="s">
        <v>51</v>
      </c>
      <c r="B17" s="42">
        <f t="shared" ref="B17:M17" si="1">B13/B15</f>
        <v>2.6277328207007723E-2</v>
      </c>
      <c r="C17" s="42">
        <f t="shared" si="1"/>
        <v>2.162114813456948E-2</v>
      </c>
      <c r="D17" s="42">
        <f t="shared" si="1"/>
        <v>2.1589961125704632E-2</v>
      </c>
      <c r="E17" s="42">
        <f t="shared" si="1"/>
        <v>3.3129705837653088E-2</v>
      </c>
      <c r="F17" s="42">
        <f t="shared" si="1"/>
        <v>5.6262364376525466E-2</v>
      </c>
      <c r="G17" s="42">
        <f t="shared" si="1"/>
        <v>9.7222962750585243E-2</v>
      </c>
      <c r="H17" s="42">
        <f t="shared" si="1"/>
        <v>9.611722581843056E-2</v>
      </c>
      <c r="I17" s="42">
        <f t="shared" si="1"/>
        <v>7.0859343615974485E-2</v>
      </c>
      <c r="J17" s="42">
        <f t="shared" si="1"/>
        <v>6.7823755770419755E-2</v>
      </c>
      <c r="K17" s="42">
        <f t="shared" si="1"/>
        <v>3.1586763481570343E-2</v>
      </c>
      <c r="L17" s="42">
        <f t="shared" si="1"/>
        <v>1.4192200797070646E-2</v>
      </c>
      <c r="M17" s="42">
        <f t="shared" si="1"/>
        <v>1.953238351068852E-2</v>
      </c>
      <c r="N17" s="14"/>
      <c r="O17" s="14"/>
    </row>
    <row r="18" spans="1:15" x14ac:dyDescent="0.25">
      <c r="A18" s="10" t="s">
        <v>47</v>
      </c>
      <c r="B18" s="44">
        <v>2.3723999999999999E-2</v>
      </c>
      <c r="C18" s="44">
        <v>2.3723999999999999E-2</v>
      </c>
      <c r="D18" s="44">
        <v>2.3723999999999999E-2</v>
      </c>
      <c r="E18" s="44">
        <v>2.3723999999999999E-2</v>
      </c>
      <c r="F18" s="44">
        <v>2.3723999999999999E-2</v>
      </c>
      <c r="G18" s="44">
        <v>2.3723999999999999E-2</v>
      </c>
      <c r="H18" s="44">
        <v>2.3723999999999999E-2</v>
      </c>
      <c r="I18" s="44">
        <v>2.3723999999999999E-2</v>
      </c>
      <c r="J18" s="44">
        <v>2.3723999999999999E-2</v>
      </c>
      <c r="K18" s="44">
        <v>2.3723999999999999E-2</v>
      </c>
      <c r="L18" s="44">
        <v>2.3723999999999999E-2</v>
      </c>
      <c r="M18" s="44">
        <v>2.3723999999999999E-2</v>
      </c>
      <c r="N18" s="14"/>
      <c r="O18" s="14"/>
    </row>
    <row r="19" spans="1:15" x14ac:dyDescent="0.25">
      <c r="A19" s="10" t="s">
        <v>48</v>
      </c>
      <c r="B19" s="43">
        <f t="shared" ref="B19:M19" si="2">B17-B18</f>
        <v>2.553328207007724E-3</v>
      </c>
      <c r="C19" s="43">
        <f t="shared" si="2"/>
        <v>-2.1028518654305182E-3</v>
      </c>
      <c r="D19" s="43">
        <f t="shared" si="2"/>
        <v>-2.1340388742953666E-3</v>
      </c>
      <c r="E19" s="43">
        <f t="shared" si="2"/>
        <v>9.4057058376530896E-3</v>
      </c>
      <c r="F19" s="43">
        <f t="shared" si="2"/>
        <v>3.2538364376525464E-2</v>
      </c>
      <c r="G19" s="43">
        <f t="shared" si="2"/>
        <v>7.3498962750585248E-2</v>
      </c>
      <c r="H19" s="43">
        <f t="shared" si="2"/>
        <v>7.2393225818430565E-2</v>
      </c>
      <c r="I19" s="43">
        <f t="shared" si="2"/>
        <v>4.713534361597449E-2</v>
      </c>
      <c r="J19" s="43">
        <f t="shared" si="2"/>
        <v>4.409975577041976E-2</v>
      </c>
      <c r="K19" s="43">
        <f t="shared" si="2"/>
        <v>7.8627634815703444E-3</v>
      </c>
      <c r="L19" s="43">
        <f t="shared" si="2"/>
        <v>-9.5317992029293527E-3</v>
      </c>
      <c r="M19" s="43">
        <f t="shared" si="2"/>
        <v>-4.1916164893114789E-3</v>
      </c>
      <c r="O19" s="12"/>
    </row>
    <row r="20" spans="1:15" x14ac:dyDescent="0.25">
      <c r="A20" s="10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O20" s="13"/>
    </row>
    <row r="21" spans="1:15" x14ac:dyDescent="0.25">
      <c r="A21" s="10" t="s">
        <v>49</v>
      </c>
      <c r="B21" s="14">
        <f t="shared" ref="B21:M21" si="3">B15*B19</f>
        <v>10933.939311760019</v>
      </c>
      <c r="C21" s="14">
        <f t="shared" si="3"/>
        <v>-8375.8677931999919</v>
      </c>
      <c r="D21" s="14">
        <f t="shared" si="3"/>
        <v>-8513.4812189039785</v>
      </c>
      <c r="E21" s="14">
        <f t="shared" si="3"/>
        <v>21315.647962827999</v>
      </c>
      <c r="F21" s="14">
        <f t="shared" si="3"/>
        <v>41822.590938991991</v>
      </c>
      <c r="G21" s="14">
        <f t="shared" si="3"/>
        <v>53633.723955498222</v>
      </c>
      <c r="H21" s="14">
        <f t="shared" si="3"/>
        <v>52970.873396110481</v>
      </c>
      <c r="I21" s="14">
        <f t="shared" si="3"/>
        <v>47164.430226588556</v>
      </c>
      <c r="J21" s="14">
        <f t="shared" si="3"/>
        <v>46381.375119780248</v>
      </c>
      <c r="K21" s="14">
        <f t="shared" si="3"/>
        <v>18571.554770040006</v>
      </c>
      <c r="L21" s="14">
        <f t="shared" si="3"/>
        <v>-58067.856911811621</v>
      </c>
      <c r="M21" s="14">
        <f t="shared" si="3"/>
        <v>-17248.169623897982</v>
      </c>
      <c r="O21" s="14"/>
    </row>
    <row r="22" spans="1:15" x14ac:dyDescent="0.25">
      <c r="A22" s="10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3"/>
      <c r="O22" s="17"/>
    </row>
    <row r="23" spans="1:15" x14ac:dyDescent="0.25">
      <c r="A23" s="10" t="s">
        <v>13</v>
      </c>
      <c r="B23" s="45">
        <v>0</v>
      </c>
      <c r="C23" s="45">
        <f>B25</f>
        <v>10933.939311760019</v>
      </c>
      <c r="D23" s="45">
        <f t="shared" ref="D23:M23" si="4">C25</f>
        <v>2558.0715185600275</v>
      </c>
      <c r="E23" s="45">
        <f t="shared" si="4"/>
        <v>-5955.409700343951</v>
      </c>
      <c r="F23" s="45">
        <f t="shared" si="4"/>
        <v>15360.238262484048</v>
      </c>
      <c r="G23" s="45">
        <f t="shared" si="4"/>
        <v>57182.829201476037</v>
      </c>
      <c r="H23" s="45">
        <f t="shared" si="4"/>
        <v>110816.55315697426</v>
      </c>
      <c r="I23" s="45">
        <f t="shared" si="4"/>
        <v>163787.42655308475</v>
      </c>
      <c r="J23" s="45">
        <f>I25</f>
        <v>210951.85677967331</v>
      </c>
      <c r="K23" s="45">
        <f t="shared" si="4"/>
        <v>257333.23189945356</v>
      </c>
      <c r="L23" s="45">
        <f t="shared" si="4"/>
        <v>275904.78666949354</v>
      </c>
      <c r="M23" s="45">
        <f t="shared" si="4"/>
        <v>217836.92975768191</v>
      </c>
      <c r="N23" s="4"/>
      <c r="O23" s="14"/>
    </row>
    <row r="24" spans="1:15" x14ac:dyDescent="0.25">
      <c r="A24" s="10" t="s">
        <v>14</v>
      </c>
      <c r="B24" s="40">
        <f>B21</f>
        <v>10933.939311760019</v>
      </c>
      <c r="C24" s="40">
        <f t="shared" ref="C24:M24" si="5">C21</f>
        <v>-8375.8677931999919</v>
      </c>
      <c r="D24" s="40">
        <f t="shared" si="5"/>
        <v>-8513.4812189039785</v>
      </c>
      <c r="E24" s="40">
        <f t="shared" si="5"/>
        <v>21315.647962827999</v>
      </c>
      <c r="F24" s="40">
        <f t="shared" si="5"/>
        <v>41822.590938991991</v>
      </c>
      <c r="G24" s="40">
        <f t="shared" si="5"/>
        <v>53633.723955498222</v>
      </c>
      <c r="H24" s="40">
        <f t="shared" si="5"/>
        <v>52970.873396110481</v>
      </c>
      <c r="I24" s="40">
        <f t="shared" si="5"/>
        <v>47164.430226588556</v>
      </c>
      <c r="J24" s="40">
        <f t="shared" si="5"/>
        <v>46381.375119780248</v>
      </c>
      <c r="K24" s="40">
        <f t="shared" si="5"/>
        <v>18571.554770040006</v>
      </c>
      <c r="L24" s="40">
        <f t="shared" si="5"/>
        <v>-58067.856911811621</v>
      </c>
      <c r="M24" s="40">
        <f t="shared" si="5"/>
        <v>-17248.169623897982</v>
      </c>
      <c r="N24" s="4"/>
      <c r="O24" s="14"/>
    </row>
    <row r="25" spans="1:15" x14ac:dyDescent="0.25">
      <c r="A25" s="10" t="s">
        <v>15</v>
      </c>
      <c r="B25" s="14">
        <f>SUM(B23:B24)</f>
        <v>10933.939311760019</v>
      </c>
      <c r="C25" s="14">
        <f t="shared" ref="C25:M25" si="6">SUM(C23:C24)</f>
        <v>2558.0715185600275</v>
      </c>
      <c r="D25" s="14">
        <f t="shared" si="6"/>
        <v>-5955.409700343951</v>
      </c>
      <c r="E25" s="14">
        <f t="shared" si="6"/>
        <v>15360.238262484048</v>
      </c>
      <c r="F25" s="14">
        <f t="shared" si="6"/>
        <v>57182.829201476037</v>
      </c>
      <c r="G25" s="14">
        <f t="shared" si="6"/>
        <v>110816.55315697426</v>
      </c>
      <c r="H25" s="14">
        <f t="shared" si="6"/>
        <v>163787.42655308475</v>
      </c>
      <c r="I25" s="14">
        <f t="shared" si="6"/>
        <v>210951.85677967331</v>
      </c>
      <c r="J25" s="14">
        <f t="shared" si="6"/>
        <v>257333.23189945356</v>
      </c>
      <c r="K25" s="14">
        <f t="shared" si="6"/>
        <v>275904.78666949354</v>
      </c>
      <c r="L25" s="14">
        <f t="shared" si="6"/>
        <v>217836.92975768191</v>
      </c>
      <c r="M25" s="14">
        <f t="shared" si="6"/>
        <v>200588.76013378392</v>
      </c>
      <c r="N25" s="4"/>
      <c r="O25" s="14"/>
    </row>
    <row r="26" spans="1:15" x14ac:dyDescent="0.25">
      <c r="A26" s="10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4"/>
      <c r="O26" s="14"/>
    </row>
    <row r="27" spans="1:15" x14ac:dyDescent="0.25">
      <c r="A27" s="10" t="s">
        <v>45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4"/>
      <c r="O27" s="14"/>
    </row>
    <row r="28" spans="1:15" x14ac:dyDescent="0.25">
      <c r="A28" s="10" t="s">
        <v>16</v>
      </c>
      <c r="B28" s="47">
        <v>4.7300000000000002E-2</v>
      </c>
      <c r="C28" s="47">
        <v>4.7300000000000002E-2</v>
      </c>
      <c r="D28" s="47">
        <v>4.7300000000000002E-2</v>
      </c>
      <c r="E28" s="47">
        <v>4.9799999999999997E-2</v>
      </c>
      <c r="F28" s="47">
        <v>4.9799999999999997E-2</v>
      </c>
      <c r="G28" s="47">
        <v>4.9799999999999997E-2</v>
      </c>
      <c r="H28" s="47">
        <v>4.9799999999999997E-2</v>
      </c>
      <c r="I28" s="47">
        <v>4.9799999999999997E-2</v>
      </c>
      <c r="J28" s="47">
        <v>4.9799999999999997E-2</v>
      </c>
      <c r="K28" s="47">
        <v>5.4899999999999997E-2</v>
      </c>
      <c r="L28" s="47">
        <v>5.4899999999999997E-2</v>
      </c>
      <c r="M28" s="47">
        <v>5.4899999999999997E-2</v>
      </c>
      <c r="N28" s="4"/>
      <c r="O28" s="47">
        <v>5.4899999999999997E-2</v>
      </c>
    </row>
    <row r="29" spans="1:15" x14ac:dyDescent="0.25">
      <c r="A29" s="10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4"/>
      <c r="O29" s="14"/>
    </row>
    <row r="30" spans="1:15" x14ac:dyDescent="0.25">
      <c r="A30" s="10" t="s">
        <v>17</v>
      </c>
      <c r="B30" s="45">
        <v>0</v>
      </c>
      <c r="C30" s="45">
        <f>B32</f>
        <v>0</v>
      </c>
      <c r="D30" s="45">
        <f t="shared" ref="D30:M30" si="7">C32</f>
        <v>43.097944120520744</v>
      </c>
      <c r="E30" s="45">
        <f t="shared" si="7"/>
        <v>53.181009356178187</v>
      </c>
      <c r="F30" s="45">
        <f t="shared" si="7"/>
        <v>28.46605909975079</v>
      </c>
      <c r="G30" s="45">
        <f t="shared" si="7"/>
        <v>92.211047889059586</v>
      </c>
      <c r="H30" s="45">
        <f t="shared" si="7"/>
        <v>329.51978907518514</v>
      </c>
      <c r="I30" s="45">
        <f t="shared" si="7"/>
        <v>789.4084846766284</v>
      </c>
      <c r="J30" s="45">
        <f t="shared" si="7"/>
        <v>1469.1263048719302</v>
      </c>
      <c r="K30" s="45">
        <f t="shared" si="7"/>
        <v>2344.5765105075743</v>
      </c>
      <c r="L30" s="45">
        <f t="shared" si="7"/>
        <v>3521.8760464475745</v>
      </c>
      <c r="M30" s="45">
        <f t="shared" si="7"/>
        <v>4784.1404454605072</v>
      </c>
      <c r="N30" s="4"/>
      <c r="O30" s="45">
        <f t="shared" ref="O30" si="8">M32</f>
        <v>5780.7443991019018</v>
      </c>
    </row>
    <row r="31" spans="1:15" x14ac:dyDescent="0.25">
      <c r="A31" s="10" t="s">
        <v>18</v>
      </c>
      <c r="B31" s="40">
        <f t="shared" ref="B31:M31" si="9">B23*B28/12</f>
        <v>0</v>
      </c>
      <c r="C31" s="40">
        <f t="shared" si="9"/>
        <v>43.097944120520744</v>
      </c>
      <c r="D31" s="40">
        <f t="shared" si="9"/>
        <v>10.083065235657442</v>
      </c>
      <c r="E31" s="40">
        <f t="shared" si="9"/>
        <v>-24.714950256427397</v>
      </c>
      <c r="F31" s="40">
        <f t="shared" si="9"/>
        <v>63.744988789308799</v>
      </c>
      <c r="G31" s="40">
        <f t="shared" si="9"/>
        <v>237.30874118612553</v>
      </c>
      <c r="H31" s="40">
        <f t="shared" si="9"/>
        <v>459.8886956014432</v>
      </c>
      <c r="I31" s="40">
        <f t="shared" si="9"/>
        <v>679.71782019530167</v>
      </c>
      <c r="J31" s="40">
        <f t="shared" si="9"/>
        <v>875.45020563564412</v>
      </c>
      <c r="K31" s="40">
        <f t="shared" si="9"/>
        <v>1177.2995359399999</v>
      </c>
      <c r="L31" s="40">
        <f t="shared" si="9"/>
        <v>1262.2643990129329</v>
      </c>
      <c r="M31" s="40">
        <f t="shared" si="9"/>
        <v>996.6039536413947</v>
      </c>
      <c r="N31" s="4"/>
      <c r="O31" s="40">
        <f>M25*O28</f>
        <v>11012.322931344737</v>
      </c>
    </row>
    <row r="32" spans="1:15" x14ac:dyDescent="0.25">
      <c r="A32" s="46" t="s">
        <v>19</v>
      </c>
      <c r="B32" s="18">
        <f>SUM(B30:B31)</f>
        <v>0</v>
      </c>
      <c r="C32" s="18">
        <f t="shared" ref="C32:M32" si="10">SUM(C30:C31)</f>
        <v>43.097944120520744</v>
      </c>
      <c r="D32" s="18">
        <f t="shared" si="10"/>
        <v>53.181009356178187</v>
      </c>
      <c r="E32" s="18">
        <f t="shared" si="10"/>
        <v>28.46605909975079</v>
      </c>
      <c r="F32" s="18">
        <f t="shared" si="10"/>
        <v>92.211047889059586</v>
      </c>
      <c r="G32" s="18">
        <f t="shared" si="10"/>
        <v>329.51978907518514</v>
      </c>
      <c r="H32" s="18">
        <f t="shared" si="10"/>
        <v>789.4084846766284</v>
      </c>
      <c r="I32" s="18">
        <f t="shared" si="10"/>
        <v>1469.1263048719302</v>
      </c>
      <c r="J32" s="18">
        <f t="shared" si="10"/>
        <v>2344.5765105075743</v>
      </c>
      <c r="K32" s="18">
        <f t="shared" si="10"/>
        <v>3521.8760464475745</v>
      </c>
      <c r="L32" s="18">
        <f t="shared" si="10"/>
        <v>4784.1404454605072</v>
      </c>
      <c r="M32" s="18">
        <f t="shared" si="10"/>
        <v>5780.7443991019018</v>
      </c>
      <c r="N32" s="4"/>
      <c r="O32" s="18">
        <f>SUM(O30:O31)</f>
        <v>16793.06733044664</v>
      </c>
    </row>
    <row r="33" spans="1:15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"/>
      <c r="O33" s="38"/>
    </row>
    <row r="34" spans="1:15" x14ac:dyDescent="0.25">
      <c r="E34" s="20"/>
      <c r="F34" s="20"/>
      <c r="G34" s="20"/>
      <c r="H34" s="20"/>
      <c r="I34" s="20"/>
    </row>
    <row r="35" spans="1:15" x14ac:dyDescent="0.25">
      <c r="A35" s="19" t="s">
        <v>90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5" ht="45" x14ac:dyDescent="0.25">
      <c r="A36" s="21"/>
      <c r="B36" s="21" t="s">
        <v>93</v>
      </c>
      <c r="C36" s="21" t="s">
        <v>33</v>
      </c>
      <c r="D36" s="21" t="s">
        <v>94</v>
      </c>
      <c r="E36" s="20"/>
      <c r="F36" s="20"/>
      <c r="G36" s="20"/>
      <c r="H36" s="20"/>
      <c r="I36" s="20"/>
      <c r="J36" s="22"/>
      <c r="K36" s="22"/>
      <c r="L36" s="20"/>
    </row>
    <row r="37" spans="1:15" x14ac:dyDescent="0.25">
      <c r="A37" s="91" t="s">
        <v>91</v>
      </c>
      <c r="B37" s="92">
        <f>M25</f>
        <v>200588.76013378392</v>
      </c>
      <c r="C37" s="92"/>
      <c r="D37" s="92">
        <f>B37+C37</f>
        <v>200588.76013378392</v>
      </c>
      <c r="E37" s="20"/>
      <c r="F37" s="20"/>
      <c r="G37" s="20"/>
      <c r="H37" s="20"/>
      <c r="I37" s="20"/>
      <c r="J37" s="20"/>
      <c r="K37" s="20"/>
      <c r="L37" s="20"/>
    </row>
    <row r="38" spans="1:15" x14ac:dyDescent="0.25">
      <c r="A38" s="23" t="s">
        <v>92</v>
      </c>
      <c r="B38" s="96">
        <f>M32</f>
        <v>5780.7443991019018</v>
      </c>
      <c r="C38" s="96">
        <f>O31</f>
        <v>11012.322931344737</v>
      </c>
      <c r="D38" s="96">
        <f t="shared" ref="D38:D39" si="11">B38+C38</f>
        <v>16793.06733044664</v>
      </c>
      <c r="E38" s="20"/>
      <c r="F38" s="20"/>
      <c r="G38" s="20"/>
      <c r="H38" s="20"/>
      <c r="I38" s="20"/>
      <c r="J38" s="28"/>
      <c r="K38" s="28"/>
      <c r="L38" s="20"/>
    </row>
    <row r="39" spans="1:15" x14ac:dyDescent="0.25">
      <c r="A39" s="29" t="s">
        <v>20</v>
      </c>
      <c r="B39" s="93">
        <f>B38+B37</f>
        <v>206369.50453288583</v>
      </c>
      <c r="C39" s="93">
        <f t="shared" ref="C39" si="12">C38+C37</f>
        <v>11012.322931344737</v>
      </c>
      <c r="D39" s="93">
        <f t="shared" si="11"/>
        <v>217381.82746423056</v>
      </c>
      <c r="E39" s="20"/>
      <c r="F39" s="20"/>
      <c r="G39" s="20"/>
      <c r="H39" s="20"/>
      <c r="I39" s="20"/>
      <c r="J39" s="20"/>
      <c r="K39" s="20"/>
      <c r="L39" s="20"/>
    </row>
    <row r="40" spans="1:15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2" spans="1:15" x14ac:dyDescent="0.25">
      <c r="A42" s="19" t="s">
        <v>35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5" x14ac:dyDescent="0.25">
      <c r="A43" s="21"/>
      <c r="B43" s="21" t="s">
        <v>21</v>
      </c>
      <c r="C43" s="21" t="s">
        <v>22</v>
      </c>
      <c r="D43" s="21" t="s">
        <v>32</v>
      </c>
      <c r="E43" s="21" t="s">
        <v>23</v>
      </c>
      <c r="F43" s="21" t="s">
        <v>24</v>
      </c>
      <c r="G43" s="21" t="s">
        <v>25</v>
      </c>
      <c r="H43" s="21" t="s">
        <v>26</v>
      </c>
      <c r="I43" s="22"/>
      <c r="J43" s="22"/>
      <c r="K43" s="22"/>
      <c r="L43" s="20"/>
    </row>
    <row r="44" spans="1:15" ht="16.5" x14ac:dyDescent="0.25">
      <c r="A44" s="23" t="s">
        <v>31</v>
      </c>
      <c r="B44" s="24" t="s">
        <v>37</v>
      </c>
      <c r="C44" s="25">
        <f>SUM(D44:H44)</f>
        <v>31715.762024721869</v>
      </c>
      <c r="D44" s="25">
        <f>'Load Forecast'!F18/1000</f>
        <v>26303.523946507044</v>
      </c>
      <c r="E44" s="25">
        <f>'Load Forecast'!G18/1000</f>
        <v>869.13110070635673</v>
      </c>
      <c r="F44" s="25">
        <f>'Load Forecast'!H18/1000</f>
        <v>1335.6181519738757</v>
      </c>
      <c r="G44" s="25">
        <f>'Load Forecast'!I18/1000</f>
        <v>2227.3286255345952</v>
      </c>
      <c r="H44" s="25">
        <f>'Load Forecast'!J18/1000</f>
        <v>980.16019999999992</v>
      </c>
      <c r="I44" s="20"/>
      <c r="J44" s="20"/>
      <c r="K44" s="20"/>
      <c r="L44" s="20"/>
    </row>
    <row r="45" spans="1:15" x14ac:dyDescent="0.25">
      <c r="A45" s="23" t="s">
        <v>29</v>
      </c>
      <c r="B45" s="26" t="s">
        <v>27</v>
      </c>
      <c r="C45" s="27">
        <f>SUM(D45:H45)</f>
        <v>1</v>
      </c>
      <c r="D45" s="27">
        <f>D44/$C$44</f>
        <v>0.82935178811103194</v>
      </c>
      <c r="E45" s="27">
        <f t="shared" ref="E45:H45" si="13">E44/$C$44</f>
        <v>2.7403759052955581E-2</v>
      </c>
      <c r="F45" s="27">
        <f t="shared" si="13"/>
        <v>4.211212553974851E-2</v>
      </c>
      <c r="G45" s="27">
        <f t="shared" si="13"/>
        <v>7.0227813659291316E-2</v>
      </c>
      <c r="H45" s="27">
        <f t="shared" si="13"/>
        <v>3.0904513636972764E-2</v>
      </c>
      <c r="I45" s="28"/>
      <c r="J45" s="28"/>
      <c r="K45" s="28"/>
      <c r="L45" s="20"/>
    </row>
    <row r="46" spans="1:15" x14ac:dyDescent="0.25">
      <c r="A46" s="29" t="s">
        <v>20</v>
      </c>
      <c r="B46" s="30" t="s">
        <v>28</v>
      </c>
      <c r="C46" s="31">
        <f>SUM(D46:H46)</f>
        <v>217381.82746423059</v>
      </c>
      <c r="D46" s="31">
        <f>D45*($O$32+$M$25)</f>
        <v>180286.00731030345</v>
      </c>
      <c r="E46" s="31">
        <f t="shared" ref="E46:H46" si="14">E45*($O$32+$M$25)</f>
        <v>5957.0792223209364</v>
      </c>
      <c r="F46" s="31">
        <f t="shared" si="14"/>
        <v>9154.4108082336279</v>
      </c>
      <c r="G46" s="31">
        <f t="shared" si="14"/>
        <v>15266.2504720742</v>
      </c>
      <c r="H46" s="31">
        <f t="shared" si="14"/>
        <v>6718.0796512983743</v>
      </c>
      <c r="I46" s="20"/>
      <c r="J46" s="20"/>
      <c r="K46" s="20"/>
      <c r="L46" s="20"/>
    </row>
    <row r="47" spans="1:15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9" spans="1:8" x14ac:dyDescent="0.25">
      <c r="A49" s="19" t="s">
        <v>101</v>
      </c>
      <c r="B49" s="20"/>
      <c r="C49" s="20"/>
      <c r="D49" s="20"/>
      <c r="E49" s="20"/>
      <c r="F49" s="20"/>
      <c r="G49" s="20"/>
      <c r="H49" s="20"/>
    </row>
    <row r="50" spans="1:8" x14ac:dyDescent="0.25">
      <c r="A50" s="21"/>
      <c r="B50" s="21" t="s">
        <v>21</v>
      </c>
      <c r="C50" s="21" t="s">
        <v>22</v>
      </c>
      <c r="D50" s="21" t="s">
        <v>32</v>
      </c>
      <c r="E50" s="21" t="s">
        <v>23</v>
      </c>
      <c r="F50" s="21" t="s">
        <v>24</v>
      </c>
      <c r="G50" s="21" t="s">
        <v>25</v>
      </c>
      <c r="H50" s="21" t="s">
        <v>26</v>
      </c>
    </row>
    <row r="51" spans="1:8" ht="16.5" x14ac:dyDescent="0.25">
      <c r="A51" s="23" t="s">
        <v>31</v>
      </c>
      <c r="B51" s="24" t="s">
        <v>37</v>
      </c>
      <c r="C51" s="25">
        <f>SUM(D51:H51)</f>
        <v>36391.177000000003</v>
      </c>
      <c r="D51" s="25">
        <f>'Load Forecast'!F7/1000</f>
        <v>28658.657999999999</v>
      </c>
      <c r="E51" s="25">
        <f>'Load Forecast'!G7/1000</f>
        <v>832.28099999999995</v>
      </c>
      <c r="F51" s="25">
        <f>'Load Forecast'!H7/1000</f>
        <v>3918.0360000000001</v>
      </c>
      <c r="G51" s="25">
        <f>'Load Forecast'!I7/1000</f>
        <v>2334.616</v>
      </c>
      <c r="H51" s="25">
        <f>'Load Forecast'!J7/1000</f>
        <v>647.58600000000001</v>
      </c>
    </row>
    <row r="52" spans="1:8" x14ac:dyDescent="0.25">
      <c r="A52" s="23" t="s">
        <v>29</v>
      </c>
      <c r="B52" s="26" t="s">
        <v>27</v>
      </c>
      <c r="C52" s="32">
        <f>C45</f>
        <v>1</v>
      </c>
      <c r="D52" s="32">
        <f t="shared" ref="D52:H52" si="15">D45</f>
        <v>0.82935178811103194</v>
      </c>
      <c r="E52" s="32">
        <f t="shared" si="15"/>
        <v>2.7403759052955581E-2</v>
      </c>
      <c r="F52" s="32">
        <f t="shared" si="15"/>
        <v>4.211212553974851E-2</v>
      </c>
      <c r="G52" s="32">
        <f t="shared" si="15"/>
        <v>7.0227813659291316E-2</v>
      </c>
      <c r="H52" s="32">
        <f t="shared" si="15"/>
        <v>3.0904513636972764E-2</v>
      </c>
    </row>
    <row r="53" spans="1:8" x14ac:dyDescent="0.25">
      <c r="A53" s="33" t="s">
        <v>20</v>
      </c>
      <c r="B53" s="34" t="s">
        <v>28</v>
      </c>
      <c r="C53" s="97">
        <f>SUM(D53:H53)</f>
        <v>217381.82746423059</v>
      </c>
      <c r="D53" s="35">
        <f>D51*D54*10</f>
        <v>180286.00731030345</v>
      </c>
      <c r="E53" s="35">
        <f t="shared" ref="E53:H53" si="16">E51*E54*10</f>
        <v>5957.0792223209364</v>
      </c>
      <c r="F53" s="35">
        <f t="shared" si="16"/>
        <v>9154.4108082336279</v>
      </c>
      <c r="G53" s="35">
        <f t="shared" si="16"/>
        <v>15266.2504720742</v>
      </c>
      <c r="H53" s="35">
        <f t="shared" si="16"/>
        <v>6718.0796512983743</v>
      </c>
    </row>
    <row r="54" spans="1:8" ht="17.25" x14ac:dyDescent="0.25">
      <c r="A54" s="29" t="s">
        <v>30</v>
      </c>
      <c r="B54" s="30" t="s">
        <v>38</v>
      </c>
      <c r="C54" s="36"/>
      <c r="D54" s="36">
        <f>D46/D51/10</f>
        <v>0.62908042417863208</v>
      </c>
      <c r="E54" s="36">
        <f t="shared" ref="E54:H54" si="17">E46/E51/10</f>
        <v>0.71575336002154766</v>
      </c>
      <c r="F54" s="36">
        <f t="shared" si="17"/>
        <v>0.23364795035659774</v>
      </c>
      <c r="G54" s="36">
        <f t="shared" si="17"/>
        <v>0.65390841457756654</v>
      </c>
      <c r="H54" s="36">
        <f t="shared" si="17"/>
        <v>1.037403472480624</v>
      </c>
    </row>
    <row r="57" spans="1:8" x14ac:dyDescent="0.25">
      <c r="A57" s="19" t="s">
        <v>98</v>
      </c>
      <c r="B57" s="20"/>
      <c r="C57" s="20"/>
      <c r="D57" s="20"/>
      <c r="E57" s="20"/>
      <c r="F57" s="20"/>
      <c r="G57" s="20"/>
      <c r="H57" s="20"/>
    </row>
    <row r="58" spans="1:8" x14ac:dyDescent="0.25">
      <c r="A58" s="21"/>
      <c r="B58" s="21" t="s">
        <v>21</v>
      </c>
      <c r="C58" s="21" t="s">
        <v>22</v>
      </c>
      <c r="D58" s="21" t="s">
        <v>32</v>
      </c>
      <c r="E58" s="21" t="s">
        <v>23</v>
      </c>
      <c r="F58" s="21" t="s">
        <v>24</v>
      </c>
      <c r="G58" s="21" t="s">
        <v>25</v>
      </c>
      <c r="H58" s="21" t="s">
        <v>26</v>
      </c>
    </row>
    <row r="59" spans="1:8" ht="16.5" x14ac:dyDescent="0.25">
      <c r="A59" s="23" t="s">
        <v>31</v>
      </c>
      <c r="B59" s="24" t="s">
        <v>37</v>
      </c>
      <c r="C59" s="25">
        <f>SUM(D59:H59)</f>
        <v>26069.181478073962</v>
      </c>
      <c r="D59" s="25">
        <f>('Load Forecast'!M7+'Load Forecast'!M8+'Load Forecast'!M9)/1000</f>
        <v>19590.713367154058</v>
      </c>
      <c r="E59" s="25">
        <f>'Load Forecast'!M10/1000</f>
        <v>797.93821948383845</v>
      </c>
      <c r="F59" s="25">
        <f>'Load Forecast'!M11/1000</f>
        <v>2741.0086261730785</v>
      </c>
      <c r="G59" s="25">
        <f>'Load Forecast'!M12/1000</f>
        <v>2298.7417451240976</v>
      </c>
      <c r="H59" s="25">
        <f>'Load Forecast'!M13/1000</f>
        <v>640.77952013888819</v>
      </c>
    </row>
    <row r="60" spans="1:8" x14ac:dyDescent="0.25">
      <c r="A60" s="23" t="s">
        <v>29</v>
      </c>
      <c r="B60" s="26" t="s">
        <v>27</v>
      </c>
      <c r="C60" s="27">
        <f>SUM(D60:H60)</f>
        <v>1</v>
      </c>
      <c r="D60" s="27">
        <f>D52</f>
        <v>0.82935178811103194</v>
      </c>
      <c r="E60" s="27">
        <f t="shared" ref="E60:H60" si="18">E52</f>
        <v>2.7403759052955581E-2</v>
      </c>
      <c r="F60" s="27">
        <f t="shared" si="18"/>
        <v>4.211212553974851E-2</v>
      </c>
      <c r="G60" s="27">
        <f t="shared" si="18"/>
        <v>7.0227813659291316E-2</v>
      </c>
      <c r="H60" s="27">
        <f t="shared" si="18"/>
        <v>3.0904513636972764E-2</v>
      </c>
    </row>
    <row r="61" spans="1:8" x14ac:dyDescent="0.25">
      <c r="A61" s="33" t="s">
        <v>20</v>
      </c>
      <c r="B61" s="34" t="s">
        <v>28</v>
      </c>
      <c r="C61" s="97">
        <f>SUM(D61:H61)</f>
        <v>217381.82746423056</v>
      </c>
      <c r="D61" s="35">
        <f>D59*D62*10</f>
        <v>180286.00731030342</v>
      </c>
      <c r="E61" s="35">
        <f t="shared" ref="E61:H61" si="19">E59*E62*10</f>
        <v>5957.0792223209364</v>
      </c>
      <c r="F61" s="35">
        <f t="shared" si="19"/>
        <v>9154.4108082336279</v>
      </c>
      <c r="G61" s="35">
        <f t="shared" si="19"/>
        <v>15266.2504720742</v>
      </c>
      <c r="H61" s="35">
        <f t="shared" si="19"/>
        <v>6718.0796512983752</v>
      </c>
    </row>
    <row r="62" spans="1:8" ht="17.25" x14ac:dyDescent="0.25">
      <c r="A62" s="29" t="s">
        <v>30</v>
      </c>
      <c r="B62" s="30" t="s">
        <v>38</v>
      </c>
      <c r="C62" s="36"/>
      <c r="D62" s="36">
        <f>D46/D59/10</f>
        <v>0.92026259550391032</v>
      </c>
      <c r="E62" s="36">
        <f t="shared" ref="E62:H62" si="20">E46/E59/10</f>
        <v>0.74655895367117353</v>
      </c>
      <c r="F62" s="36">
        <f t="shared" si="20"/>
        <v>0.3339796424141418</v>
      </c>
      <c r="G62" s="36">
        <f t="shared" si="20"/>
        <v>0.66411333523897231</v>
      </c>
      <c r="H62" s="36">
        <f t="shared" si="20"/>
        <v>1.0484229661151216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6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1"/>
  <sheetViews>
    <sheetView showGridLines="0" zoomScale="85" zoomScaleNormal="85" zoomScaleSheetLayoutView="85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V50" sqref="V50"/>
    </sheetView>
  </sheetViews>
  <sheetFormatPr defaultColWidth="9.140625" defaultRowHeight="14.25" x14ac:dyDescent="0.2"/>
  <cols>
    <col min="1" max="1" width="44.5703125" style="51" customWidth="1"/>
    <col min="2" max="6" width="11.7109375" style="51" bestFit="1" customWidth="1"/>
    <col min="7" max="8" width="10.7109375" style="51" bestFit="1" customWidth="1"/>
    <col min="9" max="9" width="10" style="51" bestFit="1" customWidth="1"/>
    <col min="10" max="13" width="11.7109375" style="51" bestFit="1" customWidth="1"/>
    <col min="14" max="18" width="11.7109375" style="51" customWidth="1"/>
    <col min="19" max="19" width="10.7109375" style="51" customWidth="1"/>
    <col min="20" max="21" width="10" style="51" customWidth="1"/>
    <col min="22" max="25" width="11.7109375" style="51" customWidth="1"/>
    <col min="26" max="26" width="11.7109375" style="51" customWidth="1" collapsed="1"/>
    <col min="27" max="30" width="11.7109375" style="51" customWidth="1"/>
    <col min="31" max="31" width="11" style="51" customWidth="1"/>
    <col min="32" max="32" width="10.7109375" style="51" customWidth="1"/>
    <col min="33" max="33" width="10" style="51" customWidth="1"/>
    <col min="34" max="37" width="11.7109375" style="51" customWidth="1"/>
    <col min="38" max="42" width="11.7109375" style="51" bestFit="1" customWidth="1"/>
    <col min="43" max="43" width="10" style="51" bestFit="1" customWidth="1"/>
    <col min="44" max="44" width="10.7109375" style="51" bestFit="1" customWidth="1"/>
    <col min="45" max="48" width="11.7109375" style="51" bestFit="1" customWidth="1"/>
    <col min="49" max="49" width="12.140625" style="51" bestFit="1" customWidth="1"/>
    <col min="50" max="50" width="10" style="51" bestFit="1" customWidth="1"/>
    <col min="51" max="51" width="9.28515625" style="51" bestFit="1" customWidth="1"/>
    <col min="52" max="16384" width="9.140625" style="51"/>
  </cols>
  <sheetData>
    <row r="1" spans="1:51" ht="15" x14ac:dyDescent="0.25">
      <c r="A1" s="5" t="s">
        <v>0</v>
      </c>
    </row>
    <row r="2" spans="1:51" ht="15" x14ac:dyDescent="0.25">
      <c r="A2" s="5" t="s">
        <v>96</v>
      </c>
    </row>
    <row r="3" spans="1:51" ht="15" x14ac:dyDescent="0.25">
      <c r="A3" s="5" t="s">
        <v>52</v>
      </c>
    </row>
    <row r="4" spans="1:51" ht="15" x14ac:dyDescent="0.25">
      <c r="A4" s="5" t="s">
        <v>53</v>
      </c>
    </row>
    <row r="5" spans="1:51" ht="15" x14ac:dyDescent="0.25">
      <c r="A5" s="54"/>
      <c r="B5" s="55">
        <v>2020</v>
      </c>
      <c r="C5" s="55">
        <v>2020</v>
      </c>
      <c r="D5" s="55">
        <v>2020</v>
      </c>
      <c r="E5" s="55">
        <v>2020</v>
      </c>
      <c r="F5" s="55">
        <v>2020</v>
      </c>
      <c r="G5" s="55">
        <v>2020</v>
      </c>
      <c r="H5" s="55">
        <v>2020</v>
      </c>
      <c r="I5" s="55">
        <v>2020</v>
      </c>
      <c r="J5" s="55">
        <v>2020</v>
      </c>
      <c r="K5" s="55">
        <v>2020</v>
      </c>
      <c r="L5" s="55">
        <v>2020</v>
      </c>
      <c r="M5" s="55">
        <v>2020</v>
      </c>
      <c r="N5" s="55">
        <v>2021</v>
      </c>
      <c r="O5" s="55">
        <v>2021</v>
      </c>
      <c r="P5" s="55">
        <v>2021</v>
      </c>
      <c r="Q5" s="55">
        <v>2021</v>
      </c>
      <c r="R5" s="55">
        <v>2021</v>
      </c>
      <c r="S5" s="55">
        <v>2021</v>
      </c>
      <c r="T5" s="55">
        <v>2021</v>
      </c>
      <c r="U5" s="55">
        <v>2021</v>
      </c>
      <c r="V5" s="55">
        <v>2021</v>
      </c>
      <c r="W5" s="55">
        <v>2021</v>
      </c>
      <c r="X5" s="55">
        <v>2021</v>
      </c>
      <c r="Y5" s="55">
        <v>2021</v>
      </c>
      <c r="Z5" s="55">
        <v>2022</v>
      </c>
      <c r="AA5" s="55">
        <v>2022</v>
      </c>
      <c r="AB5" s="55">
        <v>2022</v>
      </c>
      <c r="AC5" s="55">
        <v>2022</v>
      </c>
      <c r="AD5" s="55">
        <v>2022</v>
      </c>
      <c r="AE5" s="55">
        <v>2022</v>
      </c>
      <c r="AF5" s="55">
        <v>2022</v>
      </c>
      <c r="AG5" s="55">
        <v>2022</v>
      </c>
      <c r="AH5" s="55">
        <v>2022</v>
      </c>
      <c r="AI5" s="55">
        <v>2022</v>
      </c>
      <c r="AJ5" s="55">
        <v>2022</v>
      </c>
      <c r="AK5" s="55">
        <v>2022</v>
      </c>
      <c r="AL5" s="55">
        <v>2023</v>
      </c>
      <c r="AM5" s="55">
        <v>2023</v>
      </c>
      <c r="AN5" s="55">
        <v>2023</v>
      </c>
      <c r="AO5" s="55">
        <v>2023</v>
      </c>
      <c r="AP5" s="55">
        <v>2023</v>
      </c>
      <c r="AQ5" s="55">
        <v>2023</v>
      </c>
      <c r="AR5" s="55">
        <v>2023</v>
      </c>
      <c r="AS5" s="55">
        <v>2023</v>
      </c>
      <c r="AT5" s="55">
        <v>2023</v>
      </c>
      <c r="AU5" s="55">
        <v>2023</v>
      </c>
      <c r="AV5" s="55">
        <v>2023</v>
      </c>
      <c r="AW5" s="55">
        <v>2023</v>
      </c>
      <c r="AX5" s="55">
        <v>2024</v>
      </c>
    </row>
    <row r="6" spans="1:51" ht="15" x14ac:dyDescent="0.25">
      <c r="A6" s="56"/>
      <c r="B6" s="57" t="s">
        <v>1</v>
      </c>
      <c r="C6" s="57" t="s">
        <v>2</v>
      </c>
      <c r="D6" s="57" t="s">
        <v>3</v>
      </c>
      <c r="E6" s="57" t="s">
        <v>4</v>
      </c>
      <c r="F6" s="57" t="s">
        <v>5</v>
      </c>
      <c r="G6" s="57" t="s">
        <v>6</v>
      </c>
      <c r="H6" s="57" t="s">
        <v>7</v>
      </c>
      <c r="I6" s="57" t="s">
        <v>8</v>
      </c>
      <c r="J6" s="57" t="s">
        <v>9</v>
      </c>
      <c r="K6" s="57" t="s">
        <v>10</v>
      </c>
      <c r="L6" s="57" t="s">
        <v>11</v>
      </c>
      <c r="M6" s="57" t="s">
        <v>12</v>
      </c>
      <c r="N6" s="57" t="s">
        <v>1</v>
      </c>
      <c r="O6" s="57" t="s">
        <v>2</v>
      </c>
      <c r="P6" s="57" t="s">
        <v>3</v>
      </c>
      <c r="Q6" s="57" t="s">
        <v>4</v>
      </c>
      <c r="R6" s="57" t="s">
        <v>5</v>
      </c>
      <c r="S6" s="57" t="s">
        <v>6</v>
      </c>
      <c r="T6" s="57" t="s">
        <v>7</v>
      </c>
      <c r="U6" s="57" t="s">
        <v>8</v>
      </c>
      <c r="V6" s="57" t="s">
        <v>9</v>
      </c>
      <c r="W6" s="57" t="s">
        <v>10</v>
      </c>
      <c r="X6" s="57" t="s">
        <v>11</v>
      </c>
      <c r="Y6" s="57" t="s">
        <v>12</v>
      </c>
      <c r="Z6" s="57" t="s">
        <v>1</v>
      </c>
      <c r="AA6" s="57" t="s">
        <v>2</v>
      </c>
      <c r="AB6" s="57" t="s">
        <v>3</v>
      </c>
      <c r="AC6" s="57" t="s">
        <v>4</v>
      </c>
      <c r="AD6" s="57" t="s">
        <v>5</v>
      </c>
      <c r="AE6" s="57" t="s">
        <v>6</v>
      </c>
      <c r="AF6" s="57" t="s">
        <v>7</v>
      </c>
      <c r="AG6" s="57" t="s">
        <v>8</v>
      </c>
      <c r="AH6" s="57" t="s">
        <v>9</v>
      </c>
      <c r="AI6" s="57" t="s">
        <v>10</v>
      </c>
      <c r="AJ6" s="57" t="s">
        <v>11</v>
      </c>
      <c r="AK6" s="57" t="s">
        <v>12</v>
      </c>
      <c r="AL6" s="57" t="s">
        <v>1</v>
      </c>
      <c r="AM6" s="57" t="s">
        <v>2</v>
      </c>
      <c r="AN6" s="57" t="s">
        <v>3</v>
      </c>
      <c r="AO6" s="57" t="s">
        <v>4</v>
      </c>
      <c r="AP6" s="57" t="s">
        <v>5</v>
      </c>
      <c r="AQ6" s="57" t="s">
        <v>6</v>
      </c>
      <c r="AR6" s="57" t="s">
        <v>7</v>
      </c>
      <c r="AS6" s="57" t="s">
        <v>8</v>
      </c>
      <c r="AT6" s="57" t="s">
        <v>9</v>
      </c>
      <c r="AU6" s="57" t="s">
        <v>10</v>
      </c>
      <c r="AV6" s="57" t="s">
        <v>11</v>
      </c>
      <c r="AW6" s="57" t="s">
        <v>12</v>
      </c>
      <c r="AX6" s="57" t="s">
        <v>54</v>
      </c>
    </row>
    <row r="7" spans="1:51" ht="15" x14ac:dyDescent="0.25">
      <c r="A7" s="58" t="s">
        <v>55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</row>
    <row r="8" spans="1:51" x14ac:dyDescent="0.2">
      <c r="A8" s="59" t="s">
        <v>56</v>
      </c>
      <c r="B8" s="60">
        <v>3704418</v>
      </c>
      <c r="C8" s="60">
        <v>3735720</v>
      </c>
      <c r="D8" s="60">
        <v>2895343</v>
      </c>
      <c r="E8" s="60">
        <v>2217476</v>
      </c>
      <c r="F8" s="60">
        <v>1298750.3</v>
      </c>
      <c r="G8" s="60">
        <v>544359.78019999992</v>
      </c>
      <c r="H8" s="60">
        <v>504478.8</v>
      </c>
      <c r="I8" s="60">
        <v>603346.80000000005</v>
      </c>
      <c r="J8" s="60">
        <v>760646.9</v>
      </c>
      <c r="K8" s="60">
        <v>2494805.7999999998</v>
      </c>
      <c r="L8" s="60">
        <v>3227599</v>
      </c>
      <c r="M8" s="60">
        <v>3635245</v>
      </c>
      <c r="N8" s="60">
        <v>3979666.1</v>
      </c>
      <c r="O8" s="60">
        <v>4124949.8</v>
      </c>
      <c r="P8" s="60">
        <v>2895842.0457000001</v>
      </c>
      <c r="Q8" s="60">
        <v>1827327.2</v>
      </c>
      <c r="R8" s="60">
        <v>1215445.7</v>
      </c>
      <c r="S8" s="60">
        <v>530616.5</v>
      </c>
      <c r="T8" s="60">
        <v>540512.5</v>
      </c>
      <c r="U8" s="60">
        <v>706004.29999999993</v>
      </c>
      <c r="V8" s="60">
        <v>867782.1</v>
      </c>
      <c r="W8" s="60">
        <v>2216538.4</v>
      </c>
      <c r="X8" s="60">
        <v>3938962.6</v>
      </c>
      <c r="Y8" s="60">
        <v>3460888</v>
      </c>
      <c r="Z8" s="60">
        <v>3832858</v>
      </c>
      <c r="AA8" s="60">
        <v>3143879.9</v>
      </c>
      <c r="AB8" s="60">
        <v>2617346.7000000002</v>
      </c>
      <c r="AC8" s="60">
        <v>1474995.7</v>
      </c>
      <c r="AD8" s="60">
        <v>346163.5</v>
      </c>
      <c r="AE8" s="60">
        <v>1211.5999999999999</v>
      </c>
      <c r="AF8" s="60">
        <v>22087.9</v>
      </c>
      <c r="AG8" s="60">
        <v>35077.300000000003</v>
      </c>
      <c r="AH8" s="60">
        <v>237956.3</v>
      </c>
      <c r="AI8" s="60">
        <v>1635949.5</v>
      </c>
      <c r="AJ8" s="60">
        <v>2631958.1</v>
      </c>
      <c r="AK8" s="60">
        <v>3055328.3</v>
      </c>
      <c r="AL8" s="60">
        <v>2936871.4</v>
      </c>
      <c r="AM8" s="60">
        <v>2735605.1</v>
      </c>
      <c r="AN8" s="60">
        <v>2684896.8</v>
      </c>
      <c r="AO8" s="60">
        <v>1309753</v>
      </c>
      <c r="AP8" s="60">
        <v>498256.9</v>
      </c>
      <c r="AQ8" s="60">
        <v>115231.2</v>
      </c>
      <c r="AR8" s="60">
        <v>93509.6</v>
      </c>
      <c r="AS8" s="60">
        <v>78380.2</v>
      </c>
      <c r="AT8" s="60">
        <v>44485.9</v>
      </c>
      <c r="AU8" s="60">
        <v>1030828.9</v>
      </c>
      <c r="AV8" s="60">
        <v>3391614</v>
      </c>
      <c r="AW8" s="56">
        <v>2377262</v>
      </c>
      <c r="AX8" s="56"/>
    </row>
    <row r="9" spans="1:51" x14ac:dyDescent="0.2">
      <c r="A9" s="59" t="s">
        <v>57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>
        <v>70125.100000000006</v>
      </c>
      <c r="AA9" s="60">
        <v>75140</v>
      </c>
      <c r="AB9" s="60">
        <v>70125.100000000006</v>
      </c>
      <c r="AC9" s="60">
        <v>67673.899999999994</v>
      </c>
      <c r="AD9" s="60">
        <v>67983.8</v>
      </c>
      <c r="AE9" s="60">
        <v>61954.6</v>
      </c>
      <c r="AF9" s="60">
        <v>67025.899999999994</v>
      </c>
      <c r="AG9" s="60">
        <v>75619</v>
      </c>
      <c r="AH9" s="60">
        <v>68603.7</v>
      </c>
      <c r="AI9" s="60">
        <v>69477.100000000006</v>
      </c>
      <c r="AJ9" s="60">
        <v>80183.199999999997</v>
      </c>
      <c r="AK9" s="60">
        <v>79986</v>
      </c>
      <c r="AL9" s="60">
        <v>80380.42</v>
      </c>
      <c r="AM9" s="60">
        <v>71731</v>
      </c>
      <c r="AN9" s="60">
        <v>74717.421000000002</v>
      </c>
      <c r="AO9" s="60">
        <v>74576.551999999996</v>
      </c>
      <c r="AP9" s="60">
        <v>74971</v>
      </c>
      <c r="AQ9" s="60">
        <v>68941.8</v>
      </c>
      <c r="AR9" s="60">
        <v>68237.5</v>
      </c>
      <c r="AS9" s="60">
        <v>77478.5</v>
      </c>
      <c r="AT9" s="60">
        <v>74069.42</v>
      </c>
      <c r="AU9" s="60">
        <v>81817.27</v>
      </c>
      <c r="AV9" s="60">
        <v>77478.47</v>
      </c>
      <c r="AW9" s="56">
        <v>74520.2</v>
      </c>
      <c r="AX9" s="56"/>
    </row>
    <row r="10" spans="1:51" x14ac:dyDescent="0.2">
      <c r="A10" s="59" t="s">
        <v>58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>
        <v>1233261.98</v>
      </c>
      <c r="AA10" s="60">
        <v>956378.36</v>
      </c>
      <c r="AB10" s="60">
        <v>835578.04</v>
      </c>
      <c r="AC10" s="60">
        <v>815501.28</v>
      </c>
      <c r="AD10" s="60">
        <v>515539.3</v>
      </c>
      <c r="AE10" s="60">
        <v>503334.4903</v>
      </c>
      <c r="AF10" s="60">
        <v>443925.61</v>
      </c>
      <c r="AG10" s="60">
        <v>492687.48299999989</v>
      </c>
      <c r="AH10" s="60">
        <v>524062.2868</v>
      </c>
      <c r="AI10" s="60">
        <v>722933.00999999978</v>
      </c>
      <c r="AJ10" s="60">
        <v>937490.91899999999</v>
      </c>
      <c r="AK10" s="60">
        <v>956463.30900000001</v>
      </c>
      <c r="AL10" s="60">
        <v>937519.24</v>
      </c>
      <c r="AM10" s="60">
        <v>849509.99999999988</v>
      </c>
      <c r="AN10" s="60">
        <v>870039.82499999972</v>
      </c>
      <c r="AO10" s="60">
        <v>651375.95099999988</v>
      </c>
      <c r="AP10" s="60">
        <v>576987.19199999992</v>
      </c>
      <c r="AQ10" s="60">
        <v>472440.82799999998</v>
      </c>
      <c r="AR10" s="60">
        <v>385507.64</v>
      </c>
      <c r="AS10" s="60">
        <v>542978.47499999998</v>
      </c>
      <c r="AT10" s="60">
        <v>610118.07999999996</v>
      </c>
      <c r="AU10" s="60">
        <v>594373.82999999996</v>
      </c>
      <c r="AV10" s="60">
        <v>932507.13</v>
      </c>
      <c r="AW10" s="56">
        <v>793130.85</v>
      </c>
      <c r="AX10" s="56"/>
    </row>
    <row r="11" spans="1:51" x14ac:dyDescent="0.2">
      <c r="A11" s="59" t="s">
        <v>59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>
        <v>76126.120979999992</v>
      </c>
      <c r="AS11" s="60">
        <v>123796.51205999999</v>
      </c>
      <c r="AT11" s="60">
        <v>104976.28674</v>
      </c>
      <c r="AU11" s="60">
        <v>326057.59000000003</v>
      </c>
      <c r="AV11" s="60">
        <v>282838.68560999999</v>
      </c>
      <c r="AW11" s="56">
        <v>311322.58949999994</v>
      </c>
      <c r="AX11" s="56"/>
    </row>
    <row r="12" spans="1:51" x14ac:dyDescent="0.2">
      <c r="A12" s="59" t="s">
        <v>60</v>
      </c>
      <c r="B12" s="61">
        <v>404869.3</v>
      </c>
      <c r="C12" s="61">
        <v>344441.7</v>
      </c>
      <c r="D12" s="61">
        <v>283470.2</v>
      </c>
      <c r="E12" s="61">
        <v>238227</v>
      </c>
      <c r="F12" s="61">
        <v>129406.39999999999</v>
      </c>
      <c r="G12" s="61">
        <v>59148</v>
      </c>
      <c r="H12" s="61">
        <v>59644</v>
      </c>
      <c r="I12" s="61">
        <v>94053.7</v>
      </c>
      <c r="J12" s="61">
        <v>213633.8</v>
      </c>
      <c r="K12" s="61">
        <v>210201.5</v>
      </c>
      <c r="L12" s="61">
        <v>776922.8</v>
      </c>
      <c r="M12" s="61">
        <v>320184</v>
      </c>
      <c r="N12" s="61">
        <v>374634.2</v>
      </c>
      <c r="O12" s="61">
        <v>374182.2</v>
      </c>
      <c r="P12" s="61">
        <v>276355.90000000002</v>
      </c>
      <c r="Q12" s="61">
        <v>208154.3</v>
      </c>
      <c r="R12" s="61">
        <v>116742.2</v>
      </c>
      <c r="S12" s="61">
        <v>59841.599999999999</v>
      </c>
      <c r="T12" s="61">
        <v>74044</v>
      </c>
      <c r="U12" s="61">
        <v>142233.20000000001</v>
      </c>
      <c r="V12" s="61">
        <v>226050.2</v>
      </c>
      <c r="W12" s="61">
        <v>352639</v>
      </c>
      <c r="X12" s="61">
        <v>973287.1</v>
      </c>
      <c r="Y12" s="61">
        <v>394409.9</v>
      </c>
      <c r="Z12" s="61">
        <v>496164.5</v>
      </c>
      <c r="AA12" s="61">
        <v>441844.4</v>
      </c>
      <c r="AB12" s="61">
        <v>406946.3</v>
      </c>
      <c r="AC12" s="61">
        <v>287664</v>
      </c>
      <c r="AD12" s="61">
        <v>170308.2</v>
      </c>
      <c r="AE12" s="61">
        <v>114471</v>
      </c>
      <c r="AF12" s="61">
        <v>87618.4</v>
      </c>
      <c r="AG12" s="61">
        <v>150250.20000000001</v>
      </c>
      <c r="AH12" s="61">
        <v>247502.8</v>
      </c>
      <c r="AI12" s="61">
        <v>320019.20000000001</v>
      </c>
      <c r="AJ12" s="61">
        <v>933826.8</v>
      </c>
      <c r="AK12" s="61">
        <v>452789.1</v>
      </c>
      <c r="AL12" s="61">
        <v>327459.20000000001</v>
      </c>
      <c r="AM12" s="61">
        <v>326253.2</v>
      </c>
      <c r="AN12" s="61">
        <v>359720.9</v>
      </c>
      <c r="AO12" s="61">
        <v>230541</v>
      </c>
      <c r="AP12" s="61">
        <v>135116.6</v>
      </c>
      <c r="AQ12" s="61">
        <v>73107</v>
      </c>
      <c r="AR12" s="61">
        <v>108329.5</v>
      </c>
      <c r="AS12" s="61">
        <v>177983.4</v>
      </c>
      <c r="AT12" s="61">
        <v>218088</v>
      </c>
      <c r="AU12" s="61">
        <v>328885.2</v>
      </c>
      <c r="AV12" s="61">
        <v>1407576</v>
      </c>
      <c r="AW12" s="61">
        <v>558685.1</v>
      </c>
      <c r="AX12" s="56"/>
    </row>
    <row r="13" spans="1:51" ht="15" x14ac:dyDescent="0.25">
      <c r="A13" s="59" t="s">
        <v>65</v>
      </c>
      <c r="B13" s="60">
        <f t="shared" ref="B13:M13" si="0">SUM(B8:B12)</f>
        <v>4109287.3</v>
      </c>
      <c r="C13" s="60">
        <f t="shared" si="0"/>
        <v>4080161.7</v>
      </c>
      <c r="D13" s="60">
        <f t="shared" si="0"/>
        <v>3178813.2</v>
      </c>
      <c r="E13" s="60">
        <f t="shared" si="0"/>
        <v>2455703</v>
      </c>
      <c r="F13" s="60">
        <f t="shared" si="0"/>
        <v>1428156.7</v>
      </c>
      <c r="G13" s="60">
        <f t="shared" si="0"/>
        <v>603507.78019999992</v>
      </c>
      <c r="H13" s="60">
        <f t="shared" si="0"/>
        <v>564122.80000000005</v>
      </c>
      <c r="I13" s="60">
        <f t="shared" si="0"/>
        <v>697400.5</v>
      </c>
      <c r="J13" s="60">
        <f t="shared" si="0"/>
        <v>974280.7</v>
      </c>
      <c r="K13" s="60">
        <f t="shared" si="0"/>
        <v>2705007.3</v>
      </c>
      <c r="L13" s="60">
        <f t="shared" si="0"/>
        <v>4004521.8</v>
      </c>
      <c r="M13" s="60">
        <f t="shared" si="0"/>
        <v>3955429</v>
      </c>
      <c r="N13" s="60">
        <f t="shared" ref="N13:AW13" si="1">SUM(N8:N12)</f>
        <v>4354300.3</v>
      </c>
      <c r="O13" s="60">
        <f t="shared" si="1"/>
        <v>4499132</v>
      </c>
      <c r="P13" s="60">
        <f t="shared" si="1"/>
        <v>3172197.9457</v>
      </c>
      <c r="Q13" s="60">
        <f t="shared" si="1"/>
        <v>2035481.5</v>
      </c>
      <c r="R13" s="60">
        <f t="shared" si="1"/>
        <v>1332187.8999999999</v>
      </c>
      <c r="S13" s="60">
        <f t="shared" si="1"/>
        <v>590458.1</v>
      </c>
      <c r="T13" s="60">
        <f t="shared" si="1"/>
        <v>614556.5</v>
      </c>
      <c r="U13" s="60">
        <f t="shared" si="1"/>
        <v>848237.5</v>
      </c>
      <c r="V13" s="60">
        <f t="shared" si="1"/>
        <v>1093832.3</v>
      </c>
      <c r="W13" s="60">
        <f t="shared" si="1"/>
        <v>2569177.4</v>
      </c>
      <c r="X13" s="60">
        <f t="shared" si="1"/>
        <v>4912249.7</v>
      </c>
      <c r="Y13" s="60">
        <f t="shared" si="1"/>
        <v>3855297.9</v>
      </c>
      <c r="Z13" s="60">
        <f t="shared" si="1"/>
        <v>5632409.5800000001</v>
      </c>
      <c r="AA13" s="60">
        <f t="shared" si="1"/>
        <v>4617242.66</v>
      </c>
      <c r="AB13" s="60">
        <f t="shared" si="1"/>
        <v>3929996.14</v>
      </c>
      <c r="AC13" s="60">
        <f t="shared" si="1"/>
        <v>2645834.88</v>
      </c>
      <c r="AD13" s="60">
        <f t="shared" si="1"/>
        <v>1099994.8</v>
      </c>
      <c r="AE13" s="60">
        <f t="shared" si="1"/>
        <v>680971.69030000002</v>
      </c>
      <c r="AF13" s="60">
        <f t="shared" si="1"/>
        <v>620657.80999999994</v>
      </c>
      <c r="AG13" s="60">
        <f t="shared" si="1"/>
        <v>753633.98300000001</v>
      </c>
      <c r="AH13" s="60">
        <f t="shared" si="1"/>
        <v>1078125.0867999999</v>
      </c>
      <c r="AI13" s="60">
        <f t="shared" si="1"/>
        <v>2748378.81</v>
      </c>
      <c r="AJ13" s="60">
        <f t="shared" si="1"/>
        <v>4583459.0190000003</v>
      </c>
      <c r="AK13" s="60">
        <f t="shared" si="1"/>
        <v>4544566.7089999998</v>
      </c>
      <c r="AL13" s="60">
        <f t="shared" si="1"/>
        <v>4282230.26</v>
      </c>
      <c r="AM13" s="60">
        <f t="shared" si="1"/>
        <v>3983099.3000000003</v>
      </c>
      <c r="AN13" s="60">
        <f t="shared" si="1"/>
        <v>3989374.9459999995</v>
      </c>
      <c r="AO13" s="60">
        <f t="shared" si="1"/>
        <v>2266246.5029999996</v>
      </c>
      <c r="AP13" s="60">
        <f t="shared" si="1"/>
        <v>1285331.692</v>
      </c>
      <c r="AQ13" s="60">
        <f t="shared" si="1"/>
        <v>729720.82799999998</v>
      </c>
      <c r="AR13" s="60">
        <f t="shared" si="1"/>
        <v>731710.36098</v>
      </c>
      <c r="AS13" s="60">
        <f t="shared" si="1"/>
        <v>1000617.08706</v>
      </c>
      <c r="AT13" s="60">
        <f t="shared" si="1"/>
        <v>1051737.6867399998</v>
      </c>
      <c r="AU13" s="60">
        <f t="shared" si="1"/>
        <v>2361962.79</v>
      </c>
      <c r="AV13" s="60">
        <f t="shared" si="1"/>
        <v>6092014.2856100006</v>
      </c>
      <c r="AW13" s="60">
        <f t="shared" si="1"/>
        <v>4114920.7395000001</v>
      </c>
      <c r="AX13" s="56"/>
      <c r="AY13" s="52"/>
    </row>
    <row r="14" spans="1:51" ht="8.25" customHeight="1" x14ac:dyDescent="0.2">
      <c r="A14" s="56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56"/>
    </row>
    <row r="15" spans="1:51" ht="15" x14ac:dyDescent="0.25">
      <c r="A15" s="56" t="s">
        <v>66</v>
      </c>
      <c r="B15" s="60">
        <v>4073185.3211066369</v>
      </c>
      <c r="C15" s="60">
        <v>3746060.6132902065</v>
      </c>
      <c r="D15" s="60">
        <v>3198284.096558413</v>
      </c>
      <c r="E15" s="60">
        <v>2428181.942035594</v>
      </c>
      <c r="F15" s="60">
        <v>1516711.4559057984</v>
      </c>
      <c r="G15" s="60">
        <v>722032.40015336592</v>
      </c>
      <c r="H15" s="60">
        <v>680732.55492773</v>
      </c>
      <c r="I15" s="60">
        <v>784670.02622254018</v>
      </c>
      <c r="J15" s="60">
        <v>1129282.2915324375</v>
      </c>
      <c r="K15" s="60">
        <v>2930115.7181800003</v>
      </c>
      <c r="L15" s="60">
        <v>3476801.5327009447</v>
      </c>
      <c r="M15" s="60">
        <v>3629583.9373732884</v>
      </c>
      <c r="N15" s="60">
        <v>4496864.0745371887</v>
      </c>
      <c r="O15" s="60">
        <v>3916680.0417949259</v>
      </c>
      <c r="P15" s="60">
        <v>3097116.3711970076</v>
      </c>
      <c r="Q15" s="60">
        <v>2039425.8215156049</v>
      </c>
      <c r="R15" s="60">
        <v>1422818.1062768297</v>
      </c>
      <c r="S15" s="60">
        <v>742138.1490960361</v>
      </c>
      <c r="T15" s="60">
        <v>704650.30456347065</v>
      </c>
      <c r="U15" s="60">
        <v>825366.88753912994</v>
      </c>
      <c r="V15" s="60">
        <v>1071472.4827963777</v>
      </c>
      <c r="W15" s="60">
        <v>2816019.0495508309</v>
      </c>
      <c r="X15" s="60">
        <v>4275032.6097056391</v>
      </c>
      <c r="Y15" s="60">
        <v>4334830.0192163866</v>
      </c>
      <c r="Z15" s="60">
        <v>4647027.2481907886</v>
      </c>
      <c r="AA15" s="60">
        <v>4484968.6023208564</v>
      </c>
      <c r="AB15" s="60">
        <v>3826388.9114763224</v>
      </c>
      <c r="AC15" s="60">
        <v>2626853.3856959413</v>
      </c>
      <c r="AD15" s="60">
        <v>1342043.4064770122</v>
      </c>
      <c r="AE15" s="60">
        <v>767515.689790342</v>
      </c>
      <c r="AF15" s="60">
        <v>721298.77222961432</v>
      </c>
      <c r="AG15" s="60">
        <v>830669.80805137439</v>
      </c>
      <c r="AH15" s="60">
        <v>1155427.4593687046</v>
      </c>
      <c r="AI15" s="60">
        <v>2644259.9423622084</v>
      </c>
      <c r="AJ15" s="60">
        <v>4238789.0521207806</v>
      </c>
      <c r="AK15" s="60">
        <v>4225984.9546928713</v>
      </c>
      <c r="AL15" s="60">
        <v>4267826.0623474251</v>
      </c>
      <c r="AM15" s="60">
        <v>3859822.3858603714</v>
      </c>
      <c r="AN15" s="60">
        <v>3654016.5855179424</v>
      </c>
      <c r="AO15" s="60">
        <v>2385692.8624376976</v>
      </c>
      <c r="AP15" s="60">
        <v>1473855.425419162</v>
      </c>
      <c r="AQ15" s="60">
        <v>819684.48947307724</v>
      </c>
      <c r="AR15" s="60">
        <v>834318.43348934734</v>
      </c>
      <c r="AS15" s="60">
        <v>920289.31592784321</v>
      </c>
      <c r="AT15" s="60">
        <v>1200499.0762264845</v>
      </c>
      <c r="AU15" s="60">
        <v>2745982.7987802122</v>
      </c>
      <c r="AV15" s="60">
        <v>5279889.9009316564</v>
      </c>
      <c r="AW15" s="60">
        <v>4481061.2227677805</v>
      </c>
      <c r="AX15" s="56"/>
      <c r="AY15" s="52"/>
    </row>
    <row r="16" spans="1:51" ht="15" x14ac:dyDescent="0.25">
      <c r="A16" s="56" t="s">
        <v>67</v>
      </c>
      <c r="B16" s="62">
        <f t="shared" ref="B16:AW16" si="2">B13-B15</f>
        <v>36101.978893362917</v>
      </c>
      <c r="C16" s="62">
        <f t="shared" si="2"/>
        <v>334101.08670979366</v>
      </c>
      <c r="D16" s="62">
        <f t="shared" si="2"/>
        <v>-19470.896558412816</v>
      </c>
      <c r="E16" s="62">
        <f t="shared" si="2"/>
        <v>27521.057964405976</v>
      </c>
      <c r="F16" s="62">
        <f t="shared" si="2"/>
        <v>-88554.755905798404</v>
      </c>
      <c r="G16" s="62">
        <f t="shared" si="2"/>
        <v>-118524.619953366</v>
      </c>
      <c r="H16" s="62">
        <f t="shared" si="2"/>
        <v>-116609.75492772995</v>
      </c>
      <c r="I16" s="62">
        <f t="shared" si="2"/>
        <v>-87269.526222540182</v>
      </c>
      <c r="J16" s="62">
        <f t="shared" si="2"/>
        <v>-155001.5915324376</v>
      </c>
      <c r="K16" s="62">
        <f t="shared" si="2"/>
        <v>-225108.4181800005</v>
      </c>
      <c r="L16" s="62">
        <f t="shared" si="2"/>
        <v>527720.26729905512</v>
      </c>
      <c r="M16" s="62">
        <f t="shared" si="2"/>
        <v>325845.06262671156</v>
      </c>
      <c r="N16" s="62">
        <f t="shared" si="2"/>
        <v>-142563.77453718893</v>
      </c>
      <c r="O16" s="62">
        <f t="shared" si="2"/>
        <v>582451.95820507407</v>
      </c>
      <c r="P16" s="62">
        <f t="shared" si="2"/>
        <v>75081.574502992444</v>
      </c>
      <c r="Q16" s="62">
        <f t="shared" si="2"/>
        <v>-3944.3215156048536</v>
      </c>
      <c r="R16" s="62">
        <f t="shared" si="2"/>
        <v>-90630.20627682982</v>
      </c>
      <c r="S16" s="62">
        <f t="shared" si="2"/>
        <v>-151680.04909603612</v>
      </c>
      <c r="T16" s="62">
        <f t="shared" si="2"/>
        <v>-90093.80456347065</v>
      </c>
      <c r="U16" s="62">
        <f t="shared" si="2"/>
        <v>22870.612460870063</v>
      </c>
      <c r="V16" s="62">
        <f t="shared" si="2"/>
        <v>22359.817203622311</v>
      </c>
      <c r="W16" s="62">
        <f t="shared" si="2"/>
        <v>-246841.64955083095</v>
      </c>
      <c r="X16" s="62">
        <f t="shared" si="2"/>
        <v>637217.09029436111</v>
      </c>
      <c r="Y16" s="62">
        <f t="shared" si="2"/>
        <v>-479532.11921638669</v>
      </c>
      <c r="Z16" s="62">
        <f t="shared" si="2"/>
        <v>985382.33180921152</v>
      </c>
      <c r="AA16" s="62">
        <f t="shared" si="2"/>
        <v>132274.05767914373</v>
      </c>
      <c r="AB16" s="62">
        <f t="shared" si="2"/>
        <v>103607.22852367768</v>
      </c>
      <c r="AC16" s="62">
        <f t="shared" si="2"/>
        <v>18981.494304058608</v>
      </c>
      <c r="AD16" s="62">
        <f t="shared" si="2"/>
        <v>-242048.60647701216</v>
      </c>
      <c r="AE16" s="62">
        <f t="shared" si="2"/>
        <v>-86543.999490341987</v>
      </c>
      <c r="AF16" s="62">
        <f t="shared" si="2"/>
        <v>-100640.96222961438</v>
      </c>
      <c r="AG16" s="62">
        <f t="shared" si="2"/>
        <v>-77035.825051374384</v>
      </c>
      <c r="AH16" s="62">
        <f t="shared" si="2"/>
        <v>-77302.372568704654</v>
      </c>
      <c r="AI16" s="62">
        <f t="shared" si="2"/>
        <v>104118.86763779167</v>
      </c>
      <c r="AJ16" s="62">
        <f t="shared" si="2"/>
        <v>344669.96687921975</v>
      </c>
      <c r="AK16" s="62">
        <f t="shared" si="2"/>
        <v>318581.75430712849</v>
      </c>
      <c r="AL16" s="62">
        <f t="shared" si="2"/>
        <v>14404.197652574629</v>
      </c>
      <c r="AM16" s="62">
        <f t="shared" si="2"/>
        <v>123276.91413962888</v>
      </c>
      <c r="AN16" s="62">
        <f t="shared" si="2"/>
        <v>335358.36048205709</v>
      </c>
      <c r="AO16" s="62">
        <f t="shared" si="2"/>
        <v>-119446.35943769803</v>
      </c>
      <c r="AP16" s="62">
        <f t="shared" si="2"/>
        <v>-188523.73341916199</v>
      </c>
      <c r="AQ16" s="62">
        <f t="shared" si="2"/>
        <v>-89963.661473077256</v>
      </c>
      <c r="AR16" s="62">
        <f t="shared" si="2"/>
        <v>-102608.07250934734</v>
      </c>
      <c r="AS16" s="62">
        <f t="shared" si="2"/>
        <v>80327.771132156835</v>
      </c>
      <c r="AT16" s="62">
        <f t="shared" si="2"/>
        <v>-148761.3894864847</v>
      </c>
      <c r="AU16" s="62">
        <f t="shared" si="2"/>
        <v>-384020.00878021214</v>
      </c>
      <c r="AV16" s="62">
        <f t="shared" si="2"/>
        <v>812124.38467834424</v>
      </c>
      <c r="AW16" s="62">
        <f t="shared" si="2"/>
        <v>-366140.48326778039</v>
      </c>
      <c r="AX16" s="56"/>
    </row>
    <row r="17" spans="1:50" x14ac:dyDescent="0.2">
      <c r="A17" s="56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56"/>
    </row>
    <row r="18" spans="1:50" ht="15" x14ac:dyDescent="0.25">
      <c r="A18" s="56" t="s">
        <v>68</v>
      </c>
      <c r="B18" s="63">
        <v>0.135189</v>
      </c>
      <c r="C18" s="63">
        <v>0.135189</v>
      </c>
      <c r="D18" s="63">
        <v>0.135189</v>
      </c>
      <c r="E18" s="63">
        <v>0.122743</v>
      </c>
      <c r="F18" s="63">
        <v>0.122743</v>
      </c>
      <c r="G18" s="63">
        <v>0.122743</v>
      </c>
      <c r="H18" s="63">
        <v>0.12217799999999999</v>
      </c>
      <c r="I18" s="63">
        <v>0.12217799999999999</v>
      </c>
      <c r="J18" s="63">
        <v>0.12217799999999999</v>
      </c>
      <c r="K18" s="63">
        <v>0.12820899999999999</v>
      </c>
      <c r="L18" s="63">
        <v>0.12820899999999999</v>
      </c>
      <c r="M18" s="63">
        <v>0.12820899999999999</v>
      </c>
      <c r="N18" s="63">
        <v>0.13323499999999999</v>
      </c>
      <c r="O18" s="63">
        <v>0.13323499999999999</v>
      </c>
      <c r="P18" s="63">
        <v>0.13323499999999999</v>
      </c>
      <c r="Q18" s="63">
        <v>0.13567100000000001</v>
      </c>
      <c r="R18" s="63">
        <v>0.13567100000000001</v>
      </c>
      <c r="S18" s="63">
        <v>0.13567100000000001</v>
      </c>
      <c r="T18" s="63">
        <v>0.130605</v>
      </c>
      <c r="U18" s="63">
        <v>0.130605</v>
      </c>
      <c r="V18" s="63">
        <v>0.130605</v>
      </c>
      <c r="W18" s="63">
        <v>0.168906</v>
      </c>
      <c r="X18" s="63">
        <v>0.168906</v>
      </c>
      <c r="Y18" s="63">
        <v>0.168906</v>
      </c>
      <c r="Z18" s="63">
        <v>0.177732</v>
      </c>
      <c r="AA18" s="63">
        <v>0.177732</v>
      </c>
      <c r="AB18" s="63">
        <v>0.177732</v>
      </c>
      <c r="AC18" s="63">
        <v>0.199018</v>
      </c>
      <c r="AD18" s="63">
        <v>0.199018</v>
      </c>
      <c r="AE18" s="63">
        <v>0.199018</v>
      </c>
      <c r="AF18" s="63">
        <v>0.30926300000000001</v>
      </c>
      <c r="AG18" s="63">
        <v>0.30926300000000001</v>
      </c>
      <c r="AH18" s="63">
        <v>0.30926300000000001</v>
      </c>
      <c r="AI18" s="63">
        <v>0.35522700000000001</v>
      </c>
      <c r="AJ18" s="63">
        <v>0.35522700000000001</v>
      </c>
      <c r="AK18" s="63">
        <v>0.35522700000000001</v>
      </c>
      <c r="AL18" s="63">
        <v>0.316251</v>
      </c>
      <c r="AM18" s="63">
        <v>0.316251</v>
      </c>
      <c r="AN18" s="63">
        <v>0.316251</v>
      </c>
      <c r="AO18" s="63">
        <v>0.22478300000000001</v>
      </c>
      <c r="AP18" s="63">
        <v>0.22478300000000001</v>
      </c>
      <c r="AQ18" s="63">
        <v>0.22478300000000001</v>
      </c>
      <c r="AR18" s="63">
        <v>0.22586800000000001</v>
      </c>
      <c r="AS18" s="63">
        <v>0.22586800000000001</v>
      </c>
      <c r="AT18" s="63">
        <v>0.22586800000000001</v>
      </c>
      <c r="AU18" s="63">
        <v>0.22145099999999998</v>
      </c>
      <c r="AV18" s="63">
        <v>0.22145099999999998</v>
      </c>
      <c r="AW18" s="63">
        <v>0.22145099999999998</v>
      </c>
      <c r="AX18" s="56"/>
    </row>
    <row r="19" spans="1:50" ht="15" x14ac:dyDescent="0.25">
      <c r="A19" s="56" t="s">
        <v>69</v>
      </c>
      <c r="B19" s="62">
        <f t="shared" ref="B19:AW19" si="3">B16*B18</f>
        <v>4880.5904246148393</v>
      </c>
      <c r="C19" s="62">
        <f t="shared" si="3"/>
        <v>45166.791811210293</v>
      </c>
      <c r="D19" s="62">
        <f t="shared" si="3"/>
        <v>-2632.2510348352703</v>
      </c>
      <c r="E19" s="62">
        <f t="shared" si="3"/>
        <v>3378.0172177250829</v>
      </c>
      <c r="F19" s="62">
        <f t="shared" si="3"/>
        <v>-10869.476404145415</v>
      </c>
      <c r="G19" s="62">
        <f t="shared" si="3"/>
        <v>-14548.067426936002</v>
      </c>
      <c r="H19" s="62">
        <f t="shared" si="3"/>
        <v>-14247.14663756019</v>
      </c>
      <c r="I19" s="62">
        <f t="shared" si="3"/>
        <v>-10662.416174817514</v>
      </c>
      <c r="J19" s="62">
        <f t="shared" si="3"/>
        <v>-18937.784450250161</v>
      </c>
      <c r="K19" s="62">
        <f t="shared" si="3"/>
        <v>-28860.925186439683</v>
      </c>
      <c r="L19" s="62">
        <f t="shared" si="3"/>
        <v>67658.487750144559</v>
      </c>
      <c r="M19" s="62">
        <f t="shared" si="3"/>
        <v>41776.269634308061</v>
      </c>
      <c r="N19" s="62">
        <f t="shared" si="3"/>
        <v>-18994.484500462368</v>
      </c>
      <c r="O19" s="62">
        <f t="shared" si="3"/>
        <v>77602.986651453044</v>
      </c>
      <c r="P19" s="62">
        <f t="shared" si="3"/>
        <v>10003.493578906198</v>
      </c>
      <c r="Q19" s="62">
        <f t="shared" si="3"/>
        <v>-535.1300443436262</v>
      </c>
      <c r="R19" s="62">
        <f t="shared" si="3"/>
        <v>-12295.89071578378</v>
      </c>
      <c r="S19" s="62">
        <f t="shared" si="3"/>
        <v>-20578.58394090832</v>
      </c>
      <c r="T19" s="62">
        <f t="shared" si="3"/>
        <v>-11766.701345012085</v>
      </c>
      <c r="U19" s="62">
        <f t="shared" si="3"/>
        <v>2987.0163404519344</v>
      </c>
      <c r="V19" s="62">
        <f t="shared" si="3"/>
        <v>2920.3039258790918</v>
      </c>
      <c r="W19" s="62">
        <f t="shared" si="3"/>
        <v>-41693.035659032648</v>
      </c>
      <c r="X19" s="62">
        <f t="shared" si="3"/>
        <v>107629.78985325935</v>
      </c>
      <c r="Y19" s="62">
        <f t="shared" si="3"/>
        <v>-80995.852128363011</v>
      </c>
      <c r="Z19" s="62">
        <f t="shared" si="3"/>
        <v>175133.97259711477</v>
      </c>
      <c r="AA19" s="62">
        <f t="shared" si="3"/>
        <v>23509.332819429575</v>
      </c>
      <c r="AB19" s="62">
        <f t="shared" si="3"/>
        <v>18414.319939970283</v>
      </c>
      <c r="AC19" s="62">
        <f t="shared" si="3"/>
        <v>3777.6590334051361</v>
      </c>
      <c r="AD19" s="62">
        <f t="shared" si="3"/>
        <v>-48172.029563842007</v>
      </c>
      <c r="AE19" s="62">
        <f t="shared" si="3"/>
        <v>-17223.813690568881</v>
      </c>
      <c r="AF19" s="62">
        <f t="shared" si="3"/>
        <v>-31124.525902017234</v>
      </c>
      <c r="AG19" s="62">
        <f t="shared" si="3"/>
        <v>-23824.330362863198</v>
      </c>
      <c r="AH19" s="62">
        <f t="shared" si="3"/>
        <v>-23906.763647715306</v>
      </c>
      <c r="AI19" s="62">
        <f t="shared" si="3"/>
        <v>36985.832994369826</v>
      </c>
      <c r="AJ19" s="62">
        <f t="shared" si="3"/>
        <v>122436.0783246046</v>
      </c>
      <c r="AK19" s="62">
        <f t="shared" si="3"/>
        <v>113168.84083725834</v>
      </c>
      <c r="AL19" s="62">
        <f t="shared" si="3"/>
        <v>4555.3419118243792</v>
      </c>
      <c r="AM19" s="62">
        <f t="shared" si="3"/>
        <v>38986.447373571769</v>
      </c>
      <c r="AN19" s="62">
        <f t="shared" si="3"/>
        <v>106057.41686081103</v>
      </c>
      <c r="AO19" s="62">
        <f t="shared" si="3"/>
        <v>-26849.51101348408</v>
      </c>
      <c r="AP19" s="62">
        <f t="shared" si="3"/>
        <v>-42376.930369159491</v>
      </c>
      <c r="AQ19" s="62">
        <f t="shared" si="3"/>
        <v>-20222.301716902726</v>
      </c>
      <c r="AR19" s="62">
        <f t="shared" si="3"/>
        <v>-23175.880121541268</v>
      </c>
      <c r="AS19" s="62">
        <f t="shared" si="3"/>
        <v>18143.473010078</v>
      </c>
      <c r="AT19" s="62">
        <f t="shared" si="3"/>
        <v>-33600.437520533327</v>
      </c>
      <c r="AU19" s="62">
        <f t="shared" si="3"/>
        <v>-85041.614964386754</v>
      </c>
      <c r="AV19" s="62">
        <f t="shared" si="3"/>
        <v>179845.757111404</v>
      </c>
      <c r="AW19" s="62">
        <f t="shared" si="3"/>
        <v>-81082.176160133225</v>
      </c>
      <c r="AX19" s="56"/>
    </row>
    <row r="20" spans="1:50" x14ac:dyDescent="0.2">
      <c r="A20" s="56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56"/>
    </row>
    <row r="21" spans="1:50" x14ac:dyDescent="0.2">
      <c r="A21" s="56" t="s">
        <v>61</v>
      </c>
      <c r="B21" s="60">
        <v>0</v>
      </c>
      <c r="C21" s="60">
        <f t="shared" ref="C21:M21" si="4">B23</f>
        <v>4880.5904246148393</v>
      </c>
      <c r="D21" s="60">
        <f t="shared" si="4"/>
        <v>50047.382235825135</v>
      </c>
      <c r="E21" s="60">
        <f t="shared" si="4"/>
        <v>47415.131200989861</v>
      </c>
      <c r="F21" s="60">
        <f t="shared" si="4"/>
        <v>50793.148418714947</v>
      </c>
      <c r="G21" s="60">
        <f t="shared" si="4"/>
        <v>39923.672014569529</v>
      </c>
      <c r="H21" s="60">
        <f t="shared" si="4"/>
        <v>25375.604587633527</v>
      </c>
      <c r="I21" s="60">
        <f t="shared" si="4"/>
        <v>11128.457950073336</v>
      </c>
      <c r="J21" s="60">
        <f t="shared" si="4"/>
        <v>466.04177525582236</v>
      </c>
      <c r="K21" s="60">
        <f t="shared" si="4"/>
        <v>-18471.742674994341</v>
      </c>
      <c r="L21" s="60">
        <f t="shared" si="4"/>
        <v>-47332.66786143402</v>
      </c>
      <c r="M21" s="60">
        <f t="shared" si="4"/>
        <v>20325.819888710539</v>
      </c>
      <c r="N21" s="60">
        <f>M23</f>
        <v>62102.0895230186</v>
      </c>
      <c r="O21" s="60">
        <f t="shared" ref="O21:AW21" si="5">N23</f>
        <v>62102.0895230186</v>
      </c>
      <c r="P21" s="60">
        <f t="shared" si="5"/>
        <v>62102.0895230186</v>
      </c>
      <c r="Q21" s="60">
        <f t="shared" si="5"/>
        <v>62102.0895230186</v>
      </c>
      <c r="R21" s="60">
        <f t="shared" si="5"/>
        <v>62102.0895230186</v>
      </c>
      <c r="S21" s="60">
        <f t="shared" si="5"/>
        <v>62102.0895230186</v>
      </c>
      <c r="T21" s="60">
        <f t="shared" si="5"/>
        <v>62102.0895230186</v>
      </c>
      <c r="U21" s="60">
        <f t="shared" si="5"/>
        <v>62102.0895230186</v>
      </c>
      <c r="V21" s="60">
        <f t="shared" si="5"/>
        <v>62102.0895230186</v>
      </c>
      <c r="W21" s="60">
        <f t="shared" si="5"/>
        <v>62102.0895230186</v>
      </c>
      <c r="X21" s="60">
        <f t="shared" si="5"/>
        <v>62102.0895230186</v>
      </c>
      <c r="Y21" s="60">
        <f t="shared" si="5"/>
        <v>62102.0895230186</v>
      </c>
      <c r="Z21" s="60">
        <f t="shared" si="5"/>
        <v>62102.0895230186</v>
      </c>
      <c r="AA21" s="60">
        <f t="shared" si="5"/>
        <v>237236.06212013337</v>
      </c>
      <c r="AB21" s="60">
        <f t="shared" si="5"/>
        <v>260745.39493956295</v>
      </c>
      <c r="AC21" s="60">
        <f t="shared" si="5"/>
        <v>279159.71487953322</v>
      </c>
      <c r="AD21" s="60">
        <f t="shared" si="5"/>
        <v>282937.37391293835</v>
      </c>
      <c r="AE21" s="60">
        <f t="shared" si="5"/>
        <v>234765.34434909635</v>
      </c>
      <c r="AF21" s="60">
        <f t="shared" si="5"/>
        <v>217541.53065852748</v>
      </c>
      <c r="AG21" s="60">
        <f t="shared" si="5"/>
        <v>186417.00475651026</v>
      </c>
      <c r="AH21" s="60">
        <f t="shared" si="5"/>
        <v>162592.67439364706</v>
      </c>
      <c r="AI21" s="60">
        <f t="shared" si="5"/>
        <v>138685.91074593176</v>
      </c>
      <c r="AJ21" s="60">
        <f t="shared" si="5"/>
        <v>175671.74374030158</v>
      </c>
      <c r="AK21" s="60">
        <f t="shared" si="5"/>
        <v>298107.82206490618</v>
      </c>
      <c r="AL21" s="60">
        <f t="shared" si="5"/>
        <v>411276.66290216451</v>
      </c>
      <c r="AM21" s="60">
        <f t="shared" si="5"/>
        <v>415832.00481398887</v>
      </c>
      <c r="AN21" s="60">
        <f t="shared" si="5"/>
        <v>454818.45218756062</v>
      </c>
      <c r="AO21" s="60">
        <f t="shared" si="5"/>
        <v>560875.86904837168</v>
      </c>
      <c r="AP21" s="60">
        <f t="shared" si="5"/>
        <v>534026.35803488758</v>
      </c>
      <c r="AQ21" s="60">
        <f t="shared" si="5"/>
        <v>491649.42766572809</v>
      </c>
      <c r="AR21" s="60">
        <f t="shared" si="5"/>
        <v>471427.12594882539</v>
      </c>
      <c r="AS21" s="60">
        <f t="shared" si="5"/>
        <v>448251.24582728412</v>
      </c>
      <c r="AT21" s="60">
        <f t="shared" si="5"/>
        <v>466394.71883736213</v>
      </c>
      <c r="AU21" s="60">
        <f t="shared" si="5"/>
        <v>432794.2813168288</v>
      </c>
      <c r="AV21" s="60">
        <f t="shared" si="5"/>
        <v>347752.66635244206</v>
      </c>
      <c r="AW21" s="60">
        <f t="shared" si="5"/>
        <v>527598.42346384609</v>
      </c>
      <c r="AX21" s="56"/>
    </row>
    <row r="22" spans="1:50" ht="15" x14ac:dyDescent="0.25">
      <c r="A22" s="56" t="s">
        <v>70</v>
      </c>
      <c r="B22" s="60">
        <f t="shared" ref="B22:AW22" si="6">B19</f>
        <v>4880.5904246148393</v>
      </c>
      <c r="C22" s="60">
        <f t="shared" si="6"/>
        <v>45166.791811210293</v>
      </c>
      <c r="D22" s="60">
        <f t="shared" si="6"/>
        <v>-2632.2510348352703</v>
      </c>
      <c r="E22" s="60">
        <f t="shared" si="6"/>
        <v>3378.0172177250829</v>
      </c>
      <c r="F22" s="60">
        <f t="shared" si="6"/>
        <v>-10869.476404145415</v>
      </c>
      <c r="G22" s="60">
        <f t="shared" si="6"/>
        <v>-14548.067426936002</v>
      </c>
      <c r="H22" s="60">
        <f t="shared" si="6"/>
        <v>-14247.14663756019</v>
      </c>
      <c r="I22" s="60">
        <f t="shared" si="6"/>
        <v>-10662.416174817514</v>
      </c>
      <c r="J22" s="60">
        <f t="shared" si="6"/>
        <v>-18937.784450250161</v>
      </c>
      <c r="K22" s="60">
        <f t="shared" si="6"/>
        <v>-28860.925186439683</v>
      </c>
      <c r="L22" s="60">
        <f t="shared" si="6"/>
        <v>67658.487750144559</v>
      </c>
      <c r="M22" s="60">
        <f t="shared" si="6"/>
        <v>41776.269634308061</v>
      </c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>
        <f t="shared" si="6"/>
        <v>175133.97259711477</v>
      </c>
      <c r="AA22" s="60">
        <f t="shared" si="6"/>
        <v>23509.332819429575</v>
      </c>
      <c r="AB22" s="60">
        <f t="shared" si="6"/>
        <v>18414.319939970283</v>
      </c>
      <c r="AC22" s="60">
        <f t="shared" si="6"/>
        <v>3777.6590334051361</v>
      </c>
      <c r="AD22" s="60">
        <f t="shared" si="6"/>
        <v>-48172.029563842007</v>
      </c>
      <c r="AE22" s="60">
        <f t="shared" si="6"/>
        <v>-17223.813690568881</v>
      </c>
      <c r="AF22" s="60">
        <f t="shared" si="6"/>
        <v>-31124.525902017234</v>
      </c>
      <c r="AG22" s="60">
        <f t="shared" si="6"/>
        <v>-23824.330362863198</v>
      </c>
      <c r="AH22" s="60">
        <f t="shared" si="6"/>
        <v>-23906.763647715306</v>
      </c>
      <c r="AI22" s="60">
        <f t="shared" si="6"/>
        <v>36985.832994369826</v>
      </c>
      <c r="AJ22" s="60">
        <f t="shared" si="6"/>
        <v>122436.0783246046</v>
      </c>
      <c r="AK22" s="60">
        <f t="shared" si="6"/>
        <v>113168.84083725834</v>
      </c>
      <c r="AL22" s="60">
        <f t="shared" si="6"/>
        <v>4555.3419118243792</v>
      </c>
      <c r="AM22" s="60">
        <f t="shared" si="6"/>
        <v>38986.447373571769</v>
      </c>
      <c r="AN22" s="60">
        <f t="shared" si="6"/>
        <v>106057.41686081103</v>
      </c>
      <c r="AO22" s="60">
        <f t="shared" si="6"/>
        <v>-26849.51101348408</v>
      </c>
      <c r="AP22" s="60">
        <f t="shared" si="6"/>
        <v>-42376.930369159491</v>
      </c>
      <c r="AQ22" s="60">
        <f t="shared" si="6"/>
        <v>-20222.301716902726</v>
      </c>
      <c r="AR22" s="60">
        <f t="shared" si="6"/>
        <v>-23175.880121541268</v>
      </c>
      <c r="AS22" s="60">
        <f t="shared" si="6"/>
        <v>18143.473010078</v>
      </c>
      <c r="AT22" s="60">
        <f t="shared" si="6"/>
        <v>-33600.437520533327</v>
      </c>
      <c r="AU22" s="60">
        <f t="shared" si="6"/>
        <v>-85041.614964386754</v>
      </c>
      <c r="AV22" s="60">
        <f t="shared" si="6"/>
        <v>179845.757111404</v>
      </c>
      <c r="AW22" s="60">
        <f t="shared" si="6"/>
        <v>-81082.176160133225</v>
      </c>
      <c r="AX22" s="56"/>
    </row>
    <row r="23" spans="1:50" ht="15" x14ac:dyDescent="0.25">
      <c r="A23" s="56" t="s">
        <v>62</v>
      </c>
      <c r="B23" s="62">
        <f t="shared" ref="B23:AW23" si="7">B21+B22</f>
        <v>4880.5904246148393</v>
      </c>
      <c r="C23" s="62">
        <f t="shared" si="7"/>
        <v>50047.382235825135</v>
      </c>
      <c r="D23" s="62">
        <f t="shared" si="7"/>
        <v>47415.131200989861</v>
      </c>
      <c r="E23" s="62">
        <f t="shared" si="7"/>
        <v>50793.148418714947</v>
      </c>
      <c r="F23" s="62">
        <f t="shared" si="7"/>
        <v>39923.672014569529</v>
      </c>
      <c r="G23" s="62">
        <f t="shared" si="7"/>
        <v>25375.604587633527</v>
      </c>
      <c r="H23" s="62">
        <f t="shared" si="7"/>
        <v>11128.457950073336</v>
      </c>
      <c r="I23" s="62">
        <f t="shared" si="7"/>
        <v>466.04177525582236</v>
      </c>
      <c r="J23" s="62">
        <f t="shared" si="7"/>
        <v>-18471.742674994341</v>
      </c>
      <c r="K23" s="62">
        <f t="shared" si="7"/>
        <v>-47332.66786143402</v>
      </c>
      <c r="L23" s="62">
        <f t="shared" si="7"/>
        <v>20325.819888710539</v>
      </c>
      <c r="M23" s="62">
        <f t="shared" si="7"/>
        <v>62102.0895230186</v>
      </c>
      <c r="N23" s="62">
        <f t="shared" si="7"/>
        <v>62102.0895230186</v>
      </c>
      <c r="O23" s="62">
        <f t="shared" si="7"/>
        <v>62102.0895230186</v>
      </c>
      <c r="P23" s="62">
        <f t="shared" si="7"/>
        <v>62102.0895230186</v>
      </c>
      <c r="Q23" s="62">
        <f t="shared" si="7"/>
        <v>62102.0895230186</v>
      </c>
      <c r="R23" s="62">
        <f t="shared" si="7"/>
        <v>62102.0895230186</v>
      </c>
      <c r="S23" s="62">
        <f t="shared" si="7"/>
        <v>62102.0895230186</v>
      </c>
      <c r="T23" s="62">
        <f t="shared" si="7"/>
        <v>62102.0895230186</v>
      </c>
      <c r="U23" s="62">
        <f t="shared" si="7"/>
        <v>62102.0895230186</v>
      </c>
      <c r="V23" s="62">
        <f t="shared" si="7"/>
        <v>62102.0895230186</v>
      </c>
      <c r="W23" s="62">
        <f t="shared" si="7"/>
        <v>62102.0895230186</v>
      </c>
      <c r="X23" s="62">
        <f t="shared" si="7"/>
        <v>62102.0895230186</v>
      </c>
      <c r="Y23" s="62">
        <f t="shared" si="7"/>
        <v>62102.0895230186</v>
      </c>
      <c r="Z23" s="62">
        <f t="shared" si="7"/>
        <v>237236.06212013337</v>
      </c>
      <c r="AA23" s="62">
        <f t="shared" si="7"/>
        <v>260745.39493956295</v>
      </c>
      <c r="AB23" s="62">
        <f t="shared" si="7"/>
        <v>279159.71487953322</v>
      </c>
      <c r="AC23" s="62">
        <f t="shared" si="7"/>
        <v>282937.37391293835</v>
      </c>
      <c r="AD23" s="62">
        <f t="shared" si="7"/>
        <v>234765.34434909635</v>
      </c>
      <c r="AE23" s="62">
        <f t="shared" si="7"/>
        <v>217541.53065852748</v>
      </c>
      <c r="AF23" s="62">
        <f t="shared" si="7"/>
        <v>186417.00475651026</v>
      </c>
      <c r="AG23" s="62">
        <f t="shared" si="7"/>
        <v>162592.67439364706</v>
      </c>
      <c r="AH23" s="62">
        <f t="shared" si="7"/>
        <v>138685.91074593176</v>
      </c>
      <c r="AI23" s="62">
        <f t="shared" si="7"/>
        <v>175671.74374030158</v>
      </c>
      <c r="AJ23" s="62">
        <f t="shared" si="7"/>
        <v>298107.82206490618</v>
      </c>
      <c r="AK23" s="62">
        <f t="shared" si="7"/>
        <v>411276.66290216451</v>
      </c>
      <c r="AL23" s="62">
        <f t="shared" si="7"/>
        <v>415832.00481398887</v>
      </c>
      <c r="AM23" s="62">
        <f t="shared" si="7"/>
        <v>454818.45218756062</v>
      </c>
      <c r="AN23" s="62">
        <f t="shared" si="7"/>
        <v>560875.86904837168</v>
      </c>
      <c r="AO23" s="62">
        <f t="shared" si="7"/>
        <v>534026.35803488758</v>
      </c>
      <c r="AP23" s="62">
        <f t="shared" si="7"/>
        <v>491649.42766572809</v>
      </c>
      <c r="AQ23" s="62">
        <f t="shared" si="7"/>
        <v>471427.12594882539</v>
      </c>
      <c r="AR23" s="62">
        <f t="shared" si="7"/>
        <v>448251.24582728412</v>
      </c>
      <c r="AS23" s="62">
        <f t="shared" si="7"/>
        <v>466394.71883736213</v>
      </c>
      <c r="AT23" s="62">
        <f t="shared" si="7"/>
        <v>432794.2813168288</v>
      </c>
      <c r="AU23" s="62">
        <f t="shared" si="7"/>
        <v>347752.66635244206</v>
      </c>
      <c r="AV23" s="62">
        <f t="shared" si="7"/>
        <v>527598.42346384609</v>
      </c>
      <c r="AW23" s="64">
        <f t="shared" si="7"/>
        <v>446516.24730371288</v>
      </c>
      <c r="AX23" s="56"/>
    </row>
    <row r="24" spans="1:50" x14ac:dyDescent="0.2">
      <c r="A24" s="56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56"/>
    </row>
    <row r="25" spans="1:50" ht="15" x14ac:dyDescent="0.25">
      <c r="A25" s="65" t="s">
        <v>63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56"/>
    </row>
    <row r="26" spans="1:50" x14ac:dyDescent="0.2">
      <c r="A26" s="66" t="s">
        <v>16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8"/>
    </row>
    <row r="27" spans="1:50" x14ac:dyDescent="0.2">
      <c r="A27" s="6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70"/>
    </row>
    <row r="28" spans="1:50" x14ac:dyDescent="0.2">
      <c r="A28" s="66" t="s">
        <v>17</v>
      </c>
      <c r="B28" s="60">
        <v>0</v>
      </c>
      <c r="C28" s="60">
        <f t="shared" ref="C28:M28" si="8">B30</f>
        <v>0</v>
      </c>
      <c r="D28" s="60">
        <f t="shared" si="8"/>
        <v>0</v>
      </c>
      <c r="E28" s="60">
        <f t="shared" si="8"/>
        <v>0</v>
      </c>
      <c r="F28" s="60">
        <f t="shared" si="8"/>
        <v>0</v>
      </c>
      <c r="G28" s="60">
        <f t="shared" si="8"/>
        <v>0</v>
      </c>
      <c r="H28" s="60">
        <f t="shared" si="8"/>
        <v>0</v>
      </c>
      <c r="I28" s="60">
        <f t="shared" si="8"/>
        <v>0</v>
      </c>
      <c r="J28" s="60">
        <f t="shared" si="8"/>
        <v>0</v>
      </c>
      <c r="K28" s="60">
        <f t="shared" si="8"/>
        <v>0</v>
      </c>
      <c r="L28" s="60">
        <f t="shared" si="8"/>
        <v>0</v>
      </c>
      <c r="M28" s="60">
        <f t="shared" si="8"/>
        <v>0</v>
      </c>
      <c r="N28" s="60">
        <f>M30</f>
        <v>0</v>
      </c>
      <c r="O28" s="60">
        <f t="shared" ref="O28:AX28" si="9">N30</f>
        <v>0</v>
      </c>
      <c r="P28" s="60">
        <f t="shared" si="9"/>
        <v>0</v>
      </c>
      <c r="Q28" s="60">
        <f t="shared" si="9"/>
        <v>0</v>
      </c>
      <c r="R28" s="60">
        <f t="shared" si="9"/>
        <v>0</v>
      </c>
      <c r="S28" s="60">
        <f t="shared" si="9"/>
        <v>0</v>
      </c>
      <c r="T28" s="60">
        <f t="shared" si="9"/>
        <v>0</v>
      </c>
      <c r="U28" s="60">
        <f t="shared" si="9"/>
        <v>0</v>
      </c>
      <c r="V28" s="60">
        <f t="shared" si="9"/>
        <v>0</v>
      </c>
      <c r="W28" s="60">
        <f t="shared" si="9"/>
        <v>0</v>
      </c>
      <c r="X28" s="60">
        <f t="shared" si="9"/>
        <v>0</v>
      </c>
      <c r="Y28" s="60">
        <f t="shared" si="9"/>
        <v>0</v>
      </c>
      <c r="Z28" s="60">
        <f t="shared" si="9"/>
        <v>0</v>
      </c>
      <c r="AA28" s="60">
        <f t="shared" si="9"/>
        <v>0</v>
      </c>
      <c r="AB28" s="60">
        <f t="shared" si="9"/>
        <v>0</v>
      </c>
      <c r="AC28" s="60">
        <f t="shared" si="9"/>
        <v>0</v>
      </c>
      <c r="AD28" s="60">
        <f t="shared" si="9"/>
        <v>0</v>
      </c>
      <c r="AE28" s="60">
        <f t="shared" si="9"/>
        <v>0</v>
      </c>
      <c r="AF28" s="60">
        <f t="shared" si="9"/>
        <v>0</v>
      </c>
      <c r="AG28" s="60">
        <f t="shared" si="9"/>
        <v>0</v>
      </c>
      <c r="AH28" s="60">
        <f t="shared" si="9"/>
        <v>0</v>
      </c>
      <c r="AI28" s="60">
        <f t="shared" si="9"/>
        <v>0</v>
      </c>
      <c r="AJ28" s="60">
        <f t="shared" si="9"/>
        <v>0</v>
      </c>
      <c r="AK28" s="60">
        <f t="shared" si="9"/>
        <v>0</v>
      </c>
      <c r="AL28" s="60">
        <f t="shared" si="9"/>
        <v>0</v>
      </c>
      <c r="AM28" s="60">
        <f t="shared" si="9"/>
        <v>0</v>
      </c>
      <c r="AN28" s="60">
        <f t="shared" si="9"/>
        <v>0</v>
      </c>
      <c r="AO28" s="60">
        <f t="shared" si="9"/>
        <v>0</v>
      </c>
      <c r="AP28" s="60">
        <f t="shared" si="9"/>
        <v>0</v>
      </c>
      <c r="AQ28" s="60">
        <f t="shared" si="9"/>
        <v>0</v>
      </c>
      <c r="AR28" s="60">
        <f t="shared" si="9"/>
        <v>0</v>
      </c>
      <c r="AS28" s="60">
        <f t="shared" si="9"/>
        <v>0</v>
      </c>
      <c r="AT28" s="60">
        <f t="shared" si="9"/>
        <v>0</v>
      </c>
      <c r="AU28" s="60">
        <f t="shared" si="9"/>
        <v>0</v>
      </c>
      <c r="AV28" s="60">
        <f t="shared" si="9"/>
        <v>0</v>
      </c>
      <c r="AW28" s="60">
        <f t="shared" si="9"/>
        <v>0</v>
      </c>
      <c r="AX28" s="71">
        <f t="shared" si="9"/>
        <v>0</v>
      </c>
    </row>
    <row r="29" spans="1:50" x14ac:dyDescent="0.2">
      <c r="A29" s="69" t="s">
        <v>18</v>
      </c>
      <c r="B29" s="60">
        <f t="shared" ref="B29:AW29" si="10">B21*B26/12</f>
        <v>0</v>
      </c>
      <c r="C29" s="60">
        <f t="shared" si="10"/>
        <v>0</v>
      </c>
      <c r="D29" s="60">
        <f t="shared" si="10"/>
        <v>0</v>
      </c>
      <c r="E29" s="60">
        <f t="shared" si="10"/>
        <v>0</v>
      </c>
      <c r="F29" s="60">
        <f t="shared" si="10"/>
        <v>0</v>
      </c>
      <c r="G29" s="60">
        <f t="shared" si="10"/>
        <v>0</v>
      </c>
      <c r="H29" s="60">
        <f t="shared" si="10"/>
        <v>0</v>
      </c>
      <c r="I29" s="60">
        <f t="shared" si="10"/>
        <v>0</v>
      </c>
      <c r="J29" s="60">
        <f t="shared" si="10"/>
        <v>0</v>
      </c>
      <c r="K29" s="60">
        <f t="shared" si="10"/>
        <v>0</v>
      </c>
      <c r="L29" s="60">
        <f t="shared" si="10"/>
        <v>0</v>
      </c>
      <c r="M29" s="60">
        <f t="shared" si="10"/>
        <v>0</v>
      </c>
      <c r="N29" s="60">
        <f t="shared" si="10"/>
        <v>0</v>
      </c>
      <c r="O29" s="60">
        <f t="shared" si="10"/>
        <v>0</v>
      </c>
      <c r="P29" s="60">
        <f t="shared" si="10"/>
        <v>0</v>
      </c>
      <c r="Q29" s="60">
        <f t="shared" si="10"/>
        <v>0</v>
      </c>
      <c r="R29" s="60">
        <f t="shared" si="10"/>
        <v>0</v>
      </c>
      <c r="S29" s="60">
        <f t="shared" si="10"/>
        <v>0</v>
      </c>
      <c r="T29" s="60">
        <f t="shared" si="10"/>
        <v>0</v>
      </c>
      <c r="U29" s="60">
        <f t="shared" si="10"/>
        <v>0</v>
      </c>
      <c r="V29" s="60">
        <f t="shared" si="10"/>
        <v>0</v>
      </c>
      <c r="W29" s="60">
        <f t="shared" si="10"/>
        <v>0</v>
      </c>
      <c r="X29" s="60">
        <f t="shared" si="10"/>
        <v>0</v>
      </c>
      <c r="Y29" s="60">
        <f t="shared" si="10"/>
        <v>0</v>
      </c>
      <c r="Z29" s="60">
        <f t="shared" si="10"/>
        <v>0</v>
      </c>
      <c r="AA29" s="60">
        <f t="shared" si="10"/>
        <v>0</v>
      </c>
      <c r="AB29" s="60">
        <f t="shared" si="10"/>
        <v>0</v>
      </c>
      <c r="AC29" s="60">
        <f t="shared" si="10"/>
        <v>0</v>
      </c>
      <c r="AD29" s="60">
        <f t="shared" si="10"/>
        <v>0</v>
      </c>
      <c r="AE29" s="60">
        <f t="shared" si="10"/>
        <v>0</v>
      </c>
      <c r="AF29" s="60">
        <f t="shared" si="10"/>
        <v>0</v>
      </c>
      <c r="AG29" s="60">
        <f t="shared" si="10"/>
        <v>0</v>
      </c>
      <c r="AH29" s="60">
        <f t="shared" si="10"/>
        <v>0</v>
      </c>
      <c r="AI29" s="60">
        <f t="shared" si="10"/>
        <v>0</v>
      </c>
      <c r="AJ29" s="60">
        <f t="shared" si="10"/>
        <v>0</v>
      </c>
      <c r="AK29" s="60">
        <f t="shared" si="10"/>
        <v>0</v>
      </c>
      <c r="AL29" s="60">
        <f t="shared" si="10"/>
        <v>0</v>
      </c>
      <c r="AM29" s="60">
        <f t="shared" si="10"/>
        <v>0</v>
      </c>
      <c r="AN29" s="60">
        <f t="shared" si="10"/>
        <v>0</v>
      </c>
      <c r="AO29" s="60">
        <f t="shared" si="10"/>
        <v>0</v>
      </c>
      <c r="AP29" s="60">
        <f t="shared" si="10"/>
        <v>0</v>
      </c>
      <c r="AQ29" s="60">
        <f t="shared" si="10"/>
        <v>0</v>
      </c>
      <c r="AR29" s="60">
        <f t="shared" si="10"/>
        <v>0</v>
      </c>
      <c r="AS29" s="60">
        <f t="shared" si="10"/>
        <v>0</v>
      </c>
      <c r="AT29" s="60">
        <f t="shared" si="10"/>
        <v>0</v>
      </c>
      <c r="AU29" s="60">
        <f t="shared" si="10"/>
        <v>0</v>
      </c>
      <c r="AV29" s="60">
        <f t="shared" si="10"/>
        <v>0</v>
      </c>
      <c r="AW29" s="60">
        <f t="shared" si="10"/>
        <v>0</v>
      </c>
      <c r="AX29" s="72">
        <f>AW23*AX26</f>
        <v>0</v>
      </c>
    </row>
    <row r="30" spans="1:50" ht="15" x14ac:dyDescent="0.25">
      <c r="A30" s="66" t="s">
        <v>19</v>
      </c>
      <c r="B30" s="62">
        <f t="shared" ref="B30:AW30" si="11">B28+B29</f>
        <v>0</v>
      </c>
      <c r="C30" s="62">
        <f t="shared" si="11"/>
        <v>0</v>
      </c>
      <c r="D30" s="62">
        <f t="shared" si="11"/>
        <v>0</v>
      </c>
      <c r="E30" s="62">
        <f t="shared" si="11"/>
        <v>0</v>
      </c>
      <c r="F30" s="62">
        <f t="shared" si="11"/>
        <v>0</v>
      </c>
      <c r="G30" s="62">
        <f t="shared" si="11"/>
        <v>0</v>
      </c>
      <c r="H30" s="62">
        <f t="shared" si="11"/>
        <v>0</v>
      </c>
      <c r="I30" s="62">
        <f t="shared" si="11"/>
        <v>0</v>
      </c>
      <c r="J30" s="62">
        <f t="shared" si="11"/>
        <v>0</v>
      </c>
      <c r="K30" s="62">
        <f t="shared" si="11"/>
        <v>0</v>
      </c>
      <c r="L30" s="62">
        <f t="shared" si="11"/>
        <v>0</v>
      </c>
      <c r="M30" s="62">
        <f t="shared" si="11"/>
        <v>0</v>
      </c>
      <c r="N30" s="62">
        <f t="shared" si="11"/>
        <v>0</v>
      </c>
      <c r="O30" s="62">
        <f t="shared" si="11"/>
        <v>0</v>
      </c>
      <c r="P30" s="62">
        <f t="shared" si="11"/>
        <v>0</v>
      </c>
      <c r="Q30" s="62">
        <f t="shared" si="11"/>
        <v>0</v>
      </c>
      <c r="R30" s="62">
        <f t="shared" si="11"/>
        <v>0</v>
      </c>
      <c r="S30" s="62">
        <f t="shared" si="11"/>
        <v>0</v>
      </c>
      <c r="T30" s="62">
        <f t="shared" si="11"/>
        <v>0</v>
      </c>
      <c r="U30" s="62">
        <f t="shared" si="11"/>
        <v>0</v>
      </c>
      <c r="V30" s="62">
        <f t="shared" si="11"/>
        <v>0</v>
      </c>
      <c r="W30" s="62">
        <f t="shared" si="11"/>
        <v>0</v>
      </c>
      <c r="X30" s="62">
        <f t="shared" si="11"/>
        <v>0</v>
      </c>
      <c r="Y30" s="62">
        <f t="shared" si="11"/>
        <v>0</v>
      </c>
      <c r="Z30" s="62">
        <f t="shared" si="11"/>
        <v>0</v>
      </c>
      <c r="AA30" s="62">
        <f t="shared" si="11"/>
        <v>0</v>
      </c>
      <c r="AB30" s="62">
        <f t="shared" si="11"/>
        <v>0</v>
      </c>
      <c r="AC30" s="62">
        <f t="shared" si="11"/>
        <v>0</v>
      </c>
      <c r="AD30" s="62">
        <f t="shared" si="11"/>
        <v>0</v>
      </c>
      <c r="AE30" s="62">
        <f t="shared" si="11"/>
        <v>0</v>
      </c>
      <c r="AF30" s="62">
        <f t="shared" si="11"/>
        <v>0</v>
      </c>
      <c r="AG30" s="62">
        <f t="shared" si="11"/>
        <v>0</v>
      </c>
      <c r="AH30" s="62">
        <f t="shared" si="11"/>
        <v>0</v>
      </c>
      <c r="AI30" s="62">
        <f t="shared" si="11"/>
        <v>0</v>
      </c>
      <c r="AJ30" s="62">
        <f t="shared" si="11"/>
        <v>0</v>
      </c>
      <c r="AK30" s="62">
        <f t="shared" si="11"/>
        <v>0</v>
      </c>
      <c r="AL30" s="62">
        <f t="shared" si="11"/>
        <v>0</v>
      </c>
      <c r="AM30" s="62">
        <f t="shared" si="11"/>
        <v>0</v>
      </c>
      <c r="AN30" s="62">
        <f t="shared" si="11"/>
        <v>0</v>
      </c>
      <c r="AO30" s="62">
        <f t="shared" si="11"/>
        <v>0</v>
      </c>
      <c r="AP30" s="62">
        <f t="shared" si="11"/>
        <v>0</v>
      </c>
      <c r="AQ30" s="62">
        <f t="shared" si="11"/>
        <v>0</v>
      </c>
      <c r="AR30" s="62">
        <f t="shared" si="11"/>
        <v>0</v>
      </c>
      <c r="AS30" s="62">
        <f t="shared" si="11"/>
        <v>0</v>
      </c>
      <c r="AT30" s="62">
        <f t="shared" si="11"/>
        <v>0</v>
      </c>
      <c r="AU30" s="62">
        <f t="shared" si="11"/>
        <v>0</v>
      </c>
      <c r="AV30" s="62">
        <f t="shared" si="11"/>
        <v>0</v>
      </c>
      <c r="AW30" s="64">
        <f t="shared" si="11"/>
        <v>0</v>
      </c>
      <c r="AX30" s="64">
        <f>SUM(AX28:AX29)</f>
        <v>0</v>
      </c>
    </row>
    <row r="31" spans="1:50" x14ac:dyDescent="0.2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</row>
    <row r="32" spans="1:50" x14ac:dyDescent="0.2">
      <c r="A32" s="73" t="s">
        <v>64</v>
      </c>
      <c r="B32" s="74">
        <f>B16/B13</f>
        <v>8.7854599247326713E-3</v>
      </c>
      <c r="C32" s="74">
        <f t="shared" ref="C32:AW32" si="12">C16/C13</f>
        <v>8.1884275985874194E-2</v>
      </c>
      <c r="D32" s="74">
        <f t="shared" si="12"/>
        <v>-6.1252094204254639E-3</v>
      </c>
      <c r="E32" s="74">
        <f t="shared" si="12"/>
        <v>1.1206997737269521E-2</v>
      </c>
      <c r="F32" s="74">
        <f t="shared" si="12"/>
        <v>-6.2006330191776857E-2</v>
      </c>
      <c r="G32" s="74">
        <f t="shared" si="12"/>
        <v>-0.19639286160335404</v>
      </c>
      <c r="H32" s="74">
        <f t="shared" si="12"/>
        <v>-0.20670987757936737</v>
      </c>
      <c r="I32" s="74">
        <f t="shared" si="12"/>
        <v>-0.12513545118269945</v>
      </c>
      <c r="J32" s="74">
        <f t="shared" si="12"/>
        <v>-0.15909336142288111</v>
      </c>
      <c r="K32" s="74">
        <f t="shared" si="12"/>
        <v>-8.3219153671045737E-2</v>
      </c>
      <c r="L32" s="74">
        <f t="shared" si="12"/>
        <v>0.13178109488604986</v>
      </c>
      <c r="M32" s="74">
        <f t="shared" si="12"/>
        <v>8.2379196447897707E-2</v>
      </c>
      <c r="N32" s="74">
        <f t="shared" si="12"/>
        <v>-3.2740914662497886E-2</v>
      </c>
      <c r="O32" s="74">
        <f t="shared" si="12"/>
        <v>0.12945873964246304</v>
      </c>
      <c r="P32" s="74">
        <f t="shared" si="12"/>
        <v>2.3668628436244826E-2</v>
      </c>
      <c r="Q32" s="74">
        <f t="shared" si="12"/>
        <v>-1.9377830334517182E-3</v>
      </c>
      <c r="R32" s="74">
        <f t="shared" si="12"/>
        <v>-6.803109852358652E-2</v>
      </c>
      <c r="S32" s="74">
        <f t="shared" si="12"/>
        <v>-0.25688537272337553</v>
      </c>
      <c r="T32" s="74">
        <f t="shared" si="12"/>
        <v>-0.14659970981263831</v>
      </c>
      <c r="U32" s="74">
        <f t="shared" si="12"/>
        <v>2.6962510453581764E-2</v>
      </c>
      <c r="V32" s="74">
        <f t="shared" si="12"/>
        <v>2.0441723291241547E-2</v>
      </c>
      <c r="W32" s="74">
        <f t="shared" si="12"/>
        <v>-9.6078086920284661E-2</v>
      </c>
      <c r="X32" s="74">
        <f t="shared" si="12"/>
        <v>0.12972001205361386</v>
      </c>
      <c r="Y32" s="74">
        <f t="shared" si="12"/>
        <v>-0.12438263699839816</v>
      </c>
      <c r="Z32" s="74">
        <f t="shared" si="12"/>
        <v>0.17494862861326421</v>
      </c>
      <c r="AA32" s="74">
        <f t="shared" si="12"/>
        <v>2.8647846218925764E-2</v>
      </c>
      <c r="AB32" s="74">
        <f t="shared" si="12"/>
        <v>2.6363188367833277E-2</v>
      </c>
      <c r="AC32" s="74">
        <f t="shared" si="12"/>
        <v>7.1741038896798457E-3</v>
      </c>
      <c r="AD32" s="74">
        <f t="shared" si="12"/>
        <v>-0.22004522792017939</v>
      </c>
      <c r="AE32" s="74">
        <f t="shared" si="12"/>
        <v>-0.12708898288005965</v>
      </c>
      <c r="AF32" s="74">
        <f t="shared" si="12"/>
        <v>-0.162152091874288</v>
      </c>
      <c r="AG32" s="74">
        <f t="shared" si="12"/>
        <v>-0.10221914986465569</v>
      </c>
      <c r="AH32" s="74">
        <f t="shared" si="12"/>
        <v>-7.170074559543646E-2</v>
      </c>
      <c r="AI32" s="74">
        <f t="shared" si="12"/>
        <v>3.7883739773772913E-2</v>
      </c>
      <c r="AJ32" s="74">
        <f t="shared" si="12"/>
        <v>7.5198657924167148E-2</v>
      </c>
      <c r="AK32" s="74">
        <f t="shared" si="12"/>
        <v>7.0101678489219527E-2</v>
      </c>
      <c r="AL32" s="74">
        <f t="shared" si="12"/>
        <v>3.3637139476415333E-3</v>
      </c>
      <c r="AM32" s="74">
        <f t="shared" si="12"/>
        <v>3.094999769140299E-2</v>
      </c>
      <c r="AN32" s="74">
        <f t="shared" si="12"/>
        <v>8.4062883289099874E-2</v>
      </c>
      <c r="AO32" s="74">
        <f t="shared" si="12"/>
        <v>-5.2706693327304856E-2</v>
      </c>
      <c r="AP32" s="74">
        <f t="shared" si="12"/>
        <v>-0.1466732164098557</v>
      </c>
      <c r="AQ32" s="74">
        <f t="shared" si="12"/>
        <v>-0.12328504000584352</v>
      </c>
      <c r="AR32" s="74">
        <f t="shared" si="12"/>
        <v>-0.14023044906993185</v>
      </c>
      <c r="AS32" s="74">
        <f t="shared" si="12"/>
        <v>8.0278232473697642E-2</v>
      </c>
      <c r="AT32" s="74">
        <f t="shared" si="12"/>
        <v>-0.14144343343594573</v>
      </c>
      <c r="AU32" s="74">
        <f t="shared" si="12"/>
        <v>-0.16258512217299245</v>
      </c>
      <c r="AV32" s="74">
        <f t="shared" si="12"/>
        <v>0.1333096651786701</v>
      </c>
      <c r="AW32" s="74">
        <f t="shared" si="12"/>
        <v>-8.8978745022503095E-2</v>
      </c>
      <c r="AX32" s="73"/>
    </row>
    <row r="33" spans="1:48" x14ac:dyDescent="0.2">
      <c r="J33" s="53"/>
      <c r="K33" s="53"/>
      <c r="L33" s="53"/>
      <c r="M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</row>
    <row r="34" spans="1:48" x14ac:dyDescent="0.2">
      <c r="J34" s="53"/>
      <c r="K34" s="53"/>
      <c r="L34" s="53"/>
      <c r="M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</row>
    <row r="35" spans="1:48" s="1" customFormat="1" ht="15" x14ac:dyDescent="0.25">
      <c r="A35" s="19" t="s">
        <v>95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48" s="1" customFormat="1" ht="45" x14ac:dyDescent="0.25">
      <c r="A36" s="21"/>
      <c r="B36" s="21" t="s">
        <v>93</v>
      </c>
      <c r="C36" s="21" t="s">
        <v>33</v>
      </c>
      <c r="D36" s="21" t="s">
        <v>94</v>
      </c>
      <c r="E36" s="20"/>
      <c r="F36" s="20"/>
      <c r="G36" s="20"/>
      <c r="H36" s="20"/>
      <c r="I36" s="20"/>
      <c r="J36" s="22"/>
      <c r="K36" s="22"/>
      <c r="L36" s="20"/>
    </row>
    <row r="37" spans="1:48" s="1" customFormat="1" ht="15" x14ac:dyDescent="0.25">
      <c r="A37" s="91" t="s">
        <v>91</v>
      </c>
      <c r="B37" s="92">
        <f>AW23</f>
        <v>446516.24730371288</v>
      </c>
      <c r="C37" s="92"/>
      <c r="D37" s="92">
        <f>B37+C37</f>
        <v>446516.24730371288</v>
      </c>
      <c r="E37" s="20"/>
      <c r="F37" s="20"/>
      <c r="G37" s="20"/>
      <c r="H37" s="20"/>
      <c r="I37" s="20"/>
      <c r="J37" s="20"/>
      <c r="K37" s="20"/>
      <c r="L37" s="20"/>
    </row>
    <row r="38" spans="1:48" s="1" customFormat="1" ht="15" x14ac:dyDescent="0.25">
      <c r="A38" s="23" t="s">
        <v>92</v>
      </c>
      <c r="B38" s="96">
        <f>AW30</f>
        <v>0</v>
      </c>
      <c r="C38" s="96">
        <f>AX30</f>
        <v>0</v>
      </c>
      <c r="D38" s="96">
        <f t="shared" ref="D38:D39" si="13">B38+C38</f>
        <v>0</v>
      </c>
      <c r="E38" s="20"/>
      <c r="F38" s="20"/>
      <c r="G38" s="20"/>
      <c r="H38" s="20"/>
      <c r="I38" s="20"/>
      <c r="J38" s="28"/>
      <c r="K38" s="28"/>
      <c r="L38" s="20"/>
    </row>
    <row r="39" spans="1:48" s="1" customFormat="1" ht="15" x14ac:dyDescent="0.25">
      <c r="A39" s="29" t="s">
        <v>20</v>
      </c>
      <c r="B39" s="93">
        <f>B38+B37</f>
        <v>446516.24730371288</v>
      </c>
      <c r="C39" s="93">
        <f t="shared" ref="C39" si="14">C38+C37</f>
        <v>0</v>
      </c>
      <c r="D39" s="93">
        <f t="shared" si="13"/>
        <v>446516.24730371288</v>
      </c>
      <c r="E39" s="20"/>
      <c r="F39" s="20"/>
      <c r="G39" s="20"/>
      <c r="H39" s="20"/>
      <c r="I39" s="20"/>
      <c r="J39" s="20"/>
      <c r="K39" s="20"/>
      <c r="L39" s="20"/>
    </row>
    <row r="40" spans="1:48" s="1" customFormat="1" ht="15" x14ac:dyDescent="0.25">
      <c r="A40" s="94"/>
      <c r="B40" s="95"/>
      <c r="C40" s="95"/>
      <c r="D40" s="95"/>
      <c r="E40" s="20"/>
      <c r="F40" s="20"/>
      <c r="G40" s="20"/>
      <c r="H40" s="20"/>
      <c r="I40" s="20"/>
      <c r="J40" s="20"/>
      <c r="K40" s="20"/>
      <c r="L40" s="20"/>
    </row>
    <row r="41" spans="1:48" s="1" customFormat="1" ht="15" x14ac:dyDescent="0.25">
      <c r="A41" s="19" t="s">
        <v>71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48" s="1" customFormat="1" ht="15" x14ac:dyDescent="0.25">
      <c r="A42" s="21"/>
      <c r="B42" s="21" t="s">
        <v>21</v>
      </c>
      <c r="C42" s="21" t="s">
        <v>22</v>
      </c>
      <c r="D42" s="21" t="s">
        <v>32</v>
      </c>
      <c r="E42" s="21" t="s">
        <v>23</v>
      </c>
      <c r="F42" s="21" t="s">
        <v>24</v>
      </c>
      <c r="G42" s="21" t="s">
        <v>25</v>
      </c>
      <c r="H42" s="21" t="s">
        <v>26</v>
      </c>
      <c r="I42" s="22"/>
      <c r="J42" s="22"/>
      <c r="K42" s="22"/>
      <c r="L42" s="20"/>
    </row>
    <row r="43" spans="1:48" s="1" customFormat="1" ht="16.5" x14ac:dyDescent="0.25">
      <c r="A43" s="23" t="s">
        <v>31</v>
      </c>
      <c r="B43" s="24" t="s">
        <v>37</v>
      </c>
      <c r="C43" s="25">
        <f>SUM(D43:H43)</f>
        <v>91763.346272427982</v>
      </c>
      <c r="D43" s="25">
        <f>'Load Forecast'!F30/1000</f>
        <v>77538.017524361625</v>
      </c>
      <c r="E43" s="25">
        <f>'Load Forecast'!G30/1000</f>
        <v>2492.8963982521022</v>
      </c>
      <c r="F43" s="25">
        <f>'Load Forecast'!H30/1000</f>
        <v>4248.7948944006839</v>
      </c>
      <c r="G43" s="25">
        <f>'Load Forecast'!I30/1000</f>
        <v>5363.0855489619516</v>
      </c>
      <c r="H43" s="25">
        <f>'Load Forecast'!J30/1000</f>
        <v>2120.5519064516129</v>
      </c>
      <c r="I43" s="20"/>
      <c r="J43" s="20"/>
      <c r="K43" s="20"/>
      <c r="L43" s="20"/>
    </row>
    <row r="44" spans="1:48" s="1" customFormat="1" ht="15" x14ac:dyDescent="0.25">
      <c r="A44" s="23" t="s">
        <v>29</v>
      </c>
      <c r="B44" s="26" t="s">
        <v>27</v>
      </c>
      <c r="C44" s="27">
        <f>SUM(D44:H44)</f>
        <v>1</v>
      </c>
      <c r="D44" s="27">
        <f>D43/$C$43</f>
        <v>0.84497809500283427</v>
      </c>
      <c r="E44" s="27">
        <f t="shared" ref="E44:H44" si="15">E43/$C$43</f>
        <v>2.7166581206085984E-2</v>
      </c>
      <c r="F44" s="27">
        <f t="shared" si="15"/>
        <v>4.6301656020551141E-2</v>
      </c>
      <c r="G44" s="27">
        <f t="shared" si="15"/>
        <v>5.8444746914960655E-2</v>
      </c>
      <c r="H44" s="27">
        <f t="shared" si="15"/>
        <v>2.3108920855567934E-2</v>
      </c>
      <c r="I44" s="28"/>
      <c r="J44" s="28"/>
      <c r="K44" s="28"/>
      <c r="L44" s="20"/>
    </row>
    <row r="45" spans="1:48" s="1" customFormat="1" ht="15" x14ac:dyDescent="0.25">
      <c r="A45" s="29" t="s">
        <v>20</v>
      </c>
      <c r="B45" s="30" t="s">
        <v>28</v>
      </c>
      <c r="C45" s="31">
        <f>SUM(D45:H45)</f>
        <v>446516.24730371288</v>
      </c>
      <c r="D45" s="31">
        <f>D44*($AX$30+$AW$23+$AW$30)</f>
        <v>377296.44803450577</v>
      </c>
      <c r="E45" s="31">
        <f t="shared" ref="E45:H45" si="16">E44*($AX$30+$AW$23+$AW$30)</f>
        <v>12130.319892213087</v>
      </c>
      <c r="F45" s="31">
        <f t="shared" si="16"/>
        <v>20674.441690243861</v>
      </c>
      <c r="G45" s="31">
        <f t="shared" si="16"/>
        <v>26096.529067083484</v>
      </c>
      <c r="H45" s="31">
        <f t="shared" si="16"/>
        <v>10318.5086196667</v>
      </c>
      <c r="I45" s="20"/>
      <c r="J45" s="20"/>
      <c r="K45" s="20"/>
      <c r="L45" s="20"/>
    </row>
    <row r="46" spans="1:48" s="1" customFormat="1" ht="15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</row>
    <row r="47" spans="1:48" s="1" customFormat="1" ht="15" x14ac:dyDescent="0.25"/>
    <row r="48" spans="1:48" s="1" customFormat="1" ht="15" x14ac:dyDescent="0.25">
      <c r="A48" s="19" t="s">
        <v>84</v>
      </c>
      <c r="B48" s="20"/>
      <c r="C48" s="20"/>
      <c r="D48" s="20"/>
      <c r="E48" s="20"/>
      <c r="F48" s="20"/>
      <c r="G48" s="20"/>
      <c r="H48" s="20"/>
    </row>
    <row r="49" spans="1:8" s="1" customFormat="1" ht="15" x14ac:dyDescent="0.25">
      <c r="A49" s="21"/>
      <c r="B49" s="21" t="s">
        <v>21</v>
      </c>
      <c r="C49" s="21" t="s">
        <v>22</v>
      </c>
      <c r="D49" s="21" t="s">
        <v>32</v>
      </c>
      <c r="E49" s="21" t="s">
        <v>23</v>
      </c>
      <c r="F49" s="21" t="s">
        <v>24</v>
      </c>
      <c r="G49" s="21" t="s">
        <v>25</v>
      </c>
      <c r="H49" s="21" t="s">
        <v>26</v>
      </c>
    </row>
    <row r="50" spans="1:8" s="1" customFormat="1" ht="16.5" x14ac:dyDescent="0.25">
      <c r="A50" s="23" t="s">
        <v>31</v>
      </c>
      <c r="B50" s="24" t="s">
        <v>37</v>
      </c>
      <c r="C50" s="25">
        <f>SUM(D50:H50)</f>
        <v>36391.177000000003</v>
      </c>
      <c r="D50" s="25">
        <f>'Load Forecast'!F7/1000</f>
        <v>28658.657999999999</v>
      </c>
      <c r="E50" s="25">
        <f>'Load Forecast'!G7/1000</f>
        <v>832.28099999999995</v>
      </c>
      <c r="F50" s="25">
        <f>'Load Forecast'!H7/1000</f>
        <v>3918.0360000000001</v>
      </c>
      <c r="G50" s="25">
        <f>'Load Forecast'!I7/1000</f>
        <v>2334.616</v>
      </c>
      <c r="H50" s="25">
        <f>'Load Forecast'!J7/1000</f>
        <v>647.58600000000001</v>
      </c>
    </row>
    <row r="51" spans="1:8" s="1" customFormat="1" ht="15" x14ac:dyDescent="0.25">
      <c r="A51" s="23" t="s">
        <v>29</v>
      </c>
      <c r="B51" s="26" t="s">
        <v>27</v>
      </c>
      <c r="C51" s="32">
        <f>C44</f>
        <v>1</v>
      </c>
      <c r="D51" s="32">
        <f t="shared" ref="D51:H51" si="17">D44</f>
        <v>0.84497809500283427</v>
      </c>
      <c r="E51" s="32">
        <f t="shared" si="17"/>
        <v>2.7166581206085984E-2</v>
      </c>
      <c r="F51" s="32">
        <f t="shared" si="17"/>
        <v>4.6301656020551141E-2</v>
      </c>
      <c r="G51" s="32">
        <f t="shared" si="17"/>
        <v>5.8444746914960655E-2</v>
      </c>
      <c r="H51" s="32">
        <f t="shared" si="17"/>
        <v>2.3108920855567934E-2</v>
      </c>
    </row>
    <row r="52" spans="1:8" s="1" customFormat="1" ht="15" x14ac:dyDescent="0.25">
      <c r="A52" s="33" t="s">
        <v>20</v>
      </c>
      <c r="B52" s="34" t="s">
        <v>28</v>
      </c>
      <c r="C52" s="35">
        <f>SUM(D52:H52)</f>
        <v>446516.24730371282</v>
      </c>
      <c r="D52" s="35">
        <f>D50*D53*10</f>
        <v>377296.44803450571</v>
      </c>
      <c r="E52" s="35">
        <f t="shared" ref="E52:H52" si="18">E50*E53*10</f>
        <v>12130.319892213087</v>
      </c>
      <c r="F52" s="35">
        <f t="shared" si="18"/>
        <v>20674.441690243861</v>
      </c>
      <c r="G52" s="35">
        <f t="shared" si="18"/>
        <v>26096.529067083484</v>
      </c>
      <c r="H52" s="35">
        <f t="shared" si="18"/>
        <v>10318.5086196667</v>
      </c>
    </row>
    <row r="53" spans="1:8" s="1" customFormat="1" ht="17.25" x14ac:dyDescent="0.25">
      <c r="A53" s="29" t="s">
        <v>30</v>
      </c>
      <c r="B53" s="30" t="s">
        <v>38</v>
      </c>
      <c r="C53" s="36"/>
      <c r="D53" s="36">
        <f>D45/D50/10</f>
        <v>1.3165181985650052</v>
      </c>
      <c r="E53" s="36">
        <f t="shared" ref="E53:H53" si="19">E45/E50/10</f>
        <v>1.4574788914096426</v>
      </c>
      <c r="F53" s="36">
        <f t="shared" si="19"/>
        <v>0.52767360203540403</v>
      </c>
      <c r="G53" s="36">
        <f t="shared" si="19"/>
        <v>1.1178081991678068</v>
      </c>
      <c r="H53" s="36">
        <f t="shared" si="19"/>
        <v>1.5933804343618763</v>
      </c>
    </row>
    <row r="56" spans="1:8" s="1" customFormat="1" ht="15" x14ac:dyDescent="0.25">
      <c r="A56" s="19" t="s">
        <v>100</v>
      </c>
      <c r="B56" s="20"/>
      <c r="C56" s="20"/>
      <c r="D56" s="20"/>
      <c r="E56" s="20"/>
      <c r="F56" s="20"/>
      <c r="G56" s="20"/>
      <c r="H56" s="20"/>
    </row>
    <row r="57" spans="1:8" s="1" customFormat="1" ht="15" x14ac:dyDescent="0.25">
      <c r="A57" s="21"/>
      <c r="B57" s="21" t="s">
        <v>21</v>
      </c>
      <c r="C57" s="21" t="s">
        <v>22</v>
      </c>
      <c r="D57" s="21" t="s">
        <v>32</v>
      </c>
      <c r="E57" s="21" t="s">
        <v>23</v>
      </c>
      <c r="F57" s="21" t="s">
        <v>24</v>
      </c>
      <c r="G57" s="21" t="s">
        <v>25</v>
      </c>
      <c r="H57" s="21" t="s">
        <v>26</v>
      </c>
    </row>
    <row r="58" spans="1:8" s="1" customFormat="1" ht="16.5" x14ac:dyDescent="0.25">
      <c r="A58" s="23" t="s">
        <v>31</v>
      </c>
      <c r="B58" s="24" t="s">
        <v>37</v>
      </c>
      <c r="C58" s="25">
        <f>SUM(D58:H58)</f>
        <v>26069.181478073962</v>
      </c>
      <c r="D58" s="25">
        <f>'PGTVA Continuity'!D59</f>
        <v>19590.713367154058</v>
      </c>
      <c r="E58" s="25">
        <f>'PGTVA Continuity'!E59</f>
        <v>797.93821948383845</v>
      </c>
      <c r="F58" s="25">
        <f>'PGTVA Continuity'!F59</f>
        <v>2741.0086261730785</v>
      </c>
      <c r="G58" s="25">
        <f>'PGTVA Continuity'!G59</f>
        <v>2298.7417451240976</v>
      </c>
      <c r="H58" s="25">
        <f>'PGTVA Continuity'!H59</f>
        <v>640.77952013888819</v>
      </c>
    </row>
    <row r="59" spans="1:8" s="1" customFormat="1" ht="15" x14ac:dyDescent="0.25">
      <c r="A59" s="23" t="s">
        <v>29</v>
      </c>
      <c r="B59" s="26" t="s">
        <v>27</v>
      </c>
      <c r="C59" s="27">
        <f>SUM(D59:H59)</f>
        <v>1</v>
      </c>
      <c r="D59" s="32">
        <f>D51</f>
        <v>0.84497809500283427</v>
      </c>
      <c r="E59" s="32">
        <f t="shared" ref="E59:H59" si="20">E51</f>
        <v>2.7166581206085984E-2</v>
      </c>
      <c r="F59" s="32">
        <f t="shared" si="20"/>
        <v>4.6301656020551141E-2</v>
      </c>
      <c r="G59" s="32">
        <f t="shared" si="20"/>
        <v>5.8444746914960655E-2</v>
      </c>
      <c r="H59" s="32">
        <f t="shared" si="20"/>
        <v>2.3108920855567934E-2</v>
      </c>
    </row>
    <row r="60" spans="1:8" s="1" customFormat="1" ht="15" x14ac:dyDescent="0.25">
      <c r="A60" s="33" t="s">
        <v>20</v>
      </c>
      <c r="B60" s="34" t="s">
        <v>28</v>
      </c>
      <c r="C60" s="35">
        <f>SUM(D60:H60)</f>
        <v>446516.24730371282</v>
      </c>
      <c r="D60" s="35">
        <f>D52</f>
        <v>377296.44803450571</v>
      </c>
      <c r="E60" s="35">
        <f t="shared" ref="E60:H60" si="21">E52</f>
        <v>12130.319892213087</v>
      </c>
      <c r="F60" s="35">
        <f t="shared" si="21"/>
        <v>20674.441690243861</v>
      </c>
      <c r="G60" s="35">
        <f t="shared" si="21"/>
        <v>26096.529067083484</v>
      </c>
      <c r="H60" s="35">
        <f t="shared" si="21"/>
        <v>10318.5086196667</v>
      </c>
    </row>
    <row r="61" spans="1:8" s="1" customFormat="1" ht="17.25" x14ac:dyDescent="0.25">
      <c r="A61" s="29" t="s">
        <v>30</v>
      </c>
      <c r="B61" s="30" t="s">
        <v>38</v>
      </c>
      <c r="C61" s="36"/>
      <c r="D61" s="36">
        <f>D45/D58/10</f>
        <v>1.9258943815036562</v>
      </c>
      <c r="E61" s="36">
        <f t="shared" ref="E61:H61" si="22">E45/E58/10</f>
        <v>1.5202079053262814</v>
      </c>
      <c r="F61" s="36">
        <f t="shared" si="22"/>
        <v>0.75426401408699517</v>
      </c>
      <c r="G61" s="36">
        <f t="shared" si="22"/>
        <v>1.1352527582725331</v>
      </c>
      <c r="H61" s="36">
        <f t="shared" si="22"/>
        <v>1.6103056192292438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Width="3" orientation="landscape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showGridLines="0" workbookViewId="0">
      <selection activeCell="E10" sqref="E10"/>
    </sheetView>
  </sheetViews>
  <sheetFormatPr defaultColWidth="9.140625" defaultRowHeight="14.25" x14ac:dyDescent="0.2"/>
  <cols>
    <col min="1" max="1" width="20.42578125" style="76" customWidth="1"/>
    <col min="2" max="2" width="15.28515625" style="76" customWidth="1"/>
    <col min="3" max="3" width="12.7109375" style="76" bestFit="1" customWidth="1"/>
    <col min="4" max="4" width="13.140625" style="76" customWidth="1"/>
    <col min="5" max="5" width="11.5703125" style="76" bestFit="1" customWidth="1"/>
    <col min="6" max="7" width="12.7109375" style="76" bestFit="1" customWidth="1"/>
    <col min="8" max="8" width="11.5703125" style="76" bestFit="1" customWidth="1"/>
    <col min="9" max="10" width="12.7109375" style="76" bestFit="1" customWidth="1"/>
    <col min="11" max="11" width="9.28515625" style="76" bestFit="1" customWidth="1"/>
    <col min="12" max="12" width="28.28515625" style="76" customWidth="1"/>
    <col min="13" max="13" width="18.28515625" style="76" customWidth="1"/>
    <col min="14" max="16384" width="9.140625" style="76"/>
  </cols>
  <sheetData>
    <row r="1" spans="1:13" ht="15" x14ac:dyDescent="0.25">
      <c r="A1" s="98" t="str">
        <f>'PGTVA Continuity'!A1</f>
        <v>EPCOR Natural Gas Limited Partnership</v>
      </c>
    </row>
    <row r="2" spans="1:13" ht="15" x14ac:dyDescent="0.25">
      <c r="A2" s="98" t="str">
        <f>'PGTVA Continuity'!A2</f>
        <v>EB-2024-0130</v>
      </c>
    </row>
    <row r="3" spans="1:13" ht="15" x14ac:dyDescent="0.25">
      <c r="A3" s="98" t="s">
        <v>97</v>
      </c>
    </row>
    <row r="4" spans="1:13" ht="15" x14ac:dyDescent="0.25">
      <c r="A4" s="98"/>
    </row>
    <row r="5" spans="1:13" ht="15" x14ac:dyDescent="0.25">
      <c r="A5" s="79" t="s">
        <v>87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9" t="s">
        <v>99</v>
      </c>
      <c r="M5" s="75"/>
    </row>
    <row r="6" spans="1:13" ht="15" x14ac:dyDescent="0.25">
      <c r="A6" s="82"/>
      <c r="B6" s="83" t="s">
        <v>86</v>
      </c>
      <c r="C6" s="81"/>
      <c r="D6" s="81"/>
      <c r="F6" s="77" t="s">
        <v>82</v>
      </c>
      <c r="G6" s="77" t="s">
        <v>83</v>
      </c>
      <c r="H6" s="77" t="s">
        <v>79</v>
      </c>
      <c r="I6" s="77" t="s">
        <v>80</v>
      </c>
      <c r="J6" s="77" t="s">
        <v>81</v>
      </c>
      <c r="L6" s="82"/>
      <c r="M6" s="83" t="s">
        <v>86</v>
      </c>
    </row>
    <row r="7" spans="1:13" ht="15" x14ac:dyDescent="0.25">
      <c r="A7" s="84" t="s">
        <v>75</v>
      </c>
      <c r="B7" s="85">
        <v>19778416</v>
      </c>
      <c r="C7" s="81"/>
      <c r="D7" s="81"/>
      <c r="F7" s="78">
        <f>B7+B8+B9</f>
        <v>28658658</v>
      </c>
      <c r="G7" s="78">
        <f>B10</f>
        <v>832281</v>
      </c>
      <c r="H7" s="78">
        <f>B11</f>
        <v>3918036</v>
      </c>
      <c r="I7" s="78">
        <f>B12</f>
        <v>2334616</v>
      </c>
      <c r="J7" s="78">
        <f>B13</f>
        <v>647586</v>
      </c>
      <c r="L7" s="84" t="s">
        <v>75</v>
      </c>
      <c r="M7" s="85">
        <v>13321797.606553946</v>
      </c>
    </row>
    <row r="8" spans="1:13" ht="15" x14ac:dyDescent="0.25">
      <c r="A8" s="86" t="s">
        <v>76</v>
      </c>
      <c r="B8" s="87">
        <v>2686373</v>
      </c>
      <c r="C8" s="81"/>
      <c r="D8" s="81"/>
      <c r="F8" s="90">
        <f>F7/SUM($F$7:$J7)</f>
        <v>0.78751665547943117</v>
      </c>
      <c r="G8" s="90">
        <f>G7/SUM($F$7:$J7)</f>
        <v>2.2870406197634113E-2</v>
      </c>
      <c r="H8" s="90">
        <f>H7/SUM($F$7:$J7)</f>
        <v>0.10766444844584169</v>
      </c>
      <c r="I8" s="90">
        <f>I7/SUM($F$7:$J7)</f>
        <v>6.4153352335924715E-2</v>
      </c>
      <c r="J8" s="90">
        <f>J7/SUM($F$7:$J7)</f>
        <v>1.779513754116829E-2</v>
      </c>
      <c r="L8" s="86" t="s">
        <v>76</v>
      </c>
      <c r="M8" s="87">
        <v>2124778.7767593185</v>
      </c>
    </row>
    <row r="9" spans="1:13" ht="15" x14ac:dyDescent="0.25">
      <c r="A9" s="86" t="s">
        <v>77</v>
      </c>
      <c r="B9" s="87">
        <v>6193869</v>
      </c>
      <c r="C9" s="81"/>
      <c r="D9" s="81"/>
      <c r="L9" s="86" t="s">
        <v>77</v>
      </c>
      <c r="M9" s="87">
        <v>4144136.983840792</v>
      </c>
    </row>
    <row r="10" spans="1:13" ht="15" x14ac:dyDescent="0.25">
      <c r="A10" s="86" t="s">
        <v>78</v>
      </c>
      <c r="B10" s="85">
        <v>832281</v>
      </c>
      <c r="C10" s="81"/>
      <c r="D10" s="81"/>
      <c r="L10" s="86" t="s">
        <v>78</v>
      </c>
      <c r="M10" s="85">
        <v>797938.21948383842</v>
      </c>
    </row>
    <row r="11" spans="1:13" ht="15" x14ac:dyDescent="0.25">
      <c r="A11" s="86" t="s">
        <v>79</v>
      </c>
      <c r="B11" s="87">
        <v>3918036</v>
      </c>
      <c r="C11" s="81"/>
      <c r="D11" s="81"/>
      <c r="L11" s="86" t="s">
        <v>79</v>
      </c>
      <c r="M11" s="87">
        <v>2741008.6261730785</v>
      </c>
    </row>
    <row r="12" spans="1:13" ht="15" x14ac:dyDescent="0.25">
      <c r="A12" s="86" t="s">
        <v>80</v>
      </c>
      <c r="B12" s="85">
        <v>2334616</v>
      </c>
      <c r="C12" s="81"/>
      <c r="D12" s="81"/>
      <c r="L12" s="86" t="s">
        <v>80</v>
      </c>
      <c r="M12" s="85">
        <v>2298741.7451240974</v>
      </c>
    </row>
    <row r="13" spans="1:13" ht="15" x14ac:dyDescent="0.25">
      <c r="A13" s="86" t="s">
        <v>81</v>
      </c>
      <c r="B13" s="85">
        <v>647586</v>
      </c>
      <c r="C13" s="81"/>
      <c r="D13" s="81"/>
      <c r="L13" s="86" t="s">
        <v>81</v>
      </c>
      <c r="M13" s="85">
        <v>640779.52013888815</v>
      </c>
    </row>
    <row r="14" spans="1:13" ht="15" x14ac:dyDescent="0.25">
      <c r="A14" s="88" t="s">
        <v>20</v>
      </c>
      <c r="B14" s="89">
        <f>SUM(B7:B13)</f>
        <v>36391177</v>
      </c>
      <c r="C14" s="81"/>
      <c r="D14" s="81"/>
      <c r="L14" s="88" t="s">
        <v>20</v>
      </c>
      <c r="M14" s="89">
        <f>SUM(M7:M13)</f>
        <v>26069181.478073962</v>
      </c>
    </row>
    <row r="15" spans="1:13" x14ac:dyDescent="0.2">
      <c r="C15" s="81"/>
      <c r="D15" s="81"/>
    </row>
    <row r="16" spans="1:13" ht="15" x14ac:dyDescent="0.25">
      <c r="A16" s="80" t="s">
        <v>88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</row>
    <row r="17" spans="1:11" ht="15" x14ac:dyDescent="0.25">
      <c r="A17" s="82"/>
      <c r="B17" s="83" t="s">
        <v>74</v>
      </c>
      <c r="C17" s="81"/>
      <c r="D17" s="81"/>
      <c r="F17" s="77" t="s">
        <v>82</v>
      </c>
      <c r="G17" s="77" t="s">
        <v>83</v>
      </c>
      <c r="H17" s="77" t="s">
        <v>79</v>
      </c>
      <c r="I17" s="77" t="s">
        <v>80</v>
      </c>
      <c r="J17" s="77" t="s">
        <v>81</v>
      </c>
    </row>
    <row r="18" spans="1:11" ht="15" x14ac:dyDescent="0.25">
      <c r="A18" s="84" t="s">
        <v>75</v>
      </c>
      <c r="B18" s="85">
        <v>17466766.735430952</v>
      </c>
      <c r="C18" s="81"/>
      <c r="D18" s="81"/>
      <c r="F18" s="78">
        <f>B18+B19+B20</f>
        <v>26303523.946507044</v>
      </c>
      <c r="G18" s="78">
        <f>B21</f>
        <v>869131.10070635669</v>
      </c>
      <c r="H18" s="78">
        <f>B22</f>
        <v>1335618.1519738757</v>
      </c>
      <c r="I18" s="78">
        <f>B23</f>
        <v>2227328.625534595</v>
      </c>
      <c r="J18" s="78">
        <f>B24</f>
        <v>980160.2</v>
      </c>
    </row>
    <row r="19" spans="1:11" ht="15" x14ac:dyDescent="0.25">
      <c r="A19" s="86" t="s">
        <v>76</v>
      </c>
      <c r="B19" s="87">
        <v>3013707.3512891671</v>
      </c>
      <c r="C19" s="81"/>
      <c r="D19" s="81"/>
      <c r="F19" s="90">
        <f>F18/SUM($F$7:$J18)</f>
        <v>0.38620915778860759</v>
      </c>
      <c r="G19" s="90">
        <f>G18/SUM($F$7:$J18)</f>
        <v>1.2761270736739518E-2</v>
      </c>
      <c r="H19" s="90">
        <f>H18/SUM($F$7:$J18)</f>
        <v>1.9610602847361294E-2</v>
      </c>
      <c r="I19" s="90">
        <f>I18/SUM($F$7:$J18)</f>
        <v>3.2703401807893669E-2</v>
      </c>
      <c r="J19" s="90">
        <f>J18/SUM($F$7:$J18)</f>
        <v>1.4391487851960687E-2</v>
      </c>
    </row>
    <row r="20" spans="1:11" ht="15" x14ac:dyDescent="0.25">
      <c r="A20" s="86" t="s">
        <v>77</v>
      </c>
      <c r="B20" s="87">
        <v>5823049.8597869221</v>
      </c>
      <c r="C20" s="81"/>
      <c r="D20" s="81"/>
    </row>
    <row r="21" spans="1:11" ht="15" x14ac:dyDescent="0.25">
      <c r="A21" s="86" t="s">
        <v>78</v>
      </c>
      <c r="B21" s="85">
        <v>869131.10070635669</v>
      </c>
      <c r="C21" s="81"/>
      <c r="D21" s="81"/>
    </row>
    <row r="22" spans="1:11" ht="15" x14ac:dyDescent="0.25">
      <c r="A22" s="86" t="s">
        <v>79</v>
      </c>
      <c r="B22" s="87">
        <v>1335618.1519738757</v>
      </c>
      <c r="C22" s="81"/>
      <c r="D22" s="81"/>
    </row>
    <row r="23" spans="1:11" ht="15" x14ac:dyDescent="0.25">
      <c r="A23" s="86" t="s">
        <v>80</v>
      </c>
      <c r="B23" s="85">
        <v>2227328.625534595</v>
      </c>
      <c r="C23" s="81"/>
      <c r="D23" s="81"/>
    </row>
    <row r="24" spans="1:11" ht="15" x14ac:dyDescent="0.25">
      <c r="A24" s="86" t="s">
        <v>81</v>
      </c>
      <c r="B24" s="85">
        <v>980160.2</v>
      </c>
      <c r="C24" s="81"/>
      <c r="D24" s="81"/>
    </row>
    <row r="25" spans="1:11" ht="15" x14ac:dyDescent="0.25">
      <c r="A25" s="88" t="s">
        <v>20</v>
      </c>
      <c r="B25" s="89">
        <f>SUM(B18:B24)</f>
        <v>31715762.024721872</v>
      </c>
      <c r="C25" s="81"/>
      <c r="D25" s="81"/>
    </row>
    <row r="26" spans="1:11" x14ac:dyDescent="0.2">
      <c r="J26" s="75"/>
      <c r="K26" s="75"/>
    </row>
    <row r="28" spans="1:11" ht="15" x14ac:dyDescent="0.25">
      <c r="A28" s="80" t="s">
        <v>85</v>
      </c>
      <c r="B28" s="81"/>
      <c r="C28" s="81"/>
      <c r="D28" s="81"/>
    </row>
    <row r="29" spans="1:11" ht="15" x14ac:dyDescent="0.25">
      <c r="A29" s="82"/>
      <c r="B29" s="83" t="s">
        <v>72</v>
      </c>
      <c r="C29" s="83" t="s">
        <v>73</v>
      </c>
      <c r="D29" s="83" t="s">
        <v>74</v>
      </c>
      <c r="F29" s="77" t="s">
        <v>82</v>
      </c>
      <c r="G29" s="77" t="s">
        <v>83</v>
      </c>
      <c r="H29" s="77" t="s">
        <v>79</v>
      </c>
      <c r="I29" s="77" t="s">
        <v>80</v>
      </c>
      <c r="J29" s="77" t="s">
        <v>81</v>
      </c>
    </row>
    <row r="30" spans="1:11" ht="15" x14ac:dyDescent="0.25">
      <c r="A30" s="84" t="s">
        <v>75</v>
      </c>
      <c r="B30" s="85">
        <v>16837081.424154699</v>
      </c>
      <c r="C30" s="85">
        <v>18760439.217100989</v>
      </c>
      <c r="D30" s="85">
        <v>17466766.735430952</v>
      </c>
      <c r="F30" s="78">
        <f>SUM(B30:D32)</f>
        <v>77538017.524361625</v>
      </c>
      <c r="G30" s="78">
        <f>SUM(B33:D33)</f>
        <v>2492896.3982521021</v>
      </c>
      <c r="H30" s="78">
        <f>SUM(B34:D34)</f>
        <v>4248794.8944006842</v>
      </c>
      <c r="I30" s="78">
        <f>SUM(B35:D35)</f>
        <v>5363085.5489619514</v>
      </c>
      <c r="J30" s="78">
        <f>SUM(B36:D36)</f>
        <v>2120551.9064516127</v>
      </c>
    </row>
    <row r="31" spans="1:11" ht="15" x14ac:dyDescent="0.25">
      <c r="A31" s="86" t="s">
        <v>76</v>
      </c>
      <c r="B31" s="87">
        <v>2067357.7995057474</v>
      </c>
      <c r="C31" s="87">
        <v>2377451.8287996999</v>
      </c>
      <c r="D31" s="87">
        <v>3013707.3512891671</v>
      </c>
      <c r="F31" s="90">
        <f>F30/SUM($F30:$J$30)</f>
        <v>0.84497809500283427</v>
      </c>
      <c r="G31" s="90">
        <f>G30/SUM($F30:$J$30)</f>
        <v>2.7166581206085984E-2</v>
      </c>
      <c r="H31" s="90">
        <f>H30/SUM($F30:$J$30)</f>
        <v>4.6301656020551141E-2</v>
      </c>
      <c r="I31" s="90">
        <f>I30/SUM($F30:$J$30)</f>
        <v>5.8444746914960655E-2</v>
      </c>
      <c r="J31" s="90">
        <f>J30/SUM($F30:$J$30)</f>
        <v>2.3108920855567931E-2</v>
      </c>
    </row>
    <row r="32" spans="1:11" ht="15" x14ac:dyDescent="0.25">
      <c r="A32" s="86" t="s">
        <v>77</v>
      </c>
      <c r="B32" s="87">
        <v>5028437.6470272308</v>
      </c>
      <c r="C32" s="87">
        <v>6163725.661266204</v>
      </c>
      <c r="D32" s="87">
        <v>5823049.8597869221</v>
      </c>
    </row>
    <row r="33" spans="1:4" ht="15" x14ac:dyDescent="0.25">
      <c r="A33" s="86" t="s">
        <v>78</v>
      </c>
      <c r="B33" s="85">
        <v>784723.83285188768</v>
      </c>
      <c r="C33" s="85">
        <v>839041.46469385759</v>
      </c>
      <c r="D33" s="85">
        <v>869131.10070635669</v>
      </c>
    </row>
    <row r="34" spans="1:4" ht="15" x14ac:dyDescent="0.25">
      <c r="A34" s="86" t="s">
        <v>79</v>
      </c>
      <c r="B34" s="87">
        <v>1361183.7311749752</v>
      </c>
      <c r="C34" s="87">
        <v>1551993.0112518335</v>
      </c>
      <c r="D34" s="87">
        <v>1335618.1519738757</v>
      </c>
    </row>
    <row r="35" spans="1:4" ht="15" x14ac:dyDescent="0.25">
      <c r="A35" s="86" t="s">
        <v>80</v>
      </c>
      <c r="B35" s="85">
        <v>1534282.7871047473</v>
      </c>
      <c r="C35" s="85">
        <v>1601474.1363226094</v>
      </c>
      <c r="D35" s="85">
        <v>2227328.625534595</v>
      </c>
    </row>
    <row r="36" spans="1:4" ht="15" x14ac:dyDescent="0.25">
      <c r="A36" s="86" t="s">
        <v>81</v>
      </c>
      <c r="B36" s="85">
        <v>554437.90645161283</v>
      </c>
      <c r="C36" s="85">
        <v>585953.80000000005</v>
      </c>
      <c r="D36" s="85">
        <v>980160.2</v>
      </c>
    </row>
    <row r="37" spans="1:4" ht="15" x14ac:dyDescent="0.25">
      <c r="A37" s="88" t="s">
        <v>20</v>
      </c>
      <c r="B37" s="89">
        <f>SUM(B30:B36)</f>
        <v>28167505.128270902</v>
      </c>
      <c r="C37" s="89">
        <f t="shared" ref="C37:D37" si="0">SUM(C30:C36)</f>
        <v>31880079.119435195</v>
      </c>
      <c r="D37" s="89">
        <f t="shared" si="0"/>
        <v>31715762.024721872</v>
      </c>
    </row>
    <row r="40" spans="1:4" x14ac:dyDescent="0.2">
      <c r="C40" s="81"/>
      <c r="D40" s="81"/>
    </row>
    <row r="41" spans="1:4" x14ac:dyDescent="0.2">
      <c r="C41" s="81"/>
      <c r="D41" s="81"/>
    </row>
    <row r="42" spans="1:4" x14ac:dyDescent="0.2">
      <c r="C42" s="81"/>
      <c r="D42" s="81"/>
    </row>
    <row r="43" spans="1:4" x14ac:dyDescent="0.2">
      <c r="C43" s="81"/>
      <c r="D43" s="81"/>
    </row>
  </sheetData>
  <sheetProtection sheet="1" objects="1" scenarios="1"/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ms xmlns="5439dcb1-57cb-40ed-87e6-3a760137f3f8" xsi:nil="true"/>
    <_dlc_DocId xmlns="2bc3004b-9ad1-483e-becf-bfd5ad8c6084">6YNFE3WTN53P-2032442789-1317</_dlc_DocId>
    <_dlc_DocIdUrl xmlns="2bc3004b-9ad1-483e-becf-bfd5ad8c6084">
      <Url>https://epcorweb/en-ca/departments/natgas/sites/ON/ONReg/_layouts/15/DocIdRedir.aspx?ID=6YNFE3WTN53P-2032442789-1317</Url>
      <Description>6YNFE3WTN53P-2032442789-1317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137378F81F4FB318B1B24AB80438" ma:contentTypeVersion="3" ma:contentTypeDescription="Create a new document." ma:contentTypeScope="" ma:versionID="24e2e42336a1cd1f4ee2fe0de8a61d67">
  <xsd:schema xmlns:xsd="http://www.w3.org/2001/XMLSchema" xmlns:xs="http://www.w3.org/2001/XMLSchema" xmlns:p="http://schemas.microsoft.com/office/2006/metadata/properties" xmlns:ns2="2bc3004b-9ad1-483e-becf-bfd5ad8c6084" xmlns:ns3="5439dcb1-57cb-40ed-87e6-3a760137f3f8" targetNamespace="http://schemas.microsoft.com/office/2006/metadata/properties" ma:root="true" ma:fieldsID="123afb3d4e45bb2ee51a4b9193e9fa35" ns2:_="" ns3:_="">
    <xsd:import namespace="2bc3004b-9ad1-483e-becf-bfd5ad8c6084"/>
    <xsd:import namespace="5439dcb1-57cb-40ed-87e6-3a760137f3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n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9dcb1-57cb-40ed-87e6-3a760137f3f8" elementFormDefault="qualified">
    <xsd:import namespace="http://schemas.microsoft.com/office/2006/documentManagement/types"/>
    <xsd:import namespace="http://schemas.microsoft.com/office/infopath/2007/PartnerControls"/>
    <xsd:element name="snms" ma:index="11" nillable="true" ma:displayName="Description" ma:internalName="snm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386503-EB7C-497A-B47A-1F8E240A2856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5439dcb1-57cb-40ed-87e6-3a760137f3f8"/>
    <ds:schemaRef ds:uri="http://schemas.openxmlformats.org/package/2006/metadata/core-properties"/>
    <ds:schemaRef ds:uri="2bc3004b-9ad1-483e-becf-bfd5ad8c608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986EE0-454F-4433-AD87-B9903AF2359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0D72353-3813-4448-8C89-85C332DDE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5439dcb1-57cb-40ed-87e6-3a760137f3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FC7372A-094C-469B-900D-C2462FF8E8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PGTVA Continuity</vt:lpstr>
      <vt:lpstr>UFGVA Continuity</vt:lpstr>
      <vt:lpstr>Load Forecast</vt:lpstr>
      <vt:lpstr>'PGTVA Continuity'!Print_Area</vt:lpstr>
    </vt:vector>
  </TitlesOfParts>
  <Company>EPCOR Utilities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Leung, George</dc:creator>
  <cp:lastModifiedBy>Hesselink, Tim</cp:lastModifiedBy>
  <cp:lastPrinted>2024-07-13T14:18:48Z</cp:lastPrinted>
  <dcterms:created xsi:type="dcterms:W3CDTF">2021-09-07T13:08:27Z</dcterms:created>
  <dcterms:modified xsi:type="dcterms:W3CDTF">2025-01-21T18:06:21Z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0x0101002BAD137378F81F4FB318B1B24AB80438</vt:lpwstr>
  </property>
  <property fmtid="{D5CDD505-2E9C-101B-9397-08002B2CF9AE}" pid="3" name="_dlc_DocIdItemGuid">
    <vt:lpwstr>2b5235d0-1076-4708-b5e7-26777ee995f2</vt:lpwstr>
  </property>
</Properties>
</file>