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codeName="ThisWorkbook" defaultThemeVersion="124226"/>
  <xr:revisionPtr revIDLastSave="0" documentId="13_ncr:1_{F97DE154-6B09-4CBD-B94A-4426CC758961}" xr6:coauthVersionLast="47" xr6:coauthVersionMax="47" xr10:uidLastSave="{00000000-0000-0000-0000-000000000000}"/>
  <bookViews>
    <workbookView xWindow="-108" yWindow="-108" windowWidth="23256" windowHeight="12576" tabRatio="909" activeTab="3" xr2:uid="{E543877E-F907-48B2-9C7D-0A2B26FDF2F9}"/>
    <workbookView xWindow="22932" yWindow="-108" windowWidth="23256" windowHeight="12576" tabRatio="767" activeTab="4" xr2:uid="{8CEAD342-BC6E-495B-BC63-B083ED725723}"/>
  </bookViews>
  <sheets>
    <sheet name="Inputs" sheetId="73" r:id="rId1"/>
    <sheet name="Load Forecast Summary" sheetId="11" r:id="rId2"/>
    <sheet name="Power Purchased Model" sheetId="72" r:id="rId3"/>
    <sheet name="Power Purchased Model-WN" sheetId="82" r:id="rId4"/>
    <sheet name="Rate Class Energy Model" sheetId="9" r:id="rId5"/>
    <sheet name="Rate Class Customer Model" sheetId="17" r:id="rId6"/>
    <sheet name="Rate Class Load Model" sheetId="18" r:id="rId7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Model'!$A$1:$L$168</definedName>
    <definedName name="_xlnm.Print_Area" localSheetId="3">'Power Purchased Model-WN'!$A$1:$L$168</definedName>
    <definedName name="_xlnm.Print_Area" localSheetId="5">'Rate Class Customer Model'!$A$1:$L$42</definedName>
    <definedName name="_xlnm.Print_Area" localSheetId="6">'Rate Class Load Model'!$A$1:$I$29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0">Inputs!$A:$B,Inputs!$20:$22</definedName>
    <definedName name="_xlnm.Print_Titles" localSheetId="2">'Power Purchased Model'!$A:$L,'Power Purchased Model'!$1:$2</definedName>
    <definedName name="_xlnm.Print_Titles" localSheetId="3">'Power Purchased Model-WN'!$A:$L,'Power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2" i="82" l="1"/>
  <c r="K153" i="82"/>
  <c r="K154" i="82"/>
  <c r="K155" i="82"/>
  <c r="K156" i="82"/>
  <c r="K157" i="82"/>
  <c r="K158" i="82"/>
  <c r="K159" i="82"/>
  <c r="K160" i="82"/>
  <c r="K161" i="82"/>
  <c r="K162" i="82"/>
  <c r="K163" i="82"/>
  <c r="K152" i="82"/>
  <c r="J153" i="82"/>
  <c r="J154" i="82"/>
  <c r="J155" i="82"/>
  <c r="J156" i="82"/>
  <c r="J157" i="82"/>
  <c r="J158" i="82"/>
  <c r="J159" i="82"/>
  <c r="J160" i="82"/>
  <c r="J161" i="82"/>
  <c r="J162" i="82"/>
  <c r="J163" i="82"/>
  <c r="J152" i="82"/>
  <c r="G146" i="82"/>
  <c r="I146" i="82"/>
  <c r="G145" i="82"/>
  <c r="I145" i="82"/>
  <c r="G144" i="82"/>
  <c r="I144" i="82"/>
  <c r="G143" i="82"/>
  <c r="G142" i="82"/>
  <c r="I142" i="82"/>
  <c r="G141" i="82"/>
  <c r="I141" i="82"/>
  <c r="G140" i="82"/>
  <c r="I139" i="82"/>
  <c r="G139" i="82"/>
  <c r="G138" i="82"/>
  <c r="I138" i="82"/>
  <c r="G137" i="82"/>
  <c r="I137" i="82"/>
  <c r="G136" i="82"/>
  <c r="I136" i="82"/>
  <c r="G135" i="82"/>
  <c r="I135" i="82"/>
  <c r="G134" i="82"/>
  <c r="I134" i="82"/>
  <c r="G133" i="82"/>
  <c r="I133" i="82" s="1"/>
  <c r="G132" i="82"/>
  <c r="I132" i="82"/>
  <c r="G131" i="82"/>
  <c r="I131" i="82" s="1"/>
  <c r="J131" i="82" s="1"/>
  <c r="B131" i="82"/>
  <c r="G130" i="82"/>
  <c r="I130" i="82" s="1"/>
  <c r="J130" i="82" s="1"/>
  <c r="B130" i="82"/>
  <c r="G129" i="82"/>
  <c r="I129" i="82" s="1"/>
  <c r="J129" i="82" s="1"/>
  <c r="B129" i="82"/>
  <c r="G128" i="82"/>
  <c r="I128" i="82" s="1"/>
  <c r="B128" i="82"/>
  <c r="K127" i="82"/>
  <c r="L127" i="82" s="1"/>
  <c r="G127" i="82"/>
  <c r="I127" i="82" s="1"/>
  <c r="J127" i="82" s="1"/>
  <c r="N127" i="82" s="1"/>
  <c r="O127" i="82" s="1"/>
  <c r="B127" i="82"/>
  <c r="K126" i="82"/>
  <c r="L126" i="82" s="1"/>
  <c r="J126" i="82"/>
  <c r="M126" i="82" s="1"/>
  <c r="I126" i="82"/>
  <c r="G126" i="82"/>
  <c r="B126" i="82"/>
  <c r="G125" i="82"/>
  <c r="I125" i="82" s="1"/>
  <c r="J125" i="82" s="1"/>
  <c r="B125" i="82"/>
  <c r="G124" i="82"/>
  <c r="I124" i="82" s="1"/>
  <c r="J124" i="82" s="1"/>
  <c r="B124" i="82"/>
  <c r="G123" i="82"/>
  <c r="I123" i="82" s="1"/>
  <c r="B123" i="82"/>
  <c r="G122" i="82"/>
  <c r="I122" i="82" s="1"/>
  <c r="J122" i="82" s="1"/>
  <c r="B122" i="82"/>
  <c r="G121" i="82"/>
  <c r="I121" i="82" s="1"/>
  <c r="J121" i="82" s="1"/>
  <c r="B121" i="82"/>
  <c r="G120" i="82"/>
  <c r="I120" i="82" s="1"/>
  <c r="B120" i="82"/>
  <c r="G119" i="82"/>
  <c r="I119" i="82" s="1"/>
  <c r="J119" i="82" s="1"/>
  <c r="K119" i="82" s="1"/>
  <c r="L119" i="82" s="1"/>
  <c r="B119" i="82"/>
  <c r="G118" i="82"/>
  <c r="I118" i="82" s="1"/>
  <c r="J118" i="82" s="1"/>
  <c r="B118" i="82"/>
  <c r="I117" i="82"/>
  <c r="J117" i="82" s="1"/>
  <c r="G117" i="82"/>
  <c r="B117" i="82"/>
  <c r="G116" i="82"/>
  <c r="I116" i="82" s="1"/>
  <c r="J116" i="82" s="1"/>
  <c r="N116" i="82" s="1"/>
  <c r="O116" i="82" s="1"/>
  <c r="B116" i="82"/>
  <c r="G115" i="82"/>
  <c r="I115" i="82" s="1"/>
  <c r="J115" i="82" s="1"/>
  <c r="B115" i="82"/>
  <c r="G114" i="82"/>
  <c r="I114" i="82" s="1"/>
  <c r="J114" i="82" s="1"/>
  <c r="B114" i="82"/>
  <c r="G113" i="82"/>
  <c r="I113" i="82" s="1"/>
  <c r="J113" i="82" s="1"/>
  <c r="B113" i="82"/>
  <c r="G112" i="82"/>
  <c r="I112" i="82" s="1"/>
  <c r="B112" i="82"/>
  <c r="G111" i="82"/>
  <c r="I111" i="82" s="1"/>
  <c r="B111" i="82"/>
  <c r="M110" i="82"/>
  <c r="G110" i="82"/>
  <c r="I110" i="82" s="1"/>
  <c r="J110" i="82" s="1"/>
  <c r="B110" i="82"/>
  <c r="G109" i="82"/>
  <c r="I109" i="82" s="1"/>
  <c r="J109" i="82" s="1"/>
  <c r="B109" i="82"/>
  <c r="G108" i="82"/>
  <c r="I108" i="82" s="1"/>
  <c r="B108" i="82"/>
  <c r="G107" i="82"/>
  <c r="I107" i="82" s="1"/>
  <c r="J107" i="82" s="1"/>
  <c r="B107" i="82"/>
  <c r="K106" i="82"/>
  <c r="L106" i="82" s="1"/>
  <c r="G106" i="82"/>
  <c r="I106" i="82" s="1"/>
  <c r="J106" i="82" s="1"/>
  <c r="N106" i="82" s="1"/>
  <c r="O106" i="82" s="1"/>
  <c r="B106" i="82"/>
  <c r="G105" i="82"/>
  <c r="I105" i="82" s="1"/>
  <c r="J105" i="82" s="1"/>
  <c r="B105" i="82"/>
  <c r="G104" i="82"/>
  <c r="I104" i="82" s="1"/>
  <c r="B104" i="82"/>
  <c r="K103" i="82"/>
  <c r="L103" i="82" s="1"/>
  <c r="G103" i="82"/>
  <c r="I103" i="82" s="1"/>
  <c r="J103" i="82" s="1"/>
  <c r="N103" i="82" s="1"/>
  <c r="O103" i="82" s="1"/>
  <c r="B103" i="82"/>
  <c r="K102" i="82"/>
  <c r="L102" i="82" s="1"/>
  <c r="J102" i="82"/>
  <c r="M102" i="82" s="1"/>
  <c r="I102" i="82"/>
  <c r="G102" i="82"/>
  <c r="B102" i="82"/>
  <c r="G101" i="82"/>
  <c r="I101" i="82" s="1"/>
  <c r="J101" i="82" s="1"/>
  <c r="B101" i="82"/>
  <c r="G100" i="82"/>
  <c r="I100" i="82" s="1"/>
  <c r="B100" i="82"/>
  <c r="B160" i="82" s="1"/>
  <c r="G99" i="82"/>
  <c r="I99" i="82" s="1"/>
  <c r="J99" i="82" s="1"/>
  <c r="M99" i="82" s="1"/>
  <c r="B99" i="82"/>
  <c r="G98" i="82"/>
  <c r="I98" i="82" s="1"/>
  <c r="J98" i="82" s="1"/>
  <c r="N99" i="82" s="1"/>
  <c r="O99" i="82" s="1"/>
  <c r="B98" i="82"/>
  <c r="G97" i="82"/>
  <c r="I97" i="82" s="1"/>
  <c r="J97" i="82" s="1"/>
  <c r="B97" i="82"/>
  <c r="G96" i="82"/>
  <c r="I96" i="82" s="1"/>
  <c r="B96" i="82"/>
  <c r="N95" i="82"/>
  <c r="O95" i="82" s="1"/>
  <c r="M95" i="82"/>
  <c r="G95" i="82"/>
  <c r="I95" i="82" s="1"/>
  <c r="J95" i="82" s="1"/>
  <c r="K95" i="82" s="1"/>
  <c r="L95" i="82" s="1"/>
  <c r="B95" i="82"/>
  <c r="G94" i="82"/>
  <c r="I94" i="82" s="1"/>
  <c r="J94" i="82" s="1"/>
  <c r="B94" i="82"/>
  <c r="I93" i="82"/>
  <c r="J93" i="82" s="1"/>
  <c r="G93" i="82"/>
  <c r="B93" i="82"/>
  <c r="G92" i="82"/>
  <c r="I92" i="82" s="1"/>
  <c r="J92" i="82" s="1"/>
  <c r="B92" i="82"/>
  <c r="G91" i="82"/>
  <c r="I91" i="82" s="1"/>
  <c r="J91" i="82" s="1"/>
  <c r="B91" i="82"/>
  <c r="G90" i="82"/>
  <c r="I90" i="82" s="1"/>
  <c r="J90" i="82" s="1"/>
  <c r="B90" i="82"/>
  <c r="I89" i="82"/>
  <c r="J89" i="82" s="1"/>
  <c r="G89" i="82"/>
  <c r="B89" i="82"/>
  <c r="G88" i="82"/>
  <c r="I88" i="82" s="1"/>
  <c r="B88" i="82"/>
  <c r="G87" i="82"/>
  <c r="I87" i="82" s="1"/>
  <c r="B87" i="82"/>
  <c r="B159" i="82" s="1"/>
  <c r="G86" i="82"/>
  <c r="I86" i="82" s="1"/>
  <c r="J86" i="82" s="1"/>
  <c r="B86" i="82"/>
  <c r="I85" i="82"/>
  <c r="J85" i="82" s="1"/>
  <c r="G85" i="82"/>
  <c r="B85" i="82"/>
  <c r="G84" i="82"/>
  <c r="I84" i="82" s="1"/>
  <c r="B84" i="82"/>
  <c r="G83" i="82"/>
  <c r="I83" i="82" s="1"/>
  <c r="J83" i="82" s="1"/>
  <c r="B83" i="82"/>
  <c r="G82" i="82"/>
  <c r="I82" i="82" s="1"/>
  <c r="J82" i="82" s="1"/>
  <c r="N82" i="82" s="1"/>
  <c r="O82" i="82" s="1"/>
  <c r="B82" i="82"/>
  <c r="G81" i="82"/>
  <c r="I81" i="82" s="1"/>
  <c r="J81" i="82" s="1"/>
  <c r="B81" i="82"/>
  <c r="G80" i="82"/>
  <c r="I80" i="82" s="1"/>
  <c r="B80" i="82"/>
  <c r="K79" i="82"/>
  <c r="L79" i="82" s="1"/>
  <c r="G79" i="82"/>
  <c r="I79" i="82" s="1"/>
  <c r="J79" i="82" s="1"/>
  <c r="N79" i="82" s="1"/>
  <c r="O79" i="82" s="1"/>
  <c r="B79" i="82"/>
  <c r="J78" i="82"/>
  <c r="M78" i="82" s="1"/>
  <c r="I78" i="82"/>
  <c r="G78" i="82"/>
  <c r="B78" i="82"/>
  <c r="G77" i="82"/>
  <c r="I77" i="82" s="1"/>
  <c r="J77" i="82" s="1"/>
  <c r="B77" i="82"/>
  <c r="G76" i="82"/>
  <c r="I76" i="82" s="1"/>
  <c r="B76" i="82"/>
  <c r="G75" i="82"/>
  <c r="I75" i="82" s="1"/>
  <c r="B75" i="82"/>
  <c r="G74" i="82"/>
  <c r="I74" i="82" s="1"/>
  <c r="J74" i="82" s="1"/>
  <c r="B74" i="82"/>
  <c r="G73" i="82"/>
  <c r="I73" i="82" s="1"/>
  <c r="J73" i="82" s="1"/>
  <c r="B73" i="82"/>
  <c r="G72" i="82"/>
  <c r="I72" i="82" s="1"/>
  <c r="B72" i="82"/>
  <c r="G71" i="82"/>
  <c r="I71" i="82" s="1"/>
  <c r="J71" i="82" s="1"/>
  <c r="K71" i="82" s="1"/>
  <c r="L71" i="82" s="1"/>
  <c r="B71" i="82"/>
  <c r="G70" i="82"/>
  <c r="I70" i="82" s="1"/>
  <c r="J70" i="82" s="1"/>
  <c r="B70" i="82"/>
  <c r="I69" i="82"/>
  <c r="J69" i="82" s="1"/>
  <c r="G69" i="82"/>
  <c r="B69" i="82"/>
  <c r="G68" i="82"/>
  <c r="I68" i="82" s="1"/>
  <c r="J68" i="82" s="1"/>
  <c r="B68" i="82"/>
  <c r="G67" i="82"/>
  <c r="I67" i="82" s="1"/>
  <c r="J67" i="82" s="1"/>
  <c r="B67" i="82"/>
  <c r="G66" i="82"/>
  <c r="I66" i="82" s="1"/>
  <c r="J66" i="82" s="1"/>
  <c r="B66" i="82"/>
  <c r="G65" i="82"/>
  <c r="I65" i="82" s="1"/>
  <c r="J65" i="82" s="1"/>
  <c r="B65" i="82"/>
  <c r="G64" i="82"/>
  <c r="I64" i="82" s="1"/>
  <c r="B64" i="82"/>
  <c r="G63" i="82"/>
  <c r="I63" i="82" s="1"/>
  <c r="B63" i="82"/>
  <c r="B157" i="82" s="1"/>
  <c r="I62" i="82"/>
  <c r="J62" i="82" s="1"/>
  <c r="G62" i="82"/>
  <c r="B62" i="82"/>
  <c r="G61" i="82"/>
  <c r="I61" i="82" s="1"/>
  <c r="J61" i="82" s="1"/>
  <c r="B61" i="82"/>
  <c r="G60" i="82"/>
  <c r="I60" i="82" s="1"/>
  <c r="J60" i="82" s="1"/>
  <c r="M60" i="82" s="1"/>
  <c r="B60" i="82"/>
  <c r="G59" i="82"/>
  <c r="I59" i="82" s="1"/>
  <c r="J59" i="82" s="1"/>
  <c r="M59" i="82" s="1"/>
  <c r="B59" i="82"/>
  <c r="G58" i="82"/>
  <c r="I58" i="82" s="1"/>
  <c r="J58" i="82" s="1"/>
  <c r="B58" i="82"/>
  <c r="G57" i="82"/>
  <c r="I57" i="82" s="1"/>
  <c r="J57" i="82" s="1"/>
  <c r="B57" i="82"/>
  <c r="G56" i="82"/>
  <c r="I56" i="82" s="1"/>
  <c r="B56" i="82"/>
  <c r="G55" i="82"/>
  <c r="I55" i="82" s="1"/>
  <c r="J55" i="82" s="1"/>
  <c r="K55" i="82" s="1"/>
  <c r="L55" i="82" s="1"/>
  <c r="B55" i="82"/>
  <c r="I54" i="82"/>
  <c r="J54" i="82" s="1"/>
  <c r="G54" i="82"/>
  <c r="B54" i="82"/>
  <c r="G53" i="82"/>
  <c r="I53" i="82" s="1"/>
  <c r="J53" i="82" s="1"/>
  <c r="B53" i="82"/>
  <c r="G52" i="82"/>
  <c r="I52" i="82" s="1"/>
  <c r="J52" i="82" s="1"/>
  <c r="K52" i="82" s="1"/>
  <c r="L52" i="82" s="1"/>
  <c r="B52" i="82"/>
  <c r="G51" i="82"/>
  <c r="I51" i="82" s="1"/>
  <c r="B51" i="82"/>
  <c r="G50" i="82"/>
  <c r="I50" i="82" s="1"/>
  <c r="J50" i="82" s="1"/>
  <c r="B50" i="82"/>
  <c r="I49" i="82"/>
  <c r="J49" i="82" s="1"/>
  <c r="G49" i="82"/>
  <c r="B49" i="82"/>
  <c r="N48" i="82"/>
  <c r="O48" i="82" s="1"/>
  <c r="G48" i="82"/>
  <c r="I48" i="82" s="1"/>
  <c r="J48" i="82" s="1"/>
  <c r="M48" i="82" s="1"/>
  <c r="B48" i="82"/>
  <c r="G47" i="82"/>
  <c r="I47" i="82" s="1"/>
  <c r="J47" i="82" s="1"/>
  <c r="K47" i="82" s="1"/>
  <c r="L47" i="82" s="1"/>
  <c r="B47" i="82"/>
  <c r="G46" i="82"/>
  <c r="I46" i="82" s="1"/>
  <c r="J46" i="82" s="1"/>
  <c r="B46" i="82"/>
  <c r="G45" i="82"/>
  <c r="I45" i="82" s="1"/>
  <c r="B45" i="82"/>
  <c r="G44" i="82"/>
  <c r="I44" i="82" s="1"/>
  <c r="B44" i="82"/>
  <c r="G43" i="82"/>
  <c r="I43" i="82" s="1"/>
  <c r="J43" i="82" s="1"/>
  <c r="B43" i="82"/>
  <c r="G42" i="82"/>
  <c r="I42" i="82" s="1"/>
  <c r="J42" i="82" s="1"/>
  <c r="B42" i="82"/>
  <c r="I41" i="82"/>
  <c r="J41" i="82" s="1"/>
  <c r="G41" i="82"/>
  <c r="B41" i="82"/>
  <c r="G40" i="82"/>
  <c r="I40" i="82" s="1"/>
  <c r="J40" i="82" s="1"/>
  <c r="M40" i="82" s="1"/>
  <c r="B40" i="82"/>
  <c r="I39" i="82"/>
  <c r="G39" i="82"/>
  <c r="B39" i="82"/>
  <c r="G38" i="82"/>
  <c r="I38" i="82" s="1"/>
  <c r="J38" i="82" s="1"/>
  <c r="B38" i="82"/>
  <c r="G37" i="82"/>
  <c r="I37" i="82" s="1"/>
  <c r="J37" i="82" s="1"/>
  <c r="B37" i="82"/>
  <c r="G36" i="82"/>
  <c r="I36" i="82" s="1"/>
  <c r="B36" i="82"/>
  <c r="I35" i="82"/>
  <c r="J35" i="82" s="1"/>
  <c r="G35" i="82"/>
  <c r="B35" i="82"/>
  <c r="K34" i="82"/>
  <c r="L34" i="82" s="1"/>
  <c r="J34" i="82"/>
  <c r="G34" i="82"/>
  <c r="I34" i="82" s="1"/>
  <c r="B34" i="82"/>
  <c r="G33" i="82"/>
  <c r="I33" i="82" s="1"/>
  <c r="J33" i="82" s="1"/>
  <c r="B33" i="82"/>
  <c r="G32" i="82"/>
  <c r="I32" i="82" s="1"/>
  <c r="J32" i="82" s="1"/>
  <c r="B32" i="82"/>
  <c r="I31" i="82"/>
  <c r="J31" i="82" s="1"/>
  <c r="G31" i="82"/>
  <c r="B31" i="82"/>
  <c r="I30" i="82"/>
  <c r="J30" i="82" s="1"/>
  <c r="G30" i="82"/>
  <c r="B30" i="82"/>
  <c r="I29" i="82"/>
  <c r="J29" i="82" s="1"/>
  <c r="G29" i="82"/>
  <c r="B29" i="82"/>
  <c r="G28" i="82"/>
  <c r="I28" i="82" s="1"/>
  <c r="B28" i="82"/>
  <c r="G27" i="82"/>
  <c r="I27" i="82" s="1"/>
  <c r="J27" i="82" s="1"/>
  <c r="B27" i="82"/>
  <c r="G26" i="82"/>
  <c r="I26" i="82" s="1"/>
  <c r="J26" i="82" s="1"/>
  <c r="B26" i="82"/>
  <c r="I25" i="82"/>
  <c r="J25" i="82" s="1"/>
  <c r="G25" i="82"/>
  <c r="B25" i="82"/>
  <c r="G24" i="82"/>
  <c r="I24" i="82" s="1"/>
  <c r="B24" i="82"/>
  <c r="G23" i="82"/>
  <c r="I23" i="82" s="1"/>
  <c r="J23" i="82" s="1"/>
  <c r="B23" i="82"/>
  <c r="G22" i="82"/>
  <c r="I22" i="82" s="1"/>
  <c r="J22" i="82" s="1"/>
  <c r="K22" i="82" s="1"/>
  <c r="L22" i="82" s="1"/>
  <c r="B22" i="82"/>
  <c r="G21" i="82"/>
  <c r="I21" i="82" s="1"/>
  <c r="J21" i="82" s="1"/>
  <c r="B21" i="82"/>
  <c r="I20" i="82"/>
  <c r="J20" i="82" s="1"/>
  <c r="G20" i="82"/>
  <c r="B20" i="82"/>
  <c r="G19" i="82"/>
  <c r="I19" i="82" s="1"/>
  <c r="J19" i="82" s="1"/>
  <c r="K19" i="82" s="1"/>
  <c r="L19" i="82" s="1"/>
  <c r="B19" i="82"/>
  <c r="G18" i="82"/>
  <c r="I18" i="82" s="1"/>
  <c r="B18" i="82"/>
  <c r="G17" i="82"/>
  <c r="I17" i="82" s="1"/>
  <c r="J17" i="82" s="1"/>
  <c r="B17" i="82"/>
  <c r="M16" i="82"/>
  <c r="K16" i="82"/>
  <c r="L16" i="82" s="1"/>
  <c r="I16" i="82"/>
  <c r="J16" i="82" s="1"/>
  <c r="G16" i="82"/>
  <c r="B16" i="82"/>
  <c r="G15" i="82"/>
  <c r="I15" i="82" s="1"/>
  <c r="J15" i="82" s="1"/>
  <c r="B15" i="82"/>
  <c r="G14" i="82"/>
  <c r="I14" i="82" s="1"/>
  <c r="B14" i="82"/>
  <c r="G13" i="82"/>
  <c r="I13" i="82" s="1"/>
  <c r="J13" i="82" s="1"/>
  <c r="K13" i="82" s="1"/>
  <c r="L13" i="82" s="1"/>
  <c r="B13" i="82"/>
  <c r="J12" i="82"/>
  <c r="K12" i="82" s="1"/>
  <c r="L12" i="82" s="1"/>
  <c r="I12" i="82"/>
  <c r="G12" i="82"/>
  <c r="B12" i="82"/>
  <c r="G11" i="82"/>
  <c r="I11" i="82" s="1"/>
  <c r="B11" i="82"/>
  <c r="G10" i="82"/>
  <c r="I10" i="82" s="1"/>
  <c r="J10" i="82" s="1"/>
  <c r="K10" i="82" s="1"/>
  <c r="L10" i="82" s="1"/>
  <c r="B10" i="82"/>
  <c r="I9" i="82"/>
  <c r="J9" i="82" s="1"/>
  <c r="G9" i="82"/>
  <c r="B9" i="82"/>
  <c r="G8" i="82"/>
  <c r="I8" i="82" s="1"/>
  <c r="J8" i="82" s="1"/>
  <c r="B8" i="82"/>
  <c r="G7" i="82"/>
  <c r="I7" i="82" s="1"/>
  <c r="J7" i="82" s="1"/>
  <c r="B7" i="82"/>
  <c r="G6" i="82"/>
  <c r="I6" i="82" s="1"/>
  <c r="J6" i="82" s="1"/>
  <c r="B6" i="82"/>
  <c r="G5" i="82"/>
  <c r="I5" i="82" s="1"/>
  <c r="J5" i="82" s="1"/>
  <c r="B5" i="82"/>
  <c r="I4" i="82"/>
  <c r="J4" i="82" s="1"/>
  <c r="G4" i="82"/>
  <c r="B4" i="82"/>
  <c r="I3" i="82"/>
  <c r="G3" i="82"/>
  <c r="B3" i="82"/>
  <c r="B64" i="17"/>
  <c r="N35" i="82" l="1"/>
  <c r="O35" i="82" s="1"/>
  <c r="M71" i="82"/>
  <c r="M13" i="82"/>
  <c r="M119" i="82"/>
  <c r="N13" i="82"/>
  <c r="O13" i="82" s="1"/>
  <c r="M22" i="82"/>
  <c r="M55" i="82"/>
  <c r="N23" i="82"/>
  <c r="O23" i="82" s="1"/>
  <c r="N130" i="82"/>
  <c r="O130" i="82" s="1"/>
  <c r="K78" i="82"/>
  <c r="L78" i="82" s="1"/>
  <c r="K48" i="82"/>
  <c r="L48" i="82" s="1"/>
  <c r="M106" i="82"/>
  <c r="N16" i="82"/>
  <c r="O16" i="82" s="1"/>
  <c r="N93" i="82"/>
  <c r="O93" i="82" s="1"/>
  <c r="M93" i="82"/>
  <c r="K93" i="82"/>
  <c r="L93" i="82" s="1"/>
  <c r="M33" i="82"/>
  <c r="N33" i="82"/>
  <c r="O33" i="82" s="1"/>
  <c r="K33" i="82"/>
  <c r="L33" i="82" s="1"/>
  <c r="M38" i="82"/>
  <c r="N38" i="82"/>
  <c r="O38" i="82" s="1"/>
  <c r="K38" i="82"/>
  <c r="L38" i="82" s="1"/>
  <c r="N70" i="82"/>
  <c r="O70" i="82" s="1"/>
  <c r="M70" i="82"/>
  <c r="K70" i="82"/>
  <c r="L70" i="82" s="1"/>
  <c r="N71" i="82"/>
  <c r="O71" i="82" s="1"/>
  <c r="M65" i="82"/>
  <c r="K65" i="82"/>
  <c r="L65" i="82" s="1"/>
  <c r="M57" i="82"/>
  <c r="K57" i="82"/>
  <c r="L57" i="82" s="1"/>
  <c r="N117" i="82"/>
  <c r="O117" i="82" s="1"/>
  <c r="M117" i="82"/>
  <c r="K117" i="82"/>
  <c r="L117" i="82" s="1"/>
  <c r="M8" i="82"/>
  <c r="N8" i="82"/>
  <c r="O8" i="82" s="1"/>
  <c r="K8" i="82"/>
  <c r="L8" i="82" s="1"/>
  <c r="M113" i="82"/>
  <c r="K113" i="82"/>
  <c r="L113" i="82" s="1"/>
  <c r="N50" i="82"/>
  <c r="O50" i="82" s="1"/>
  <c r="M50" i="82"/>
  <c r="K50" i="82"/>
  <c r="L50" i="82" s="1"/>
  <c r="M109" i="82"/>
  <c r="K109" i="82"/>
  <c r="L109" i="82" s="1"/>
  <c r="N6" i="82"/>
  <c r="O6" i="82" s="1"/>
  <c r="M6" i="82"/>
  <c r="K6" i="82"/>
  <c r="L6" i="82" s="1"/>
  <c r="M89" i="82"/>
  <c r="K89" i="82"/>
  <c r="L89" i="82" s="1"/>
  <c r="M21" i="82"/>
  <c r="K21" i="82"/>
  <c r="L21" i="82" s="1"/>
  <c r="N21" i="82"/>
  <c r="O21" i="82" s="1"/>
  <c r="N22" i="82"/>
  <c r="O22" i="82" s="1"/>
  <c r="M41" i="82"/>
  <c r="N41" i="82"/>
  <c r="O41" i="82" s="1"/>
  <c r="K41" i="82"/>
  <c r="L41" i="82" s="1"/>
  <c r="N69" i="82"/>
  <c r="O69" i="82" s="1"/>
  <c r="M69" i="82"/>
  <c r="K69" i="82"/>
  <c r="L69" i="82" s="1"/>
  <c r="K25" i="82"/>
  <c r="L25" i="82" s="1"/>
  <c r="M25" i="82"/>
  <c r="K54" i="82"/>
  <c r="L54" i="82" s="1"/>
  <c r="M54" i="82"/>
  <c r="N54" i="82"/>
  <c r="O54" i="82" s="1"/>
  <c r="N55" i="82"/>
  <c r="O55" i="82" s="1"/>
  <c r="M5" i="82"/>
  <c r="K5" i="82"/>
  <c r="L5" i="82" s="1"/>
  <c r="N5" i="82"/>
  <c r="O5" i="82" s="1"/>
  <c r="I153" i="82"/>
  <c r="J18" i="82"/>
  <c r="J76" i="82"/>
  <c r="N118" i="82"/>
  <c r="O118" i="82" s="1"/>
  <c r="M118" i="82"/>
  <c r="K118" i="82"/>
  <c r="L118" i="82" s="1"/>
  <c r="N74" i="82"/>
  <c r="O74" i="82" s="1"/>
  <c r="M74" i="82"/>
  <c r="K74" i="82"/>
  <c r="L74" i="82" s="1"/>
  <c r="N90" i="82"/>
  <c r="O90" i="82" s="1"/>
  <c r="M90" i="82"/>
  <c r="K90" i="82"/>
  <c r="L90" i="82" s="1"/>
  <c r="M131" i="82"/>
  <c r="N131" i="82"/>
  <c r="O131" i="82" s="1"/>
  <c r="K131" i="82"/>
  <c r="L131" i="82" s="1"/>
  <c r="M62" i="82"/>
  <c r="K62" i="82"/>
  <c r="L62" i="82" s="1"/>
  <c r="N66" i="82"/>
  <c r="O66" i="82" s="1"/>
  <c r="M66" i="82"/>
  <c r="K66" i="82"/>
  <c r="L66" i="82" s="1"/>
  <c r="N86" i="82"/>
  <c r="O86" i="82" s="1"/>
  <c r="K86" i="82"/>
  <c r="L86" i="82" s="1"/>
  <c r="N20" i="82"/>
  <c r="O20" i="82" s="1"/>
  <c r="M20" i="82"/>
  <c r="K20" i="82"/>
  <c r="L20" i="82" s="1"/>
  <c r="K59" i="82"/>
  <c r="L59" i="82" s="1"/>
  <c r="N62" i="82"/>
  <c r="O62" i="82" s="1"/>
  <c r="K82" i="82"/>
  <c r="L82" i="82" s="1"/>
  <c r="M86" i="82"/>
  <c r="N91" i="82"/>
  <c r="O91" i="82" s="1"/>
  <c r="M91" i="82"/>
  <c r="K91" i="82"/>
  <c r="L91" i="82" s="1"/>
  <c r="M26" i="82"/>
  <c r="K26" i="82"/>
  <c r="L26" i="82" s="1"/>
  <c r="J45" i="82"/>
  <c r="N46" i="82" s="1"/>
  <c r="O46" i="82" s="1"/>
  <c r="N67" i="82"/>
  <c r="O67" i="82" s="1"/>
  <c r="M67" i="82"/>
  <c r="M107" i="82"/>
  <c r="N107" i="82"/>
  <c r="O107" i="82" s="1"/>
  <c r="K107" i="82"/>
  <c r="L107" i="82" s="1"/>
  <c r="N26" i="82"/>
  <c r="O26" i="82" s="1"/>
  <c r="K42" i="82"/>
  <c r="L42" i="82" s="1"/>
  <c r="N42" i="82"/>
  <c r="O42" i="82" s="1"/>
  <c r="J63" i="82"/>
  <c r="I157" i="82"/>
  <c r="K67" i="82"/>
  <c r="L67" i="82" s="1"/>
  <c r="M82" i="82"/>
  <c r="J87" i="82"/>
  <c r="I159" i="82"/>
  <c r="N92" i="82"/>
  <c r="O92" i="82" s="1"/>
  <c r="M121" i="82"/>
  <c r="K121" i="82"/>
  <c r="L121" i="82" s="1"/>
  <c r="N9" i="82"/>
  <c r="O9" i="82" s="1"/>
  <c r="K9" i="82"/>
  <c r="L9" i="82" s="1"/>
  <c r="M46" i="82"/>
  <c r="K46" i="82"/>
  <c r="L46" i="82" s="1"/>
  <c r="M53" i="82"/>
  <c r="K53" i="82"/>
  <c r="L53" i="82" s="1"/>
  <c r="N59" i="82"/>
  <c r="O59" i="82" s="1"/>
  <c r="J3" i="82"/>
  <c r="N4" i="82" s="1"/>
  <c r="O4" i="82" s="1"/>
  <c r="M15" i="82"/>
  <c r="N15" i="82"/>
  <c r="O15" i="82" s="1"/>
  <c r="J24" i="82"/>
  <c r="N25" i="82" s="1"/>
  <c r="O25" i="82" s="1"/>
  <c r="B154" i="82"/>
  <c r="J36" i="82"/>
  <c r="M42" i="82"/>
  <c r="N53" i="82"/>
  <c r="O53" i="82" s="1"/>
  <c r="N68" i="82"/>
  <c r="O68" i="82" s="1"/>
  <c r="M83" i="82"/>
  <c r="N83" i="82"/>
  <c r="O83" i="82" s="1"/>
  <c r="K83" i="82"/>
  <c r="L83" i="82" s="1"/>
  <c r="N122" i="82"/>
  <c r="O122" i="82" s="1"/>
  <c r="M122" i="82"/>
  <c r="K122" i="82"/>
  <c r="L122" i="82" s="1"/>
  <c r="M9" i="82"/>
  <c r="K15" i="82"/>
  <c r="L15" i="82" s="1"/>
  <c r="M97" i="82"/>
  <c r="K97" i="82"/>
  <c r="L97" i="82" s="1"/>
  <c r="M12" i="82"/>
  <c r="N47" i="82"/>
  <c r="O47" i="82" s="1"/>
  <c r="K130" i="82"/>
  <c r="L130" i="82" s="1"/>
  <c r="N31" i="82"/>
  <c r="O31" i="82" s="1"/>
  <c r="N32" i="82"/>
  <c r="O32" i="82" s="1"/>
  <c r="M31" i="82"/>
  <c r="K31" i="82"/>
  <c r="L31" i="82" s="1"/>
  <c r="M7" i="82"/>
  <c r="K7" i="82"/>
  <c r="L7" i="82" s="1"/>
  <c r="I154" i="82"/>
  <c r="M61" i="82"/>
  <c r="K61" i="82"/>
  <c r="L61" i="82" s="1"/>
  <c r="M77" i="82"/>
  <c r="K77" i="82"/>
  <c r="L77" i="82" s="1"/>
  <c r="N98" i="82"/>
  <c r="O98" i="82" s="1"/>
  <c r="M98" i="82"/>
  <c r="K98" i="82"/>
  <c r="L98" i="82" s="1"/>
  <c r="N114" i="82"/>
  <c r="O114" i="82" s="1"/>
  <c r="M114" i="82"/>
  <c r="K114" i="82"/>
  <c r="L114" i="82" s="1"/>
  <c r="J111" i="82"/>
  <c r="I161" i="82"/>
  <c r="M23" i="82"/>
  <c r="K23" i="82"/>
  <c r="L23" i="82" s="1"/>
  <c r="J100" i="82"/>
  <c r="N101" i="82" s="1"/>
  <c r="O101" i="82" s="1"/>
  <c r="M30" i="82"/>
  <c r="K30" i="82"/>
  <c r="L30" i="82" s="1"/>
  <c r="N30" i="82"/>
  <c r="O30" i="82" s="1"/>
  <c r="N7" i="82"/>
  <c r="O7" i="82" s="1"/>
  <c r="M10" i="82"/>
  <c r="N19" i="82"/>
  <c r="O19" i="82" s="1"/>
  <c r="M19" i="82"/>
  <c r="J28" i="82"/>
  <c r="B155" i="82"/>
  <c r="N61" i="82"/>
  <c r="O61" i="82" s="1"/>
  <c r="M73" i="82"/>
  <c r="K73" i="82"/>
  <c r="L73" i="82" s="1"/>
  <c r="N94" i="82"/>
  <c r="O94" i="82" s="1"/>
  <c r="M94" i="82"/>
  <c r="K94" i="82"/>
  <c r="L94" i="82" s="1"/>
  <c r="N110" i="82"/>
  <c r="O110" i="82" s="1"/>
  <c r="K110" i="82"/>
  <c r="L110" i="82" s="1"/>
  <c r="M130" i="82"/>
  <c r="M124" i="82"/>
  <c r="K124" i="82"/>
  <c r="L124" i="82" s="1"/>
  <c r="J39" i="82"/>
  <c r="I155" i="82"/>
  <c r="N10" i="82"/>
  <c r="O10" i="82" s="1"/>
  <c r="N34" i="82"/>
  <c r="O34" i="82" s="1"/>
  <c r="M34" i="82"/>
  <c r="M85" i="82"/>
  <c r="K85" i="82"/>
  <c r="L85" i="82" s="1"/>
  <c r="N115" i="82"/>
  <c r="O115" i="82" s="1"/>
  <c r="M115" i="82"/>
  <c r="K115" i="82"/>
  <c r="L115" i="82" s="1"/>
  <c r="N119" i="82"/>
  <c r="O119" i="82" s="1"/>
  <c r="B162" i="82"/>
  <c r="J80" i="82"/>
  <c r="M101" i="82"/>
  <c r="K101" i="82"/>
  <c r="L101" i="82" s="1"/>
  <c r="J104" i="82"/>
  <c r="N125" i="82"/>
  <c r="O125" i="82" s="1"/>
  <c r="M125" i="82"/>
  <c r="K125" i="82"/>
  <c r="L125" i="82" s="1"/>
  <c r="J128" i="82"/>
  <c r="N129" i="82" s="1"/>
  <c r="O129" i="82" s="1"/>
  <c r="J11" i="82"/>
  <c r="M37" i="82"/>
  <c r="K37" i="82"/>
  <c r="L37" i="82" s="1"/>
  <c r="J14" i="82"/>
  <c r="M29" i="82"/>
  <c r="K29" i="82"/>
  <c r="L29" i="82" s="1"/>
  <c r="B161" i="82"/>
  <c r="B153" i="82"/>
  <c r="M32" i="82"/>
  <c r="K32" i="82"/>
  <c r="L32" i="82" s="1"/>
  <c r="K43" i="82"/>
  <c r="L43" i="82" s="1"/>
  <c r="N43" i="82"/>
  <c r="O43" i="82" s="1"/>
  <c r="M43" i="82"/>
  <c r="B156" i="82"/>
  <c r="N58" i="82"/>
  <c r="O58" i="82" s="1"/>
  <c r="M58" i="82"/>
  <c r="K58" i="82"/>
  <c r="L58" i="82" s="1"/>
  <c r="I140" i="82"/>
  <c r="M4" i="82"/>
  <c r="K4" i="82"/>
  <c r="L4" i="82" s="1"/>
  <c r="N17" i="82"/>
  <c r="O17" i="82" s="1"/>
  <c r="M17" i="82"/>
  <c r="K17" i="82"/>
  <c r="L17" i="82" s="1"/>
  <c r="N27" i="82"/>
  <c r="O27" i="82" s="1"/>
  <c r="K27" i="82"/>
  <c r="L27" i="82" s="1"/>
  <c r="M27" i="82"/>
  <c r="M49" i="82"/>
  <c r="N49" i="82"/>
  <c r="O49" i="82" s="1"/>
  <c r="K49" i="82"/>
  <c r="L49" i="82" s="1"/>
  <c r="M52" i="82"/>
  <c r="N78" i="82"/>
  <c r="O78" i="82" s="1"/>
  <c r="N81" i="82"/>
  <c r="O81" i="82" s="1"/>
  <c r="M81" i="82"/>
  <c r="K81" i="82"/>
  <c r="L81" i="82" s="1"/>
  <c r="N102" i="82"/>
  <c r="O102" i="82" s="1"/>
  <c r="M105" i="82"/>
  <c r="K105" i="82"/>
  <c r="L105" i="82" s="1"/>
  <c r="N126" i="82"/>
  <c r="O126" i="82" s="1"/>
  <c r="M129" i="82"/>
  <c r="K129" i="82"/>
  <c r="L129" i="82" s="1"/>
  <c r="J96" i="82"/>
  <c r="N97" i="82" s="1"/>
  <c r="O97" i="82" s="1"/>
  <c r="J120" i="82"/>
  <c r="J51" i="82"/>
  <c r="N52" i="82" s="1"/>
  <c r="O52" i="82" s="1"/>
  <c r="I156" i="82"/>
  <c r="K60" i="82"/>
  <c r="L60" i="82" s="1"/>
  <c r="J75" i="82"/>
  <c r="I158" i="82"/>
  <c r="J123" i="82"/>
  <c r="N124" i="82" s="1"/>
  <c r="O124" i="82" s="1"/>
  <c r="I162" i="82"/>
  <c r="I160" i="82"/>
  <c r="J56" i="82"/>
  <c r="N57" i="82" s="1"/>
  <c r="O57" i="82" s="1"/>
  <c r="M68" i="82"/>
  <c r="K68" i="82"/>
  <c r="L68" i="82" s="1"/>
  <c r="M116" i="82"/>
  <c r="K116" i="82"/>
  <c r="L116" i="82" s="1"/>
  <c r="K35" i="82"/>
  <c r="L35" i="82" s="1"/>
  <c r="K40" i="82"/>
  <c r="L40" i="82" s="1"/>
  <c r="M47" i="82"/>
  <c r="N60" i="82"/>
  <c r="O60" i="82" s="1"/>
  <c r="J64" i="82"/>
  <c r="M79" i="82"/>
  <c r="J88" i="82"/>
  <c r="K99" i="82"/>
  <c r="L99" i="82" s="1"/>
  <c r="M103" i="82"/>
  <c r="J112" i="82"/>
  <c r="M127" i="82"/>
  <c r="J72" i="82"/>
  <c r="B152" i="82"/>
  <c r="M35" i="82"/>
  <c r="N40" i="82"/>
  <c r="O40" i="82" s="1"/>
  <c r="B158" i="82"/>
  <c r="M92" i="82"/>
  <c r="K92" i="82"/>
  <c r="L92" i="82" s="1"/>
  <c r="J44" i="82"/>
  <c r="J84" i="82"/>
  <c r="N85" i="82" s="1"/>
  <c r="O85" i="82" s="1"/>
  <c r="J108" i="82"/>
  <c r="I143" i="82"/>
  <c r="I150" i="82" s="1"/>
  <c r="I163" i="82" l="1"/>
  <c r="M51" i="82"/>
  <c r="K51" i="82"/>
  <c r="L51" i="82" s="1"/>
  <c r="N51" i="82"/>
  <c r="O51" i="82" s="1"/>
  <c r="N11" i="82"/>
  <c r="O11" i="82" s="1"/>
  <c r="M11" i="82"/>
  <c r="K11" i="82"/>
  <c r="L11" i="82" s="1"/>
  <c r="K28" i="82"/>
  <c r="L28" i="82" s="1"/>
  <c r="N28" i="82"/>
  <c r="O28" i="82" s="1"/>
  <c r="M28" i="82"/>
  <c r="N111" i="82"/>
  <c r="O111" i="82" s="1"/>
  <c r="M111" i="82"/>
  <c r="K111" i="82"/>
  <c r="L111" i="82" s="1"/>
  <c r="M64" i="82"/>
  <c r="K64" i="82"/>
  <c r="L64" i="82" s="1"/>
  <c r="N64" i="82"/>
  <c r="O64" i="82" s="1"/>
  <c r="N12" i="82"/>
  <c r="O12" i="82" s="1"/>
  <c r="M72" i="82"/>
  <c r="K72" i="82"/>
  <c r="L72" i="82" s="1"/>
  <c r="N72" i="82"/>
  <c r="O72" i="82" s="1"/>
  <c r="M45" i="82"/>
  <c r="K45" i="82"/>
  <c r="L45" i="82" s="1"/>
  <c r="N45" i="82"/>
  <c r="O45" i="82" s="1"/>
  <c r="M112" i="82"/>
  <c r="K112" i="82"/>
  <c r="L112" i="82" s="1"/>
  <c r="N112" i="82"/>
  <c r="O112" i="82" s="1"/>
  <c r="M120" i="82"/>
  <c r="K120" i="82"/>
  <c r="L120" i="82" s="1"/>
  <c r="N120" i="82"/>
  <c r="O120" i="82" s="1"/>
  <c r="M128" i="82"/>
  <c r="K128" i="82"/>
  <c r="L128" i="82" s="1"/>
  <c r="N128" i="82"/>
  <c r="O128" i="82" s="1"/>
  <c r="M36" i="82"/>
  <c r="N36" i="82"/>
  <c r="O36" i="82" s="1"/>
  <c r="K36" i="82"/>
  <c r="L36" i="82" s="1"/>
  <c r="M108" i="82"/>
  <c r="K108" i="82"/>
  <c r="L108" i="82" s="1"/>
  <c r="N108" i="82"/>
  <c r="O108" i="82" s="1"/>
  <c r="M96" i="82"/>
  <c r="K96" i="82"/>
  <c r="L96" i="82" s="1"/>
  <c r="N96" i="82"/>
  <c r="O96" i="82" s="1"/>
  <c r="N63" i="82"/>
  <c r="O63" i="82" s="1"/>
  <c r="M63" i="82"/>
  <c r="K63" i="82"/>
  <c r="L63" i="82" s="1"/>
  <c r="M56" i="82"/>
  <c r="N56" i="82"/>
  <c r="O56" i="82" s="1"/>
  <c r="K56" i="82"/>
  <c r="L56" i="82" s="1"/>
  <c r="N109" i="82"/>
  <c r="O109" i="82" s="1"/>
  <c r="M44" i="82"/>
  <c r="K44" i="82"/>
  <c r="L44" i="82" s="1"/>
  <c r="N44" i="82"/>
  <c r="O44" i="82" s="1"/>
  <c r="M88" i="82"/>
  <c r="K88" i="82"/>
  <c r="L88" i="82" s="1"/>
  <c r="N88" i="82"/>
  <c r="O88" i="82" s="1"/>
  <c r="I167" i="82"/>
  <c r="I165" i="82"/>
  <c r="J165" i="82" s="1"/>
  <c r="N37" i="82"/>
  <c r="O37" i="82" s="1"/>
  <c r="M104" i="82"/>
  <c r="K104" i="82"/>
  <c r="L104" i="82" s="1"/>
  <c r="N104" i="82"/>
  <c r="O104" i="82" s="1"/>
  <c r="M123" i="82"/>
  <c r="K123" i="82"/>
  <c r="L123" i="82" s="1"/>
  <c r="N123" i="82"/>
  <c r="O123" i="82" s="1"/>
  <c r="M3" i="82"/>
  <c r="K3" i="82"/>
  <c r="L3" i="82" s="1"/>
  <c r="N121" i="82"/>
  <c r="O121" i="82" s="1"/>
  <c r="M76" i="82"/>
  <c r="K76" i="82"/>
  <c r="L76" i="82" s="1"/>
  <c r="N76" i="82"/>
  <c r="O76" i="82" s="1"/>
  <c r="N29" i="82"/>
  <c r="O29" i="82" s="1"/>
  <c r="M100" i="82"/>
  <c r="K100" i="82"/>
  <c r="L100" i="82" s="1"/>
  <c r="N100" i="82"/>
  <c r="O100" i="82" s="1"/>
  <c r="N18" i="82"/>
  <c r="O18" i="82" s="1"/>
  <c r="M18" i="82"/>
  <c r="K18" i="82"/>
  <c r="L18" i="82" s="1"/>
  <c r="M24" i="82"/>
  <c r="N24" i="82"/>
  <c r="O24" i="82" s="1"/>
  <c r="K24" i="82"/>
  <c r="L24" i="82" s="1"/>
  <c r="M75" i="82"/>
  <c r="K75" i="82"/>
  <c r="L75" i="82" s="1"/>
  <c r="N75" i="82"/>
  <c r="O75" i="82" s="1"/>
  <c r="N105" i="82"/>
  <c r="O105" i="82" s="1"/>
  <c r="N14" i="82"/>
  <c r="O14" i="82" s="1"/>
  <c r="O132" i="82" s="1"/>
  <c r="M14" i="82"/>
  <c r="K14" i="82"/>
  <c r="L14" i="82" s="1"/>
  <c r="M80" i="82"/>
  <c r="K80" i="82"/>
  <c r="L80" i="82" s="1"/>
  <c r="N80" i="82"/>
  <c r="O80" i="82" s="1"/>
  <c r="N73" i="82"/>
  <c r="O73" i="82" s="1"/>
  <c r="N77" i="82"/>
  <c r="O77" i="82" s="1"/>
  <c r="N89" i="82"/>
  <c r="O89" i="82" s="1"/>
  <c r="N113" i="82"/>
  <c r="O113" i="82" s="1"/>
  <c r="N65" i="82"/>
  <c r="O65" i="82" s="1"/>
  <c r="M84" i="82"/>
  <c r="K84" i="82"/>
  <c r="L84" i="82" s="1"/>
  <c r="N84" i="82"/>
  <c r="O84" i="82" s="1"/>
  <c r="B165" i="82"/>
  <c r="N39" i="82"/>
  <c r="O39" i="82" s="1"/>
  <c r="M39" i="82"/>
  <c r="K39" i="82"/>
  <c r="L39" i="82" s="1"/>
  <c r="N87" i="82"/>
  <c r="O87" i="82" s="1"/>
  <c r="M87" i="82"/>
  <c r="K87" i="82"/>
  <c r="L87" i="82" s="1"/>
  <c r="L132" i="82" l="1"/>
  <c r="M132" i="82"/>
  <c r="R28" i="82" s="1"/>
  <c r="R30" i="82" s="1"/>
  <c r="D36" i="73"/>
  <c r="D35" i="73"/>
  <c r="D34" i="73"/>
  <c r="D33" i="73"/>
  <c r="D32" i="73"/>
  <c r="D31" i="73"/>
  <c r="D30" i="73"/>
  <c r="D29" i="73"/>
  <c r="D28" i="73"/>
  <c r="D27" i="73"/>
  <c r="D26" i="73"/>
  <c r="D25" i="73"/>
  <c r="D24" i="73"/>
  <c r="I144" i="72" l="1"/>
  <c r="I133" i="72"/>
  <c r="I77" i="72"/>
  <c r="I129" i="72"/>
  <c r="I130" i="72"/>
  <c r="I131" i="72"/>
  <c r="I132" i="72"/>
  <c r="I134" i="72"/>
  <c r="I135" i="72"/>
  <c r="I136" i="72"/>
  <c r="I137" i="72"/>
  <c r="I138" i="72"/>
  <c r="I139" i="72"/>
  <c r="I140" i="72"/>
  <c r="I141" i="72"/>
  <c r="I142" i="72"/>
  <c r="I143" i="72"/>
  <c r="I145" i="72"/>
  <c r="I146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54" i="72"/>
  <c r="I55" i="72"/>
  <c r="I56" i="72"/>
  <c r="I57" i="72"/>
  <c r="I58" i="72"/>
  <c r="I59" i="72"/>
  <c r="I60" i="72"/>
  <c r="I61" i="72"/>
  <c r="I62" i="72"/>
  <c r="I63" i="72"/>
  <c r="I64" i="72"/>
  <c r="I65" i="72"/>
  <c r="I66" i="72"/>
  <c r="I67" i="72"/>
  <c r="I68" i="72"/>
  <c r="I69" i="72"/>
  <c r="I70" i="72"/>
  <c r="I71" i="72"/>
  <c r="I72" i="72"/>
  <c r="I73" i="72"/>
  <c r="I74" i="72"/>
  <c r="I75" i="72"/>
  <c r="I76" i="72"/>
  <c r="I78" i="72"/>
  <c r="I79" i="72"/>
  <c r="I80" i="72"/>
  <c r="I81" i="72"/>
  <c r="I82" i="72"/>
  <c r="I83" i="72"/>
  <c r="I84" i="72"/>
  <c r="I85" i="72"/>
  <c r="I86" i="72"/>
  <c r="I87" i="72"/>
  <c r="I88" i="72"/>
  <c r="I89" i="72"/>
  <c r="I90" i="72"/>
  <c r="I91" i="72"/>
  <c r="I92" i="72"/>
  <c r="I93" i="72"/>
  <c r="I94" i="72"/>
  <c r="I95" i="72"/>
  <c r="I96" i="72"/>
  <c r="I97" i="72"/>
  <c r="I98" i="72"/>
  <c r="I99" i="72"/>
  <c r="I100" i="72"/>
  <c r="I101" i="72"/>
  <c r="I102" i="72"/>
  <c r="I103" i="72"/>
  <c r="I104" i="72"/>
  <c r="I105" i="72"/>
  <c r="I106" i="72"/>
  <c r="I107" i="72"/>
  <c r="I108" i="72"/>
  <c r="I109" i="72"/>
  <c r="I110" i="72"/>
  <c r="I111" i="72"/>
  <c r="I112" i="72"/>
  <c r="I113" i="72"/>
  <c r="I114" i="72"/>
  <c r="I115" i="72"/>
  <c r="I116" i="72"/>
  <c r="I117" i="72"/>
  <c r="I118" i="72"/>
  <c r="I119" i="72"/>
  <c r="I120" i="72"/>
  <c r="I121" i="72"/>
  <c r="I122" i="72"/>
  <c r="I123" i="72"/>
  <c r="I124" i="72"/>
  <c r="I125" i="72"/>
  <c r="I126" i="72"/>
  <c r="I127" i="72"/>
  <c r="I128" i="72"/>
  <c r="I162" i="72" l="1"/>
  <c r="G72" i="17" l="1"/>
  <c r="E56" i="17"/>
  <c r="G60" i="17"/>
  <c r="G44" i="17"/>
  <c r="G54" i="17" s="1"/>
  <c r="G45" i="17"/>
  <c r="G55" i="17" s="1"/>
  <c r="G46" i="17"/>
  <c r="G56" i="17" s="1"/>
  <c r="G47" i="17"/>
  <c r="G57" i="17" s="1"/>
  <c r="G48" i="17"/>
  <c r="G70" i="17" s="1"/>
  <c r="G49" i="17"/>
  <c r="G71" i="17" s="1"/>
  <c r="G50" i="17"/>
  <c r="G51" i="17"/>
  <c r="G61" i="17" s="1"/>
  <c r="G52" i="17"/>
  <c r="G62" i="17" s="1"/>
  <c r="G43" i="17"/>
  <c r="F44" i="17"/>
  <c r="F54" i="17" s="1"/>
  <c r="F45" i="17"/>
  <c r="F55" i="17" s="1"/>
  <c r="F46" i="17"/>
  <c r="F68" i="17" s="1"/>
  <c r="F47" i="17"/>
  <c r="F57" i="17" s="1"/>
  <c r="F48" i="17"/>
  <c r="F58" i="17" s="1"/>
  <c r="F49" i="17"/>
  <c r="F59" i="17" s="1"/>
  <c r="F50" i="17"/>
  <c r="F60" i="17" s="1"/>
  <c r="F51" i="17"/>
  <c r="F73" i="17" s="1"/>
  <c r="F52" i="17"/>
  <c r="F62" i="17" s="1"/>
  <c r="F43" i="17"/>
  <c r="E44" i="17"/>
  <c r="E54" i="17" s="1"/>
  <c r="E45" i="17"/>
  <c r="E55" i="17" s="1"/>
  <c r="E46" i="17"/>
  <c r="E68" i="17" s="1"/>
  <c r="E47" i="17"/>
  <c r="E57" i="17" s="1"/>
  <c r="E48" i="17"/>
  <c r="E58" i="17" s="1"/>
  <c r="E49" i="17"/>
  <c r="E59" i="17" s="1"/>
  <c r="E50" i="17"/>
  <c r="E60" i="17" s="1"/>
  <c r="E51" i="17"/>
  <c r="E73" i="17" s="1"/>
  <c r="E52" i="17"/>
  <c r="E62" i="17" s="1"/>
  <c r="E43" i="17"/>
  <c r="D44" i="17"/>
  <c r="D66" i="17" s="1"/>
  <c r="D45" i="17"/>
  <c r="D55" i="17" s="1"/>
  <c r="D46" i="17"/>
  <c r="D56" i="17" s="1"/>
  <c r="D47" i="17"/>
  <c r="D57" i="17" s="1"/>
  <c r="D48" i="17"/>
  <c r="D58" i="17" s="1"/>
  <c r="D49" i="17"/>
  <c r="D59" i="17" s="1"/>
  <c r="D50" i="17"/>
  <c r="D60" i="17" s="1"/>
  <c r="D51" i="17"/>
  <c r="D73" i="17" s="1"/>
  <c r="D52" i="17"/>
  <c r="D62" i="17" s="1"/>
  <c r="D43" i="17"/>
  <c r="C44" i="17"/>
  <c r="C66" i="17" s="1"/>
  <c r="C45" i="17"/>
  <c r="C55" i="17" s="1"/>
  <c r="C46" i="17"/>
  <c r="C56" i="17" s="1"/>
  <c r="C47" i="17"/>
  <c r="C57" i="17" s="1"/>
  <c r="C48" i="17"/>
  <c r="C58" i="17" s="1"/>
  <c r="C49" i="17"/>
  <c r="C71" i="17" s="1"/>
  <c r="C50" i="17"/>
  <c r="C60" i="17" s="1"/>
  <c r="C51" i="17"/>
  <c r="C61" i="17" s="1"/>
  <c r="C52" i="17"/>
  <c r="C62" i="17" s="1"/>
  <c r="C43" i="17"/>
  <c r="B67" i="17"/>
  <c r="B68" i="17"/>
  <c r="B55" i="17"/>
  <c r="B56" i="17"/>
  <c r="B44" i="17"/>
  <c r="B66" i="17" s="1"/>
  <c r="B45" i="17"/>
  <c r="B46" i="17"/>
  <c r="B47" i="17"/>
  <c r="B57" i="17" s="1"/>
  <c r="B48" i="17"/>
  <c r="B70" i="17" s="1"/>
  <c r="B49" i="17"/>
  <c r="B71" i="17" s="1"/>
  <c r="B50" i="17"/>
  <c r="B60" i="17" s="1"/>
  <c r="B51" i="17"/>
  <c r="B61" i="17" s="1"/>
  <c r="B52" i="17"/>
  <c r="B62" i="17" s="1"/>
  <c r="B43" i="17"/>
  <c r="E64" i="17" l="1"/>
  <c r="B59" i="17"/>
  <c r="B69" i="17"/>
  <c r="F61" i="17"/>
  <c r="C59" i="17"/>
  <c r="F56" i="17"/>
  <c r="F64" i="17" s="1"/>
  <c r="D54" i="17"/>
  <c r="D64" i="17" s="1"/>
  <c r="C73" i="17"/>
  <c r="F70" i="17"/>
  <c r="D68" i="17"/>
  <c r="B58" i="17"/>
  <c r="E61" i="17"/>
  <c r="G58" i="17"/>
  <c r="G64" i="17" s="1"/>
  <c r="C54" i="17"/>
  <c r="E70" i="17"/>
  <c r="C68" i="17"/>
  <c r="D61" i="17"/>
  <c r="G59" i="17"/>
  <c r="F72" i="17"/>
  <c r="D70" i="17"/>
  <c r="G67" i="17"/>
  <c r="G74" i="17"/>
  <c r="E72" i="17"/>
  <c r="C70" i="17"/>
  <c r="F67" i="17"/>
  <c r="F74" i="17"/>
  <c r="D72" i="17"/>
  <c r="G69" i="17"/>
  <c r="E67" i="17"/>
  <c r="B54" i="17"/>
  <c r="E74" i="17"/>
  <c r="C72" i="17"/>
  <c r="F69" i="17"/>
  <c r="D67" i="17"/>
  <c r="D74" i="17"/>
  <c r="E69" i="17"/>
  <c r="C67" i="17"/>
  <c r="B74" i="17"/>
  <c r="C74" i="17"/>
  <c r="F71" i="17"/>
  <c r="D69" i="17"/>
  <c r="G66" i="17"/>
  <c r="B73" i="17"/>
  <c r="G73" i="17"/>
  <c r="E71" i="17"/>
  <c r="C69" i="17"/>
  <c r="F66" i="17"/>
  <c r="B72" i="17"/>
  <c r="D71" i="17"/>
  <c r="G68" i="17"/>
  <c r="E66" i="17"/>
  <c r="C64" i="17" l="1"/>
  <c r="C75" i="17" s="1"/>
  <c r="E75" i="17"/>
  <c r="E76" i="17" s="1"/>
  <c r="E77" i="17" s="1"/>
  <c r="F75" i="17"/>
  <c r="F76" i="17" s="1"/>
  <c r="F77" i="17" s="1"/>
  <c r="E79" i="17"/>
  <c r="E21" i="17" s="1"/>
  <c r="D75" i="17"/>
  <c r="D76" i="17" s="1"/>
  <c r="D77" i="17" s="1"/>
  <c r="G75" i="17"/>
  <c r="G76" i="17" s="1"/>
  <c r="G77" i="17" s="1"/>
  <c r="B75" i="17"/>
  <c r="B76" i="17" s="1"/>
  <c r="B77" i="17" s="1"/>
  <c r="C76" i="17" l="1"/>
  <c r="C77" i="17" s="1"/>
  <c r="C79" i="17"/>
  <c r="C21" i="17" s="1"/>
  <c r="G79" i="17"/>
  <c r="G21" i="17" s="1"/>
  <c r="G22" i="17" s="1"/>
  <c r="D79" i="17"/>
  <c r="D21" i="17" s="1"/>
  <c r="F79" i="17"/>
  <c r="F21" i="17" s="1"/>
  <c r="B79" i="17"/>
  <c r="B21" i="17" s="1"/>
  <c r="H28" i="9" s="1"/>
  <c r="D132" i="72"/>
  <c r="D133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D146" i="72"/>
  <c r="C145" i="72"/>
  <c r="C146" i="72"/>
  <c r="C144" i="72"/>
  <c r="C143" i="72"/>
  <c r="C136" i="72"/>
  <c r="C137" i="72"/>
  <c r="C138" i="72"/>
  <c r="C139" i="72"/>
  <c r="C140" i="72"/>
  <c r="C141" i="72"/>
  <c r="C142" i="72"/>
  <c r="C135" i="72"/>
  <c r="C134" i="72"/>
  <c r="C133" i="72"/>
  <c r="C132" i="72"/>
  <c r="G123" i="72" l="1"/>
  <c r="G124" i="72"/>
  <c r="G125" i="72"/>
  <c r="G126" i="72"/>
  <c r="G127" i="72"/>
  <c r="G128" i="72"/>
  <c r="G129" i="72"/>
  <c r="G130" i="72"/>
  <c r="G131" i="72"/>
  <c r="B124" i="72" l="1"/>
  <c r="B125" i="72"/>
  <c r="B126" i="72"/>
  <c r="B127" i="72"/>
  <c r="B128" i="72"/>
  <c r="B129" i="72"/>
  <c r="B130" i="72"/>
  <c r="B131" i="72"/>
  <c r="B123" i="72"/>
  <c r="J123" i="72" s="1"/>
  <c r="M123" i="72" l="1"/>
  <c r="K123" i="72"/>
  <c r="L123" i="72" s="1"/>
  <c r="H15" i="73"/>
  <c r="G15" i="73"/>
  <c r="F15" i="73"/>
  <c r="E15" i="73"/>
  <c r="D15" i="73"/>
  <c r="C15" i="73"/>
  <c r="B15" i="73"/>
  <c r="D7" i="18" l="1"/>
  <c r="H6" i="73"/>
  <c r="G3" i="72" l="1"/>
  <c r="I3" i="72" s="1"/>
  <c r="B5" i="73" l="1"/>
  <c r="H12" i="9"/>
  <c r="B14" i="73" l="1"/>
  <c r="H35" i="9" l="1"/>
  <c r="I35" i="9" s="1"/>
  <c r="M41" i="11" l="1"/>
  <c r="L41" i="11"/>
  <c r="K15" i="11" l="1"/>
  <c r="N22" i="17" l="1"/>
  <c r="N21" i="17"/>
  <c r="P11" i="17" s="1"/>
  <c r="P12" i="17" l="1"/>
  <c r="P13" i="17" l="1"/>
  <c r="P14" i="17" l="1"/>
  <c r="P15" i="17" l="1"/>
  <c r="P16" i="17" l="1"/>
  <c r="P17" i="17" l="1"/>
  <c r="P18" i="17" l="1"/>
  <c r="J127" i="72" l="1"/>
  <c r="J125" i="72"/>
  <c r="J124" i="72"/>
  <c r="J126" i="72"/>
  <c r="J129" i="72"/>
  <c r="J128" i="72"/>
  <c r="P19" i="17"/>
  <c r="J130" i="72"/>
  <c r="N129" i="72" l="1"/>
  <c r="O129" i="72" s="1"/>
  <c r="K128" i="72"/>
  <c r="L128" i="72" s="1"/>
  <c r="M128" i="72"/>
  <c r="N128" i="72"/>
  <c r="O128" i="72" s="1"/>
  <c r="M129" i="72"/>
  <c r="K129" i="72"/>
  <c r="L129" i="72" s="1"/>
  <c r="K130" i="72"/>
  <c r="L130" i="72" s="1"/>
  <c r="N130" i="72"/>
  <c r="O130" i="72" s="1"/>
  <c r="M130" i="72"/>
  <c r="M126" i="72"/>
  <c r="K126" i="72"/>
  <c r="L126" i="72" s="1"/>
  <c r="N126" i="72"/>
  <c r="O126" i="72" s="1"/>
  <c r="M124" i="72"/>
  <c r="K124" i="72"/>
  <c r="L124" i="72" s="1"/>
  <c r="N124" i="72"/>
  <c r="O124" i="72" s="1"/>
  <c r="M125" i="72"/>
  <c r="K125" i="72"/>
  <c r="L125" i="72" s="1"/>
  <c r="N125" i="72"/>
  <c r="O125" i="72" s="1"/>
  <c r="M127" i="72"/>
  <c r="K127" i="72"/>
  <c r="L127" i="72" s="1"/>
  <c r="N127" i="72"/>
  <c r="O127" i="72" s="1"/>
  <c r="P20" i="17"/>
  <c r="J131" i="72"/>
  <c r="N131" i="72" s="1"/>
  <c r="O131" i="72" s="1"/>
  <c r="M131" i="72" l="1"/>
  <c r="K131" i="72"/>
  <c r="L131" i="72" s="1"/>
  <c r="P21" i="17"/>
  <c r="G132" i="72"/>
  <c r="P22" i="17" l="1"/>
  <c r="G133" i="72"/>
  <c r="G4" i="72"/>
  <c r="I4" i="72" s="1"/>
  <c r="G5" i="72"/>
  <c r="I5" i="72" s="1"/>
  <c r="G6" i="72"/>
  <c r="I6" i="72" s="1"/>
  <c r="G7" i="72"/>
  <c r="I7" i="72" s="1"/>
  <c r="G8" i="72"/>
  <c r="I8" i="72" s="1"/>
  <c r="G9" i="72"/>
  <c r="I9" i="72" s="1"/>
  <c r="G10" i="72"/>
  <c r="I10" i="72" s="1"/>
  <c r="G11" i="72"/>
  <c r="I11" i="72" s="1"/>
  <c r="G12" i="72"/>
  <c r="I12" i="72" s="1"/>
  <c r="G13" i="72"/>
  <c r="I13" i="72" s="1"/>
  <c r="G14" i="72"/>
  <c r="I14" i="72" s="1"/>
  <c r="G15" i="72"/>
  <c r="G16" i="72"/>
  <c r="G17" i="72"/>
  <c r="G18" i="72"/>
  <c r="G19" i="72"/>
  <c r="G20" i="72"/>
  <c r="G21" i="72"/>
  <c r="G22" i="72"/>
  <c r="G23" i="72"/>
  <c r="G24" i="72"/>
  <c r="G25" i="72"/>
  <c r="G26" i="72"/>
  <c r="G27" i="72"/>
  <c r="G28" i="72"/>
  <c r="G29" i="72"/>
  <c r="G30" i="72"/>
  <c r="G31" i="72"/>
  <c r="G32" i="72"/>
  <c r="G33" i="72"/>
  <c r="G34" i="72"/>
  <c r="G35" i="72"/>
  <c r="G36" i="72"/>
  <c r="G37" i="72"/>
  <c r="G38" i="72"/>
  <c r="G39" i="72"/>
  <c r="G40" i="72"/>
  <c r="G41" i="72"/>
  <c r="G42" i="72"/>
  <c r="G43" i="72"/>
  <c r="G44" i="72"/>
  <c r="G45" i="72"/>
  <c r="G46" i="72"/>
  <c r="G47" i="72"/>
  <c r="G48" i="72"/>
  <c r="G49" i="72"/>
  <c r="G50" i="72"/>
  <c r="G51" i="72"/>
  <c r="G52" i="72"/>
  <c r="G53" i="72"/>
  <c r="G54" i="72"/>
  <c r="G55" i="72"/>
  <c r="G56" i="72"/>
  <c r="G57" i="72"/>
  <c r="G58" i="72"/>
  <c r="G59" i="72"/>
  <c r="G60" i="72"/>
  <c r="G61" i="72"/>
  <c r="G62" i="72"/>
  <c r="G63" i="72"/>
  <c r="G64" i="72"/>
  <c r="G65" i="72"/>
  <c r="G66" i="72"/>
  <c r="G67" i="72"/>
  <c r="G68" i="72"/>
  <c r="G69" i="72"/>
  <c r="G70" i="72"/>
  <c r="G71" i="72"/>
  <c r="G72" i="72"/>
  <c r="G73" i="72"/>
  <c r="G74" i="72"/>
  <c r="G75" i="72"/>
  <c r="G76" i="72"/>
  <c r="G77" i="72"/>
  <c r="G78" i="72"/>
  <c r="G79" i="72"/>
  <c r="G80" i="72"/>
  <c r="G81" i="72"/>
  <c r="G82" i="72"/>
  <c r="G83" i="72"/>
  <c r="G84" i="72"/>
  <c r="G85" i="72"/>
  <c r="G86" i="72"/>
  <c r="G87" i="72"/>
  <c r="G88" i="72"/>
  <c r="G89" i="72"/>
  <c r="G90" i="72"/>
  <c r="G91" i="72"/>
  <c r="G92" i="72"/>
  <c r="G93" i="72"/>
  <c r="G94" i="72"/>
  <c r="G95" i="72"/>
  <c r="G96" i="72"/>
  <c r="G97" i="72"/>
  <c r="G98" i="72"/>
  <c r="G99" i="72"/>
  <c r="G100" i="72"/>
  <c r="G101" i="72"/>
  <c r="G102" i="72"/>
  <c r="G103" i="72"/>
  <c r="G104" i="72"/>
  <c r="G105" i="72"/>
  <c r="G106" i="72"/>
  <c r="G107" i="72"/>
  <c r="G108" i="72"/>
  <c r="G109" i="72"/>
  <c r="G110" i="72"/>
  <c r="G111" i="72"/>
  <c r="G112" i="72"/>
  <c r="G113" i="72"/>
  <c r="G114" i="72"/>
  <c r="G115" i="72"/>
  <c r="G116" i="72"/>
  <c r="G117" i="72"/>
  <c r="G118" i="72"/>
  <c r="G119" i="72"/>
  <c r="G120" i="72"/>
  <c r="G121" i="72"/>
  <c r="G122" i="72"/>
  <c r="I158" i="72" l="1"/>
  <c r="G134" i="72"/>
  <c r="Q11" i="17"/>
  <c r="P23" i="17"/>
  <c r="D5" i="73"/>
  <c r="C5" i="73"/>
  <c r="B162" i="72" l="1"/>
  <c r="Q12" i="17"/>
  <c r="G135" i="72"/>
  <c r="Q13" i="17" l="1"/>
  <c r="G136" i="72"/>
  <c r="L4" i="9"/>
  <c r="L5" i="9"/>
  <c r="L6" i="9"/>
  <c r="L7" i="9"/>
  <c r="L8" i="9"/>
  <c r="L9" i="9"/>
  <c r="L10" i="9"/>
  <c r="L11" i="9"/>
  <c r="L12" i="9"/>
  <c r="K33" i="11" s="1"/>
  <c r="L3" i="9"/>
  <c r="K4" i="9"/>
  <c r="K5" i="9"/>
  <c r="K6" i="9"/>
  <c r="K7" i="9"/>
  <c r="K8" i="9"/>
  <c r="K9" i="9"/>
  <c r="K10" i="9"/>
  <c r="K11" i="9"/>
  <c r="K12" i="9"/>
  <c r="K3" i="9"/>
  <c r="H3" i="9"/>
  <c r="H11" i="9"/>
  <c r="I12" i="9"/>
  <c r="J12" i="9"/>
  <c r="K23" i="11" s="1"/>
  <c r="M12" i="9"/>
  <c r="N12" i="9"/>
  <c r="K42" i="11" s="1"/>
  <c r="J4" i="9"/>
  <c r="J5" i="9"/>
  <c r="J6" i="9"/>
  <c r="J7" i="9"/>
  <c r="J8" i="9"/>
  <c r="J9" i="9"/>
  <c r="J10" i="9"/>
  <c r="J11" i="9"/>
  <c r="J3" i="9"/>
  <c r="K28" i="11" l="1"/>
  <c r="K38" i="11"/>
  <c r="K19" i="11"/>
  <c r="Q14" i="17"/>
  <c r="G137" i="72"/>
  <c r="G12" i="9"/>
  <c r="K10" i="11" l="1"/>
  <c r="K51" i="11"/>
  <c r="Q15" i="17"/>
  <c r="G138" i="72"/>
  <c r="B111" i="72"/>
  <c r="B112" i="72"/>
  <c r="B113" i="72"/>
  <c r="B114" i="72"/>
  <c r="B115" i="72"/>
  <c r="B116" i="72"/>
  <c r="B117" i="72"/>
  <c r="B118" i="72"/>
  <c r="B119" i="72"/>
  <c r="B120" i="72"/>
  <c r="B121" i="72"/>
  <c r="B122" i="72"/>
  <c r="G8" i="73"/>
  <c r="D14" i="73"/>
  <c r="D20" i="17" s="1"/>
  <c r="D13" i="73"/>
  <c r="D12" i="73"/>
  <c r="D11" i="73"/>
  <c r="D10" i="73"/>
  <c r="D9" i="73"/>
  <c r="D8" i="73"/>
  <c r="D7" i="73"/>
  <c r="D6" i="73"/>
  <c r="C14" i="73"/>
  <c r="C20" i="17" s="1"/>
  <c r="H14" i="73"/>
  <c r="H20" i="17" s="1"/>
  <c r="K41" i="11" s="1"/>
  <c r="H13" i="73"/>
  <c r="H12" i="73"/>
  <c r="H11" i="73"/>
  <c r="H10" i="73"/>
  <c r="H9" i="73"/>
  <c r="H8" i="73"/>
  <c r="H7" i="73"/>
  <c r="G14" i="73"/>
  <c r="G20" i="17" s="1"/>
  <c r="G13" i="73"/>
  <c r="G12" i="73"/>
  <c r="G11" i="73"/>
  <c r="G10" i="73"/>
  <c r="G9" i="73"/>
  <c r="G7" i="73"/>
  <c r="G6" i="73"/>
  <c r="G5" i="73"/>
  <c r="F14" i="73"/>
  <c r="F20" i="17" s="1"/>
  <c r="F13" i="73"/>
  <c r="F12" i="73"/>
  <c r="F11" i="73"/>
  <c r="F10" i="73"/>
  <c r="F9" i="73"/>
  <c r="F8" i="73"/>
  <c r="F7" i="73"/>
  <c r="F6" i="73"/>
  <c r="F5" i="73"/>
  <c r="E14" i="73"/>
  <c r="E20" i="17" s="1"/>
  <c r="E13" i="73"/>
  <c r="E12" i="73"/>
  <c r="E11" i="73"/>
  <c r="E10" i="73"/>
  <c r="E9" i="73"/>
  <c r="E8" i="73"/>
  <c r="E7" i="73"/>
  <c r="E6" i="73"/>
  <c r="E5" i="73"/>
  <c r="C11" i="73"/>
  <c r="C13" i="73"/>
  <c r="C12" i="73"/>
  <c r="C10" i="73"/>
  <c r="C9" i="73"/>
  <c r="C8" i="73"/>
  <c r="C7" i="73"/>
  <c r="C6" i="73"/>
  <c r="B20" i="17"/>
  <c r="B13" i="73"/>
  <c r="B12" i="73"/>
  <c r="B11" i="73"/>
  <c r="B10" i="73"/>
  <c r="B9" i="73"/>
  <c r="B8" i="73"/>
  <c r="B7" i="73"/>
  <c r="B6" i="73"/>
  <c r="K18" i="11" l="1"/>
  <c r="I22" i="9"/>
  <c r="K32" i="11"/>
  <c r="K37" i="11"/>
  <c r="M22" i="9"/>
  <c r="K22" i="9"/>
  <c r="K24" i="9" s="1"/>
  <c r="J120" i="72"/>
  <c r="J122" i="72"/>
  <c r="N123" i="72" s="1"/>
  <c r="O123" i="72" s="1"/>
  <c r="J119" i="72"/>
  <c r="J121" i="72"/>
  <c r="J118" i="72"/>
  <c r="J117" i="72"/>
  <c r="J116" i="72"/>
  <c r="J112" i="72"/>
  <c r="J115" i="72"/>
  <c r="J114" i="72"/>
  <c r="J113" i="72"/>
  <c r="J111" i="72"/>
  <c r="H22" i="9"/>
  <c r="H23" i="9" s="1"/>
  <c r="K22" i="11"/>
  <c r="J22" i="9"/>
  <c r="Q16" i="17"/>
  <c r="G139" i="72"/>
  <c r="K14" i="11"/>
  <c r="K27" i="11"/>
  <c r="L22" i="9"/>
  <c r="B161" i="72"/>
  <c r="B12" i="9" s="1"/>
  <c r="F12" i="9" s="1"/>
  <c r="A28" i="9"/>
  <c r="A32" i="9" s="1"/>
  <c r="M111" i="72" l="1"/>
  <c r="K111" i="72"/>
  <c r="L111" i="72" s="1"/>
  <c r="K113" i="72"/>
  <c r="L113" i="72" s="1"/>
  <c r="N113" i="72"/>
  <c r="O113" i="72" s="1"/>
  <c r="M113" i="72"/>
  <c r="M119" i="72"/>
  <c r="N119" i="72"/>
  <c r="O119" i="72" s="1"/>
  <c r="K119" i="72"/>
  <c r="L119" i="72" s="1"/>
  <c r="K117" i="72"/>
  <c r="L117" i="72" s="1"/>
  <c r="N117" i="72"/>
  <c r="O117" i="72" s="1"/>
  <c r="M117" i="72"/>
  <c r="K118" i="72"/>
  <c r="L118" i="72" s="1"/>
  <c r="M118" i="72"/>
  <c r="N118" i="72"/>
  <c r="O118" i="72" s="1"/>
  <c r="K112" i="72"/>
  <c r="L112" i="72" s="1"/>
  <c r="M112" i="72"/>
  <c r="N112" i="72"/>
  <c r="O112" i="72" s="1"/>
  <c r="M121" i="72"/>
  <c r="N121" i="72"/>
  <c r="O121" i="72" s="1"/>
  <c r="K121" i="72"/>
  <c r="L121" i="72" s="1"/>
  <c r="N122" i="72"/>
  <c r="O122" i="72" s="1"/>
  <c r="K122" i="72"/>
  <c r="L122" i="72" s="1"/>
  <c r="M122" i="72"/>
  <c r="N114" i="72"/>
  <c r="O114" i="72" s="1"/>
  <c r="K114" i="72"/>
  <c r="L114" i="72" s="1"/>
  <c r="M114" i="72"/>
  <c r="K115" i="72"/>
  <c r="L115" i="72" s="1"/>
  <c r="M115" i="72"/>
  <c r="N115" i="72"/>
  <c r="O115" i="72" s="1"/>
  <c r="M116" i="72"/>
  <c r="N116" i="72"/>
  <c r="O116" i="72" s="1"/>
  <c r="K116" i="72"/>
  <c r="L116" i="72" s="1"/>
  <c r="M120" i="72"/>
  <c r="N120" i="72"/>
  <c r="O120" i="72" s="1"/>
  <c r="K120" i="72"/>
  <c r="L120" i="72" s="1"/>
  <c r="Q17" i="17"/>
  <c r="G140" i="72"/>
  <c r="B12" i="17"/>
  <c r="C12" i="17"/>
  <c r="D12" i="17"/>
  <c r="E12" i="17"/>
  <c r="F12" i="17"/>
  <c r="G12" i="17"/>
  <c r="H12" i="17"/>
  <c r="C41" i="11" s="1"/>
  <c r="B13" i="17"/>
  <c r="C13" i="17"/>
  <c r="D13" i="17"/>
  <c r="E13" i="17"/>
  <c r="F13" i="17"/>
  <c r="G13" i="17"/>
  <c r="H13" i="17"/>
  <c r="D41" i="11" s="1"/>
  <c r="B14" i="17"/>
  <c r="C14" i="17"/>
  <c r="D14" i="17"/>
  <c r="E14" i="17"/>
  <c r="F14" i="17"/>
  <c r="G14" i="17"/>
  <c r="H14" i="17"/>
  <c r="E41" i="11" s="1"/>
  <c r="B15" i="17"/>
  <c r="C15" i="17"/>
  <c r="D15" i="17"/>
  <c r="E15" i="17"/>
  <c r="F15" i="17"/>
  <c r="G15" i="17"/>
  <c r="H15" i="17"/>
  <c r="F41" i="11" s="1"/>
  <c r="B16" i="17"/>
  <c r="C16" i="17"/>
  <c r="D16" i="17"/>
  <c r="E16" i="17"/>
  <c r="F16" i="17"/>
  <c r="G16" i="17"/>
  <c r="H16" i="17"/>
  <c r="G41" i="11" s="1"/>
  <c r="B17" i="17"/>
  <c r="C17" i="17"/>
  <c r="D17" i="17"/>
  <c r="E17" i="17"/>
  <c r="F17" i="17"/>
  <c r="G17" i="17"/>
  <c r="H17" i="17"/>
  <c r="H41" i="11" s="1"/>
  <c r="B18" i="17"/>
  <c r="C18" i="17"/>
  <c r="D18" i="17"/>
  <c r="E18" i="17"/>
  <c r="F18" i="17"/>
  <c r="G18" i="17"/>
  <c r="H18" i="17"/>
  <c r="I41" i="11" s="1"/>
  <c r="B19" i="17"/>
  <c r="C19" i="17"/>
  <c r="D19" i="17"/>
  <c r="E19" i="17"/>
  <c r="F19" i="17"/>
  <c r="G19" i="17"/>
  <c r="H19" i="17"/>
  <c r="J41" i="11" s="1"/>
  <c r="C11" i="17"/>
  <c r="D11" i="17"/>
  <c r="E11" i="17"/>
  <c r="F11" i="17"/>
  <c r="G11" i="17"/>
  <c r="H11" i="17"/>
  <c r="B11" i="17"/>
  <c r="C2" i="17"/>
  <c r="D2" i="17"/>
  <c r="E2" i="17"/>
  <c r="F2" i="17"/>
  <c r="G2" i="17"/>
  <c r="H2" i="17"/>
  <c r="B2" i="17"/>
  <c r="I2" i="9"/>
  <c r="J2" i="9"/>
  <c r="K2" i="9"/>
  <c r="L2" i="9"/>
  <c r="M2" i="9"/>
  <c r="N2" i="9"/>
  <c r="H2" i="9"/>
  <c r="I12" i="17" l="1"/>
  <c r="G26" i="17"/>
  <c r="B31" i="17"/>
  <c r="E32" i="17"/>
  <c r="G30" i="17"/>
  <c r="B29" i="17"/>
  <c r="D27" i="17"/>
  <c r="G141" i="72"/>
  <c r="Q18" i="17"/>
  <c r="G32" i="17"/>
  <c r="F27" i="17"/>
  <c r="F32" i="17"/>
  <c r="C29" i="17"/>
  <c r="D32" i="17"/>
  <c r="C27" i="17"/>
  <c r="F30" i="17"/>
  <c r="C32" i="17"/>
  <c r="E30" i="17"/>
  <c r="G28" i="17"/>
  <c r="B27" i="17"/>
  <c r="D29" i="17"/>
  <c r="E27" i="17"/>
  <c r="B32" i="17"/>
  <c r="F28" i="17"/>
  <c r="F26" i="17"/>
  <c r="B30" i="17"/>
  <c r="D33" i="17"/>
  <c r="D34" i="17"/>
  <c r="C28" i="17"/>
  <c r="E26" i="17"/>
  <c r="E28" i="17"/>
  <c r="E33" i="17"/>
  <c r="E34" i="17"/>
  <c r="D28" i="17"/>
  <c r="F31" i="17"/>
  <c r="E31" i="17"/>
  <c r="G29" i="17"/>
  <c r="B28" i="17"/>
  <c r="D26" i="17"/>
  <c r="G33" i="17"/>
  <c r="G34" i="17"/>
  <c r="F33" i="17"/>
  <c r="F34" i="17"/>
  <c r="C30" i="17"/>
  <c r="G31" i="17"/>
  <c r="B33" i="17"/>
  <c r="B34" i="17"/>
  <c r="D31" i="17"/>
  <c r="F29" i="17"/>
  <c r="C26" i="17"/>
  <c r="D30" i="17"/>
  <c r="K11" i="17"/>
  <c r="C33" i="17"/>
  <c r="C34" i="17"/>
  <c r="C31" i="17"/>
  <c r="E29" i="17"/>
  <c r="G27" i="17"/>
  <c r="B26" i="17"/>
  <c r="E1" i="18"/>
  <c r="A40" i="11"/>
  <c r="G41" i="17" l="1"/>
  <c r="B41" i="17"/>
  <c r="D41" i="17"/>
  <c r="Q19" i="17"/>
  <c r="G142" i="72"/>
  <c r="E41" i="17"/>
  <c r="F41" i="17"/>
  <c r="C41" i="17"/>
  <c r="B39" i="17" l="1"/>
  <c r="D39" i="17"/>
  <c r="D22" i="17" s="1"/>
  <c r="Q20" i="17"/>
  <c r="G143" i="72"/>
  <c r="B22" i="17" l="1"/>
  <c r="G144" i="72"/>
  <c r="Q21" i="17"/>
  <c r="G145" i="72" l="1"/>
  <c r="Q22" i="17"/>
  <c r="G146" i="72" l="1"/>
  <c r="Q23" i="17"/>
  <c r="I150" i="72" l="1"/>
  <c r="A13" i="18" l="1"/>
  <c r="A12" i="18"/>
  <c r="A11" i="18"/>
  <c r="A10" i="18"/>
  <c r="A9" i="18"/>
  <c r="A8" i="18"/>
  <c r="A7" i="18"/>
  <c r="A6" i="18"/>
  <c r="A5" i="18"/>
  <c r="A4" i="18"/>
  <c r="A3" i="18"/>
  <c r="A2" i="18"/>
  <c r="B2" i="18" s="1"/>
  <c r="A33" i="17"/>
  <c r="A32" i="17"/>
  <c r="A31" i="17"/>
  <c r="A30" i="17"/>
  <c r="A29" i="17"/>
  <c r="A28" i="17"/>
  <c r="A27" i="17"/>
  <c r="A26" i="17"/>
  <c r="E27" i="11"/>
  <c r="D18" i="11"/>
  <c r="C14" i="11"/>
  <c r="B14" i="11"/>
  <c r="F10" i="17"/>
  <c r="D10" i="17"/>
  <c r="C10" i="17"/>
  <c r="B10" i="17"/>
  <c r="F9" i="17"/>
  <c r="E9" i="17"/>
  <c r="D9" i="17"/>
  <c r="C9" i="17"/>
  <c r="B9" i="17"/>
  <c r="F8" i="17"/>
  <c r="E8" i="17"/>
  <c r="D8" i="17"/>
  <c r="C8" i="17"/>
  <c r="B8" i="17"/>
  <c r="F7" i="17"/>
  <c r="E7" i="17"/>
  <c r="D7" i="17"/>
  <c r="C7" i="17"/>
  <c r="B7" i="17"/>
  <c r="E6" i="17"/>
  <c r="D6" i="17"/>
  <c r="C6" i="17"/>
  <c r="B6" i="17"/>
  <c r="F5" i="17"/>
  <c r="E5" i="17"/>
  <c r="D5" i="17"/>
  <c r="C5" i="17"/>
  <c r="B5" i="17"/>
  <c r="D1" i="18"/>
  <c r="C1" i="18"/>
  <c r="B1" i="18"/>
  <c r="N11" i="9"/>
  <c r="N22" i="9" s="1"/>
  <c r="M11" i="9"/>
  <c r="I11" i="9"/>
  <c r="N10" i="9"/>
  <c r="M10" i="9"/>
  <c r="I38" i="11" s="1"/>
  <c r="I33" i="11"/>
  <c r="I28" i="11"/>
  <c r="I10" i="9"/>
  <c r="I19" i="11" s="1"/>
  <c r="H10" i="9"/>
  <c r="I15" i="11" s="1"/>
  <c r="N9" i="9"/>
  <c r="H42" i="11" s="1"/>
  <c r="M9" i="9"/>
  <c r="H38" i="11" s="1"/>
  <c r="H33" i="11"/>
  <c r="H28" i="11"/>
  <c r="I9" i="9"/>
  <c r="H19" i="11" s="1"/>
  <c r="H9" i="9"/>
  <c r="H15" i="11" s="1"/>
  <c r="N8" i="9"/>
  <c r="G23" i="11" s="1"/>
  <c r="M8" i="9"/>
  <c r="G38" i="11" s="1"/>
  <c r="G33" i="11"/>
  <c r="G28" i="11"/>
  <c r="I8" i="9"/>
  <c r="G19" i="11" s="1"/>
  <c r="H8" i="9"/>
  <c r="G15" i="11" s="1"/>
  <c r="N7" i="9"/>
  <c r="F23" i="11" s="1"/>
  <c r="M7" i="9"/>
  <c r="F38" i="11" s="1"/>
  <c r="F33" i="11"/>
  <c r="F28" i="11"/>
  <c r="I7" i="9"/>
  <c r="F19" i="11" s="1"/>
  <c r="H7" i="9"/>
  <c r="F15" i="11" s="1"/>
  <c r="N6" i="9"/>
  <c r="M6" i="9"/>
  <c r="E38" i="11" s="1"/>
  <c r="E33" i="11"/>
  <c r="E28" i="11"/>
  <c r="I6" i="9"/>
  <c r="E19" i="11" s="1"/>
  <c r="H6" i="9"/>
  <c r="E15" i="11" s="1"/>
  <c r="N5" i="9"/>
  <c r="D42" i="11" s="1"/>
  <c r="M5" i="9"/>
  <c r="D38" i="11" s="1"/>
  <c r="D33" i="11"/>
  <c r="D28" i="11"/>
  <c r="I5" i="9"/>
  <c r="D19" i="11" s="1"/>
  <c r="H5" i="9"/>
  <c r="D15" i="11" s="1"/>
  <c r="N4" i="9"/>
  <c r="C23" i="11" s="1"/>
  <c r="M4" i="9"/>
  <c r="C38" i="11" s="1"/>
  <c r="C33" i="11"/>
  <c r="C28" i="11"/>
  <c r="I4" i="9"/>
  <c r="C19" i="11" s="1"/>
  <c r="H4" i="9"/>
  <c r="N3" i="9"/>
  <c r="B23" i="11" s="1"/>
  <c r="M3" i="9"/>
  <c r="B38" i="11" s="1"/>
  <c r="B33" i="11"/>
  <c r="B28" i="11"/>
  <c r="I3" i="9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B152" i="72" s="1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H37" i="11"/>
  <c r="E37" i="11"/>
  <c r="D37" i="11"/>
  <c r="C37" i="11"/>
  <c r="A36" i="11"/>
  <c r="G32" i="11"/>
  <c r="C32" i="11"/>
  <c r="A31" i="11"/>
  <c r="H27" i="11"/>
  <c r="G27" i="11"/>
  <c r="D27" i="11"/>
  <c r="C27" i="11"/>
  <c r="A26" i="11"/>
  <c r="J22" i="11"/>
  <c r="A21" i="11"/>
  <c r="J18" i="11"/>
  <c r="F18" i="11"/>
  <c r="C18" i="11"/>
  <c r="B18" i="11"/>
  <c r="A17" i="11"/>
  <c r="I14" i="11"/>
  <c r="H14" i="11"/>
  <c r="G14" i="11"/>
  <c r="F14" i="11"/>
  <c r="E14" i="11"/>
  <c r="A13" i="11"/>
  <c r="J21" i="73"/>
  <c r="H21" i="73"/>
  <c r="F21" i="73"/>
  <c r="G3" i="9" l="1"/>
  <c r="B16" i="18"/>
  <c r="J8" i="72"/>
  <c r="J9" i="72"/>
  <c r="J21" i="72"/>
  <c r="J33" i="72"/>
  <c r="J45" i="72"/>
  <c r="J57" i="72"/>
  <c r="J69" i="72"/>
  <c r="J81" i="72"/>
  <c r="J93" i="72"/>
  <c r="J105" i="72"/>
  <c r="J20" i="72"/>
  <c r="J82" i="72"/>
  <c r="J60" i="72"/>
  <c r="J44" i="72"/>
  <c r="J58" i="72"/>
  <c r="J95" i="72"/>
  <c r="J109" i="72"/>
  <c r="J92" i="72"/>
  <c r="J46" i="72"/>
  <c r="J71" i="72"/>
  <c r="J12" i="72"/>
  <c r="J96" i="72"/>
  <c r="J26" i="72"/>
  <c r="J74" i="72"/>
  <c r="J86" i="72"/>
  <c r="J98" i="72"/>
  <c r="J110" i="72"/>
  <c r="J68" i="72"/>
  <c r="J94" i="72"/>
  <c r="J11" i="72"/>
  <c r="J107" i="72"/>
  <c r="J84" i="72"/>
  <c r="J25" i="72"/>
  <c r="J97" i="72"/>
  <c r="J3" i="72"/>
  <c r="M3" i="72" s="1"/>
  <c r="J51" i="72"/>
  <c r="J63" i="72"/>
  <c r="J75" i="72"/>
  <c r="J87" i="72"/>
  <c r="J99" i="72"/>
  <c r="J104" i="72"/>
  <c r="J22" i="72"/>
  <c r="J47" i="72"/>
  <c r="J48" i="72"/>
  <c r="J108" i="72"/>
  <c r="J85" i="72"/>
  <c r="J14" i="72"/>
  <c r="J40" i="72"/>
  <c r="J52" i="72"/>
  <c r="J64" i="72"/>
  <c r="J76" i="72"/>
  <c r="J88" i="72"/>
  <c r="J100" i="72"/>
  <c r="J56" i="72"/>
  <c r="J10" i="72"/>
  <c r="J106" i="72"/>
  <c r="J59" i="72"/>
  <c r="J36" i="72"/>
  <c r="J13" i="72"/>
  <c r="J61" i="72"/>
  <c r="J38" i="72"/>
  <c r="J27" i="72"/>
  <c r="J28" i="72"/>
  <c r="J5" i="72"/>
  <c r="J17" i="72"/>
  <c r="J29" i="72"/>
  <c r="J41" i="72"/>
  <c r="J53" i="72"/>
  <c r="J65" i="72"/>
  <c r="J77" i="72"/>
  <c r="J89" i="72"/>
  <c r="J101" i="72"/>
  <c r="J32" i="72"/>
  <c r="J34" i="72"/>
  <c r="J23" i="72"/>
  <c r="J83" i="72"/>
  <c r="J24" i="72"/>
  <c r="J37" i="72"/>
  <c r="J49" i="72"/>
  <c r="J62" i="72"/>
  <c r="J39" i="72"/>
  <c r="J16" i="72"/>
  <c r="J6" i="72"/>
  <c r="J18" i="72"/>
  <c r="J30" i="72"/>
  <c r="J42" i="72"/>
  <c r="J54" i="72"/>
  <c r="J66" i="72"/>
  <c r="J78" i="72"/>
  <c r="J90" i="72"/>
  <c r="J102" i="72"/>
  <c r="J80" i="72"/>
  <c r="J70" i="72"/>
  <c r="J35" i="72"/>
  <c r="J72" i="72"/>
  <c r="J73" i="72"/>
  <c r="J50" i="72"/>
  <c r="J15" i="72"/>
  <c r="J4" i="72"/>
  <c r="J7" i="72"/>
  <c r="J19" i="72"/>
  <c r="J31" i="72"/>
  <c r="J43" i="72"/>
  <c r="J55" i="72"/>
  <c r="J67" i="72"/>
  <c r="J79" i="72"/>
  <c r="J91" i="72"/>
  <c r="J103" i="72"/>
  <c r="I153" i="72"/>
  <c r="B159" i="72"/>
  <c r="I4" i="11" s="1"/>
  <c r="B160" i="72"/>
  <c r="B11" i="9" s="1"/>
  <c r="B154" i="72"/>
  <c r="B5" i="9" s="1"/>
  <c r="B158" i="72"/>
  <c r="B9" i="9" s="1"/>
  <c r="G6" i="9"/>
  <c r="G11" i="9"/>
  <c r="B19" i="11"/>
  <c r="B10" i="11"/>
  <c r="A20" i="18"/>
  <c r="E6" i="18"/>
  <c r="B6" i="18"/>
  <c r="C6" i="18"/>
  <c r="D6" i="18"/>
  <c r="B8" i="18"/>
  <c r="E8" i="18"/>
  <c r="C8" i="18"/>
  <c r="D8" i="18"/>
  <c r="C7" i="18"/>
  <c r="B7" i="18"/>
  <c r="E7" i="18"/>
  <c r="E10" i="18"/>
  <c r="B10" i="18"/>
  <c r="D10" i="18"/>
  <c r="C10" i="18"/>
  <c r="C11" i="18"/>
  <c r="D11" i="18"/>
  <c r="E11" i="18"/>
  <c r="B11" i="18"/>
  <c r="C2" i="18"/>
  <c r="E2" i="18"/>
  <c r="D2" i="18"/>
  <c r="A23" i="18"/>
  <c r="B9" i="18"/>
  <c r="C9" i="18"/>
  <c r="D9" i="18"/>
  <c r="E9" i="18"/>
  <c r="A17" i="18"/>
  <c r="C3" i="18"/>
  <c r="D3" i="18"/>
  <c r="E3" i="18"/>
  <c r="B3" i="18"/>
  <c r="A18" i="18"/>
  <c r="D4" i="18"/>
  <c r="E4" i="18"/>
  <c r="B4" i="18"/>
  <c r="C4" i="18"/>
  <c r="E5" i="18"/>
  <c r="B5" i="18"/>
  <c r="C5" i="18"/>
  <c r="D5" i="18"/>
  <c r="J15" i="11"/>
  <c r="B157" i="72"/>
  <c r="G4" i="11" s="1"/>
  <c r="B156" i="72"/>
  <c r="F4" i="11" s="1"/>
  <c r="B155" i="72"/>
  <c r="E4" i="11" s="1"/>
  <c r="B153" i="72"/>
  <c r="B4" i="9" s="1"/>
  <c r="J19" i="11"/>
  <c r="J28" i="11"/>
  <c r="J33" i="11"/>
  <c r="J42" i="11"/>
  <c r="J38" i="11"/>
  <c r="F42" i="11"/>
  <c r="I42" i="11"/>
  <c r="A29" i="9"/>
  <c r="G42" i="11"/>
  <c r="E42" i="11"/>
  <c r="B42" i="11"/>
  <c r="C42" i="11"/>
  <c r="G4" i="9"/>
  <c r="C51" i="11" s="1"/>
  <c r="B15" i="11"/>
  <c r="G7" i="9"/>
  <c r="F51" i="11" s="1"/>
  <c r="G8" i="9"/>
  <c r="I23" i="11"/>
  <c r="G10" i="9"/>
  <c r="E23" i="11"/>
  <c r="C15" i="11"/>
  <c r="D23" i="11"/>
  <c r="D47" i="11" s="1"/>
  <c r="H23" i="11"/>
  <c r="D32" i="11"/>
  <c r="J14" i="11"/>
  <c r="E32" i="11"/>
  <c r="A16" i="18"/>
  <c r="A24" i="18"/>
  <c r="H32" i="11"/>
  <c r="F37" i="11"/>
  <c r="B37" i="11"/>
  <c r="B27" i="11"/>
  <c r="E18" i="11"/>
  <c r="G37" i="11"/>
  <c r="J27" i="11"/>
  <c r="I18" i="11"/>
  <c r="B32" i="11"/>
  <c r="D14" i="11"/>
  <c r="F32" i="11"/>
  <c r="J32" i="11"/>
  <c r="I27" i="11"/>
  <c r="F27" i="11"/>
  <c r="H18" i="11"/>
  <c r="J37" i="11"/>
  <c r="A22" i="18"/>
  <c r="A19" i="18"/>
  <c r="G18" i="11"/>
  <c r="I32" i="11"/>
  <c r="A21" i="18"/>
  <c r="I37" i="11"/>
  <c r="I160" i="72"/>
  <c r="I156" i="72"/>
  <c r="I155" i="72"/>
  <c r="I13" i="17"/>
  <c r="D50" i="11" s="1"/>
  <c r="I154" i="72"/>
  <c r="D22" i="11"/>
  <c r="I157" i="72"/>
  <c r="I159" i="72"/>
  <c r="I161" i="72"/>
  <c r="H22" i="11"/>
  <c r="I152" i="72"/>
  <c r="I17" i="17"/>
  <c r="H50" i="11" s="1"/>
  <c r="B22" i="11"/>
  <c r="I11" i="17"/>
  <c r="B50" i="11" s="1"/>
  <c r="F22" i="11"/>
  <c r="G22" i="11"/>
  <c r="I16" i="17"/>
  <c r="G50" i="11" s="1"/>
  <c r="I14" i="17"/>
  <c r="E50" i="11" s="1"/>
  <c r="I18" i="17"/>
  <c r="I22" i="11"/>
  <c r="K14" i="17"/>
  <c r="K18" i="17"/>
  <c r="I15" i="17"/>
  <c r="F50" i="11" s="1"/>
  <c r="I19" i="17"/>
  <c r="J50" i="11" s="1"/>
  <c r="C22" i="11"/>
  <c r="C46" i="11" s="1"/>
  <c r="K15" i="17"/>
  <c r="K19" i="17"/>
  <c r="C50" i="11"/>
  <c r="E22" i="11"/>
  <c r="K12" i="17"/>
  <c r="K26" i="17" s="1"/>
  <c r="K16" i="17"/>
  <c r="K13" i="17"/>
  <c r="K17" i="17"/>
  <c r="B3" i="9" l="1"/>
  <c r="B165" i="72"/>
  <c r="I165" i="72"/>
  <c r="K5" i="11"/>
  <c r="K33" i="17"/>
  <c r="H43" i="11"/>
  <c r="G43" i="11"/>
  <c r="N18" i="72"/>
  <c r="O18" i="72" s="1"/>
  <c r="K18" i="72"/>
  <c r="L18" i="72" s="1"/>
  <c r="M18" i="72"/>
  <c r="M57" i="72"/>
  <c r="N57" i="72"/>
  <c r="O57" i="72" s="1"/>
  <c r="K57" i="72"/>
  <c r="L57" i="72" s="1"/>
  <c r="N90" i="72"/>
  <c r="O90" i="72" s="1"/>
  <c r="K90" i="72"/>
  <c r="L90" i="72" s="1"/>
  <c r="M90" i="72"/>
  <c r="M82" i="72"/>
  <c r="N82" i="72"/>
  <c r="O82" i="72" s="1"/>
  <c r="K82" i="72"/>
  <c r="L82" i="72" s="1"/>
  <c r="M72" i="72"/>
  <c r="N72" i="72"/>
  <c r="O72" i="72" s="1"/>
  <c r="K72" i="72"/>
  <c r="L72" i="72" s="1"/>
  <c r="M24" i="72"/>
  <c r="N24" i="72"/>
  <c r="O24" i="72" s="1"/>
  <c r="K24" i="72"/>
  <c r="L24" i="72" s="1"/>
  <c r="M100" i="72"/>
  <c r="K100" i="72"/>
  <c r="L100" i="72" s="1"/>
  <c r="N100" i="72"/>
  <c r="O100" i="72" s="1"/>
  <c r="K3" i="72"/>
  <c r="L3" i="72" s="1"/>
  <c r="K79" i="72"/>
  <c r="L79" i="72" s="1"/>
  <c r="M79" i="72"/>
  <c r="N79" i="72"/>
  <c r="O79" i="72" s="1"/>
  <c r="K7" i="72"/>
  <c r="L7" i="72" s="1"/>
  <c r="N7" i="72"/>
  <c r="O7" i="72" s="1"/>
  <c r="M7" i="72"/>
  <c r="M35" i="72"/>
  <c r="K35" i="72"/>
  <c r="L35" i="72" s="1"/>
  <c r="N35" i="72"/>
  <c r="O35" i="72" s="1"/>
  <c r="N66" i="72"/>
  <c r="O66" i="72" s="1"/>
  <c r="K66" i="72"/>
  <c r="L66" i="72" s="1"/>
  <c r="M66" i="72"/>
  <c r="K16" i="72"/>
  <c r="L16" i="72" s="1"/>
  <c r="M16" i="72"/>
  <c r="N16" i="72"/>
  <c r="O16" i="72" s="1"/>
  <c r="M83" i="72"/>
  <c r="K83" i="72"/>
  <c r="L83" i="72" s="1"/>
  <c r="N83" i="72"/>
  <c r="O83" i="72" s="1"/>
  <c r="K77" i="72"/>
  <c r="L77" i="72" s="1"/>
  <c r="M77" i="72"/>
  <c r="N77" i="72"/>
  <c r="O77" i="72" s="1"/>
  <c r="K5" i="72"/>
  <c r="L5" i="72" s="1"/>
  <c r="M5" i="72"/>
  <c r="N5" i="72"/>
  <c r="O5" i="72" s="1"/>
  <c r="M36" i="72"/>
  <c r="K36" i="72"/>
  <c r="L36" i="72" s="1"/>
  <c r="N36" i="72"/>
  <c r="O36" i="72" s="1"/>
  <c r="K88" i="72"/>
  <c r="L88" i="72" s="1"/>
  <c r="M88" i="72"/>
  <c r="N88" i="72"/>
  <c r="O88" i="72" s="1"/>
  <c r="N85" i="72"/>
  <c r="O85" i="72" s="1"/>
  <c r="K85" i="72"/>
  <c r="L85" i="72" s="1"/>
  <c r="M85" i="72"/>
  <c r="M99" i="72"/>
  <c r="N99" i="72"/>
  <c r="O99" i="72" s="1"/>
  <c r="K99" i="72"/>
  <c r="L99" i="72" s="1"/>
  <c r="M97" i="72"/>
  <c r="N97" i="72"/>
  <c r="O97" i="72" s="1"/>
  <c r="K97" i="72"/>
  <c r="L97" i="72" s="1"/>
  <c r="M68" i="72"/>
  <c r="N68" i="72"/>
  <c r="O68" i="72" s="1"/>
  <c r="K68" i="72"/>
  <c r="L68" i="72" s="1"/>
  <c r="N96" i="72"/>
  <c r="O96" i="72" s="1"/>
  <c r="M96" i="72"/>
  <c r="K96" i="72"/>
  <c r="L96" i="72" s="1"/>
  <c r="M95" i="72"/>
  <c r="N95" i="72"/>
  <c r="O95" i="72" s="1"/>
  <c r="K95" i="72"/>
  <c r="L95" i="72" s="1"/>
  <c r="M105" i="72"/>
  <c r="N105" i="72"/>
  <c r="O105" i="72" s="1"/>
  <c r="K105" i="72"/>
  <c r="L105" i="72" s="1"/>
  <c r="M33" i="72"/>
  <c r="N33" i="72"/>
  <c r="O33" i="72" s="1"/>
  <c r="K33" i="72"/>
  <c r="L33" i="72" s="1"/>
  <c r="K31" i="72"/>
  <c r="L31" i="72" s="1"/>
  <c r="M31" i="72"/>
  <c r="N31" i="72"/>
  <c r="O31" i="72" s="1"/>
  <c r="M56" i="72"/>
  <c r="N56" i="72"/>
  <c r="O56" i="72" s="1"/>
  <c r="K56" i="72"/>
  <c r="L56" i="72" s="1"/>
  <c r="N74" i="72"/>
  <c r="O74" i="72" s="1"/>
  <c r="K74" i="72"/>
  <c r="L74" i="72" s="1"/>
  <c r="M74" i="72"/>
  <c r="M104" i="72"/>
  <c r="N104" i="72"/>
  <c r="O104" i="72" s="1"/>
  <c r="K104" i="72"/>
  <c r="L104" i="72" s="1"/>
  <c r="K29" i="72"/>
  <c r="L29" i="72" s="1"/>
  <c r="M29" i="72"/>
  <c r="N29" i="72"/>
  <c r="O29" i="72" s="1"/>
  <c r="M92" i="72"/>
  <c r="N92" i="72"/>
  <c r="O92" i="72" s="1"/>
  <c r="K92" i="72"/>
  <c r="L92" i="72" s="1"/>
  <c r="N13" i="72"/>
  <c r="O13" i="72" s="1"/>
  <c r="K13" i="72"/>
  <c r="L13" i="72" s="1"/>
  <c r="M13" i="72"/>
  <c r="K67" i="72"/>
  <c r="L67" i="72" s="1"/>
  <c r="M67" i="72"/>
  <c r="N67" i="72"/>
  <c r="O67" i="72" s="1"/>
  <c r="K4" i="72"/>
  <c r="L4" i="72" s="1"/>
  <c r="N4" i="72"/>
  <c r="O4" i="72" s="1"/>
  <c r="M4" i="72"/>
  <c r="K70" i="72"/>
  <c r="L70" i="72" s="1"/>
  <c r="N70" i="72"/>
  <c r="O70" i="72" s="1"/>
  <c r="M70" i="72"/>
  <c r="K54" i="72"/>
  <c r="L54" i="72" s="1"/>
  <c r="M54" i="72"/>
  <c r="N54" i="72"/>
  <c r="O54" i="72" s="1"/>
  <c r="M39" i="72"/>
  <c r="N39" i="72"/>
  <c r="O39" i="72" s="1"/>
  <c r="K39" i="72"/>
  <c r="L39" i="72" s="1"/>
  <c r="M23" i="72"/>
  <c r="N23" i="72"/>
  <c r="O23" i="72" s="1"/>
  <c r="K23" i="72"/>
  <c r="L23" i="72" s="1"/>
  <c r="K65" i="72"/>
  <c r="L65" i="72" s="1"/>
  <c r="M65" i="72"/>
  <c r="N65" i="72"/>
  <c r="O65" i="72" s="1"/>
  <c r="M28" i="72"/>
  <c r="K28" i="72"/>
  <c r="L28" i="72" s="1"/>
  <c r="N28" i="72"/>
  <c r="O28" i="72" s="1"/>
  <c r="M59" i="72"/>
  <c r="N59" i="72"/>
  <c r="O59" i="72" s="1"/>
  <c r="K59" i="72"/>
  <c r="L59" i="72" s="1"/>
  <c r="M76" i="72"/>
  <c r="K76" i="72"/>
  <c r="L76" i="72" s="1"/>
  <c r="N76" i="72"/>
  <c r="O76" i="72" s="1"/>
  <c r="M108" i="72"/>
  <c r="K108" i="72"/>
  <c r="L108" i="72" s="1"/>
  <c r="N108" i="72"/>
  <c r="O108" i="72" s="1"/>
  <c r="M87" i="72"/>
  <c r="N87" i="72"/>
  <c r="O87" i="72" s="1"/>
  <c r="K87" i="72"/>
  <c r="L87" i="72" s="1"/>
  <c r="M25" i="72"/>
  <c r="N25" i="72"/>
  <c r="O25" i="72" s="1"/>
  <c r="K25" i="72"/>
  <c r="L25" i="72" s="1"/>
  <c r="M110" i="72"/>
  <c r="N110" i="72"/>
  <c r="O110" i="72" s="1"/>
  <c r="K110" i="72"/>
  <c r="L110" i="72" s="1"/>
  <c r="N111" i="72"/>
  <c r="O111" i="72" s="1"/>
  <c r="M12" i="72"/>
  <c r="K12" i="72"/>
  <c r="L12" i="72" s="1"/>
  <c r="N12" i="72"/>
  <c r="O12" i="72" s="1"/>
  <c r="M58" i="72"/>
  <c r="N58" i="72"/>
  <c r="O58" i="72" s="1"/>
  <c r="K58" i="72"/>
  <c r="L58" i="72" s="1"/>
  <c r="K93" i="72"/>
  <c r="L93" i="72" s="1"/>
  <c r="N93" i="72"/>
  <c r="O93" i="72" s="1"/>
  <c r="M93" i="72"/>
  <c r="K21" i="72"/>
  <c r="L21" i="72" s="1"/>
  <c r="N21" i="72"/>
  <c r="O21" i="72" s="1"/>
  <c r="M21" i="72"/>
  <c r="K78" i="72"/>
  <c r="L78" i="72" s="1"/>
  <c r="M78" i="72"/>
  <c r="N78" i="72"/>
  <c r="O78" i="72" s="1"/>
  <c r="K17" i="72"/>
  <c r="L17" i="72" s="1"/>
  <c r="N17" i="72"/>
  <c r="O17" i="72" s="1"/>
  <c r="M17" i="72"/>
  <c r="M14" i="72"/>
  <c r="N14" i="72"/>
  <c r="O14" i="72" s="1"/>
  <c r="K14" i="72"/>
  <c r="L14" i="72" s="1"/>
  <c r="K94" i="72"/>
  <c r="L94" i="72" s="1"/>
  <c r="N94" i="72"/>
  <c r="O94" i="72" s="1"/>
  <c r="M94" i="72"/>
  <c r="K40" i="72"/>
  <c r="L40" i="72" s="1"/>
  <c r="M40" i="72"/>
  <c r="N40" i="72"/>
  <c r="O40" i="72" s="1"/>
  <c r="K89" i="72"/>
  <c r="L89" i="72" s="1"/>
  <c r="M89" i="72"/>
  <c r="N89" i="72"/>
  <c r="O89" i="72" s="1"/>
  <c r="N26" i="72"/>
  <c r="O26" i="72" s="1"/>
  <c r="K26" i="72"/>
  <c r="L26" i="72" s="1"/>
  <c r="M26" i="72"/>
  <c r="K55" i="72"/>
  <c r="L55" i="72" s="1"/>
  <c r="M55" i="72"/>
  <c r="N55" i="72"/>
  <c r="O55" i="72" s="1"/>
  <c r="M15" i="72"/>
  <c r="N15" i="72"/>
  <c r="O15" i="72" s="1"/>
  <c r="K15" i="72"/>
  <c r="L15" i="72" s="1"/>
  <c r="M80" i="72"/>
  <c r="K80" i="72"/>
  <c r="L80" i="72" s="1"/>
  <c r="N80" i="72"/>
  <c r="O80" i="72" s="1"/>
  <c r="N42" i="72"/>
  <c r="O42" i="72" s="1"/>
  <c r="K42" i="72"/>
  <c r="L42" i="72" s="1"/>
  <c r="M42" i="72"/>
  <c r="M62" i="72"/>
  <c r="N62" i="72"/>
  <c r="O62" i="72" s="1"/>
  <c r="K62" i="72"/>
  <c r="L62" i="72" s="1"/>
  <c r="M34" i="72"/>
  <c r="N34" i="72"/>
  <c r="O34" i="72" s="1"/>
  <c r="K34" i="72"/>
  <c r="L34" i="72" s="1"/>
  <c r="K53" i="72"/>
  <c r="L53" i="72" s="1"/>
  <c r="M53" i="72"/>
  <c r="N53" i="72"/>
  <c r="O53" i="72" s="1"/>
  <c r="M27" i="72"/>
  <c r="K27" i="72"/>
  <c r="L27" i="72" s="1"/>
  <c r="N27" i="72"/>
  <c r="O27" i="72" s="1"/>
  <c r="M106" i="72"/>
  <c r="N106" i="72"/>
  <c r="O106" i="72" s="1"/>
  <c r="K106" i="72"/>
  <c r="L106" i="72" s="1"/>
  <c r="K64" i="72"/>
  <c r="L64" i="72" s="1"/>
  <c r="M64" i="72"/>
  <c r="N64" i="72"/>
  <c r="O64" i="72" s="1"/>
  <c r="M48" i="72"/>
  <c r="N48" i="72"/>
  <c r="O48" i="72" s="1"/>
  <c r="K48" i="72"/>
  <c r="L48" i="72" s="1"/>
  <c r="M75" i="72"/>
  <c r="K75" i="72"/>
  <c r="L75" i="72" s="1"/>
  <c r="N75" i="72"/>
  <c r="O75" i="72" s="1"/>
  <c r="M84" i="72"/>
  <c r="K84" i="72"/>
  <c r="L84" i="72" s="1"/>
  <c r="N84" i="72"/>
  <c r="O84" i="72" s="1"/>
  <c r="N98" i="72"/>
  <c r="O98" i="72" s="1"/>
  <c r="K98" i="72"/>
  <c r="L98" i="72" s="1"/>
  <c r="M98" i="72"/>
  <c r="M71" i="72"/>
  <c r="N71" i="72"/>
  <c r="O71" i="72" s="1"/>
  <c r="K71" i="72"/>
  <c r="L71" i="72" s="1"/>
  <c r="M44" i="72"/>
  <c r="N44" i="72"/>
  <c r="O44" i="72" s="1"/>
  <c r="K44" i="72"/>
  <c r="L44" i="72" s="1"/>
  <c r="M81" i="72"/>
  <c r="N81" i="72"/>
  <c r="O81" i="72" s="1"/>
  <c r="K81" i="72"/>
  <c r="L81" i="72" s="1"/>
  <c r="M9" i="72"/>
  <c r="N9" i="72"/>
  <c r="O9" i="72" s="1"/>
  <c r="K9" i="72"/>
  <c r="L9" i="72" s="1"/>
  <c r="K103" i="72"/>
  <c r="L103" i="72" s="1"/>
  <c r="M103" i="72"/>
  <c r="N103" i="72"/>
  <c r="O103" i="72" s="1"/>
  <c r="K101" i="72"/>
  <c r="L101" i="72" s="1"/>
  <c r="M101" i="72"/>
  <c r="N101" i="72"/>
  <c r="O101" i="72" s="1"/>
  <c r="M11" i="72"/>
  <c r="N11" i="72"/>
  <c r="O11" i="72" s="1"/>
  <c r="K11" i="72"/>
  <c r="L11" i="72" s="1"/>
  <c r="N91" i="72"/>
  <c r="O91" i="72" s="1"/>
  <c r="M91" i="72"/>
  <c r="K91" i="72"/>
  <c r="L91" i="72" s="1"/>
  <c r="M20" i="72"/>
  <c r="K20" i="72"/>
  <c r="L20" i="72" s="1"/>
  <c r="N20" i="72"/>
  <c r="O20" i="72" s="1"/>
  <c r="N37" i="72"/>
  <c r="O37" i="72" s="1"/>
  <c r="K37" i="72"/>
  <c r="L37" i="72" s="1"/>
  <c r="M37" i="72"/>
  <c r="K22" i="72"/>
  <c r="L22" i="72" s="1"/>
  <c r="N22" i="72"/>
  <c r="O22" i="72" s="1"/>
  <c r="M22" i="72"/>
  <c r="N6" i="72"/>
  <c r="O6" i="72" s="1"/>
  <c r="K6" i="72"/>
  <c r="L6" i="72" s="1"/>
  <c r="M6" i="72"/>
  <c r="N109" i="72"/>
  <c r="O109" i="72" s="1"/>
  <c r="K109" i="72"/>
  <c r="L109" i="72" s="1"/>
  <c r="M109" i="72"/>
  <c r="M43" i="72"/>
  <c r="N43" i="72"/>
  <c r="O43" i="72" s="1"/>
  <c r="K43" i="72"/>
  <c r="L43" i="72" s="1"/>
  <c r="N50" i="72"/>
  <c r="O50" i="72" s="1"/>
  <c r="K50" i="72"/>
  <c r="L50" i="72" s="1"/>
  <c r="M50" i="72"/>
  <c r="K102" i="72"/>
  <c r="L102" i="72" s="1"/>
  <c r="M102" i="72"/>
  <c r="N102" i="72"/>
  <c r="O102" i="72" s="1"/>
  <c r="K30" i="72"/>
  <c r="L30" i="72" s="1"/>
  <c r="M30" i="72"/>
  <c r="N30" i="72"/>
  <c r="O30" i="72" s="1"/>
  <c r="M49" i="72"/>
  <c r="N49" i="72"/>
  <c r="O49" i="72" s="1"/>
  <c r="K49" i="72"/>
  <c r="L49" i="72" s="1"/>
  <c r="M32" i="72"/>
  <c r="K32" i="72"/>
  <c r="L32" i="72" s="1"/>
  <c r="N32" i="72"/>
  <c r="O32" i="72" s="1"/>
  <c r="K41" i="72"/>
  <c r="L41" i="72" s="1"/>
  <c r="N41" i="72"/>
  <c r="O41" i="72" s="1"/>
  <c r="M41" i="72"/>
  <c r="M38" i="72"/>
  <c r="N38" i="72"/>
  <c r="O38" i="72" s="1"/>
  <c r="K38" i="72"/>
  <c r="L38" i="72" s="1"/>
  <c r="M10" i="72"/>
  <c r="N10" i="72"/>
  <c r="O10" i="72" s="1"/>
  <c r="K10" i="72"/>
  <c r="L10" i="72" s="1"/>
  <c r="M52" i="72"/>
  <c r="K52" i="72"/>
  <c r="L52" i="72" s="1"/>
  <c r="N52" i="72"/>
  <c r="O52" i="72" s="1"/>
  <c r="M47" i="72"/>
  <c r="N47" i="72"/>
  <c r="O47" i="72" s="1"/>
  <c r="K47" i="72"/>
  <c r="L47" i="72" s="1"/>
  <c r="M63" i="72"/>
  <c r="N63" i="72"/>
  <c r="O63" i="72" s="1"/>
  <c r="K63" i="72"/>
  <c r="L63" i="72" s="1"/>
  <c r="M107" i="72"/>
  <c r="N107" i="72"/>
  <c r="O107" i="72" s="1"/>
  <c r="K107" i="72"/>
  <c r="L107" i="72" s="1"/>
  <c r="M86" i="72"/>
  <c r="N86" i="72"/>
  <c r="O86" i="72" s="1"/>
  <c r="K86" i="72"/>
  <c r="L86" i="72" s="1"/>
  <c r="K46" i="72"/>
  <c r="L46" i="72" s="1"/>
  <c r="M46" i="72"/>
  <c r="N46" i="72"/>
  <c r="O46" i="72" s="1"/>
  <c r="M60" i="72"/>
  <c r="K60" i="72"/>
  <c r="L60" i="72" s="1"/>
  <c r="N60" i="72"/>
  <c r="O60" i="72" s="1"/>
  <c r="K69" i="72"/>
  <c r="L69" i="72" s="1"/>
  <c r="N69" i="72"/>
  <c r="O69" i="72" s="1"/>
  <c r="M69" i="72"/>
  <c r="N8" i="72"/>
  <c r="O8" i="72" s="1"/>
  <c r="K8" i="72"/>
  <c r="L8" i="72" s="1"/>
  <c r="M8" i="72"/>
  <c r="M73" i="72"/>
  <c r="N73" i="72"/>
  <c r="O73" i="72" s="1"/>
  <c r="K73" i="72"/>
  <c r="L73" i="72" s="1"/>
  <c r="N61" i="72"/>
  <c r="O61" i="72" s="1"/>
  <c r="K61" i="72"/>
  <c r="L61" i="72" s="1"/>
  <c r="M61" i="72"/>
  <c r="M51" i="72"/>
  <c r="N51" i="72"/>
  <c r="O51" i="72" s="1"/>
  <c r="K51" i="72"/>
  <c r="L51" i="72" s="1"/>
  <c r="M19" i="72"/>
  <c r="K19" i="72"/>
  <c r="L19" i="72" s="1"/>
  <c r="N19" i="72"/>
  <c r="O19" i="72" s="1"/>
  <c r="K45" i="72"/>
  <c r="L45" i="72" s="1"/>
  <c r="N45" i="72"/>
  <c r="O45" i="72" s="1"/>
  <c r="M45" i="72"/>
  <c r="D4" i="11"/>
  <c r="J4" i="11"/>
  <c r="F3" i="9"/>
  <c r="B23" i="18"/>
  <c r="D16" i="18"/>
  <c r="B21" i="18"/>
  <c r="F43" i="11"/>
  <c r="B17" i="18"/>
  <c r="C16" i="18"/>
  <c r="C34" i="11"/>
  <c r="K43" i="11"/>
  <c r="B22" i="18"/>
  <c r="I43" i="11"/>
  <c r="B18" i="18"/>
  <c r="E43" i="11"/>
  <c r="I34" i="11"/>
  <c r="F29" i="11"/>
  <c r="J43" i="11"/>
  <c r="I29" i="11"/>
  <c r="B24" i="18"/>
  <c r="D25" i="18"/>
  <c r="K34" i="11"/>
  <c r="C25" i="18"/>
  <c r="K29" i="11"/>
  <c r="B25" i="18"/>
  <c r="K24" i="11"/>
  <c r="I46" i="11"/>
  <c r="B46" i="11"/>
  <c r="J29" i="11"/>
  <c r="E24" i="11"/>
  <c r="B19" i="18"/>
  <c r="B20" i="18"/>
  <c r="C24" i="18"/>
  <c r="H5" i="11"/>
  <c r="C12" i="9"/>
  <c r="D12" i="9" s="1"/>
  <c r="E12" i="9" s="1"/>
  <c r="C11" i="9"/>
  <c r="D11" i="9" s="1"/>
  <c r="E11" i="9" s="1"/>
  <c r="D5" i="11"/>
  <c r="E5" i="11"/>
  <c r="I5" i="11"/>
  <c r="F11" i="9"/>
  <c r="B4" i="11"/>
  <c r="J34" i="11"/>
  <c r="D24" i="18"/>
  <c r="B29" i="11"/>
  <c r="B51" i="11"/>
  <c r="H4" i="11"/>
  <c r="B10" i="9"/>
  <c r="I50" i="11"/>
  <c r="K46" i="11"/>
  <c r="K4" i="11"/>
  <c r="E39" i="17"/>
  <c r="B8" i="9"/>
  <c r="C63" i="11"/>
  <c r="B6" i="9"/>
  <c r="C4" i="11"/>
  <c r="B43" i="11"/>
  <c r="F2" i="18"/>
  <c r="B52" i="11" s="1"/>
  <c r="B24" i="11"/>
  <c r="F47" i="11"/>
  <c r="F64" i="11" s="1"/>
  <c r="K47" i="11"/>
  <c r="K64" i="11" s="1"/>
  <c r="B7" i="9"/>
  <c r="G39" i="17"/>
  <c r="F39" i="17"/>
  <c r="C39" i="17"/>
  <c r="C22" i="17" s="1"/>
  <c r="C47" i="11"/>
  <c r="C64" i="11" s="1"/>
  <c r="G47" i="11"/>
  <c r="A36" i="9"/>
  <c r="A40" i="9" s="1"/>
  <c r="A33" i="9"/>
  <c r="A37" i="9" s="1"/>
  <c r="A41" i="9" s="1"/>
  <c r="E46" i="11"/>
  <c r="J23" i="11"/>
  <c r="C23" i="18"/>
  <c r="C20" i="18"/>
  <c r="B34" i="11"/>
  <c r="E47" i="11"/>
  <c r="B47" i="11"/>
  <c r="I47" i="11"/>
  <c r="F10" i="11"/>
  <c r="F4" i="9"/>
  <c r="J10" i="11"/>
  <c r="J51" i="11"/>
  <c r="G10" i="11"/>
  <c r="C10" i="11"/>
  <c r="G51" i="11"/>
  <c r="I51" i="11"/>
  <c r="I10" i="11"/>
  <c r="D23" i="18"/>
  <c r="G9" i="9"/>
  <c r="D17" i="18"/>
  <c r="H47" i="11"/>
  <c r="G5" i="9"/>
  <c r="E51" i="11"/>
  <c r="E10" i="11"/>
  <c r="D46" i="11"/>
  <c r="F9" i="18"/>
  <c r="I52" i="11" s="1"/>
  <c r="J24" i="11"/>
  <c r="D21" i="18"/>
  <c r="G34" i="11"/>
  <c r="C43" i="11"/>
  <c r="D20" i="18"/>
  <c r="F34" i="11"/>
  <c r="F24" i="11"/>
  <c r="F6" i="18"/>
  <c r="F52" i="11" s="1"/>
  <c r="F10" i="18"/>
  <c r="I24" i="11"/>
  <c r="F5" i="18"/>
  <c r="E52" i="11" s="1"/>
  <c r="D22" i="18"/>
  <c r="H34" i="11"/>
  <c r="C18" i="18"/>
  <c r="D29" i="11"/>
  <c r="C21" i="18"/>
  <c r="G29" i="11"/>
  <c r="C29" i="11"/>
  <c r="C17" i="18"/>
  <c r="F7" i="18"/>
  <c r="G52" i="11" s="1"/>
  <c r="G24" i="11"/>
  <c r="D43" i="11"/>
  <c r="C22" i="18"/>
  <c r="H29" i="11"/>
  <c r="F8" i="18"/>
  <c r="H52" i="11" s="1"/>
  <c r="H24" i="11"/>
  <c r="D18" i="18"/>
  <c r="D34" i="11"/>
  <c r="J46" i="11"/>
  <c r="D19" i="18"/>
  <c r="E34" i="11"/>
  <c r="C24" i="11"/>
  <c r="F3" i="18"/>
  <c r="C52" i="11" s="1"/>
  <c r="F4" i="18"/>
  <c r="D52" i="11" s="1"/>
  <c r="D24" i="11"/>
  <c r="E29" i="11"/>
  <c r="C19" i="18"/>
  <c r="F46" i="11"/>
  <c r="J5" i="11"/>
  <c r="C9" i="9"/>
  <c r="D9" i="9" s="1"/>
  <c r="E9" i="9" s="1"/>
  <c r="H46" i="11"/>
  <c r="H63" i="11" s="1"/>
  <c r="C10" i="9"/>
  <c r="G5" i="11"/>
  <c r="F5" i="11"/>
  <c r="C8" i="9"/>
  <c r="C7" i="9"/>
  <c r="C5" i="9"/>
  <c r="D5" i="9" s="1"/>
  <c r="E5" i="9" s="1"/>
  <c r="C6" i="9"/>
  <c r="K29" i="17"/>
  <c r="C3" i="9"/>
  <c r="D3" i="9" s="1"/>
  <c r="E3" i="9" s="1"/>
  <c r="B5" i="11"/>
  <c r="C4" i="9"/>
  <c r="D4" i="9" s="1"/>
  <c r="E4" i="9" s="1"/>
  <c r="C5" i="11"/>
  <c r="K30" i="17"/>
  <c r="K32" i="17"/>
  <c r="K28" i="17"/>
  <c r="G46" i="11"/>
  <c r="K31" i="17"/>
  <c r="K27" i="17"/>
  <c r="J165" i="72" l="1"/>
  <c r="L132" i="72"/>
  <c r="M132" i="72"/>
  <c r="R28" i="72" s="1"/>
  <c r="R30" i="72" s="1"/>
  <c r="O132" i="72"/>
  <c r="E22" i="17"/>
  <c r="K48" i="11"/>
  <c r="F22" i="17"/>
  <c r="B29" i="18"/>
  <c r="D6" i="11"/>
  <c r="K6" i="11"/>
  <c r="J6" i="11"/>
  <c r="E6" i="11"/>
  <c r="J47" i="11"/>
  <c r="J64" i="11" s="1"/>
  <c r="I6" i="11"/>
  <c r="B64" i="11"/>
  <c r="B6" i="11"/>
  <c r="F7" i="9"/>
  <c r="D7" i="9"/>
  <c r="E7" i="9" s="1"/>
  <c r="C6" i="11"/>
  <c r="F6" i="9"/>
  <c r="D6" i="9"/>
  <c r="E6" i="9" s="1"/>
  <c r="B48" i="11"/>
  <c r="B65" i="11" s="1"/>
  <c r="C29" i="18"/>
  <c r="D10" i="9"/>
  <c r="E10" i="9" s="1"/>
  <c r="F10" i="9"/>
  <c r="H6" i="11"/>
  <c r="D8" i="9"/>
  <c r="E8" i="9" s="1"/>
  <c r="D29" i="18"/>
  <c r="F8" i="9"/>
  <c r="E29" i="18"/>
  <c r="J52" i="11"/>
  <c r="G64" i="11"/>
  <c r="G6" i="11"/>
  <c r="E63" i="11"/>
  <c r="L37" i="11"/>
  <c r="E64" i="11"/>
  <c r="D63" i="11"/>
  <c r="F63" i="11"/>
  <c r="B63" i="11"/>
  <c r="I64" i="11"/>
  <c r="D48" i="11"/>
  <c r="D65" i="11" s="1"/>
  <c r="D51" i="11"/>
  <c r="D64" i="11" s="1"/>
  <c r="D10" i="11"/>
  <c r="F5" i="9"/>
  <c r="C48" i="11"/>
  <c r="C65" i="11" s="1"/>
  <c r="F9" i="9"/>
  <c r="H51" i="11"/>
  <c r="H64" i="11" s="1"/>
  <c r="H10" i="11"/>
  <c r="J63" i="11"/>
  <c r="I48" i="11"/>
  <c r="I65" i="11" s="1"/>
  <c r="J48" i="11"/>
  <c r="E48" i="11"/>
  <c r="E65" i="11" s="1"/>
  <c r="F48" i="11"/>
  <c r="F65" i="11" s="1"/>
  <c r="G48" i="11"/>
  <c r="G65" i="11" s="1"/>
  <c r="H48" i="11"/>
  <c r="H65" i="11" s="1"/>
  <c r="F6" i="11"/>
  <c r="G63" i="11"/>
  <c r="I63" i="11"/>
  <c r="F17" i="9" l="1"/>
  <c r="B27" i="18"/>
  <c r="L22" i="11"/>
  <c r="J65" i="11"/>
  <c r="N24" i="9"/>
  <c r="N23" i="9"/>
  <c r="N28" i="9" s="1"/>
  <c r="N36" i="9" s="1"/>
  <c r="K29" i="9"/>
  <c r="K23" i="9"/>
  <c r="L23" i="9"/>
  <c r="L24" i="9"/>
  <c r="L29" i="9" s="1"/>
  <c r="M18" i="11"/>
  <c r="L18" i="11"/>
  <c r="L27" i="11"/>
  <c r="C27" i="18"/>
  <c r="D27" i="18"/>
  <c r="E27" i="18"/>
  <c r="L32" i="11"/>
  <c r="K28" i="9" l="1"/>
  <c r="K36" i="9" s="1"/>
  <c r="L28" i="9"/>
  <c r="L36" i="9" s="1"/>
  <c r="L37" i="9"/>
  <c r="K37" i="9"/>
  <c r="I24" i="9"/>
  <c r="I29" i="9" s="1"/>
  <c r="I37" i="9" s="1"/>
  <c r="I23" i="9"/>
  <c r="I28" i="9" s="1"/>
  <c r="I36" i="9" s="1"/>
  <c r="M23" i="9"/>
  <c r="M24" i="9"/>
  <c r="M29" i="9" s="1"/>
  <c r="N29" i="9"/>
  <c r="N37" i="9" s="1"/>
  <c r="J23" i="9"/>
  <c r="J28" i="9" s="1"/>
  <c r="J36" i="9" s="1"/>
  <c r="J24" i="9"/>
  <c r="J29" i="9" s="1"/>
  <c r="J37" i="9" s="1"/>
  <c r="M37" i="11"/>
  <c r="M32" i="11"/>
  <c r="M27" i="11"/>
  <c r="M28" i="9" l="1"/>
  <c r="M36" i="9" s="1"/>
  <c r="M37" i="9"/>
  <c r="M22" i="11"/>
  <c r="C13" i="9" l="1"/>
  <c r="G13" i="9" s="1"/>
  <c r="G32" i="9" s="1"/>
  <c r="L5" i="11" l="1"/>
  <c r="L10" i="11" l="1"/>
  <c r="I163" i="72" l="1"/>
  <c r="I167" i="72" l="1"/>
  <c r="M5" i="11"/>
  <c r="C14" i="9"/>
  <c r="G14" i="9" l="1"/>
  <c r="G33" i="9" l="1"/>
  <c r="M10" i="11"/>
  <c r="K20" i="17" l="1"/>
  <c r="I20" i="17"/>
  <c r="K50" i="11" s="1"/>
  <c r="K63" i="11" s="1"/>
  <c r="H24" i="9"/>
  <c r="K34" i="17" l="1"/>
  <c r="K41" i="17"/>
  <c r="K39" i="17" s="1"/>
  <c r="F11" i="18" l="1"/>
  <c r="K52" i="11" s="1"/>
  <c r="K65" i="11" s="1"/>
  <c r="G28" i="9" l="1"/>
  <c r="G36" i="9" s="1"/>
  <c r="H36" i="9"/>
  <c r="K21" i="17"/>
  <c r="P24" i="17" s="1"/>
  <c r="I21" i="17"/>
  <c r="L14" i="11"/>
  <c r="H29" i="9" l="1"/>
  <c r="G29" i="9" s="1"/>
  <c r="H37" i="9"/>
  <c r="O37" i="9" s="1"/>
  <c r="G37" i="9"/>
  <c r="O36" i="9"/>
  <c r="H40" i="9" s="1"/>
  <c r="H32" i="9" s="1"/>
  <c r="L50" i="11"/>
  <c r="K22" i="17"/>
  <c r="Q24" i="17" s="1"/>
  <c r="I22" i="17"/>
  <c r="M50" i="11" s="1"/>
  <c r="M14" i="11"/>
  <c r="L46" i="11"/>
  <c r="J41" i="9" l="1"/>
  <c r="J40" i="9"/>
  <c r="I40" i="9"/>
  <c r="N40" i="9"/>
  <c r="K40" i="9"/>
  <c r="L40" i="9"/>
  <c r="M40" i="9"/>
  <c r="H41" i="9"/>
  <c r="I41" i="9"/>
  <c r="L63" i="11"/>
  <c r="M46" i="11"/>
  <c r="H33" i="9" l="1"/>
  <c r="M15" i="11" s="1"/>
  <c r="M32" i="9"/>
  <c r="L32" i="9"/>
  <c r="G40" i="9"/>
  <c r="K32" i="9"/>
  <c r="N32" i="9"/>
  <c r="I32" i="9"/>
  <c r="J32" i="9"/>
  <c r="B12" i="18" s="1"/>
  <c r="M63" i="11"/>
  <c r="I33" i="9"/>
  <c r="M19" i="11" s="1"/>
  <c r="J33" i="9"/>
  <c r="M41" i="9"/>
  <c r="L41" i="9"/>
  <c r="N41" i="9"/>
  <c r="N33" i="9" s="1"/>
  <c r="K41" i="9"/>
  <c r="B13" i="18" l="1"/>
  <c r="L33" i="9"/>
  <c r="D13" i="18" s="1"/>
  <c r="M33" i="9"/>
  <c r="M38" i="11" s="1"/>
  <c r="K33" i="9"/>
  <c r="C13" i="18" s="1"/>
  <c r="L19" i="11"/>
  <c r="L43" i="11"/>
  <c r="L42" i="11"/>
  <c r="C12" i="18"/>
  <c r="L28" i="11"/>
  <c r="L15" i="11"/>
  <c r="O32" i="9"/>
  <c r="D12" i="18"/>
  <c r="L33" i="11"/>
  <c r="L23" i="11"/>
  <c r="L38" i="11"/>
  <c r="M42" i="11"/>
  <c r="M23" i="11"/>
  <c r="G41" i="9"/>
  <c r="M33" i="11" l="1"/>
  <c r="O33" i="9"/>
  <c r="M51" i="11" s="1"/>
  <c r="M28" i="11"/>
  <c r="L34" i="11"/>
  <c r="L29" i="11"/>
  <c r="F12" i="18"/>
  <c r="L24" i="11"/>
  <c r="P32" i="9"/>
  <c r="L51" i="11"/>
  <c r="L47" i="11"/>
  <c r="L48" i="11" l="1"/>
  <c r="L52" i="11"/>
  <c r="H54" i="11"/>
  <c r="L64" i="11"/>
  <c r="M47" i="11"/>
  <c r="L65" i="11" l="1"/>
  <c r="F13" i="18"/>
  <c r="M24" i="11"/>
  <c r="M64" i="11"/>
  <c r="M43" i="11"/>
  <c r="M34" i="11"/>
  <c r="M29" i="11"/>
  <c r="M48" i="11" l="1"/>
  <c r="H55" i="11"/>
  <c r="M52" i="11"/>
  <c r="M65" i="11" l="1"/>
</calcChain>
</file>

<file path=xl/sharedStrings.xml><?xml version="1.0" encoding="utf-8"?>
<sst xmlns="http://schemas.openxmlformats.org/spreadsheetml/2006/main" count="371" uniqueCount="139">
  <si>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</si>
  <si>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</si>
  <si>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</si>
  <si>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</si>
  <si>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</si>
  <si>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</si>
  <si>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</si>
  <si>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</si>
  <si>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</si>
  <si>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</si>
  <si>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</si>
  <si>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</si>
  <si>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</si>
  <si>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</si>
  <si>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</si>
  <si>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</si>
  <si>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</si>
  <si>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</si>
  <si>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</si>
  <si>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</si>
  <si>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</si>
  <si>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</si>
  <si>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</si>
  <si>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</si>
  <si>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</si>
  <si>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</si>
  <si>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</si>
  <si>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</si>
  <si>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</si>
  <si>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</si>
  <si>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</si>
  <si>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</si>
  <si>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</si>
  <si>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</si>
  <si>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</si>
  <si>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</si>
  <si>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</si>
  <si>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</si>
  <si>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</si>
  <si>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</si>
  <si>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</si>
  <si>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</si>
  <si>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</si>
  <si>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</si>
  <si>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</si>
  <si>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</si>
  <si>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</si>
  <si>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</si>
  <si>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</si>
  <si>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</si>
  <si>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 xml:space="preserve">2016 Actual </t>
  </si>
  <si>
    <t xml:space="preserve">2017 Actual </t>
  </si>
  <si>
    <t>Power Purchased</t>
  </si>
  <si>
    <t>MAPE</t>
  </si>
  <si>
    <t>Average Number of Customer/Connections</t>
  </si>
  <si>
    <t xml:space="preserve">2018 Actual </t>
  </si>
  <si>
    <t xml:space="preserve">2019 Actual </t>
  </si>
  <si>
    <t xml:space="preserve">Total Billed </t>
  </si>
  <si>
    <t>Input data</t>
  </si>
  <si>
    <t>Residential</t>
  </si>
  <si>
    <t>Year</t>
  </si>
  <si>
    <t>Last 10 years</t>
  </si>
  <si>
    <t>Demand only</t>
  </si>
  <si>
    <t>2021 Actual</t>
  </si>
  <si>
    <t>2022 Actual</t>
  </si>
  <si>
    <t>Date</t>
  </si>
  <si>
    <t>General Service &lt; 50 kW</t>
  </si>
  <si>
    <t>General Service &gt; 50 to 4999 kW</t>
  </si>
  <si>
    <t xml:space="preserve">Sentinel </t>
  </si>
  <si>
    <t xml:space="preserve">Street Lighting </t>
  </si>
  <si>
    <t>USL</t>
  </si>
  <si>
    <t>other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</si>
  <si>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</si>
  <si>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</si>
  <si>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</si>
  <si>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</si>
  <si>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</si>
  <si>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</si>
  <si>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</si>
  <si>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</si>
  <si>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</si>
  <si>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</si>
  <si>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</si>
  <si>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</si>
  <si>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</si>
  <si>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</si>
  <si>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</si>
  <si>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</si>
  <si>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</si>
  <si>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</si>
  <si>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Geomean Monthly Escalation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</si>
  <si>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</si>
  <si>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</si>
  <si>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</si>
  <si>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</si>
  <si>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</si>
  <si>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</si>
  <si>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</si>
  <si>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</si>
  <si>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</si>
  <si>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</si>
  <si>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</si>
  <si>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</si>
  <si>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Average Customer / Connection Count</t>
  </si>
  <si>
    <t>Month</t>
  </si>
  <si>
    <t>Number of Customers</t>
  </si>
  <si>
    <t>Weather Normal</t>
  </si>
  <si>
    <t xml:space="preserve">2020 Actual </t>
  </si>
  <si>
    <t>Average Monthly Growth (%)</t>
  </si>
  <si>
    <t>Annual</t>
  </si>
  <si>
    <t>Monthly</t>
  </si>
  <si>
    <t>2015 Actual</t>
  </si>
  <si>
    <t>2025 Test</t>
  </si>
  <si>
    <t>2014 Actual</t>
  </si>
  <si>
    <t>Large User</t>
  </si>
  <si>
    <t>Welland Hydro-Electric Weather Normal Load Forecast for 2025 Rate Application</t>
  </si>
  <si>
    <t>2023 Actual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</si>
  <si>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</si>
  <si>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</si>
  <si>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</si>
  <si>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</si>
  <si>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</si>
  <si>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</si>
  <si>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</si>
  <si>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Normalization Factor</t>
  </si>
  <si>
    <t>Not WN</t>
  </si>
  <si>
    <t>Residual Squared</t>
  </si>
  <si>
    <t>Difference of Residuals</t>
  </si>
  <si>
    <t>Difference of Residuals Squared</t>
  </si>
  <si>
    <t>Residual (kWh)</t>
  </si>
  <si>
    <t xml:space="preserve">% Residual </t>
  </si>
  <si>
    <t>% Residual (Abs)</t>
  </si>
  <si>
    <t>Sum of Squared Residuals</t>
  </si>
  <si>
    <t>Durbin-Watson Calculation</t>
  </si>
  <si>
    <t>2024 Sept TYD</t>
  </si>
  <si>
    <t>Average Monthly Growth YTD</t>
  </si>
  <si>
    <t>Forecast 2024</t>
  </si>
  <si>
    <t>2024 Bridge (Actuals to Sept)</t>
  </si>
  <si>
    <t>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</si>
</sst>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_(* #,##0.000_);_(* \(#,##0.000\);_(* &quot;-&quot;??_);_(@_)"/>
    <numFmt numFmtId="181" formatCode="_-* #,##0.000_-;\-* #,##0.000_-;_-* &quot;-&quot;???_-;_-@_-"/>
    <numFmt numFmtId="182" formatCode="_(* #,##0.0000_);_(* \(#,##0.0000\);_(* &quot;-&quot;??_);_(@_)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655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9" fillId="5" borderId="1" applyNumberFormat="0" applyProtection="0">
      <alignment horizontal="left" vertical="center"/>
    </xf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1" fillId="0" borderId="0"/>
    <xf numFmtId="174" fontId="11" fillId="0" borderId="0"/>
    <xf numFmtId="173" fontId="11" fillId="0" borderId="0"/>
    <xf numFmtId="173" fontId="11" fillId="0" borderId="0"/>
    <xf numFmtId="173" fontId="11" fillId="0" borderId="0"/>
    <xf numFmtId="173" fontId="11" fillId="0" borderId="0"/>
    <xf numFmtId="175" fontId="11" fillId="0" borderId="0"/>
    <xf numFmtId="176" fontId="11" fillId="0" borderId="0"/>
    <xf numFmtId="175" fontId="11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35" fillId="16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13" borderId="0" applyNumberFormat="0" applyBorder="0" applyAlignment="0" applyProtection="0"/>
    <xf numFmtId="0" fontId="35" fillId="17" borderId="0" applyNumberFormat="0" applyBorder="0" applyAlignment="0" applyProtection="0"/>
    <xf numFmtId="0" fontId="35" fillId="21" borderId="0" applyNumberFormat="0" applyBorder="0" applyAlignment="0" applyProtection="0"/>
    <xf numFmtId="0" fontId="35" fillId="25" borderId="0" applyNumberFormat="0" applyBorder="0" applyAlignment="0" applyProtection="0"/>
    <xf numFmtId="0" fontId="35" fillId="29" borderId="0" applyNumberFormat="0" applyBorder="0" applyAlignment="0" applyProtection="0"/>
    <xf numFmtId="0" fontId="35" fillId="33" borderId="0" applyNumberFormat="0" applyBorder="0" applyAlignment="0" applyProtection="0"/>
    <xf numFmtId="0" fontId="26" fillId="7" borderId="0" applyNumberFormat="0" applyBorder="0" applyAlignment="0" applyProtection="0"/>
    <xf numFmtId="0" fontId="30" fillId="10" borderId="10" applyNumberFormat="0" applyAlignment="0" applyProtection="0"/>
    <xf numFmtId="0" fontId="32" fillId="11" borderId="13" applyNumberFormat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5" fillId="6" borderId="0" applyNumberFormat="0" applyBorder="0" applyAlignment="0" applyProtection="0"/>
    <xf numFmtId="38" fontId="17" fillId="37" borderId="0" applyNumberFormat="0" applyBorder="0" applyAlignment="0" applyProtection="0"/>
    <xf numFmtId="38" fontId="17" fillId="37" borderId="0" applyNumberFormat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10" fontId="17" fillId="38" borderId="1" applyNumberFormat="0" applyBorder="0" applyAlignment="0" applyProtection="0"/>
    <xf numFmtId="10" fontId="17" fillId="38" borderId="1" applyNumberFormat="0" applyBorder="0" applyAlignment="0" applyProtection="0"/>
    <xf numFmtId="0" fontId="28" fillId="9" borderId="10" applyNumberFormat="0" applyAlignment="0" applyProtection="0"/>
    <xf numFmtId="0" fontId="31" fillId="0" borderId="12" applyNumberFormat="0" applyFill="0" applyAlignment="0" applyProtection="0"/>
    <xf numFmtId="177" fontId="11" fillId="0" borderId="0"/>
    <xf numFmtId="172" fontId="11" fillId="0" borderId="0"/>
    <xf numFmtId="177" fontId="11" fillId="0" borderId="0"/>
    <xf numFmtId="177" fontId="11" fillId="0" borderId="0"/>
    <xf numFmtId="177" fontId="11" fillId="0" borderId="0"/>
    <xf numFmtId="177" fontId="11" fillId="0" borderId="0"/>
    <xf numFmtId="0" fontId="27" fillId="8" borderId="0" applyNumberFormat="0" applyBorder="0" applyAlignment="0" applyProtection="0"/>
    <xf numFmtId="178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12" borderId="14" applyNumberFormat="0" applyFont="0" applyAlignment="0" applyProtection="0"/>
    <xf numFmtId="0" fontId="29" fillId="10" borderId="11" applyNumberFormat="0" applyAlignment="0" applyProtection="0"/>
    <xf numFmtId="10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6" fillId="0" borderId="0" applyNumberFormat="0" applyBorder="0" applyAlignment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16">
      <alignment horizontal="center" vertical="center"/>
    </xf>
    <xf numFmtId="0" fontId="21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2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36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5" borderId="1" applyNumberFormat="0" applyProtection="0">
      <alignment horizontal="left" vertical="center"/>
    </xf>
    <xf numFmtId="0" fontId="11" fillId="5" borderId="1" applyNumberFormat="0" applyProtection="0">
      <alignment horizontal="left" vertical="center"/>
    </xf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4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3" fillId="58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0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1" fillId="0" borderId="0"/>
    <xf numFmtId="0" fontId="23" fillId="0" borderId="8" applyNumberFormat="0" applyFill="0" applyAlignment="0" applyProtection="0"/>
    <xf numFmtId="0" fontId="22" fillId="0" borderId="7" applyNumberFormat="0" applyFill="0" applyAlignment="0" applyProtection="0"/>
    <xf numFmtId="0" fontId="6" fillId="0" borderId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0" applyNumberFormat="0" applyAlignment="0" applyProtection="0"/>
    <xf numFmtId="0" fontId="29" fillId="10" borderId="11" applyNumberFormat="0" applyAlignment="0" applyProtection="0"/>
    <xf numFmtId="0" fontId="30" fillId="10" borderId="10" applyNumberFormat="0" applyAlignment="0" applyProtection="0"/>
    <xf numFmtId="0" fontId="31" fillId="0" borderId="12" applyNumberFormat="0" applyFill="0" applyAlignment="0" applyProtection="0"/>
    <xf numFmtId="0" fontId="32" fillId="11" borderId="13" applyNumberFormat="0" applyAlignment="0" applyProtection="0"/>
    <xf numFmtId="0" fontId="33" fillId="0" borderId="0" applyNumberFormat="0" applyFill="0" applyBorder="0" applyAlignment="0" applyProtection="0"/>
    <xf numFmtId="0" fontId="6" fillId="12" borderId="14" applyNumberFormat="0" applyFont="0" applyAlignment="0" applyProtection="0"/>
    <xf numFmtId="0" fontId="34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0" fontId="6" fillId="0" borderId="0"/>
    <xf numFmtId="0" fontId="73" fillId="58" borderId="24" applyNumberFormat="0" applyAlignment="0" applyProtection="0"/>
    <xf numFmtId="0" fontId="64" fillId="59" borderId="18" applyNumberFormat="0" applyAlignment="0" applyProtection="0"/>
    <xf numFmtId="0" fontId="70" fillId="45" borderId="17" applyNumberFormat="0" applyAlignment="0" applyProtection="0"/>
    <xf numFmtId="0" fontId="11" fillId="61" borderId="23" applyNumberFormat="0" applyFont="0" applyAlignment="0" applyProtection="0"/>
    <xf numFmtId="0" fontId="66" fillId="42" borderId="0" applyNumberFormat="0" applyBorder="0" applyAlignment="0" applyProtection="0"/>
    <xf numFmtId="0" fontId="62" fillId="41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1" fillId="5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1" fillId="57" borderId="0" applyNumberFormat="0" applyBorder="0" applyAlignment="0" applyProtection="0"/>
    <xf numFmtId="0" fontId="61" fillId="51" borderId="0" applyNumberFormat="0" applyBorder="0" applyAlignment="0" applyProtection="0"/>
    <xf numFmtId="166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40" fillId="0" borderId="0"/>
    <xf numFmtId="0" fontId="71" fillId="0" borderId="22" applyNumberFormat="0" applyFill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70" fillId="45" borderId="17" applyNumberFormat="0" applyAlignment="0" applyProtection="0"/>
    <xf numFmtId="0" fontId="70" fillId="45" borderId="17" applyNumberFormat="0" applyAlignment="0" applyProtection="0"/>
    <xf numFmtId="0" fontId="70" fillId="45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0" fillId="45" borderId="17" applyNumberFormat="0" applyAlignment="0" applyProtection="0"/>
    <xf numFmtId="0" fontId="11" fillId="0" borderId="0"/>
    <xf numFmtId="0" fontId="40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6" fillId="0" borderId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11" fillId="0" borderId="0" applyFont="0" applyFill="0" applyBorder="0" applyAlignment="0" applyProtection="0"/>
    <xf numFmtId="0" fontId="11" fillId="0" borderId="0"/>
    <xf numFmtId="9" fontId="40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6" fillId="0" borderId="0"/>
    <xf numFmtId="165" fontId="4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40" fillId="0" borderId="0"/>
    <xf numFmtId="166" fontId="40" fillId="0" borderId="0" applyFont="0" applyFill="0" applyBorder="0" applyAlignment="0" applyProtection="0"/>
    <xf numFmtId="0" fontId="6" fillId="0" borderId="0"/>
    <xf numFmtId="0" fontId="6" fillId="0" borderId="0"/>
    <xf numFmtId="9" fontId="40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40" fillId="0" borderId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6" fillId="0" borderId="0"/>
    <xf numFmtId="0" fontId="59" fillId="0" borderId="0" applyNumberFormat="0" applyFill="0" applyBorder="0" applyAlignment="0" applyProtection="0"/>
    <xf numFmtId="0" fontId="77" fillId="0" borderId="0"/>
    <xf numFmtId="0" fontId="5" fillId="0" borderId="0"/>
    <xf numFmtId="0" fontId="79" fillId="0" borderId="0"/>
    <xf numFmtId="179" fontId="81" fillId="0" borderId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4" fillId="0" borderId="0"/>
    <xf numFmtId="0" fontId="11" fillId="0" borderId="0"/>
    <xf numFmtId="0" fontId="11" fillId="0" borderId="0"/>
    <xf numFmtId="0" fontId="75" fillId="0" borderId="55" applyNumberFormat="0" applyFill="0" applyAlignment="0" applyProtection="0"/>
    <xf numFmtId="0" fontId="63" fillId="58" borderId="47" applyNumberFormat="0" applyAlignment="0" applyProtection="0"/>
    <xf numFmtId="0" fontId="73" fillId="58" borderId="54" applyNumberFormat="0" applyAlignment="0" applyProtection="0"/>
    <xf numFmtId="0" fontId="70" fillId="45" borderId="52" applyNumberFormat="0" applyAlignment="0" applyProtection="0"/>
    <xf numFmtId="0" fontId="63" fillId="58" borderId="52" applyNumberFormat="0" applyAlignment="0" applyProtection="0"/>
    <xf numFmtId="0" fontId="70" fillId="45" borderId="47" applyNumberFormat="0" applyAlignment="0" applyProtection="0"/>
    <xf numFmtId="0" fontId="11" fillId="61" borderId="48" applyNumberFormat="0" applyFont="0" applyAlignment="0" applyProtection="0"/>
    <xf numFmtId="0" fontId="73" fillId="58" borderId="49" applyNumberFormat="0" applyAlignment="0" applyProtection="0"/>
    <xf numFmtId="0" fontId="75" fillId="0" borderId="50" applyNumberFormat="0" applyFill="0" applyAlignment="0" applyProtection="0"/>
    <xf numFmtId="0" fontId="11" fillId="0" borderId="0"/>
    <xf numFmtId="0" fontId="3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0" fillId="45" borderId="52" applyNumberFormat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0" fontId="17" fillId="38" borderId="51" applyNumberFormat="0" applyBorder="0" applyAlignment="0" applyProtection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61" borderId="48" applyNumberFormat="0" applyFont="0" applyAlignment="0" applyProtection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12" borderId="14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0" fillId="45" borderId="52" applyNumberFormat="0" applyAlignment="0" applyProtection="0"/>
    <xf numFmtId="10" fontId="17" fillId="38" borderId="46" applyNumberFormat="0" applyBorder="0" applyAlignment="0" applyProtection="0"/>
    <xf numFmtId="0" fontId="11" fillId="0" borderId="0"/>
    <xf numFmtId="0" fontId="70" fillId="45" borderId="52" applyNumberFormat="0" applyAlignment="0" applyProtection="0"/>
    <xf numFmtId="0" fontId="11" fillId="61" borderId="53" applyNumberFormat="0" applyFont="0" applyAlignment="0" applyProtection="0"/>
    <xf numFmtId="0" fontId="11" fillId="0" borderId="0"/>
    <xf numFmtId="0" fontId="11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37" fontId="12" fillId="0" borderId="0" xfId="0" applyNumberFormat="1" applyFont="1" applyAlignment="1">
      <alignment horizontal="center"/>
    </xf>
    <xf numFmtId="3" fontId="11" fillId="0" borderId="0" xfId="1" applyNumberFormat="1" applyAlignment="1">
      <alignment horizontal="center"/>
    </xf>
    <xf numFmtId="167" fontId="1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/>
    <xf numFmtId="3" fontId="0" fillId="2" borderId="0" xfId="0" applyNumberFormat="1" applyFill="1" applyAlignment="1">
      <alignment horizontal="center"/>
    </xf>
    <xf numFmtId="17" fontId="14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3" fontId="14" fillId="0" borderId="0" xfId="0" applyNumberFormat="1" applyFont="1"/>
    <xf numFmtId="0" fontId="15" fillId="0" borderId="0" xfId="0" applyFont="1"/>
    <xf numFmtId="167" fontId="0" fillId="0" borderId="0" xfId="0" applyNumberFormat="1" applyAlignment="1">
      <alignment horizontal="center" wrapText="1"/>
    </xf>
    <xf numFmtId="0" fontId="14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2" fillId="4" borderId="1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3" fontId="0" fillId="0" borderId="1" xfId="0" applyNumberFormat="1" applyBorder="1" applyAlignment="1">
      <alignment horizontal="center"/>
    </xf>
    <xf numFmtId="9" fontId="11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39" borderId="0" xfId="0" applyNumberFormat="1" applyFill="1" applyAlignment="1">
      <alignment horizontal="center"/>
    </xf>
    <xf numFmtId="12" fontId="0" fillId="0" borderId="0" xfId="0" applyNumberFormat="1"/>
    <xf numFmtId="12" fontId="12" fillId="0" borderId="0" xfId="0" applyNumberFormat="1" applyFont="1"/>
    <xf numFmtId="3" fontId="11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0" xfId="736" applyFont="1"/>
    <xf numFmtId="0" fontId="11" fillId="0" borderId="0" xfId="736" applyFont="1" applyAlignment="1">
      <alignment horizontal="center" vertical="center"/>
    </xf>
    <xf numFmtId="0" fontId="11" fillId="0" borderId="0" xfId="736" applyFont="1" applyAlignment="1">
      <alignment vertical="center"/>
    </xf>
    <xf numFmtId="0" fontId="11" fillId="0" borderId="0" xfId="736" applyFont="1" applyAlignment="1">
      <alignment horizontal="center"/>
    </xf>
    <xf numFmtId="0" fontId="11" fillId="0" borderId="0" xfId="1526" applyFont="1"/>
    <xf numFmtId="0" fontId="78" fillId="39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1" fillId="0" borderId="1" xfId="1526" applyFont="1" applyBorder="1" applyAlignment="1">
      <alignment horizontal="center"/>
    </xf>
    <xf numFmtId="0" fontId="11" fillId="0" borderId="33" xfId="1526" applyFont="1" applyBorder="1" applyAlignment="1">
      <alignment horizontal="center"/>
    </xf>
    <xf numFmtId="1" fontId="11" fillId="0" borderId="34" xfId="1526" applyNumberFormat="1" applyFont="1" applyBorder="1" applyAlignment="1">
      <alignment horizontal="center"/>
    </xf>
    <xf numFmtId="0" fontId="11" fillId="0" borderId="35" xfId="1526" applyFont="1" applyBorder="1" applyAlignment="1">
      <alignment horizontal="left"/>
    </xf>
    <xf numFmtId="2" fontId="18" fillId="0" borderId="34" xfId="1526" applyNumberFormat="1" applyFont="1" applyBorder="1" applyAlignment="1">
      <alignment horizontal="center"/>
    </xf>
    <xf numFmtId="0" fontId="11" fillId="0" borderId="33" xfId="1526" applyFont="1" applyBorder="1" applyAlignment="1">
      <alignment horizontal="left"/>
    </xf>
    <xf numFmtId="0" fontId="11" fillId="0" borderId="36" xfId="1526" applyFont="1" applyBorder="1" applyAlignment="1">
      <alignment horizontal="center"/>
    </xf>
    <xf numFmtId="2" fontId="18" fillId="0" borderId="37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center"/>
    </xf>
    <xf numFmtId="2" fontId="18" fillId="0" borderId="33" xfId="1526" applyNumberFormat="1" applyFont="1" applyBorder="1" applyAlignment="1">
      <alignment horizontal="center"/>
    </xf>
    <xf numFmtId="0" fontId="11" fillId="0" borderId="6" xfId="1526" applyFont="1" applyBorder="1" applyAlignment="1">
      <alignment horizontal="left"/>
    </xf>
    <xf numFmtId="2" fontId="18" fillId="0" borderId="38" xfId="1526" applyNumberFormat="1" applyFont="1" applyBorder="1" applyAlignment="1">
      <alignment horizontal="center"/>
    </xf>
    <xf numFmtId="0" fontId="11" fillId="0" borderId="34" xfId="1526" applyFont="1" applyBorder="1" applyAlignment="1">
      <alignment horizontal="left"/>
    </xf>
    <xf numFmtId="0" fontId="14" fillId="0" borderId="1" xfId="1526" applyFont="1" applyBorder="1" applyAlignment="1">
      <alignment horizontal="center"/>
    </xf>
    <xf numFmtId="17" fontId="11" fillId="0" borderId="1" xfId="1526" applyNumberFormat="1" applyFont="1" applyBorder="1" applyAlignment="1">
      <alignment horizontal="left"/>
    </xf>
    <xf numFmtId="0" fontId="11" fillId="0" borderId="0" xfId="1526" applyFont="1" applyAlignment="1">
      <alignment horizontal="center"/>
    </xf>
    <xf numFmtId="1" fontId="11" fillId="63" borderId="39" xfId="1527" applyNumberFormat="1" applyFont="1" applyFill="1" applyBorder="1" applyAlignment="1">
      <alignment horizontal="center"/>
    </xf>
    <xf numFmtId="1" fontId="11" fillId="63" borderId="5" xfId="1527" applyNumberFormat="1" applyFont="1" applyFill="1" applyBorder="1" applyAlignment="1">
      <alignment horizontal="center"/>
    </xf>
    <xf numFmtId="1" fontId="11" fillId="63" borderId="40" xfId="1526" applyNumberFormat="1" applyFont="1" applyFill="1" applyBorder="1" applyAlignment="1">
      <alignment horizontal="center"/>
    </xf>
    <xf numFmtId="1" fontId="11" fillId="63" borderId="39" xfId="1526" applyNumberFormat="1" applyFont="1" applyFill="1" applyBorder="1" applyAlignment="1">
      <alignment horizontal="center"/>
    </xf>
    <xf numFmtId="1" fontId="11" fillId="63" borderId="1" xfId="1526" applyNumberFormat="1" applyFont="1" applyFill="1" applyBorder="1" applyAlignment="1">
      <alignment horizontal="center"/>
    </xf>
    <xf numFmtId="1" fontId="11" fillId="63" borderId="1" xfId="1527" applyNumberFormat="1" applyFont="1" applyFill="1" applyBorder="1" applyAlignment="1">
      <alignment horizontal="center"/>
    </xf>
    <xf numFmtId="1" fontId="11" fillId="63" borderId="4" xfId="1526" applyNumberFormat="1" applyFont="1" applyFill="1" applyBorder="1" applyAlignment="1">
      <alignment horizontal="center"/>
    </xf>
    <xf numFmtId="17" fontId="11" fillId="0" borderId="0" xfId="1526" applyNumberFormat="1" applyFont="1" applyAlignment="1">
      <alignment horizontal="left"/>
    </xf>
    <xf numFmtId="1" fontId="11" fillId="64" borderId="39" xfId="1527" applyNumberFormat="1" applyFont="1" applyFill="1" applyBorder="1" applyAlignment="1">
      <alignment horizontal="center"/>
    </xf>
    <xf numFmtId="1" fontId="11" fillId="64" borderId="5" xfId="1527" applyNumberFormat="1" applyFont="1" applyFill="1" applyBorder="1" applyAlignment="1">
      <alignment horizontal="center"/>
    </xf>
    <xf numFmtId="1" fontId="11" fillId="64" borderId="40" xfId="1526" applyNumberFormat="1" applyFont="1" applyFill="1" applyBorder="1" applyAlignment="1">
      <alignment horizontal="center"/>
    </xf>
    <xf numFmtId="1" fontId="11" fillId="64" borderId="39" xfId="1526" applyNumberFormat="1" applyFont="1" applyFill="1" applyBorder="1" applyAlignment="1">
      <alignment horizontal="center"/>
    </xf>
    <xf numFmtId="1" fontId="11" fillId="64" borderId="1" xfId="1526" applyNumberFormat="1" applyFont="1" applyFill="1" applyBorder="1" applyAlignment="1">
      <alignment horizontal="center"/>
    </xf>
    <xf numFmtId="1" fontId="11" fillId="64" borderId="1" xfId="1527" applyNumberFormat="1" applyFont="1" applyFill="1" applyBorder="1" applyAlignment="1">
      <alignment horizontal="center"/>
    </xf>
    <xf numFmtId="1" fontId="11" fillId="64" borderId="4" xfId="1526" applyNumberFormat="1" applyFont="1" applyFill="1" applyBorder="1" applyAlignment="1">
      <alignment horizontal="center"/>
    </xf>
    <xf numFmtId="1" fontId="11" fillId="64" borderId="29" xfId="1527" applyNumberFormat="1" applyFont="1" applyFill="1" applyBorder="1" applyAlignment="1">
      <alignment horizontal="center"/>
    </xf>
    <xf numFmtId="1" fontId="11" fillId="64" borderId="31" xfId="1527" applyNumberFormat="1" applyFont="1" applyFill="1" applyBorder="1" applyAlignment="1">
      <alignment horizontal="center"/>
    </xf>
    <xf numFmtId="1" fontId="11" fillId="64" borderId="30" xfId="1526" applyNumberFormat="1" applyFont="1" applyFill="1" applyBorder="1" applyAlignment="1">
      <alignment horizontal="center"/>
    </xf>
    <xf numFmtId="1" fontId="11" fillId="64" borderId="29" xfId="1526" applyNumberFormat="1" applyFont="1" applyFill="1" applyBorder="1" applyAlignment="1">
      <alignment horizontal="center"/>
    </xf>
    <xf numFmtId="1" fontId="11" fillId="64" borderId="32" xfId="1526" applyNumberFormat="1" applyFont="1" applyFill="1" applyBorder="1" applyAlignment="1">
      <alignment horizontal="center"/>
    </xf>
    <xf numFmtId="1" fontId="11" fillId="64" borderId="32" xfId="1527" applyNumberFormat="1" applyFont="1" applyFill="1" applyBorder="1" applyAlignment="1">
      <alignment horizontal="center"/>
    </xf>
    <xf numFmtId="1" fontId="11" fillId="64" borderId="41" xfId="1526" applyNumberFormat="1" applyFont="1" applyFill="1" applyBorder="1" applyAlignment="1">
      <alignment horizontal="center"/>
    </xf>
    <xf numFmtId="1" fontId="11" fillId="0" borderId="0" xfId="1526" applyNumberFormat="1" applyFont="1" applyAlignment="1">
      <alignment horizontal="center"/>
    </xf>
    <xf numFmtId="1" fontId="11" fillId="0" borderId="0" xfId="1526" applyNumberFormat="1" applyFont="1"/>
    <xf numFmtId="0" fontId="77" fillId="0" borderId="0" xfId="1524"/>
    <xf numFmtId="0" fontId="13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1" fillId="65" borderId="0" xfId="0" quotePrefix="1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11" fillId="65" borderId="0" xfId="0" applyFont="1" applyFill="1" applyAlignment="1">
      <alignment horizontal="lef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11" fillId="0" borderId="38" xfId="0" applyFont="1" applyBorder="1" applyAlignment="1">
      <alignment horizontal="right"/>
    </xf>
    <xf numFmtId="3" fontId="0" fillId="0" borderId="38" xfId="0" applyNumberFormat="1" applyBorder="1" applyAlignment="1">
      <alignment horizontal="center" vertical="center"/>
    </xf>
    <xf numFmtId="0" fontId="78" fillId="67" borderId="6" xfId="1524" applyFont="1" applyFill="1" applyBorder="1" applyAlignment="1">
      <alignment horizontal="center" vertical="center" wrapText="1"/>
    </xf>
    <xf numFmtId="1" fontId="11" fillId="62" borderId="1" xfId="736" applyNumberFormat="1" applyFont="1" applyFill="1" applyBorder="1" applyAlignment="1">
      <alignment horizontal="center"/>
    </xf>
    <xf numFmtId="1" fontId="11" fillId="62" borderId="1" xfId="736" applyNumberFormat="1" applyFont="1" applyFill="1" applyBorder="1" applyAlignment="1">
      <alignment horizontal="center" wrapText="1"/>
    </xf>
    <xf numFmtId="0" fontId="14" fillId="68" borderId="1" xfId="736" applyFont="1" applyFill="1" applyBorder="1" applyAlignment="1">
      <alignment horizontal="center"/>
    </xf>
    <xf numFmtId="0" fontId="78" fillId="39" borderId="6" xfId="1524" applyFont="1" applyFill="1" applyBorder="1" applyAlignment="1">
      <alignment horizontal="center" vertical="center" wrapText="1"/>
    </xf>
    <xf numFmtId="0" fontId="78" fillId="67" borderId="33" xfId="1524" applyFont="1" applyFill="1" applyBorder="1" applyAlignment="1">
      <alignment horizontal="center" vertical="center" wrapText="1"/>
    </xf>
    <xf numFmtId="1" fontId="78" fillId="67" borderId="34" xfId="1524" applyNumberFormat="1" applyFont="1" applyFill="1" applyBorder="1" applyAlignment="1">
      <alignment horizontal="center" vertical="center" wrapText="1"/>
    </xf>
    <xf numFmtId="0" fontId="78" fillId="67" borderId="29" xfId="1524" applyFont="1" applyFill="1" applyBorder="1" applyAlignment="1">
      <alignment horizontal="center" vertical="center" wrapText="1"/>
    </xf>
    <xf numFmtId="1" fontId="78" fillId="67" borderId="30" xfId="1524" applyNumberFormat="1" applyFont="1" applyFill="1" applyBorder="1" applyAlignment="1">
      <alignment horizontal="center" vertical="center" wrapText="1"/>
    </xf>
    <xf numFmtId="0" fontId="78" fillId="67" borderId="31" xfId="1524" applyFont="1" applyFill="1" applyBorder="1" applyAlignment="1">
      <alignment horizontal="center" vertical="center" wrapText="1"/>
    </xf>
    <xf numFmtId="0" fontId="78" fillId="67" borderId="30" xfId="1524" applyFont="1" applyFill="1" applyBorder="1" applyAlignment="1">
      <alignment horizontal="center" vertical="center" wrapText="1"/>
    </xf>
    <xf numFmtId="0" fontId="78" fillId="67" borderId="32" xfId="1524" applyFont="1" applyFill="1" applyBorder="1" applyAlignment="1">
      <alignment horizontal="center" vertical="center" wrapText="1"/>
    </xf>
    <xf numFmtId="0" fontId="78" fillId="67" borderId="26" xfId="1524" applyFont="1" applyFill="1" applyBorder="1" applyAlignment="1">
      <alignment horizontal="center" vertical="center" wrapText="1"/>
    </xf>
    <xf numFmtId="0" fontId="78" fillId="67" borderId="28" xfId="1524" applyFont="1" applyFill="1" applyBorder="1" applyAlignment="1">
      <alignment horizontal="center" vertical="center" wrapText="1"/>
    </xf>
    <xf numFmtId="0" fontId="78" fillId="67" borderId="27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1" fillId="0" borderId="0" xfId="736" applyNumberFormat="1" applyFont="1"/>
    <xf numFmtId="172" fontId="0" fillId="0" borderId="0" xfId="1" applyNumberFormat="1" applyFont="1"/>
    <xf numFmtId="3" fontId="0" fillId="69" borderId="0" xfId="0" applyNumberFormat="1" applyFill="1" applyAlignment="1">
      <alignment horizontal="center"/>
    </xf>
    <xf numFmtId="3" fontId="12" fillId="69" borderId="1" xfId="0" applyNumberFormat="1" applyFont="1" applyFill="1" applyBorder="1" applyAlignment="1">
      <alignment horizontal="center"/>
    </xf>
    <xf numFmtId="0" fontId="84" fillId="66" borderId="1" xfId="1524" applyFont="1" applyFill="1" applyBorder="1" applyAlignment="1">
      <alignment vertical="center"/>
    </xf>
    <xf numFmtId="172" fontId="11" fillId="0" borderId="0" xfId="1" applyNumberFormat="1" applyFont="1"/>
    <xf numFmtId="172" fontId="43" fillId="0" borderId="0" xfId="1" applyNumberFormat="1" applyFont="1" applyAlignment="1">
      <alignment horizontal="center"/>
    </xf>
    <xf numFmtId="172" fontId="11" fillId="0" borderId="0" xfId="1" applyNumberFormat="1" applyFont="1" applyAlignment="1">
      <alignment horizontal="center"/>
    </xf>
    <xf numFmtId="172" fontId="77" fillId="0" borderId="0" xfId="1" applyNumberFormat="1" applyFont="1"/>
    <xf numFmtId="17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38" fontId="1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wrapText="1"/>
    </xf>
    <xf numFmtId="3" fontId="13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43" fontId="12" fillId="0" borderId="0" xfId="1" applyFont="1" applyAlignment="1">
      <alignment horizontal="center"/>
    </xf>
    <xf numFmtId="167" fontId="11" fillId="0" borderId="0" xfId="0" applyNumberFormat="1" applyFont="1" applyAlignment="1">
      <alignment horizontal="center"/>
    </xf>
    <xf numFmtId="0" fontId="83" fillId="0" borderId="0" xfId="0" applyFont="1" applyAlignment="1">
      <alignment horizontal="left"/>
    </xf>
    <xf numFmtId="43" fontId="0" fillId="0" borderId="0" xfId="1" applyFont="1"/>
    <xf numFmtId="180" fontId="0" fillId="0" borderId="0" xfId="1" applyNumberFormat="1" applyFont="1" applyAlignment="1">
      <alignment horizontal="center"/>
    </xf>
    <xf numFmtId="18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56" xfId="0" applyBorder="1" applyAlignment="1">
      <alignment horizontal="center" vertical="center"/>
    </xf>
    <xf numFmtId="3" fontId="13" fillId="0" borderId="56" xfId="0" applyNumberFormat="1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12" fontId="13" fillId="0" borderId="56" xfId="0" applyNumberFormat="1" applyFont="1" applyBorder="1" applyAlignment="1">
      <alignment horizontal="center" vertical="center" wrapText="1"/>
    </xf>
    <xf numFmtId="17" fontId="0" fillId="0" borderId="56" xfId="0" applyNumberFormat="1" applyBorder="1" applyAlignment="1">
      <alignment horizontal="left"/>
    </xf>
    <xf numFmtId="37" fontId="12" fillId="0" borderId="56" xfId="0" applyNumberFormat="1" applyFont="1" applyBorder="1" applyAlignment="1">
      <alignment horizontal="center"/>
    </xf>
    <xf numFmtId="0" fontId="0" fillId="0" borderId="56" xfId="0" applyBorder="1"/>
    <xf numFmtId="37" fontId="12" fillId="62" borderId="56" xfId="0" applyNumberFormat="1" applyFont="1" applyFill="1" applyBorder="1" applyAlignment="1">
      <alignment horizontal="center"/>
    </xf>
    <xf numFmtId="37" fontId="12" fillId="65" borderId="56" xfId="0" applyNumberFormat="1" applyFont="1" applyFill="1" applyBorder="1" applyAlignment="1">
      <alignment horizontal="center"/>
    </xf>
    <xf numFmtId="173" fontId="0" fillId="0" borderId="0" xfId="1" applyNumberFormat="1" applyFont="1"/>
    <xf numFmtId="173" fontId="0" fillId="0" borderId="0" xfId="1" applyNumberFormat="1" applyFont="1" applyAlignment="1">
      <alignment horizontal="center"/>
    </xf>
    <xf numFmtId="173" fontId="0" fillId="0" borderId="0" xfId="1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182" fontId="0" fillId="0" borderId="0" xfId="1" applyNumberFormat="1" applyFont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72" fontId="12" fillId="0" borderId="0" xfId="1" applyNumberFormat="1" applyFont="1" applyAlignment="1">
      <alignment horizontal="center"/>
    </xf>
    <xf numFmtId="169" fontId="0" fillId="0" borderId="0" xfId="0" applyNumberFormat="1"/>
    <xf numFmtId="1" fontId="0" fillId="0" borderId="0" xfId="0" quotePrefix="1" applyNumberFormat="1"/>
    <xf numFmtId="37" fontId="12" fillId="70" borderId="56" xfId="0" applyNumberFormat="1" applyFont="1" applyFill="1" applyBorder="1" applyAlignment="1">
      <alignment horizontal="center"/>
    </xf>
    <xf numFmtId="172" fontId="0" fillId="0" borderId="0" xfId="1" applyNumberFormat="1" applyFont="1" applyFill="1" applyAlignment="1">
      <alignment horizontal="center"/>
    </xf>
    <xf numFmtId="37" fontId="11" fillId="4" borderId="56" xfId="0" applyNumberFormat="1" applyFont="1" applyFill="1" applyBorder="1" applyAlignment="1">
      <alignment horizontal="center"/>
    </xf>
    <xf numFmtId="3" fontId="0" fillId="71" borderId="1" xfId="0" applyNumberFormat="1" applyFill="1" applyBorder="1" applyAlignment="1">
      <alignment horizontal="center"/>
    </xf>
    <xf numFmtId="1" fontId="0" fillId="71" borderId="0" xfId="0" applyNumberFormat="1" applyFill="1"/>
    <xf numFmtId="173" fontId="0" fillId="0" borderId="0" xfId="1" applyNumberFormat="1" applyFont="1" applyFill="1" applyAlignment="1">
      <alignment horizontal="center"/>
    </xf>
    <xf numFmtId="1" fontId="11" fillId="70" borderId="39" xfId="1527" applyNumberFormat="1" applyFont="1" applyFill="1" applyBorder="1" applyAlignment="1">
      <alignment horizontal="center"/>
    </xf>
    <xf numFmtId="1" fontId="11" fillId="70" borderId="5" xfId="1527" applyNumberFormat="1" applyFont="1" applyFill="1" applyBorder="1" applyAlignment="1">
      <alignment horizontal="center"/>
    </xf>
    <xf numFmtId="1" fontId="11" fillId="70" borderId="40" xfId="1526" applyNumberFormat="1" applyFont="1" applyFill="1" applyBorder="1" applyAlignment="1">
      <alignment horizontal="center"/>
    </xf>
    <xf numFmtId="1" fontId="11" fillId="70" borderId="39" xfId="1526" applyNumberFormat="1" applyFont="1" applyFill="1" applyBorder="1" applyAlignment="1">
      <alignment horizontal="center"/>
    </xf>
    <xf numFmtId="1" fontId="11" fillId="70" borderId="1" xfId="1526" applyNumberFormat="1" applyFont="1" applyFill="1" applyBorder="1" applyAlignment="1">
      <alignment horizontal="center"/>
    </xf>
    <xf numFmtId="1" fontId="11" fillId="70" borderId="1" xfId="1527" applyNumberFormat="1" applyFont="1" applyFill="1" applyBorder="1" applyAlignment="1">
      <alignment horizontal="center"/>
    </xf>
    <xf numFmtId="1" fontId="11" fillId="70" borderId="4" xfId="1526" applyNumberFormat="1" applyFont="1" applyFill="1" applyBorder="1" applyAlignment="1">
      <alignment horizontal="center"/>
    </xf>
    <xf numFmtId="0" fontId="14" fillId="0" borderId="0" xfId="1526" applyFont="1" applyAlignment="1">
      <alignment horizontal="center"/>
    </xf>
    <xf numFmtId="1" fontId="11" fillId="0" borderId="0" xfId="1527" applyNumberFormat="1" applyFont="1" applyFill="1" applyBorder="1" applyAlignment="1">
      <alignment horizontal="center"/>
    </xf>
    <xf numFmtId="37" fontId="12" fillId="4" borderId="56" xfId="0" applyNumberFormat="1" applyFont="1" applyFill="1" applyBorder="1" applyAlignment="1">
      <alignment horizontal="center"/>
    </xf>
    <xf numFmtId="0" fontId="84" fillId="66" borderId="1" xfId="1524" applyFont="1" applyFill="1" applyBorder="1" applyAlignment="1">
      <alignment horizontal="center" vertical="center" wrapText="1"/>
    </xf>
    <xf numFmtId="49" fontId="78" fillId="67" borderId="43" xfId="1524" applyNumberFormat="1" applyFont="1" applyFill="1" applyBorder="1" applyAlignment="1">
      <alignment horizontal="center" vertical="center" wrapText="1"/>
    </xf>
    <xf numFmtId="0" fontId="78" fillId="67" borderId="38" xfId="1524" applyFont="1" applyFill="1" applyBorder="1" applyAlignment="1">
      <alignment horizontal="center" vertical="center" wrapText="1"/>
    </xf>
    <xf numFmtId="0" fontId="78" fillId="67" borderId="42" xfId="1524" applyFont="1" applyFill="1" applyBorder="1" applyAlignment="1">
      <alignment horizontal="center" vertical="center" wrapText="1"/>
    </xf>
    <xf numFmtId="49" fontId="78" fillId="67" borderId="44" xfId="1524" applyNumberFormat="1" applyFont="1" applyFill="1" applyBorder="1" applyAlignment="1">
      <alignment horizontal="center" vertical="center" wrapText="1"/>
    </xf>
    <xf numFmtId="0" fontId="78" fillId="67" borderId="0" xfId="1524" applyFont="1" applyFill="1" applyAlignment="1">
      <alignment horizontal="center" vertical="center" wrapText="1"/>
    </xf>
    <xf numFmtId="0" fontId="78" fillId="67" borderId="45" xfId="1524" applyFont="1" applyFill="1" applyBorder="1" applyAlignment="1">
      <alignment horizontal="center" vertical="center" wrapText="1"/>
    </xf>
    <xf numFmtId="0" fontId="78" fillId="67" borderId="43" xfId="152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83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16" fillId="0" borderId="3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Continuous"/>
    </xf>
  </cellXfs>
  <cellStyles count="165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1" xfId="1650" xr:uid="{25298E4D-5B35-4152-AA0C-B58ED9EED0BE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 6" xfId="1651" xr:uid="{1D36D290-9B8D-4366-9EA3-7B24D5CEBF63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3 5" xfId="1654" xr:uid="{8B67F920-0484-47E8-A26A-399AAB11E461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2" xr:uid="{2C9DE048-C87B-4D3B-9C09-3598383FF024}"/>
    <cellStyle name="Normal 57" xfId="1653" xr:uid="{39A08F8E-27C6-4195-A6BD-D8ADFCD3F772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FF99FF"/>
      <color rgb="FF00FF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  <pageSetUpPr fitToPage="1"/>
  </sheetPr>
  <dimension ref="A1:Z159"/>
  <sheetViews>
    <sheetView zoomScale="85" zoomScaleNormal="85" workbookViewId="0">
      <selection activeCell="H6" sqref="H6"/>
    </sheetView>
    <sheetView workbookViewId="1"/>
  </sheetViews>
  <sheetFormatPr defaultRowHeight="13.2" x14ac:dyDescent="0.25"/>
  <cols>
    <col min="1" max="3" width="14.5546875" style="54" customWidth="1"/>
    <col min="4" max="6" width="14.5546875" style="57" customWidth="1"/>
    <col min="7" max="8" width="14.5546875" style="54" customWidth="1"/>
    <col min="9" max="12" width="14" style="54" customWidth="1"/>
    <col min="13" max="13" width="14.5546875" style="55" bestFit="1" customWidth="1"/>
    <col min="14" max="14" width="12.109375" style="55" bestFit="1" customWidth="1"/>
    <col min="15" max="24" width="14" style="54" customWidth="1"/>
    <col min="25" max="26" width="13.33203125" style="54" customWidth="1"/>
    <col min="27" max="251" width="9.109375" style="54"/>
    <col min="252" max="252" width="31" style="54" customWidth="1"/>
    <col min="253" max="253" width="18.5546875" style="54" customWidth="1"/>
    <col min="254" max="254" width="3.88671875" style="54" customWidth="1"/>
    <col min="255" max="255" width="18.6640625" style="54" customWidth="1"/>
    <col min="256" max="264" width="14" style="54" customWidth="1"/>
    <col min="265" max="265" width="13" style="54" bestFit="1" customWidth="1"/>
    <col min="266" max="266" width="14.5546875" style="54" bestFit="1" customWidth="1"/>
    <col min="267" max="267" width="12.109375" style="54" bestFit="1" customWidth="1"/>
    <col min="268" max="278" width="14" style="54" customWidth="1"/>
    <col min="279" max="282" width="13.33203125" style="54" customWidth="1"/>
    <col min="283" max="507" width="9.109375" style="54"/>
    <col min="508" max="508" width="31" style="54" customWidth="1"/>
    <col min="509" max="509" width="18.5546875" style="54" customWidth="1"/>
    <col min="510" max="510" width="3.88671875" style="54" customWidth="1"/>
    <col min="511" max="511" width="18.6640625" style="54" customWidth="1"/>
    <col min="512" max="520" width="14" style="54" customWidth="1"/>
    <col min="521" max="521" width="13" style="54" bestFit="1" customWidth="1"/>
    <col min="522" max="522" width="14.5546875" style="54" bestFit="1" customWidth="1"/>
    <col min="523" max="523" width="12.109375" style="54" bestFit="1" customWidth="1"/>
    <col min="524" max="534" width="14" style="54" customWidth="1"/>
    <col min="535" max="538" width="13.33203125" style="54" customWidth="1"/>
    <col min="539" max="763" width="9.109375" style="54"/>
    <col min="764" max="764" width="31" style="54" customWidth="1"/>
    <col min="765" max="765" width="18.5546875" style="54" customWidth="1"/>
    <col min="766" max="766" width="3.88671875" style="54" customWidth="1"/>
    <col min="767" max="767" width="18.6640625" style="54" customWidth="1"/>
    <col min="768" max="776" width="14" style="54" customWidth="1"/>
    <col min="777" max="777" width="13" style="54" bestFit="1" customWidth="1"/>
    <col min="778" max="778" width="14.5546875" style="54" bestFit="1" customWidth="1"/>
    <col min="779" max="779" width="12.109375" style="54" bestFit="1" customWidth="1"/>
    <col min="780" max="790" width="14" style="54" customWidth="1"/>
    <col min="791" max="794" width="13.33203125" style="54" customWidth="1"/>
    <col min="795" max="1019" width="9.109375" style="54"/>
    <col min="1020" max="1020" width="31" style="54" customWidth="1"/>
    <col min="1021" max="1021" width="18.5546875" style="54" customWidth="1"/>
    <col min="1022" max="1022" width="3.88671875" style="54" customWidth="1"/>
    <col min="1023" max="1023" width="18.6640625" style="54" customWidth="1"/>
    <col min="1024" max="1032" width="14" style="54" customWidth="1"/>
    <col min="1033" max="1033" width="13" style="54" bestFit="1" customWidth="1"/>
    <col min="1034" max="1034" width="14.5546875" style="54" bestFit="1" customWidth="1"/>
    <col min="1035" max="1035" width="12.109375" style="54" bestFit="1" customWidth="1"/>
    <col min="1036" max="1046" width="14" style="54" customWidth="1"/>
    <col min="1047" max="1050" width="13.33203125" style="54" customWidth="1"/>
    <col min="1051" max="1275" width="9.109375" style="54"/>
    <col min="1276" max="1276" width="31" style="54" customWidth="1"/>
    <col min="1277" max="1277" width="18.5546875" style="54" customWidth="1"/>
    <col min="1278" max="1278" width="3.88671875" style="54" customWidth="1"/>
    <col min="1279" max="1279" width="18.6640625" style="54" customWidth="1"/>
    <col min="1280" max="1288" width="14" style="54" customWidth="1"/>
    <col min="1289" max="1289" width="13" style="54" bestFit="1" customWidth="1"/>
    <col min="1290" max="1290" width="14.5546875" style="54" bestFit="1" customWidth="1"/>
    <col min="1291" max="1291" width="12.109375" style="54" bestFit="1" customWidth="1"/>
    <col min="1292" max="1302" width="14" style="54" customWidth="1"/>
    <col min="1303" max="1306" width="13.33203125" style="54" customWidth="1"/>
    <col min="1307" max="1531" width="9.109375" style="54"/>
    <col min="1532" max="1532" width="31" style="54" customWidth="1"/>
    <col min="1533" max="1533" width="18.5546875" style="54" customWidth="1"/>
    <col min="1534" max="1534" width="3.88671875" style="54" customWidth="1"/>
    <col min="1535" max="1535" width="18.6640625" style="54" customWidth="1"/>
    <col min="1536" max="1544" width="14" style="54" customWidth="1"/>
    <col min="1545" max="1545" width="13" style="54" bestFit="1" customWidth="1"/>
    <col min="1546" max="1546" width="14.5546875" style="54" bestFit="1" customWidth="1"/>
    <col min="1547" max="1547" width="12.109375" style="54" bestFit="1" customWidth="1"/>
    <col min="1548" max="1558" width="14" style="54" customWidth="1"/>
    <col min="1559" max="1562" width="13.33203125" style="54" customWidth="1"/>
    <col min="1563" max="1787" width="9.109375" style="54"/>
    <col min="1788" max="1788" width="31" style="54" customWidth="1"/>
    <col min="1789" max="1789" width="18.5546875" style="54" customWidth="1"/>
    <col min="1790" max="1790" width="3.88671875" style="54" customWidth="1"/>
    <col min="1791" max="1791" width="18.6640625" style="54" customWidth="1"/>
    <col min="1792" max="1800" width="14" style="54" customWidth="1"/>
    <col min="1801" max="1801" width="13" style="54" bestFit="1" customWidth="1"/>
    <col min="1802" max="1802" width="14.5546875" style="54" bestFit="1" customWidth="1"/>
    <col min="1803" max="1803" width="12.109375" style="54" bestFit="1" customWidth="1"/>
    <col min="1804" max="1814" width="14" style="54" customWidth="1"/>
    <col min="1815" max="1818" width="13.33203125" style="54" customWidth="1"/>
    <col min="1819" max="2043" width="9.109375" style="54"/>
    <col min="2044" max="2044" width="31" style="54" customWidth="1"/>
    <col min="2045" max="2045" width="18.5546875" style="54" customWidth="1"/>
    <col min="2046" max="2046" width="3.88671875" style="54" customWidth="1"/>
    <col min="2047" max="2047" width="18.6640625" style="54" customWidth="1"/>
    <col min="2048" max="2056" width="14" style="54" customWidth="1"/>
    <col min="2057" max="2057" width="13" style="54" bestFit="1" customWidth="1"/>
    <col min="2058" max="2058" width="14.5546875" style="54" bestFit="1" customWidth="1"/>
    <col min="2059" max="2059" width="12.109375" style="54" bestFit="1" customWidth="1"/>
    <col min="2060" max="2070" width="14" style="54" customWidth="1"/>
    <col min="2071" max="2074" width="13.33203125" style="54" customWidth="1"/>
    <col min="2075" max="2299" width="9.109375" style="54"/>
    <col min="2300" max="2300" width="31" style="54" customWidth="1"/>
    <col min="2301" max="2301" width="18.5546875" style="54" customWidth="1"/>
    <col min="2302" max="2302" width="3.88671875" style="54" customWidth="1"/>
    <col min="2303" max="2303" width="18.6640625" style="54" customWidth="1"/>
    <col min="2304" max="2312" width="14" style="54" customWidth="1"/>
    <col min="2313" max="2313" width="13" style="54" bestFit="1" customWidth="1"/>
    <col min="2314" max="2314" width="14.5546875" style="54" bestFit="1" customWidth="1"/>
    <col min="2315" max="2315" width="12.109375" style="54" bestFit="1" customWidth="1"/>
    <col min="2316" max="2326" width="14" style="54" customWidth="1"/>
    <col min="2327" max="2330" width="13.33203125" style="54" customWidth="1"/>
    <col min="2331" max="2555" width="9.109375" style="54"/>
    <col min="2556" max="2556" width="31" style="54" customWidth="1"/>
    <col min="2557" max="2557" width="18.5546875" style="54" customWidth="1"/>
    <col min="2558" max="2558" width="3.88671875" style="54" customWidth="1"/>
    <col min="2559" max="2559" width="18.6640625" style="54" customWidth="1"/>
    <col min="2560" max="2568" width="14" style="54" customWidth="1"/>
    <col min="2569" max="2569" width="13" style="54" bestFit="1" customWidth="1"/>
    <col min="2570" max="2570" width="14.5546875" style="54" bestFit="1" customWidth="1"/>
    <col min="2571" max="2571" width="12.109375" style="54" bestFit="1" customWidth="1"/>
    <col min="2572" max="2582" width="14" style="54" customWidth="1"/>
    <col min="2583" max="2586" width="13.33203125" style="54" customWidth="1"/>
    <col min="2587" max="2811" width="9.109375" style="54"/>
    <col min="2812" max="2812" width="31" style="54" customWidth="1"/>
    <col min="2813" max="2813" width="18.5546875" style="54" customWidth="1"/>
    <col min="2814" max="2814" width="3.88671875" style="54" customWidth="1"/>
    <col min="2815" max="2815" width="18.6640625" style="54" customWidth="1"/>
    <col min="2816" max="2824" width="14" style="54" customWidth="1"/>
    <col min="2825" max="2825" width="13" style="54" bestFit="1" customWidth="1"/>
    <col min="2826" max="2826" width="14.5546875" style="54" bestFit="1" customWidth="1"/>
    <col min="2827" max="2827" width="12.109375" style="54" bestFit="1" customWidth="1"/>
    <col min="2828" max="2838" width="14" style="54" customWidth="1"/>
    <col min="2839" max="2842" width="13.33203125" style="54" customWidth="1"/>
    <col min="2843" max="3067" width="9.109375" style="54"/>
    <col min="3068" max="3068" width="31" style="54" customWidth="1"/>
    <col min="3069" max="3069" width="18.5546875" style="54" customWidth="1"/>
    <col min="3070" max="3070" width="3.88671875" style="54" customWidth="1"/>
    <col min="3071" max="3071" width="18.6640625" style="54" customWidth="1"/>
    <col min="3072" max="3080" width="14" style="54" customWidth="1"/>
    <col min="3081" max="3081" width="13" style="54" bestFit="1" customWidth="1"/>
    <col min="3082" max="3082" width="14.5546875" style="54" bestFit="1" customWidth="1"/>
    <col min="3083" max="3083" width="12.109375" style="54" bestFit="1" customWidth="1"/>
    <col min="3084" max="3094" width="14" style="54" customWidth="1"/>
    <col min="3095" max="3098" width="13.33203125" style="54" customWidth="1"/>
    <col min="3099" max="3323" width="9.109375" style="54"/>
    <col min="3324" max="3324" width="31" style="54" customWidth="1"/>
    <col min="3325" max="3325" width="18.5546875" style="54" customWidth="1"/>
    <col min="3326" max="3326" width="3.88671875" style="54" customWidth="1"/>
    <col min="3327" max="3327" width="18.6640625" style="54" customWidth="1"/>
    <col min="3328" max="3336" width="14" style="54" customWidth="1"/>
    <col min="3337" max="3337" width="13" style="54" bestFit="1" customWidth="1"/>
    <col min="3338" max="3338" width="14.5546875" style="54" bestFit="1" customWidth="1"/>
    <col min="3339" max="3339" width="12.109375" style="54" bestFit="1" customWidth="1"/>
    <col min="3340" max="3350" width="14" style="54" customWidth="1"/>
    <col min="3351" max="3354" width="13.33203125" style="54" customWidth="1"/>
    <col min="3355" max="3579" width="9.109375" style="54"/>
    <col min="3580" max="3580" width="31" style="54" customWidth="1"/>
    <col min="3581" max="3581" width="18.5546875" style="54" customWidth="1"/>
    <col min="3582" max="3582" width="3.88671875" style="54" customWidth="1"/>
    <col min="3583" max="3583" width="18.6640625" style="54" customWidth="1"/>
    <col min="3584" max="3592" width="14" style="54" customWidth="1"/>
    <col min="3593" max="3593" width="13" style="54" bestFit="1" customWidth="1"/>
    <col min="3594" max="3594" width="14.5546875" style="54" bestFit="1" customWidth="1"/>
    <col min="3595" max="3595" width="12.109375" style="54" bestFit="1" customWidth="1"/>
    <col min="3596" max="3606" width="14" style="54" customWidth="1"/>
    <col min="3607" max="3610" width="13.33203125" style="54" customWidth="1"/>
    <col min="3611" max="3835" width="9.109375" style="54"/>
    <col min="3836" max="3836" width="31" style="54" customWidth="1"/>
    <col min="3837" max="3837" width="18.5546875" style="54" customWidth="1"/>
    <col min="3838" max="3838" width="3.88671875" style="54" customWidth="1"/>
    <col min="3839" max="3839" width="18.6640625" style="54" customWidth="1"/>
    <col min="3840" max="3848" width="14" style="54" customWidth="1"/>
    <col min="3849" max="3849" width="13" style="54" bestFit="1" customWidth="1"/>
    <col min="3850" max="3850" width="14.5546875" style="54" bestFit="1" customWidth="1"/>
    <col min="3851" max="3851" width="12.109375" style="54" bestFit="1" customWidth="1"/>
    <col min="3852" max="3862" width="14" style="54" customWidth="1"/>
    <col min="3863" max="3866" width="13.33203125" style="54" customWidth="1"/>
    <col min="3867" max="4091" width="9.109375" style="54"/>
    <col min="4092" max="4092" width="31" style="54" customWidth="1"/>
    <col min="4093" max="4093" width="18.5546875" style="54" customWidth="1"/>
    <col min="4094" max="4094" width="3.88671875" style="54" customWidth="1"/>
    <col min="4095" max="4095" width="18.6640625" style="54" customWidth="1"/>
    <col min="4096" max="4104" width="14" style="54" customWidth="1"/>
    <col min="4105" max="4105" width="13" style="54" bestFit="1" customWidth="1"/>
    <col min="4106" max="4106" width="14.5546875" style="54" bestFit="1" customWidth="1"/>
    <col min="4107" max="4107" width="12.109375" style="54" bestFit="1" customWidth="1"/>
    <col min="4108" max="4118" width="14" style="54" customWidth="1"/>
    <col min="4119" max="4122" width="13.33203125" style="54" customWidth="1"/>
    <col min="4123" max="4347" width="9.109375" style="54"/>
    <col min="4348" max="4348" width="31" style="54" customWidth="1"/>
    <col min="4349" max="4349" width="18.5546875" style="54" customWidth="1"/>
    <col min="4350" max="4350" width="3.88671875" style="54" customWidth="1"/>
    <col min="4351" max="4351" width="18.6640625" style="54" customWidth="1"/>
    <col min="4352" max="4360" width="14" style="54" customWidth="1"/>
    <col min="4361" max="4361" width="13" style="54" bestFit="1" customWidth="1"/>
    <col min="4362" max="4362" width="14.5546875" style="54" bestFit="1" customWidth="1"/>
    <col min="4363" max="4363" width="12.109375" style="54" bestFit="1" customWidth="1"/>
    <col min="4364" max="4374" width="14" style="54" customWidth="1"/>
    <col min="4375" max="4378" width="13.33203125" style="54" customWidth="1"/>
    <col min="4379" max="4603" width="9.109375" style="54"/>
    <col min="4604" max="4604" width="31" style="54" customWidth="1"/>
    <col min="4605" max="4605" width="18.5546875" style="54" customWidth="1"/>
    <col min="4606" max="4606" width="3.88671875" style="54" customWidth="1"/>
    <col min="4607" max="4607" width="18.6640625" style="54" customWidth="1"/>
    <col min="4608" max="4616" width="14" style="54" customWidth="1"/>
    <col min="4617" max="4617" width="13" style="54" bestFit="1" customWidth="1"/>
    <col min="4618" max="4618" width="14.5546875" style="54" bestFit="1" customWidth="1"/>
    <col min="4619" max="4619" width="12.109375" style="54" bestFit="1" customWidth="1"/>
    <col min="4620" max="4630" width="14" style="54" customWidth="1"/>
    <col min="4631" max="4634" width="13.33203125" style="54" customWidth="1"/>
    <col min="4635" max="4859" width="9.109375" style="54"/>
    <col min="4860" max="4860" width="31" style="54" customWidth="1"/>
    <col min="4861" max="4861" width="18.5546875" style="54" customWidth="1"/>
    <col min="4862" max="4862" width="3.88671875" style="54" customWidth="1"/>
    <col min="4863" max="4863" width="18.6640625" style="54" customWidth="1"/>
    <col min="4864" max="4872" width="14" style="54" customWidth="1"/>
    <col min="4873" max="4873" width="13" style="54" bestFit="1" customWidth="1"/>
    <col min="4874" max="4874" width="14.5546875" style="54" bestFit="1" customWidth="1"/>
    <col min="4875" max="4875" width="12.109375" style="54" bestFit="1" customWidth="1"/>
    <col min="4876" max="4886" width="14" style="54" customWidth="1"/>
    <col min="4887" max="4890" width="13.33203125" style="54" customWidth="1"/>
    <col min="4891" max="5115" width="9.109375" style="54"/>
    <col min="5116" max="5116" width="31" style="54" customWidth="1"/>
    <col min="5117" max="5117" width="18.5546875" style="54" customWidth="1"/>
    <col min="5118" max="5118" width="3.88671875" style="54" customWidth="1"/>
    <col min="5119" max="5119" width="18.6640625" style="54" customWidth="1"/>
    <col min="5120" max="5128" width="14" style="54" customWidth="1"/>
    <col min="5129" max="5129" width="13" style="54" bestFit="1" customWidth="1"/>
    <col min="5130" max="5130" width="14.5546875" style="54" bestFit="1" customWidth="1"/>
    <col min="5131" max="5131" width="12.109375" style="54" bestFit="1" customWidth="1"/>
    <col min="5132" max="5142" width="14" style="54" customWidth="1"/>
    <col min="5143" max="5146" width="13.33203125" style="54" customWidth="1"/>
    <col min="5147" max="5371" width="9.109375" style="54"/>
    <col min="5372" max="5372" width="31" style="54" customWidth="1"/>
    <col min="5373" max="5373" width="18.5546875" style="54" customWidth="1"/>
    <col min="5374" max="5374" width="3.88671875" style="54" customWidth="1"/>
    <col min="5375" max="5375" width="18.6640625" style="54" customWidth="1"/>
    <col min="5376" max="5384" width="14" style="54" customWidth="1"/>
    <col min="5385" max="5385" width="13" style="54" bestFit="1" customWidth="1"/>
    <col min="5386" max="5386" width="14.5546875" style="54" bestFit="1" customWidth="1"/>
    <col min="5387" max="5387" width="12.109375" style="54" bestFit="1" customWidth="1"/>
    <col min="5388" max="5398" width="14" style="54" customWidth="1"/>
    <col min="5399" max="5402" width="13.33203125" style="54" customWidth="1"/>
    <col min="5403" max="5627" width="9.109375" style="54"/>
    <col min="5628" max="5628" width="31" style="54" customWidth="1"/>
    <col min="5629" max="5629" width="18.5546875" style="54" customWidth="1"/>
    <col min="5630" max="5630" width="3.88671875" style="54" customWidth="1"/>
    <col min="5631" max="5631" width="18.6640625" style="54" customWidth="1"/>
    <col min="5632" max="5640" width="14" style="54" customWidth="1"/>
    <col min="5641" max="5641" width="13" style="54" bestFit="1" customWidth="1"/>
    <col min="5642" max="5642" width="14.5546875" style="54" bestFit="1" customWidth="1"/>
    <col min="5643" max="5643" width="12.109375" style="54" bestFit="1" customWidth="1"/>
    <col min="5644" max="5654" width="14" style="54" customWidth="1"/>
    <col min="5655" max="5658" width="13.33203125" style="54" customWidth="1"/>
    <col min="5659" max="5883" width="9.109375" style="54"/>
    <col min="5884" max="5884" width="31" style="54" customWidth="1"/>
    <col min="5885" max="5885" width="18.5546875" style="54" customWidth="1"/>
    <col min="5886" max="5886" width="3.88671875" style="54" customWidth="1"/>
    <col min="5887" max="5887" width="18.6640625" style="54" customWidth="1"/>
    <col min="5888" max="5896" width="14" style="54" customWidth="1"/>
    <col min="5897" max="5897" width="13" style="54" bestFit="1" customWidth="1"/>
    <col min="5898" max="5898" width="14.5546875" style="54" bestFit="1" customWidth="1"/>
    <col min="5899" max="5899" width="12.109375" style="54" bestFit="1" customWidth="1"/>
    <col min="5900" max="5910" width="14" style="54" customWidth="1"/>
    <col min="5911" max="5914" width="13.33203125" style="54" customWidth="1"/>
    <col min="5915" max="6139" width="9.109375" style="54"/>
    <col min="6140" max="6140" width="31" style="54" customWidth="1"/>
    <col min="6141" max="6141" width="18.5546875" style="54" customWidth="1"/>
    <col min="6142" max="6142" width="3.88671875" style="54" customWidth="1"/>
    <col min="6143" max="6143" width="18.6640625" style="54" customWidth="1"/>
    <col min="6144" max="6152" width="14" style="54" customWidth="1"/>
    <col min="6153" max="6153" width="13" style="54" bestFit="1" customWidth="1"/>
    <col min="6154" max="6154" width="14.5546875" style="54" bestFit="1" customWidth="1"/>
    <col min="6155" max="6155" width="12.109375" style="54" bestFit="1" customWidth="1"/>
    <col min="6156" max="6166" width="14" style="54" customWidth="1"/>
    <col min="6167" max="6170" width="13.33203125" style="54" customWidth="1"/>
    <col min="6171" max="6395" width="9.109375" style="54"/>
    <col min="6396" max="6396" width="31" style="54" customWidth="1"/>
    <col min="6397" max="6397" width="18.5546875" style="54" customWidth="1"/>
    <col min="6398" max="6398" width="3.88671875" style="54" customWidth="1"/>
    <col min="6399" max="6399" width="18.6640625" style="54" customWidth="1"/>
    <col min="6400" max="6408" width="14" style="54" customWidth="1"/>
    <col min="6409" max="6409" width="13" style="54" bestFit="1" customWidth="1"/>
    <col min="6410" max="6410" width="14.5546875" style="54" bestFit="1" customWidth="1"/>
    <col min="6411" max="6411" width="12.109375" style="54" bestFit="1" customWidth="1"/>
    <col min="6412" max="6422" width="14" style="54" customWidth="1"/>
    <col min="6423" max="6426" width="13.33203125" style="54" customWidth="1"/>
    <col min="6427" max="6651" width="9.109375" style="54"/>
    <col min="6652" max="6652" width="31" style="54" customWidth="1"/>
    <col min="6653" max="6653" width="18.5546875" style="54" customWidth="1"/>
    <col min="6654" max="6654" width="3.88671875" style="54" customWidth="1"/>
    <col min="6655" max="6655" width="18.6640625" style="54" customWidth="1"/>
    <col min="6656" max="6664" width="14" style="54" customWidth="1"/>
    <col min="6665" max="6665" width="13" style="54" bestFit="1" customWidth="1"/>
    <col min="6666" max="6666" width="14.5546875" style="54" bestFit="1" customWidth="1"/>
    <col min="6667" max="6667" width="12.109375" style="54" bestFit="1" customWidth="1"/>
    <col min="6668" max="6678" width="14" style="54" customWidth="1"/>
    <col min="6679" max="6682" width="13.33203125" style="54" customWidth="1"/>
    <col min="6683" max="6907" width="9.109375" style="54"/>
    <col min="6908" max="6908" width="31" style="54" customWidth="1"/>
    <col min="6909" max="6909" width="18.5546875" style="54" customWidth="1"/>
    <col min="6910" max="6910" width="3.88671875" style="54" customWidth="1"/>
    <col min="6911" max="6911" width="18.6640625" style="54" customWidth="1"/>
    <col min="6912" max="6920" width="14" style="54" customWidth="1"/>
    <col min="6921" max="6921" width="13" style="54" bestFit="1" customWidth="1"/>
    <col min="6922" max="6922" width="14.5546875" style="54" bestFit="1" customWidth="1"/>
    <col min="6923" max="6923" width="12.109375" style="54" bestFit="1" customWidth="1"/>
    <col min="6924" max="6934" width="14" style="54" customWidth="1"/>
    <col min="6935" max="6938" width="13.33203125" style="54" customWidth="1"/>
    <col min="6939" max="7163" width="9.109375" style="54"/>
    <col min="7164" max="7164" width="31" style="54" customWidth="1"/>
    <col min="7165" max="7165" width="18.5546875" style="54" customWidth="1"/>
    <col min="7166" max="7166" width="3.88671875" style="54" customWidth="1"/>
    <col min="7167" max="7167" width="18.6640625" style="54" customWidth="1"/>
    <col min="7168" max="7176" width="14" style="54" customWidth="1"/>
    <col min="7177" max="7177" width="13" style="54" bestFit="1" customWidth="1"/>
    <col min="7178" max="7178" width="14.5546875" style="54" bestFit="1" customWidth="1"/>
    <col min="7179" max="7179" width="12.109375" style="54" bestFit="1" customWidth="1"/>
    <col min="7180" max="7190" width="14" style="54" customWidth="1"/>
    <col min="7191" max="7194" width="13.33203125" style="54" customWidth="1"/>
    <col min="7195" max="7419" width="9.109375" style="54"/>
    <col min="7420" max="7420" width="31" style="54" customWidth="1"/>
    <col min="7421" max="7421" width="18.5546875" style="54" customWidth="1"/>
    <col min="7422" max="7422" width="3.88671875" style="54" customWidth="1"/>
    <col min="7423" max="7423" width="18.6640625" style="54" customWidth="1"/>
    <col min="7424" max="7432" width="14" style="54" customWidth="1"/>
    <col min="7433" max="7433" width="13" style="54" bestFit="1" customWidth="1"/>
    <col min="7434" max="7434" width="14.5546875" style="54" bestFit="1" customWidth="1"/>
    <col min="7435" max="7435" width="12.109375" style="54" bestFit="1" customWidth="1"/>
    <col min="7436" max="7446" width="14" style="54" customWidth="1"/>
    <col min="7447" max="7450" width="13.33203125" style="54" customWidth="1"/>
    <col min="7451" max="7675" width="9.109375" style="54"/>
    <col min="7676" max="7676" width="31" style="54" customWidth="1"/>
    <col min="7677" max="7677" width="18.5546875" style="54" customWidth="1"/>
    <col min="7678" max="7678" width="3.88671875" style="54" customWidth="1"/>
    <col min="7679" max="7679" width="18.6640625" style="54" customWidth="1"/>
    <col min="7680" max="7688" width="14" style="54" customWidth="1"/>
    <col min="7689" max="7689" width="13" style="54" bestFit="1" customWidth="1"/>
    <col min="7690" max="7690" width="14.5546875" style="54" bestFit="1" customWidth="1"/>
    <col min="7691" max="7691" width="12.109375" style="54" bestFit="1" customWidth="1"/>
    <col min="7692" max="7702" width="14" style="54" customWidth="1"/>
    <col min="7703" max="7706" width="13.33203125" style="54" customWidth="1"/>
    <col min="7707" max="7931" width="9.109375" style="54"/>
    <col min="7932" max="7932" width="31" style="54" customWidth="1"/>
    <col min="7933" max="7933" width="18.5546875" style="54" customWidth="1"/>
    <col min="7934" max="7934" width="3.88671875" style="54" customWidth="1"/>
    <col min="7935" max="7935" width="18.6640625" style="54" customWidth="1"/>
    <col min="7936" max="7944" width="14" style="54" customWidth="1"/>
    <col min="7945" max="7945" width="13" style="54" bestFit="1" customWidth="1"/>
    <col min="7946" max="7946" width="14.5546875" style="54" bestFit="1" customWidth="1"/>
    <col min="7947" max="7947" width="12.109375" style="54" bestFit="1" customWidth="1"/>
    <col min="7948" max="7958" width="14" style="54" customWidth="1"/>
    <col min="7959" max="7962" width="13.33203125" style="54" customWidth="1"/>
    <col min="7963" max="8187" width="9.109375" style="54"/>
    <col min="8188" max="8188" width="31" style="54" customWidth="1"/>
    <col min="8189" max="8189" width="18.5546875" style="54" customWidth="1"/>
    <col min="8190" max="8190" width="3.88671875" style="54" customWidth="1"/>
    <col min="8191" max="8191" width="18.6640625" style="54" customWidth="1"/>
    <col min="8192" max="8200" width="14" style="54" customWidth="1"/>
    <col min="8201" max="8201" width="13" style="54" bestFit="1" customWidth="1"/>
    <col min="8202" max="8202" width="14.5546875" style="54" bestFit="1" customWidth="1"/>
    <col min="8203" max="8203" width="12.109375" style="54" bestFit="1" customWidth="1"/>
    <col min="8204" max="8214" width="14" style="54" customWidth="1"/>
    <col min="8215" max="8218" width="13.33203125" style="54" customWidth="1"/>
    <col min="8219" max="8443" width="9.109375" style="54"/>
    <col min="8444" max="8444" width="31" style="54" customWidth="1"/>
    <col min="8445" max="8445" width="18.5546875" style="54" customWidth="1"/>
    <col min="8446" max="8446" width="3.88671875" style="54" customWidth="1"/>
    <col min="8447" max="8447" width="18.6640625" style="54" customWidth="1"/>
    <col min="8448" max="8456" width="14" style="54" customWidth="1"/>
    <col min="8457" max="8457" width="13" style="54" bestFit="1" customWidth="1"/>
    <col min="8458" max="8458" width="14.5546875" style="54" bestFit="1" customWidth="1"/>
    <col min="8459" max="8459" width="12.109375" style="54" bestFit="1" customWidth="1"/>
    <col min="8460" max="8470" width="14" style="54" customWidth="1"/>
    <col min="8471" max="8474" width="13.33203125" style="54" customWidth="1"/>
    <col min="8475" max="8699" width="9.109375" style="54"/>
    <col min="8700" max="8700" width="31" style="54" customWidth="1"/>
    <col min="8701" max="8701" width="18.5546875" style="54" customWidth="1"/>
    <col min="8702" max="8702" width="3.88671875" style="54" customWidth="1"/>
    <col min="8703" max="8703" width="18.6640625" style="54" customWidth="1"/>
    <col min="8704" max="8712" width="14" style="54" customWidth="1"/>
    <col min="8713" max="8713" width="13" style="54" bestFit="1" customWidth="1"/>
    <col min="8714" max="8714" width="14.5546875" style="54" bestFit="1" customWidth="1"/>
    <col min="8715" max="8715" width="12.109375" style="54" bestFit="1" customWidth="1"/>
    <col min="8716" max="8726" width="14" style="54" customWidth="1"/>
    <col min="8727" max="8730" width="13.33203125" style="54" customWidth="1"/>
    <col min="8731" max="8955" width="9.109375" style="54"/>
    <col min="8956" max="8956" width="31" style="54" customWidth="1"/>
    <col min="8957" max="8957" width="18.5546875" style="54" customWidth="1"/>
    <col min="8958" max="8958" width="3.88671875" style="54" customWidth="1"/>
    <col min="8959" max="8959" width="18.6640625" style="54" customWidth="1"/>
    <col min="8960" max="8968" width="14" style="54" customWidth="1"/>
    <col min="8969" max="8969" width="13" style="54" bestFit="1" customWidth="1"/>
    <col min="8970" max="8970" width="14.5546875" style="54" bestFit="1" customWidth="1"/>
    <col min="8971" max="8971" width="12.109375" style="54" bestFit="1" customWidth="1"/>
    <col min="8972" max="8982" width="14" style="54" customWidth="1"/>
    <col min="8983" max="8986" width="13.33203125" style="54" customWidth="1"/>
    <col min="8987" max="9211" width="9.109375" style="54"/>
    <col min="9212" max="9212" width="31" style="54" customWidth="1"/>
    <col min="9213" max="9213" width="18.5546875" style="54" customWidth="1"/>
    <col min="9214" max="9214" width="3.88671875" style="54" customWidth="1"/>
    <col min="9215" max="9215" width="18.6640625" style="54" customWidth="1"/>
    <col min="9216" max="9224" width="14" style="54" customWidth="1"/>
    <col min="9225" max="9225" width="13" style="54" bestFit="1" customWidth="1"/>
    <col min="9226" max="9226" width="14.5546875" style="54" bestFit="1" customWidth="1"/>
    <col min="9227" max="9227" width="12.109375" style="54" bestFit="1" customWidth="1"/>
    <col min="9228" max="9238" width="14" style="54" customWidth="1"/>
    <col min="9239" max="9242" width="13.33203125" style="54" customWidth="1"/>
    <col min="9243" max="9467" width="9.109375" style="54"/>
    <col min="9468" max="9468" width="31" style="54" customWidth="1"/>
    <col min="9469" max="9469" width="18.5546875" style="54" customWidth="1"/>
    <col min="9470" max="9470" width="3.88671875" style="54" customWidth="1"/>
    <col min="9471" max="9471" width="18.6640625" style="54" customWidth="1"/>
    <col min="9472" max="9480" width="14" style="54" customWidth="1"/>
    <col min="9481" max="9481" width="13" style="54" bestFit="1" customWidth="1"/>
    <col min="9482" max="9482" width="14.5546875" style="54" bestFit="1" customWidth="1"/>
    <col min="9483" max="9483" width="12.109375" style="54" bestFit="1" customWidth="1"/>
    <col min="9484" max="9494" width="14" style="54" customWidth="1"/>
    <col min="9495" max="9498" width="13.33203125" style="54" customWidth="1"/>
    <col min="9499" max="9723" width="9.109375" style="54"/>
    <col min="9724" max="9724" width="31" style="54" customWidth="1"/>
    <col min="9725" max="9725" width="18.5546875" style="54" customWidth="1"/>
    <col min="9726" max="9726" width="3.88671875" style="54" customWidth="1"/>
    <col min="9727" max="9727" width="18.6640625" style="54" customWidth="1"/>
    <col min="9728" max="9736" width="14" style="54" customWidth="1"/>
    <col min="9737" max="9737" width="13" style="54" bestFit="1" customWidth="1"/>
    <col min="9738" max="9738" width="14.5546875" style="54" bestFit="1" customWidth="1"/>
    <col min="9739" max="9739" width="12.109375" style="54" bestFit="1" customWidth="1"/>
    <col min="9740" max="9750" width="14" style="54" customWidth="1"/>
    <col min="9751" max="9754" width="13.33203125" style="54" customWidth="1"/>
    <col min="9755" max="9979" width="9.109375" style="54"/>
    <col min="9980" max="9980" width="31" style="54" customWidth="1"/>
    <col min="9981" max="9981" width="18.5546875" style="54" customWidth="1"/>
    <col min="9982" max="9982" width="3.88671875" style="54" customWidth="1"/>
    <col min="9983" max="9983" width="18.6640625" style="54" customWidth="1"/>
    <col min="9984" max="9992" width="14" style="54" customWidth="1"/>
    <col min="9993" max="9993" width="13" style="54" bestFit="1" customWidth="1"/>
    <col min="9994" max="9994" width="14.5546875" style="54" bestFit="1" customWidth="1"/>
    <col min="9995" max="9995" width="12.109375" style="54" bestFit="1" customWidth="1"/>
    <col min="9996" max="10006" width="14" style="54" customWidth="1"/>
    <col min="10007" max="10010" width="13.33203125" style="54" customWidth="1"/>
    <col min="10011" max="10235" width="9.109375" style="54"/>
    <col min="10236" max="10236" width="31" style="54" customWidth="1"/>
    <col min="10237" max="10237" width="18.5546875" style="54" customWidth="1"/>
    <col min="10238" max="10238" width="3.88671875" style="54" customWidth="1"/>
    <col min="10239" max="10239" width="18.6640625" style="54" customWidth="1"/>
    <col min="10240" max="10248" width="14" style="54" customWidth="1"/>
    <col min="10249" max="10249" width="13" style="54" bestFit="1" customWidth="1"/>
    <col min="10250" max="10250" width="14.5546875" style="54" bestFit="1" customWidth="1"/>
    <col min="10251" max="10251" width="12.109375" style="54" bestFit="1" customWidth="1"/>
    <col min="10252" max="10262" width="14" style="54" customWidth="1"/>
    <col min="10263" max="10266" width="13.33203125" style="54" customWidth="1"/>
    <col min="10267" max="10491" width="9.109375" style="54"/>
    <col min="10492" max="10492" width="31" style="54" customWidth="1"/>
    <col min="10493" max="10493" width="18.5546875" style="54" customWidth="1"/>
    <col min="10494" max="10494" width="3.88671875" style="54" customWidth="1"/>
    <col min="10495" max="10495" width="18.6640625" style="54" customWidth="1"/>
    <col min="10496" max="10504" width="14" style="54" customWidth="1"/>
    <col min="10505" max="10505" width="13" style="54" bestFit="1" customWidth="1"/>
    <col min="10506" max="10506" width="14.5546875" style="54" bestFit="1" customWidth="1"/>
    <col min="10507" max="10507" width="12.109375" style="54" bestFit="1" customWidth="1"/>
    <col min="10508" max="10518" width="14" style="54" customWidth="1"/>
    <col min="10519" max="10522" width="13.33203125" style="54" customWidth="1"/>
    <col min="10523" max="10747" width="9.109375" style="54"/>
    <col min="10748" max="10748" width="31" style="54" customWidth="1"/>
    <col min="10749" max="10749" width="18.5546875" style="54" customWidth="1"/>
    <col min="10750" max="10750" width="3.88671875" style="54" customWidth="1"/>
    <col min="10751" max="10751" width="18.6640625" style="54" customWidth="1"/>
    <col min="10752" max="10760" width="14" style="54" customWidth="1"/>
    <col min="10761" max="10761" width="13" style="54" bestFit="1" customWidth="1"/>
    <col min="10762" max="10762" width="14.5546875" style="54" bestFit="1" customWidth="1"/>
    <col min="10763" max="10763" width="12.109375" style="54" bestFit="1" customWidth="1"/>
    <col min="10764" max="10774" width="14" style="54" customWidth="1"/>
    <col min="10775" max="10778" width="13.33203125" style="54" customWidth="1"/>
    <col min="10779" max="11003" width="9.109375" style="54"/>
    <col min="11004" max="11004" width="31" style="54" customWidth="1"/>
    <col min="11005" max="11005" width="18.5546875" style="54" customWidth="1"/>
    <col min="11006" max="11006" width="3.88671875" style="54" customWidth="1"/>
    <col min="11007" max="11007" width="18.6640625" style="54" customWidth="1"/>
    <col min="11008" max="11016" width="14" style="54" customWidth="1"/>
    <col min="11017" max="11017" width="13" style="54" bestFit="1" customWidth="1"/>
    <col min="11018" max="11018" width="14.5546875" style="54" bestFit="1" customWidth="1"/>
    <col min="11019" max="11019" width="12.109375" style="54" bestFit="1" customWidth="1"/>
    <col min="11020" max="11030" width="14" style="54" customWidth="1"/>
    <col min="11031" max="11034" width="13.33203125" style="54" customWidth="1"/>
    <col min="11035" max="11259" width="9.109375" style="54"/>
    <col min="11260" max="11260" width="31" style="54" customWidth="1"/>
    <col min="11261" max="11261" width="18.5546875" style="54" customWidth="1"/>
    <col min="11262" max="11262" width="3.88671875" style="54" customWidth="1"/>
    <col min="11263" max="11263" width="18.6640625" style="54" customWidth="1"/>
    <col min="11264" max="11272" width="14" style="54" customWidth="1"/>
    <col min="11273" max="11273" width="13" style="54" bestFit="1" customWidth="1"/>
    <col min="11274" max="11274" width="14.5546875" style="54" bestFit="1" customWidth="1"/>
    <col min="11275" max="11275" width="12.109375" style="54" bestFit="1" customWidth="1"/>
    <col min="11276" max="11286" width="14" style="54" customWidth="1"/>
    <col min="11287" max="11290" width="13.33203125" style="54" customWidth="1"/>
    <col min="11291" max="11515" width="9.109375" style="54"/>
    <col min="11516" max="11516" width="31" style="54" customWidth="1"/>
    <col min="11517" max="11517" width="18.5546875" style="54" customWidth="1"/>
    <col min="11518" max="11518" width="3.88671875" style="54" customWidth="1"/>
    <col min="11519" max="11519" width="18.6640625" style="54" customWidth="1"/>
    <col min="11520" max="11528" width="14" style="54" customWidth="1"/>
    <col min="11529" max="11529" width="13" style="54" bestFit="1" customWidth="1"/>
    <col min="11530" max="11530" width="14.5546875" style="54" bestFit="1" customWidth="1"/>
    <col min="11531" max="11531" width="12.109375" style="54" bestFit="1" customWidth="1"/>
    <col min="11532" max="11542" width="14" style="54" customWidth="1"/>
    <col min="11543" max="11546" width="13.33203125" style="54" customWidth="1"/>
    <col min="11547" max="11771" width="9.109375" style="54"/>
    <col min="11772" max="11772" width="31" style="54" customWidth="1"/>
    <col min="11773" max="11773" width="18.5546875" style="54" customWidth="1"/>
    <col min="11774" max="11774" width="3.88671875" style="54" customWidth="1"/>
    <col min="11775" max="11775" width="18.6640625" style="54" customWidth="1"/>
    <col min="11776" max="11784" width="14" style="54" customWidth="1"/>
    <col min="11785" max="11785" width="13" style="54" bestFit="1" customWidth="1"/>
    <col min="11786" max="11786" width="14.5546875" style="54" bestFit="1" customWidth="1"/>
    <col min="11787" max="11787" width="12.109375" style="54" bestFit="1" customWidth="1"/>
    <col min="11788" max="11798" width="14" style="54" customWidth="1"/>
    <col min="11799" max="11802" width="13.33203125" style="54" customWidth="1"/>
    <col min="11803" max="12027" width="9.109375" style="54"/>
    <col min="12028" max="12028" width="31" style="54" customWidth="1"/>
    <col min="12029" max="12029" width="18.5546875" style="54" customWidth="1"/>
    <col min="12030" max="12030" width="3.88671875" style="54" customWidth="1"/>
    <col min="12031" max="12031" width="18.6640625" style="54" customWidth="1"/>
    <col min="12032" max="12040" width="14" style="54" customWidth="1"/>
    <col min="12041" max="12041" width="13" style="54" bestFit="1" customWidth="1"/>
    <col min="12042" max="12042" width="14.5546875" style="54" bestFit="1" customWidth="1"/>
    <col min="12043" max="12043" width="12.109375" style="54" bestFit="1" customWidth="1"/>
    <col min="12044" max="12054" width="14" style="54" customWidth="1"/>
    <col min="12055" max="12058" width="13.33203125" style="54" customWidth="1"/>
    <col min="12059" max="12283" width="9.109375" style="54"/>
    <col min="12284" max="12284" width="31" style="54" customWidth="1"/>
    <col min="12285" max="12285" width="18.5546875" style="54" customWidth="1"/>
    <col min="12286" max="12286" width="3.88671875" style="54" customWidth="1"/>
    <col min="12287" max="12287" width="18.6640625" style="54" customWidth="1"/>
    <col min="12288" max="12296" width="14" style="54" customWidth="1"/>
    <col min="12297" max="12297" width="13" style="54" bestFit="1" customWidth="1"/>
    <col min="12298" max="12298" width="14.5546875" style="54" bestFit="1" customWidth="1"/>
    <col min="12299" max="12299" width="12.109375" style="54" bestFit="1" customWidth="1"/>
    <col min="12300" max="12310" width="14" style="54" customWidth="1"/>
    <col min="12311" max="12314" width="13.33203125" style="54" customWidth="1"/>
    <col min="12315" max="12539" width="9.109375" style="54"/>
    <col min="12540" max="12540" width="31" style="54" customWidth="1"/>
    <col min="12541" max="12541" width="18.5546875" style="54" customWidth="1"/>
    <col min="12542" max="12542" width="3.88671875" style="54" customWidth="1"/>
    <col min="12543" max="12543" width="18.6640625" style="54" customWidth="1"/>
    <col min="12544" max="12552" width="14" style="54" customWidth="1"/>
    <col min="12553" max="12553" width="13" style="54" bestFit="1" customWidth="1"/>
    <col min="12554" max="12554" width="14.5546875" style="54" bestFit="1" customWidth="1"/>
    <col min="12555" max="12555" width="12.109375" style="54" bestFit="1" customWidth="1"/>
    <col min="12556" max="12566" width="14" style="54" customWidth="1"/>
    <col min="12567" max="12570" width="13.33203125" style="54" customWidth="1"/>
    <col min="12571" max="12795" width="9.109375" style="54"/>
    <col min="12796" max="12796" width="31" style="54" customWidth="1"/>
    <col min="12797" max="12797" width="18.5546875" style="54" customWidth="1"/>
    <col min="12798" max="12798" width="3.88671875" style="54" customWidth="1"/>
    <col min="12799" max="12799" width="18.6640625" style="54" customWidth="1"/>
    <col min="12800" max="12808" width="14" style="54" customWidth="1"/>
    <col min="12809" max="12809" width="13" style="54" bestFit="1" customWidth="1"/>
    <col min="12810" max="12810" width="14.5546875" style="54" bestFit="1" customWidth="1"/>
    <col min="12811" max="12811" width="12.109375" style="54" bestFit="1" customWidth="1"/>
    <col min="12812" max="12822" width="14" style="54" customWidth="1"/>
    <col min="12823" max="12826" width="13.33203125" style="54" customWidth="1"/>
    <col min="12827" max="13051" width="9.109375" style="54"/>
    <col min="13052" max="13052" width="31" style="54" customWidth="1"/>
    <col min="13053" max="13053" width="18.5546875" style="54" customWidth="1"/>
    <col min="13054" max="13054" width="3.88671875" style="54" customWidth="1"/>
    <col min="13055" max="13055" width="18.6640625" style="54" customWidth="1"/>
    <col min="13056" max="13064" width="14" style="54" customWidth="1"/>
    <col min="13065" max="13065" width="13" style="54" bestFit="1" customWidth="1"/>
    <col min="13066" max="13066" width="14.5546875" style="54" bestFit="1" customWidth="1"/>
    <col min="13067" max="13067" width="12.109375" style="54" bestFit="1" customWidth="1"/>
    <col min="13068" max="13078" width="14" style="54" customWidth="1"/>
    <col min="13079" max="13082" width="13.33203125" style="54" customWidth="1"/>
    <col min="13083" max="13307" width="9.109375" style="54"/>
    <col min="13308" max="13308" width="31" style="54" customWidth="1"/>
    <col min="13309" max="13309" width="18.5546875" style="54" customWidth="1"/>
    <col min="13310" max="13310" width="3.88671875" style="54" customWidth="1"/>
    <col min="13311" max="13311" width="18.6640625" style="54" customWidth="1"/>
    <col min="13312" max="13320" width="14" style="54" customWidth="1"/>
    <col min="13321" max="13321" width="13" style="54" bestFit="1" customWidth="1"/>
    <col min="13322" max="13322" width="14.5546875" style="54" bestFit="1" customWidth="1"/>
    <col min="13323" max="13323" width="12.109375" style="54" bestFit="1" customWidth="1"/>
    <col min="13324" max="13334" width="14" style="54" customWidth="1"/>
    <col min="13335" max="13338" width="13.33203125" style="54" customWidth="1"/>
    <col min="13339" max="13563" width="9.109375" style="54"/>
    <col min="13564" max="13564" width="31" style="54" customWidth="1"/>
    <col min="13565" max="13565" width="18.5546875" style="54" customWidth="1"/>
    <col min="13566" max="13566" width="3.88671875" style="54" customWidth="1"/>
    <col min="13567" max="13567" width="18.6640625" style="54" customWidth="1"/>
    <col min="13568" max="13576" width="14" style="54" customWidth="1"/>
    <col min="13577" max="13577" width="13" style="54" bestFit="1" customWidth="1"/>
    <col min="13578" max="13578" width="14.5546875" style="54" bestFit="1" customWidth="1"/>
    <col min="13579" max="13579" width="12.109375" style="54" bestFit="1" customWidth="1"/>
    <col min="13580" max="13590" width="14" style="54" customWidth="1"/>
    <col min="13591" max="13594" width="13.33203125" style="54" customWidth="1"/>
    <col min="13595" max="13819" width="9.109375" style="54"/>
    <col min="13820" max="13820" width="31" style="54" customWidth="1"/>
    <col min="13821" max="13821" width="18.5546875" style="54" customWidth="1"/>
    <col min="13822" max="13822" width="3.88671875" style="54" customWidth="1"/>
    <col min="13823" max="13823" width="18.6640625" style="54" customWidth="1"/>
    <col min="13824" max="13832" width="14" style="54" customWidth="1"/>
    <col min="13833" max="13833" width="13" style="54" bestFit="1" customWidth="1"/>
    <col min="13834" max="13834" width="14.5546875" style="54" bestFit="1" customWidth="1"/>
    <col min="13835" max="13835" width="12.109375" style="54" bestFit="1" customWidth="1"/>
    <col min="13836" max="13846" width="14" style="54" customWidth="1"/>
    <col min="13847" max="13850" width="13.33203125" style="54" customWidth="1"/>
    <col min="13851" max="14075" width="9.109375" style="54"/>
    <col min="14076" max="14076" width="31" style="54" customWidth="1"/>
    <col min="14077" max="14077" width="18.5546875" style="54" customWidth="1"/>
    <col min="14078" max="14078" width="3.88671875" style="54" customWidth="1"/>
    <col min="14079" max="14079" width="18.6640625" style="54" customWidth="1"/>
    <col min="14080" max="14088" width="14" style="54" customWidth="1"/>
    <col min="14089" max="14089" width="13" style="54" bestFit="1" customWidth="1"/>
    <col min="14090" max="14090" width="14.5546875" style="54" bestFit="1" customWidth="1"/>
    <col min="14091" max="14091" width="12.109375" style="54" bestFit="1" customWidth="1"/>
    <col min="14092" max="14102" width="14" style="54" customWidth="1"/>
    <col min="14103" max="14106" width="13.33203125" style="54" customWidth="1"/>
    <col min="14107" max="14331" width="9.109375" style="54"/>
    <col min="14332" max="14332" width="31" style="54" customWidth="1"/>
    <col min="14333" max="14333" width="18.5546875" style="54" customWidth="1"/>
    <col min="14334" max="14334" width="3.88671875" style="54" customWidth="1"/>
    <col min="14335" max="14335" width="18.6640625" style="54" customWidth="1"/>
    <col min="14336" max="14344" width="14" style="54" customWidth="1"/>
    <col min="14345" max="14345" width="13" style="54" bestFit="1" customWidth="1"/>
    <col min="14346" max="14346" width="14.5546875" style="54" bestFit="1" customWidth="1"/>
    <col min="14347" max="14347" width="12.109375" style="54" bestFit="1" customWidth="1"/>
    <col min="14348" max="14358" width="14" style="54" customWidth="1"/>
    <col min="14359" max="14362" width="13.33203125" style="54" customWidth="1"/>
    <col min="14363" max="14587" width="9.109375" style="54"/>
    <col min="14588" max="14588" width="31" style="54" customWidth="1"/>
    <col min="14589" max="14589" width="18.5546875" style="54" customWidth="1"/>
    <col min="14590" max="14590" width="3.88671875" style="54" customWidth="1"/>
    <col min="14591" max="14591" width="18.6640625" style="54" customWidth="1"/>
    <col min="14592" max="14600" width="14" style="54" customWidth="1"/>
    <col min="14601" max="14601" width="13" style="54" bestFit="1" customWidth="1"/>
    <col min="14602" max="14602" width="14.5546875" style="54" bestFit="1" customWidth="1"/>
    <col min="14603" max="14603" width="12.109375" style="54" bestFit="1" customWidth="1"/>
    <col min="14604" max="14614" width="14" style="54" customWidth="1"/>
    <col min="14615" max="14618" width="13.33203125" style="54" customWidth="1"/>
    <col min="14619" max="14843" width="9.109375" style="54"/>
    <col min="14844" max="14844" width="31" style="54" customWidth="1"/>
    <col min="14845" max="14845" width="18.5546875" style="54" customWidth="1"/>
    <col min="14846" max="14846" width="3.88671875" style="54" customWidth="1"/>
    <col min="14847" max="14847" width="18.6640625" style="54" customWidth="1"/>
    <col min="14848" max="14856" width="14" style="54" customWidth="1"/>
    <col min="14857" max="14857" width="13" style="54" bestFit="1" customWidth="1"/>
    <col min="14858" max="14858" width="14.5546875" style="54" bestFit="1" customWidth="1"/>
    <col min="14859" max="14859" width="12.109375" style="54" bestFit="1" customWidth="1"/>
    <col min="14860" max="14870" width="14" style="54" customWidth="1"/>
    <col min="14871" max="14874" width="13.33203125" style="54" customWidth="1"/>
    <col min="14875" max="15099" width="9.109375" style="54"/>
    <col min="15100" max="15100" width="31" style="54" customWidth="1"/>
    <col min="15101" max="15101" width="18.5546875" style="54" customWidth="1"/>
    <col min="15102" max="15102" width="3.88671875" style="54" customWidth="1"/>
    <col min="15103" max="15103" width="18.6640625" style="54" customWidth="1"/>
    <col min="15104" max="15112" width="14" style="54" customWidth="1"/>
    <col min="15113" max="15113" width="13" style="54" bestFit="1" customWidth="1"/>
    <col min="15114" max="15114" width="14.5546875" style="54" bestFit="1" customWidth="1"/>
    <col min="15115" max="15115" width="12.109375" style="54" bestFit="1" customWidth="1"/>
    <col min="15116" max="15126" width="14" style="54" customWidth="1"/>
    <col min="15127" max="15130" width="13.33203125" style="54" customWidth="1"/>
    <col min="15131" max="15355" width="9.109375" style="54"/>
    <col min="15356" max="15356" width="31" style="54" customWidth="1"/>
    <col min="15357" max="15357" width="18.5546875" style="54" customWidth="1"/>
    <col min="15358" max="15358" width="3.88671875" style="54" customWidth="1"/>
    <col min="15359" max="15359" width="18.6640625" style="54" customWidth="1"/>
    <col min="15360" max="15368" width="14" style="54" customWidth="1"/>
    <col min="15369" max="15369" width="13" style="54" bestFit="1" customWidth="1"/>
    <col min="15370" max="15370" width="14.5546875" style="54" bestFit="1" customWidth="1"/>
    <col min="15371" max="15371" width="12.109375" style="54" bestFit="1" customWidth="1"/>
    <col min="15372" max="15382" width="14" style="54" customWidth="1"/>
    <col min="15383" max="15386" width="13.33203125" style="54" customWidth="1"/>
    <col min="15387" max="15611" width="9.109375" style="54"/>
    <col min="15612" max="15612" width="31" style="54" customWidth="1"/>
    <col min="15613" max="15613" width="18.5546875" style="54" customWidth="1"/>
    <col min="15614" max="15614" width="3.88671875" style="54" customWidth="1"/>
    <col min="15615" max="15615" width="18.6640625" style="54" customWidth="1"/>
    <col min="15616" max="15624" width="14" style="54" customWidth="1"/>
    <col min="15625" max="15625" width="13" style="54" bestFit="1" customWidth="1"/>
    <col min="15626" max="15626" width="14.5546875" style="54" bestFit="1" customWidth="1"/>
    <col min="15627" max="15627" width="12.109375" style="54" bestFit="1" customWidth="1"/>
    <col min="15628" max="15638" width="14" style="54" customWidth="1"/>
    <col min="15639" max="15642" width="13.33203125" style="54" customWidth="1"/>
    <col min="15643" max="15867" width="9.109375" style="54"/>
    <col min="15868" max="15868" width="31" style="54" customWidth="1"/>
    <col min="15869" max="15869" width="18.5546875" style="54" customWidth="1"/>
    <col min="15870" max="15870" width="3.88671875" style="54" customWidth="1"/>
    <col min="15871" max="15871" width="18.6640625" style="54" customWidth="1"/>
    <col min="15872" max="15880" width="14" style="54" customWidth="1"/>
    <col min="15881" max="15881" width="13" style="54" bestFit="1" customWidth="1"/>
    <col min="15882" max="15882" width="14.5546875" style="54" bestFit="1" customWidth="1"/>
    <col min="15883" max="15883" width="12.109375" style="54" bestFit="1" customWidth="1"/>
    <col min="15884" max="15894" width="14" style="54" customWidth="1"/>
    <col min="15895" max="15898" width="13.33203125" style="54" customWidth="1"/>
    <col min="15899" max="16123" width="9.109375" style="54"/>
    <col min="16124" max="16124" width="31" style="54" customWidth="1"/>
    <col min="16125" max="16125" width="18.5546875" style="54" customWidth="1"/>
    <col min="16126" max="16126" width="3.88671875" style="54" customWidth="1"/>
    <col min="16127" max="16127" width="18.6640625" style="54" customWidth="1"/>
    <col min="16128" max="16136" width="14" style="54" customWidth="1"/>
    <col min="16137" max="16137" width="13" style="54" bestFit="1" customWidth="1"/>
    <col min="16138" max="16138" width="14.5546875" style="54" bestFit="1" customWidth="1"/>
    <col min="16139" max="16139" width="12.109375" style="54" bestFit="1" customWidth="1"/>
    <col min="16140" max="16150" width="14" style="54" customWidth="1"/>
    <col min="16151" max="16154" width="13.33203125" style="54" customWidth="1"/>
    <col min="16155" max="16384" width="9.109375" style="54"/>
  </cols>
  <sheetData>
    <row r="1" spans="1:21" x14ac:dyDescent="0.25">
      <c r="D1" s="54"/>
      <c r="E1" s="54"/>
      <c r="F1" s="54"/>
    </row>
    <row r="2" spans="1:21" x14ac:dyDescent="0.25">
      <c r="D2" s="54"/>
      <c r="E2" s="54"/>
      <c r="F2" s="54"/>
      <c r="Q2"/>
      <c r="R2"/>
      <c r="S2"/>
      <c r="T2"/>
      <c r="U2"/>
    </row>
    <row r="3" spans="1:21" s="56" customFormat="1" ht="15.75" customHeight="1" x14ac:dyDescent="0.25">
      <c r="A3" s="135" t="s">
        <v>103</v>
      </c>
      <c r="B3" s="135"/>
      <c r="C3" s="135"/>
      <c r="D3" s="135"/>
      <c r="E3" s="135"/>
      <c r="F3" s="135"/>
      <c r="G3" s="135"/>
      <c r="H3" s="135"/>
      <c r="I3"/>
      <c r="J3"/>
      <c r="K3"/>
      <c r="L3"/>
    </row>
    <row r="4" spans="1:21" ht="44.25" customHeight="1" x14ac:dyDescent="0.25">
      <c r="A4" s="115" t="s">
        <v>65</v>
      </c>
      <c r="B4" s="115" t="s">
        <v>59</v>
      </c>
      <c r="C4" s="115" t="s">
        <v>66</v>
      </c>
      <c r="D4" s="115" t="s">
        <v>67</v>
      </c>
      <c r="E4" s="115" t="s">
        <v>68</v>
      </c>
      <c r="F4" s="115" t="s">
        <v>69</v>
      </c>
      <c r="G4" s="115" t="s">
        <v>70</v>
      </c>
      <c r="H4" s="115" t="s">
        <v>114</v>
      </c>
      <c r="I4"/>
      <c r="J4"/>
      <c r="K4"/>
      <c r="L4"/>
      <c r="M4" s="54"/>
      <c r="N4" s="54"/>
    </row>
    <row r="5" spans="1:21" x14ac:dyDescent="0.25">
      <c r="A5" s="118">
        <v>2014</v>
      </c>
      <c r="B5" s="116">
        <f>AVERAGE($G$24:$G$35)</f>
        <v>20472.166666666668</v>
      </c>
      <c r="C5" s="116">
        <f>AVERAGE($I$24:$I$35)</f>
        <v>1742.8333333333333</v>
      </c>
      <c r="D5" s="116">
        <f>AVERAGE($L$24:$L$35)</f>
        <v>165.33333333333334</v>
      </c>
      <c r="E5" s="117">
        <f>AVERAGE($O$24:$O$35)</f>
        <v>519.16666666666663</v>
      </c>
      <c r="F5" s="116">
        <f>AVERAGE($R$24:$R$35)</f>
        <v>6784.333333333333</v>
      </c>
      <c r="G5" s="116">
        <f>AVERAGE($U$24:$U$35)</f>
        <v>259.33333333333331</v>
      </c>
      <c r="H5" s="116">
        <v>0</v>
      </c>
      <c r="I5" s="42"/>
      <c r="J5"/>
      <c r="K5"/>
      <c r="L5"/>
      <c r="M5" s="54"/>
      <c r="N5" s="54"/>
    </row>
    <row r="6" spans="1:21" x14ac:dyDescent="0.25">
      <c r="A6" s="118">
        <v>2015</v>
      </c>
      <c r="B6" s="116">
        <f>AVERAGE($G$36:$G$47)</f>
        <v>20635.5</v>
      </c>
      <c r="C6" s="116">
        <f>AVERAGE($I$36:$I$47)</f>
        <v>1769.0833333333333</v>
      </c>
      <c r="D6" s="116">
        <f>AVERAGE($L$36:$L$47)</f>
        <v>158.83333333333334</v>
      </c>
      <c r="E6" s="116">
        <f>AVERAGE($O$36:$O$47)</f>
        <v>515.08333333333337</v>
      </c>
      <c r="F6" s="116">
        <f>AVERAGE($R$36:$R$47)</f>
        <v>6792.583333333333</v>
      </c>
      <c r="G6" s="116">
        <f>AVERAGE($U$36:$U$47)</f>
        <v>256.66666666666669</v>
      </c>
      <c r="H6" s="116">
        <f>AVERAGE($X$36:$X$47)</f>
        <v>0</v>
      </c>
      <c r="I6" s="42"/>
      <c r="J6"/>
      <c r="K6"/>
      <c r="L6"/>
      <c r="M6" s="54"/>
      <c r="N6" s="54"/>
    </row>
    <row r="7" spans="1:21" x14ac:dyDescent="0.25">
      <c r="A7" s="118">
        <v>2016</v>
      </c>
      <c r="B7" s="116">
        <f>AVERAGE($G$48:$G$59)</f>
        <v>20822.5</v>
      </c>
      <c r="C7" s="116">
        <f>AVERAGE($I$48:$I$59)</f>
        <v>1770.5833333333333</v>
      </c>
      <c r="D7" s="116">
        <f>AVERAGE($L$48:$L$59)</f>
        <v>159</v>
      </c>
      <c r="E7" s="116">
        <f>AVERAGE($O$48:$O$59)</f>
        <v>508.75</v>
      </c>
      <c r="F7" s="116">
        <f>AVERAGE($R$48:$R$59)</f>
        <v>6825</v>
      </c>
      <c r="G7" s="116">
        <f>AVERAGE($U$48:$U$59)</f>
        <v>261.33333333333331</v>
      </c>
      <c r="H7" s="116">
        <f>AVERAGE($X$48:$X$59)</f>
        <v>0</v>
      </c>
      <c r="I7" s="42"/>
      <c r="J7"/>
      <c r="K7"/>
      <c r="L7"/>
      <c r="M7" s="54"/>
      <c r="N7" s="54"/>
    </row>
    <row r="8" spans="1:21" x14ac:dyDescent="0.25">
      <c r="A8" s="118">
        <v>2017</v>
      </c>
      <c r="B8" s="116">
        <f>AVERAGE($G$60:$G$71)</f>
        <v>20986.583333333332</v>
      </c>
      <c r="C8" s="116">
        <f>AVERAGE($I$60:$I$71)</f>
        <v>1791.4166666666667</v>
      </c>
      <c r="D8" s="116">
        <f>AVERAGE($L$60:$L$71)</f>
        <v>159.16666666666666</v>
      </c>
      <c r="E8" s="116">
        <f>AVERAGE($O$60:$O$71)</f>
        <v>500.08333333333331</v>
      </c>
      <c r="F8" s="116">
        <f>AVERAGE($R$60:$R$71)</f>
        <v>6865.333333333333</v>
      </c>
      <c r="G8" s="116">
        <f>AVERAGE($U$60:$U$71)</f>
        <v>261.91666666666669</v>
      </c>
      <c r="H8" s="116">
        <f>AVERAGE($X$60:$X$71)</f>
        <v>0</v>
      </c>
      <c r="I8" s="42"/>
      <c r="J8"/>
      <c r="K8"/>
      <c r="L8"/>
      <c r="M8" s="54"/>
      <c r="N8" s="54"/>
    </row>
    <row r="9" spans="1:21" x14ac:dyDescent="0.25">
      <c r="A9" s="118">
        <v>2018</v>
      </c>
      <c r="B9" s="116">
        <f>AVERAGE($G$72:$G$83)</f>
        <v>21242.333333333332</v>
      </c>
      <c r="C9" s="116">
        <f>AVERAGE($I$72:$I$83)</f>
        <v>1798.25</v>
      </c>
      <c r="D9" s="116">
        <f>AVERAGE($L$72:$L$83)</f>
        <v>164</v>
      </c>
      <c r="E9" s="116">
        <f>AVERAGE($O$72:$O$83)</f>
        <v>486.5</v>
      </c>
      <c r="F9" s="116">
        <f>AVERAGE($R$72:$R$83)</f>
        <v>6956.25</v>
      </c>
      <c r="G9" s="116">
        <f>AVERAGE($U$72:$U$83)</f>
        <v>262.83333333333331</v>
      </c>
      <c r="H9" s="116">
        <f>AVERAGE($X$72:$X$83)</f>
        <v>0</v>
      </c>
      <c r="I9" s="42"/>
      <c r="J9"/>
      <c r="K9"/>
      <c r="L9"/>
      <c r="M9" s="54"/>
      <c r="N9" s="54"/>
    </row>
    <row r="10" spans="1:21" x14ac:dyDescent="0.25">
      <c r="A10" s="118">
        <v>2019</v>
      </c>
      <c r="B10" s="116">
        <f>AVERAGE($G$84:$G$95)</f>
        <v>21580</v>
      </c>
      <c r="C10" s="116">
        <f>AVERAGE($I$84:$I$95)</f>
        <v>1797.3333333333333</v>
      </c>
      <c r="D10" s="116">
        <f>AVERAGE($L$84:$L$95)</f>
        <v>166.16666666666666</v>
      </c>
      <c r="E10" s="116">
        <f>AVERAGE($O$84:$O$95)</f>
        <v>453.58333333333331</v>
      </c>
      <c r="F10" s="116">
        <f>AVERAGE($R$84:$R$95)</f>
        <v>7006.75</v>
      </c>
      <c r="G10" s="116">
        <f>AVERAGE($U$84:$U$95)</f>
        <v>261.83333333333331</v>
      </c>
      <c r="H10" s="116">
        <f>AVERAGE($X$84:$X$95)</f>
        <v>0</v>
      </c>
      <c r="I10" s="42"/>
      <c r="J10"/>
      <c r="K10"/>
      <c r="L10"/>
      <c r="M10" s="54"/>
      <c r="N10" s="54"/>
    </row>
    <row r="11" spans="1:21" x14ac:dyDescent="0.25">
      <c r="A11" s="118">
        <v>2020</v>
      </c>
      <c r="B11" s="116">
        <f>AVERAGE($G$96:$G$107)</f>
        <v>21926.833333333332</v>
      </c>
      <c r="C11" s="116">
        <f>AVERAGE($I$96:$I$107)</f>
        <v>1787.5</v>
      </c>
      <c r="D11" s="116">
        <f>AVERAGE($L$96:$L$107)</f>
        <v>161.08333333333334</v>
      </c>
      <c r="E11" s="116">
        <f>AVERAGE($O$96:$O$107)</f>
        <v>405.75</v>
      </c>
      <c r="F11" s="116">
        <f>AVERAGE($R$96:$R$107)</f>
        <v>7066.75</v>
      </c>
      <c r="G11" s="116">
        <f>AVERAGE($U$96:$U$107)</f>
        <v>258.25</v>
      </c>
      <c r="H11" s="116">
        <f>AVERAGE($X$96:$X$107)</f>
        <v>0</v>
      </c>
      <c r="I11" s="42"/>
      <c r="J11"/>
      <c r="K11"/>
      <c r="L11"/>
      <c r="M11" s="54"/>
      <c r="N11" s="54"/>
    </row>
    <row r="12" spans="1:21" x14ac:dyDescent="0.25">
      <c r="A12" s="118">
        <v>2021</v>
      </c>
      <c r="B12" s="116">
        <f>AVERAGE($G$108:$G$119)</f>
        <v>22395.666666666668</v>
      </c>
      <c r="C12" s="116">
        <f>AVERAGE($I$108:$I$119)</f>
        <v>1836.5</v>
      </c>
      <c r="D12" s="116">
        <f>AVERAGE($L$108:$L$119)</f>
        <v>139.75</v>
      </c>
      <c r="E12" s="116">
        <f>AVERAGE($O$108:$O$119)</f>
        <v>377.66666666666669</v>
      </c>
      <c r="F12" s="116">
        <f>AVERAGE($R$108:$R$119)</f>
        <v>7115.166666666667</v>
      </c>
      <c r="G12" s="116">
        <f>AVERAGE($U$108:$U$119)</f>
        <v>255.83333333333334</v>
      </c>
      <c r="H12" s="116">
        <f>AVERAGE($X$108:$X$119)</f>
        <v>0</v>
      </c>
      <c r="I12" s="42"/>
      <c r="J12"/>
      <c r="K12"/>
      <c r="L12"/>
      <c r="M12" s="54"/>
      <c r="N12" s="54"/>
    </row>
    <row r="13" spans="1:21" x14ac:dyDescent="0.25">
      <c r="A13" s="118">
        <v>2022</v>
      </c>
      <c r="B13" s="116">
        <f>AVERAGE($G$120:$G$131)</f>
        <v>22849</v>
      </c>
      <c r="C13" s="116">
        <f>AVERAGE($I$120:$I$131)</f>
        <v>1838.0833333333333</v>
      </c>
      <c r="D13" s="116">
        <f>AVERAGE($L$120:$L$131)</f>
        <v>138.75</v>
      </c>
      <c r="E13" s="116">
        <f>AVERAGE($O$120:$O$131)</f>
        <v>344.91666666666669</v>
      </c>
      <c r="F13" s="116">
        <f>AVERAGE($R$120:$R$131)</f>
        <v>7186.166666666667</v>
      </c>
      <c r="G13" s="116">
        <f>AVERAGE($U$120:$U$131)</f>
        <v>252.08333333333334</v>
      </c>
      <c r="H13" s="116">
        <f>AVERAGE($X$120:$X$131)</f>
        <v>0</v>
      </c>
      <c r="I13" s="42"/>
      <c r="J13"/>
      <c r="K13"/>
      <c r="L13"/>
      <c r="M13" s="54"/>
      <c r="N13" s="54"/>
    </row>
    <row r="14" spans="1:21" x14ac:dyDescent="0.25">
      <c r="A14" s="118">
        <v>2023</v>
      </c>
      <c r="B14" s="116">
        <f>AVERAGE($G$132:$G$143)</f>
        <v>23410.333333333332</v>
      </c>
      <c r="C14" s="116">
        <f>AVERAGE($I$132:$I$143)</f>
        <v>1845.3333333333333</v>
      </c>
      <c r="D14" s="116">
        <f>AVERAGE($L$132:$L$143)</f>
        <v>142</v>
      </c>
      <c r="E14" s="116">
        <f>AVERAGE($O$132:$O$143)</f>
        <v>341.75</v>
      </c>
      <c r="F14" s="116">
        <f>AVERAGE($R$132:$R$143)</f>
        <v>7335.916666666667</v>
      </c>
      <c r="G14" s="116">
        <f>AVERAGE($U$132:$U$143)</f>
        <v>200.16666666666666</v>
      </c>
      <c r="H14" s="116">
        <f>AVERAGE($X$132:$X$143)</f>
        <v>0</v>
      </c>
      <c r="I14" s="42"/>
      <c r="J14"/>
      <c r="K14"/>
      <c r="L14"/>
      <c r="M14" s="54"/>
      <c r="N14" s="54"/>
    </row>
    <row r="15" spans="1:21" x14ac:dyDescent="0.25">
      <c r="A15" s="118" t="s">
        <v>134</v>
      </c>
      <c r="B15" s="116">
        <f>AVERAGE($G$144:$G$152)</f>
        <v>23876.222222222223</v>
      </c>
      <c r="C15" s="116">
        <f>AVERAGE($I$144:$I$152)</f>
        <v>1858.7777777777778</v>
      </c>
      <c r="D15" s="116">
        <f>AVERAGE($L$144:$L$152)</f>
        <v>148.22222222222223</v>
      </c>
      <c r="E15" s="116">
        <f>AVERAGE($O$144:$O$152)</f>
        <v>340.88888888888891</v>
      </c>
      <c r="F15" s="116">
        <f>AVERAGE($R$144:$R$152)</f>
        <v>7301.1111111111113</v>
      </c>
      <c r="G15" s="116">
        <f>AVERAGE($U$144:$U$152)</f>
        <v>196.33333333333334</v>
      </c>
      <c r="H15" s="116">
        <f>AVERAGE($X$144:$X$152)</f>
        <v>0</v>
      </c>
      <c r="I15"/>
      <c r="J15"/>
      <c r="K15"/>
      <c r="L15"/>
      <c r="M15"/>
      <c r="N15"/>
      <c r="O15"/>
      <c r="P15"/>
      <c r="Q15"/>
      <c r="R15"/>
      <c r="S15"/>
      <c r="T15"/>
    </row>
    <row r="16" spans="1:21" x14ac:dyDescent="0.25">
      <c r="A16"/>
      <c r="B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6" ht="16.5" customHeight="1" x14ac:dyDescent="0.25">
      <c r="A17"/>
      <c r="B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6" x14ac:dyDescent="0.25">
      <c r="A18"/>
      <c r="B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20" spans="1:26" ht="15.6" x14ac:dyDescent="0.25">
      <c r="A20" s="188" t="s">
        <v>72</v>
      </c>
      <c r="B20" s="188"/>
      <c r="C20" s="58"/>
      <c r="D20" s="188" t="s">
        <v>73</v>
      </c>
      <c r="E20" s="188"/>
      <c r="F20" s="188" t="s">
        <v>74</v>
      </c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</row>
    <row r="21" spans="1:26" ht="21" thickBot="1" x14ac:dyDescent="0.3">
      <c r="A21" s="119"/>
      <c r="B21" s="119"/>
      <c r="C21" s="60"/>
      <c r="D21" s="120" t="s">
        <v>75</v>
      </c>
      <c r="E21" s="121"/>
      <c r="F21" s="190" t="str">
        <f>B4</f>
        <v>Residential</v>
      </c>
      <c r="G21" s="191"/>
      <c r="H21" s="195" t="str">
        <f>C4</f>
        <v>General Service &lt; 50 kW</v>
      </c>
      <c r="I21" s="191"/>
      <c r="J21" s="195" t="str">
        <f>D4</f>
        <v>General Service &gt; 50 to 4999 kW</v>
      </c>
      <c r="K21" s="190"/>
      <c r="L21" s="191"/>
      <c r="M21" s="195" t="s">
        <v>68</v>
      </c>
      <c r="N21" s="190"/>
      <c r="O21" s="191"/>
      <c r="P21" s="195" t="s">
        <v>69</v>
      </c>
      <c r="Q21" s="190"/>
      <c r="R21" s="191"/>
      <c r="S21" s="189" t="s">
        <v>70</v>
      </c>
      <c r="T21" s="190"/>
      <c r="U21" s="191"/>
      <c r="V21" s="192" t="s">
        <v>114</v>
      </c>
      <c r="W21" s="193"/>
      <c r="X21" s="194" t="s">
        <v>71</v>
      </c>
    </row>
    <row r="22" spans="1:26" ht="31.2" thickBot="1" x14ac:dyDescent="0.3">
      <c r="A22" s="59"/>
      <c r="B22" s="59"/>
      <c r="C22" s="61"/>
      <c r="D22" s="122"/>
      <c r="E22" s="123"/>
      <c r="F22" s="124" t="s">
        <v>48</v>
      </c>
      <c r="G22" s="125" t="s">
        <v>76</v>
      </c>
      <c r="H22" s="122" t="s">
        <v>48</v>
      </c>
      <c r="I22" s="125" t="s">
        <v>76</v>
      </c>
      <c r="J22" s="122" t="s">
        <v>48</v>
      </c>
      <c r="K22" s="126" t="s">
        <v>49</v>
      </c>
      <c r="L22" s="125" t="s">
        <v>76</v>
      </c>
      <c r="M22" s="122" t="s">
        <v>48</v>
      </c>
      <c r="N22" s="126" t="s">
        <v>49</v>
      </c>
      <c r="O22" s="125" t="s">
        <v>77</v>
      </c>
      <c r="P22" s="122" t="s">
        <v>48</v>
      </c>
      <c r="Q22" s="126" t="s">
        <v>49</v>
      </c>
      <c r="R22" s="125" t="s">
        <v>76</v>
      </c>
      <c r="S22" s="122" t="s">
        <v>48</v>
      </c>
      <c r="T22" s="126" t="s">
        <v>49</v>
      </c>
      <c r="U22" s="125" t="s">
        <v>76</v>
      </c>
      <c r="V22" s="127" t="s">
        <v>48</v>
      </c>
      <c r="W22" s="128" t="s">
        <v>49</v>
      </c>
      <c r="X22" s="129" t="s">
        <v>76</v>
      </c>
    </row>
    <row r="23" spans="1:26" x14ac:dyDescent="0.25">
      <c r="A23" s="62" t="s">
        <v>60</v>
      </c>
      <c r="B23" s="62" t="s">
        <v>104</v>
      </c>
      <c r="C23" s="61"/>
      <c r="D23" s="63"/>
      <c r="E23" s="64"/>
      <c r="F23" s="65"/>
      <c r="G23" s="66"/>
      <c r="H23" s="67"/>
      <c r="I23" s="66"/>
      <c r="J23" s="67"/>
      <c r="K23" s="68"/>
      <c r="L23" s="69"/>
      <c r="M23" s="71"/>
      <c r="N23" s="72"/>
      <c r="O23" s="70"/>
      <c r="P23" s="71"/>
      <c r="Q23" s="73"/>
      <c r="R23" s="74"/>
      <c r="S23" s="71"/>
      <c r="T23" s="72"/>
      <c r="U23" s="66"/>
      <c r="V23" s="71"/>
      <c r="W23" s="72"/>
      <c r="X23" s="66"/>
    </row>
    <row r="24" spans="1:26" x14ac:dyDescent="0.25">
      <c r="A24" s="75">
        <v>2014</v>
      </c>
      <c r="B24" s="76" t="s">
        <v>78</v>
      </c>
      <c r="C24" s="77"/>
      <c r="D24" s="78">
        <f>40172298.1982667-(20367511*1.0045/12)</f>
        <v>38467367.798308365</v>
      </c>
      <c r="E24" s="78"/>
      <c r="F24" s="79"/>
      <c r="G24" s="80">
        <v>20441</v>
      </c>
      <c r="H24" s="78"/>
      <c r="I24" s="80">
        <v>1718</v>
      </c>
      <c r="J24" s="81"/>
      <c r="K24" s="82"/>
      <c r="L24" s="80">
        <v>169</v>
      </c>
      <c r="M24" s="78"/>
      <c r="N24" s="83"/>
      <c r="O24" s="80">
        <v>526</v>
      </c>
      <c r="P24" s="81"/>
      <c r="Q24" s="84"/>
      <c r="R24" s="80">
        <v>6776</v>
      </c>
      <c r="S24" s="81"/>
      <c r="T24" s="82"/>
      <c r="U24" s="80">
        <v>259</v>
      </c>
      <c r="V24" s="81"/>
      <c r="W24" s="82"/>
      <c r="X24" s="80"/>
      <c r="Z24" s="131"/>
    </row>
    <row r="25" spans="1:26" x14ac:dyDescent="0.25">
      <c r="A25" s="75">
        <v>2014</v>
      </c>
      <c r="B25" s="76" t="s">
        <v>79</v>
      </c>
      <c r="C25" s="85"/>
      <c r="D25" s="86">
        <f>35904108.9814667-(20367511*1.0045/12)</f>
        <v>34199178.581508368</v>
      </c>
      <c r="E25" s="86"/>
      <c r="F25" s="87"/>
      <c r="G25" s="88">
        <v>20438</v>
      </c>
      <c r="H25" s="86"/>
      <c r="I25" s="88">
        <v>1718</v>
      </c>
      <c r="J25" s="89"/>
      <c r="K25" s="90"/>
      <c r="L25" s="88">
        <v>169</v>
      </c>
      <c r="M25" s="86"/>
      <c r="N25" s="91"/>
      <c r="O25" s="88">
        <v>520</v>
      </c>
      <c r="P25" s="89"/>
      <c r="Q25" s="92"/>
      <c r="R25" s="88">
        <v>6772</v>
      </c>
      <c r="S25" s="89"/>
      <c r="T25" s="90"/>
      <c r="U25" s="88">
        <v>259</v>
      </c>
      <c r="V25" s="89"/>
      <c r="W25" s="90"/>
      <c r="X25" s="88"/>
      <c r="Z25" s="131"/>
    </row>
    <row r="26" spans="1:26" x14ac:dyDescent="0.25">
      <c r="A26" s="75">
        <v>2014</v>
      </c>
      <c r="B26" s="76" t="s">
        <v>80</v>
      </c>
      <c r="C26" s="85"/>
      <c r="D26" s="86">
        <f>37359874.4746667-(20367511*1.0045/12)</f>
        <v>35654944.074708365</v>
      </c>
      <c r="E26" s="86"/>
      <c r="F26" s="87"/>
      <c r="G26" s="88">
        <v>20443</v>
      </c>
      <c r="H26" s="86"/>
      <c r="I26" s="88">
        <v>1727</v>
      </c>
      <c r="J26" s="89"/>
      <c r="K26" s="90"/>
      <c r="L26" s="88">
        <v>169</v>
      </c>
      <c r="M26" s="86"/>
      <c r="N26" s="91"/>
      <c r="O26" s="88">
        <v>520</v>
      </c>
      <c r="P26" s="89"/>
      <c r="Q26" s="92"/>
      <c r="R26" s="88">
        <v>6772</v>
      </c>
      <c r="S26" s="89"/>
      <c r="T26" s="90"/>
      <c r="U26" s="88">
        <v>259</v>
      </c>
      <c r="V26" s="89"/>
      <c r="W26" s="90"/>
      <c r="X26" s="88"/>
      <c r="Z26" s="131"/>
    </row>
    <row r="27" spans="1:26" x14ac:dyDescent="0.25">
      <c r="A27" s="75">
        <v>2014</v>
      </c>
      <c r="B27" s="76" t="s">
        <v>81</v>
      </c>
      <c r="C27" s="85"/>
      <c r="D27" s="86">
        <f>29870903.2970667-(20367511*1.0045/12)</f>
        <v>28165972.897108365</v>
      </c>
      <c r="E27" s="86"/>
      <c r="F27" s="87"/>
      <c r="G27" s="88">
        <v>20434</v>
      </c>
      <c r="H27" s="86"/>
      <c r="I27" s="88">
        <v>1729</v>
      </c>
      <c r="J27" s="89"/>
      <c r="K27" s="90"/>
      <c r="L27" s="88">
        <v>170</v>
      </c>
      <c r="M27" s="86"/>
      <c r="N27" s="91"/>
      <c r="O27" s="88">
        <v>520</v>
      </c>
      <c r="P27" s="89"/>
      <c r="Q27" s="92"/>
      <c r="R27" s="88">
        <v>6775</v>
      </c>
      <c r="S27" s="89"/>
      <c r="T27" s="90"/>
      <c r="U27" s="88">
        <v>259</v>
      </c>
      <c r="V27" s="89"/>
      <c r="W27" s="90"/>
      <c r="X27" s="88"/>
      <c r="Z27" s="131"/>
    </row>
    <row r="28" spans="1:26" x14ac:dyDescent="0.25">
      <c r="A28" s="75">
        <v>2014</v>
      </c>
      <c r="B28" s="76" t="s">
        <v>47</v>
      </c>
      <c r="C28" s="85"/>
      <c r="D28" s="86">
        <f>27607357.3258667-(20367511*1.0045/12)</f>
        <v>25902426.925908364</v>
      </c>
      <c r="E28" s="86"/>
      <c r="F28" s="87"/>
      <c r="G28" s="88">
        <v>20431</v>
      </c>
      <c r="H28" s="86"/>
      <c r="I28" s="88">
        <v>1739</v>
      </c>
      <c r="J28" s="89"/>
      <c r="K28" s="90"/>
      <c r="L28" s="88">
        <v>165</v>
      </c>
      <c r="M28" s="86"/>
      <c r="N28" s="91"/>
      <c r="O28" s="88">
        <v>520</v>
      </c>
      <c r="P28" s="89"/>
      <c r="Q28" s="92"/>
      <c r="R28" s="88">
        <v>6784</v>
      </c>
      <c r="S28" s="89"/>
      <c r="T28" s="90"/>
      <c r="U28" s="88">
        <v>259</v>
      </c>
      <c r="V28" s="89"/>
      <c r="W28" s="90"/>
      <c r="X28" s="88"/>
      <c r="Z28" s="131"/>
    </row>
    <row r="29" spans="1:26" x14ac:dyDescent="0.25">
      <c r="A29" s="75">
        <v>2014</v>
      </c>
      <c r="B29" s="76" t="s">
        <v>82</v>
      </c>
      <c r="C29" s="85"/>
      <c r="D29" s="86">
        <f>32169591.3814667-(20367511*1.0045/12)</f>
        <v>30464660.981508367</v>
      </c>
      <c r="E29" s="86"/>
      <c r="F29" s="87"/>
      <c r="G29" s="88">
        <v>20440</v>
      </c>
      <c r="H29" s="86"/>
      <c r="I29" s="88">
        <v>1746</v>
      </c>
      <c r="J29" s="89"/>
      <c r="K29" s="90"/>
      <c r="L29" s="88">
        <v>164</v>
      </c>
      <c r="M29" s="86"/>
      <c r="N29" s="91"/>
      <c r="O29" s="88">
        <v>520</v>
      </c>
      <c r="P29" s="89"/>
      <c r="Q29" s="92"/>
      <c r="R29" s="88">
        <v>6786</v>
      </c>
      <c r="S29" s="89"/>
      <c r="T29" s="90"/>
      <c r="U29" s="88">
        <v>259</v>
      </c>
      <c r="V29" s="89"/>
      <c r="W29" s="90"/>
      <c r="X29" s="88"/>
      <c r="Z29" s="131"/>
    </row>
    <row r="30" spans="1:26" x14ac:dyDescent="0.25">
      <c r="A30" s="75">
        <v>2014</v>
      </c>
      <c r="B30" s="76" t="s">
        <v>83</v>
      </c>
      <c r="C30" s="85"/>
      <c r="D30" s="86">
        <f>33916845.7506667-(20367511*1.0045/12)</f>
        <v>32211915.350708365</v>
      </c>
      <c r="E30" s="86"/>
      <c r="F30" s="87"/>
      <c r="G30" s="88">
        <v>20457</v>
      </c>
      <c r="H30" s="86"/>
      <c r="I30" s="88">
        <v>1753</v>
      </c>
      <c r="J30" s="89"/>
      <c r="K30" s="90"/>
      <c r="L30" s="88">
        <v>164</v>
      </c>
      <c r="M30" s="86"/>
      <c r="N30" s="91"/>
      <c r="O30" s="88">
        <v>520</v>
      </c>
      <c r="P30" s="89"/>
      <c r="Q30" s="92"/>
      <c r="R30" s="88">
        <v>6786</v>
      </c>
      <c r="S30" s="89"/>
      <c r="T30" s="90"/>
      <c r="U30" s="88">
        <v>259</v>
      </c>
      <c r="V30" s="89"/>
      <c r="W30" s="90"/>
      <c r="X30" s="88"/>
      <c r="Z30" s="131"/>
    </row>
    <row r="31" spans="1:26" x14ac:dyDescent="0.25">
      <c r="A31" s="75">
        <v>2014</v>
      </c>
      <c r="B31" s="76" t="s">
        <v>84</v>
      </c>
      <c r="C31" s="85"/>
      <c r="D31" s="86">
        <f>33253613.1434667-(20367511*1.0045/12)</f>
        <v>31548682.743508365</v>
      </c>
      <c r="E31" s="86"/>
      <c r="F31" s="87"/>
      <c r="G31" s="88">
        <v>20468</v>
      </c>
      <c r="H31" s="86"/>
      <c r="I31" s="88">
        <v>1753</v>
      </c>
      <c r="J31" s="89"/>
      <c r="K31" s="90"/>
      <c r="L31" s="88">
        <v>164</v>
      </c>
      <c r="M31" s="86"/>
      <c r="N31" s="91"/>
      <c r="O31" s="88">
        <v>520</v>
      </c>
      <c r="P31" s="89"/>
      <c r="Q31" s="92"/>
      <c r="R31" s="88">
        <v>6787</v>
      </c>
      <c r="S31" s="89"/>
      <c r="T31" s="90"/>
      <c r="U31" s="88">
        <v>259</v>
      </c>
      <c r="V31" s="89"/>
      <c r="W31" s="90"/>
      <c r="X31" s="88"/>
      <c r="Z31" s="131"/>
    </row>
    <row r="32" spans="1:26" x14ac:dyDescent="0.25">
      <c r="A32" s="75">
        <v>2014</v>
      </c>
      <c r="B32" s="76" t="s">
        <v>85</v>
      </c>
      <c r="C32" s="85"/>
      <c r="D32" s="86">
        <f>28705908.1354667-(20367511*1.0045/12)</f>
        <v>27000977.735508364</v>
      </c>
      <c r="E32" s="86"/>
      <c r="F32" s="87"/>
      <c r="G32" s="88">
        <v>20496</v>
      </c>
      <c r="H32" s="86"/>
      <c r="I32" s="88">
        <v>1750</v>
      </c>
      <c r="J32" s="89"/>
      <c r="K32" s="90"/>
      <c r="L32" s="88">
        <v>164</v>
      </c>
      <c r="M32" s="86"/>
      <c r="N32" s="91"/>
      <c r="O32" s="88">
        <v>516</v>
      </c>
      <c r="P32" s="89"/>
      <c r="Q32" s="92"/>
      <c r="R32" s="88">
        <v>6794</v>
      </c>
      <c r="S32" s="89"/>
      <c r="T32" s="90"/>
      <c r="U32" s="88">
        <v>259</v>
      </c>
      <c r="V32" s="89"/>
      <c r="W32" s="90"/>
      <c r="X32" s="88"/>
      <c r="Z32" s="131"/>
    </row>
    <row r="33" spans="1:26" x14ac:dyDescent="0.25">
      <c r="A33" s="75">
        <v>2014</v>
      </c>
      <c r="B33" s="76" t="s">
        <v>86</v>
      </c>
      <c r="C33" s="85"/>
      <c r="D33" s="86">
        <f>29560489.8150667-(20367511*1.0045/12)</f>
        <v>27855559.415108364</v>
      </c>
      <c r="E33" s="86"/>
      <c r="F33" s="87"/>
      <c r="G33" s="88">
        <v>20532</v>
      </c>
      <c r="H33" s="86"/>
      <c r="I33" s="88">
        <v>1763</v>
      </c>
      <c r="J33" s="89"/>
      <c r="K33" s="90"/>
      <c r="L33" s="88">
        <v>164</v>
      </c>
      <c r="M33" s="86"/>
      <c r="N33" s="91"/>
      <c r="O33" s="88">
        <v>516</v>
      </c>
      <c r="P33" s="89"/>
      <c r="Q33" s="92"/>
      <c r="R33" s="88">
        <v>6797</v>
      </c>
      <c r="S33" s="89"/>
      <c r="T33" s="90"/>
      <c r="U33" s="88">
        <v>259</v>
      </c>
      <c r="V33" s="89"/>
      <c r="W33" s="90"/>
      <c r="X33" s="88"/>
      <c r="Z33" s="131"/>
    </row>
    <row r="34" spans="1:26" x14ac:dyDescent="0.25">
      <c r="A34" s="75">
        <v>2014</v>
      </c>
      <c r="B34" s="76" t="s">
        <v>87</v>
      </c>
      <c r="C34" s="85"/>
      <c r="D34" s="86">
        <f>30512368.4798667-(20367511*1.0045/12)</f>
        <v>28807438.079908364</v>
      </c>
      <c r="E34" s="86"/>
      <c r="F34" s="87"/>
      <c r="G34" s="88">
        <v>20537</v>
      </c>
      <c r="H34" s="86"/>
      <c r="I34" s="88">
        <v>1759</v>
      </c>
      <c r="J34" s="89"/>
      <c r="K34" s="90"/>
      <c r="L34" s="88">
        <v>161</v>
      </c>
      <c r="M34" s="86"/>
      <c r="N34" s="91"/>
      <c r="O34" s="88">
        <v>516</v>
      </c>
      <c r="P34" s="89"/>
      <c r="Q34" s="92"/>
      <c r="R34" s="88">
        <v>6790</v>
      </c>
      <c r="S34" s="89"/>
      <c r="T34" s="90"/>
      <c r="U34" s="88">
        <v>261</v>
      </c>
      <c r="V34" s="89"/>
      <c r="W34" s="90"/>
      <c r="X34" s="88"/>
      <c r="Z34" s="131"/>
    </row>
    <row r="35" spans="1:26" x14ac:dyDescent="0.25">
      <c r="A35" s="75">
        <v>2014</v>
      </c>
      <c r="B35" s="76" t="s">
        <v>88</v>
      </c>
      <c r="C35" s="85"/>
      <c r="D35" s="86">
        <f>32708611.1190667-(20367511*1.0045/12)</f>
        <v>31003680.719108365</v>
      </c>
      <c r="E35" s="86"/>
      <c r="F35" s="87">
        <v>158185053</v>
      </c>
      <c r="G35" s="88">
        <v>20549</v>
      </c>
      <c r="H35" s="86">
        <v>53903009</v>
      </c>
      <c r="I35" s="88">
        <v>1759</v>
      </c>
      <c r="J35" s="89">
        <v>144192534</v>
      </c>
      <c r="K35" s="90">
        <v>402375</v>
      </c>
      <c r="L35" s="88">
        <v>161</v>
      </c>
      <c r="M35" s="86">
        <v>767199</v>
      </c>
      <c r="N35" s="91">
        <v>2120</v>
      </c>
      <c r="O35" s="88">
        <v>516</v>
      </c>
      <c r="P35" s="89">
        <v>2503378</v>
      </c>
      <c r="Q35" s="92">
        <v>6992</v>
      </c>
      <c r="R35" s="88">
        <v>6793</v>
      </c>
      <c r="S35" s="89">
        <v>966945</v>
      </c>
      <c r="T35" s="90"/>
      <c r="U35" s="88">
        <v>261</v>
      </c>
      <c r="V35" s="89"/>
      <c r="W35" s="90"/>
      <c r="X35" s="88"/>
      <c r="Z35" s="131"/>
    </row>
    <row r="36" spans="1:26" x14ac:dyDescent="0.25">
      <c r="A36" s="75">
        <v>2015</v>
      </c>
      <c r="B36" s="76" t="s">
        <v>78</v>
      </c>
      <c r="C36" s="85"/>
      <c r="D36" s="78">
        <f>35265002.0265333-(277079*1.0045)</f>
        <v>34986676.1710333</v>
      </c>
      <c r="E36" s="78"/>
      <c r="F36" s="79"/>
      <c r="G36" s="80">
        <v>20560</v>
      </c>
      <c r="H36" s="78"/>
      <c r="I36" s="80">
        <v>1762</v>
      </c>
      <c r="J36" s="81"/>
      <c r="K36" s="82"/>
      <c r="L36" s="80">
        <v>162</v>
      </c>
      <c r="M36" s="78"/>
      <c r="N36" s="83"/>
      <c r="O36" s="80">
        <v>516</v>
      </c>
      <c r="P36" s="81"/>
      <c r="Q36" s="84"/>
      <c r="R36" s="80">
        <v>6793</v>
      </c>
      <c r="S36" s="81"/>
      <c r="T36" s="82"/>
      <c r="U36" s="80">
        <v>259</v>
      </c>
      <c r="V36" s="81"/>
      <c r="W36" s="82"/>
      <c r="X36" s="80">
        <v>0</v>
      </c>
      <c r="Z36" s="131"/>
    </row>
    <row r="37" spans="1:26" x14ac:dyDescent="0.25">
      <c r="A37" s="75">
        <v>2015</v>
      </c>
      <c r="B37" s="76" t="s">
        <v>79</v>
      </c>
      <c r="C37" s="85"/>
      <c r="D37" s="86">
        <v>32520528.185333334</v>
      </c>
      <c r="E37" s="86"/>
      <c r="F37" s="87"/>
      <c r="G37" s="88">
        <v>20563</v>
      </c>
      <c r="H37" s="86"/>
      <c r="I37" s="88">
        <v>1755</v>
      </c>
      <c r="J37" s="89"/>
      <c r="K37" s="90"/>
      <c r="L37" s="88">
        <v>162</v>
      </c>
      <c r="M37" s="86"/>
      <c r="N37" s="91"/>
      <c r="O37" s="88">
        <v>515</v>
      </c>
      <c r="P37" s="89"/>
      <c r="Q37" s="92"/>
      <c r="R37" s="88">
        <v>6793</v>
      </c>
      <c r="S37" s="89"/>
      <c r="T37" s="90"/>
      <c r="U37" s="88">
        <v>259</v>
      </c>
      <c r="V37" s="89"/>
      <c r="W37" s="90"/>
      <c r="X37" s="88">
        <v>0</v>
      </c>
      <c r="Z37" s="131"/>
    </row>
    <row r="38" spans="1:26" x14ac:dyDescent="0.25">
      <c r="A38" s="75">
        <v>2015</v>
      </c>
      <c r="B38" s="76" t="s">
        <v>80</v>
      </c>
      <c r="C38" s="85"/>
      <c r="D38" s="86">
        <v>32214658.640933331</v>
      </c>
      <c r="E38" s="86"/>
      <c r="F38" s="87"/>
      <c r="G38" s="88">
        <v>20583</v>
      </c>
      <c r="H38" s="86"/>
      <c r="I38" s="88">
        <v>1757</v>
      </c>
      <c r="J38" s="89"/>
      <c r="K38" s="90"/>
      <c r="L38" s="88">
        <v>162</v>
      </c>
      <c r="M38" s="86"/>
      <c r="N38" s="91"/>
      <c r="O38" s="88">
        <v>515</v>
      </c>
      <c r="P38" s="89"/>
      <c r="Q38" s="92"/>
      <c r="R38" s="88">
        <v>6787</v>
      </c>
      <c r="S38" s="89"/>
      <c r="T38" s="90"/>
      <c r="U38" s="88">
        <v>259</v>
      </c>
      <c r="V38" s="89"/>
      <c r="W38" s="90"/>
      <c r="X38" s="88">
        <v>0</v>
      </c>
      <c r="Z38" s="131"/>
    </row>
    <row r="39" spans="1:26" x14ac:dyDescent="0.25">
      <c r="A39" s="75">
        <v>2015</v>
      </c>
      <c r="B39" s="76" t="s">
        <v>81</v>
      </c>
      <c r="C39" s="85"/>
      <c r="D39" s="86">
        <v>27411226.508933332</v>
      </c>
      <c r="E39" s="86"/>
      <c r="F39" s="87"/>
      <c r="G39" s="88">
        <v>20608</v>
      </c>
      <c r="H39" s="86"/>
      <c r="I39" s="88">
        <v>1765</v>
      </c>
      <c r="J39" s="89"/>
      <c r="K39" s="90"/>
      <c r="L39" s="88">
        <v>164</v>
      </c>
      <c r="M39" s="86"/>
      <c r="N39" s="91"/>
      <c r="O39" s="88">
        <v>515</v>
      </c>
      <c r="P39" s="89"/>
      <c r="Q39" s="92"/>
      <c r="R39" s="88">
        <v>6789</v>
      </c>
      <c r="S39" s="89"/>
      <c r="T39" s="90"/>
      <c r="U39" s="88">
        <v>257</v>
      </c>
      <c r="V39" s="89"/>
      <c r="W39" s="90"/>
      <c r="X39" s="88">
        <v>0</v>
      </c>
      <c r="Z39" s="131"/>
    </row>
    <row r="40" spans="1:26" x14ac:dyDescent="0.25">
      <c r="A40" s="75">
        <v>2015</v>
      </c>
      <c r="B40" s="76" t="s">
        <v>47</v>
      </c>
      <c r="C40" s="85"/>
      <c r="D40" s="86">
        <v>28734001.131733332</v>
      </c>
      <c r="E40" s="86"/>
      <c r="F40" s="87"/>
      <c r="G40" s="88">
        <v>20599</v>
      </c>
      <c r="H40" s="86"/>
      <c r="I40" s="88">
        <v>1770</v>
      </c>
      <c r="J40" s="89"/>
      <c r="K40" s="90"/>
      <c r="L40" s="88">
        <v>157</v>
      </c>
      <c r="M40" s="86"/>
      <c r="N40" s="91"/>
      <c r="O40" s="88">
        <v>515</v>
      </c>
      <c r="P40" s="89"/>
      <c r="Q40" s="92"/>
      <c r="R40" s="88">
        <v>6790</v>
      </c>
      <c r="S40" s="89"/>
      <c r="T40" s="90"/>
      <c r="U40" s="88">
        <v>257</v>
      </c>
      <c r="V40" s="89"/>
      <c r="W40" s="90"/>
      <c r="X40" s="88">
        <v>0</v>
      </c>
      <c r="Z40" s="131"/>
    </row>
    <row r="41" spans="1:26" x14ac:dyDescent="0.25">
      <c r="A41" s="75">
        <v>2015</v>
      </c>
      <c r="B41" s="76" t="s">
        <v>82</v>
      </c>
      <c r="C41" s="85"/>
      <c r="D41" s="86">
        <v>29750992.611733332</v>
      </c>
      <c r="E41" s="86"/>
      <c r="F41" s="87"/>
      <c r="G41" s="88">
        <v>20605</v>
      </c>
      <c r="H41" s="86"/>
      <c r="I41" s="88">
        <v>1773</v>
      </c>
      <c r="J41" s="89"/>
      <c r="K41" s="90"/>
      <c r="L41" s="88">
        <v>157</v>
      </c>
      <c r="M41" s="86"/>
      <c r="N41" s="91"/>
      <c r="O41" s="88">
        <v>515</v>
      </c>
      <c r="P41" s="89"/>
      <c r="Q41" s="92"/>
      <c r="R41" s="88">
        <v>6793</v>
      </c>
      <c r="S41" s="89"/>
      <c r="T41" s="90"/>
      <c r="U41" s="88">
        <v>257</v>
      </c>
      <c r="V41" s="89"/>
      <c r="W41" s="90"/>
      <c r="X41" s="88">
        <v>0</v>
      </c>
      <c r="Z41" s="131"/>
    </row>
    <row r="42" spans="1:26" x14ac:dyDescent="0.25">
      <c r="A42" s="75">
        <v>2015</v>
      </c>
      <c r="B42" s="76" t="s">
        <v>83</v>
      </c>
      <c r="C42" s="85"/>
      <c r="D42" s="86">
        <v>35319999.557733327</v>
      </c>
      <c r="E42" s="86"/>
      <c r="F42" s="87"/>
      <c r="G42" s="88">
        <v>20630</v>
      </c>
      <c r="H42" s="86"/>
      <c r="I42" s="88">
        <v>1773</v>
      </c>
      <c r="J42" s="89"/>
      <c r="K42" s="90"/>
      <c r="L42" s="88">
        <v>157</v>
      </c>
      <c r="M42" s="86"/>
      <c r="N42" s="91"/>
      <c r="O42" s="88">
        <v>515</v>
      </c>
      <c r="P42" s="89"/>
      <c r="Q42" s="92"/>
      <c r="R42" s="88">
        <v>6793</v>
      </c>
      <c r="S42" s="89"/>
      <c r="T42" s="90"/>
      <c r="U42" s="88">
        <v>256</v>
      </c>
      <c r="V42" s="89"/>
      <c r="W42" s="90"/>
      <c r="X42" s="88">
        <v>0</v>
      </c>
      <c r="Z42" s="131"/>
    </row>
    <row r="43" spans="1:26" x14ac:dyDescent="0.25">
      <c r="A43" s="75">
        <v>2015</v>
      </c>
      <c r="B43" s="76" t="s">
        <v>84</v>
      </c>
      <c r="C43" s="85"/>
      <c r="D43" s="86">
        <v>33778593.432533331</v>
      </c>
      <c r="E43" s="86"/>
      <c r="F43" s="87"/>
      <c r="G43" s="88">
        <v>20656</v>
      </c>
      <c r="H43" s="86"/>
      <c r="I43" s="88">
        <v>1775</v>
      </c>
      <c r="J43" s="89"/>
      <c r="K43" s="90"/>
      <c r="L43" s="88">
        <v>157</v>
      </c>
      <c r="M43" s="86"/>
      <c r="N43" s="91"/>
      <c r="O43" s="88">
        <v>515</v>
      </c>
      <c r="P43" s="89"/>
      <c r="Q43" s="92"/>
      <c r="R43" s="88">
        <v>6793</v>
      </c>
      <c r="S43" s="89"/>
      <c r="T43" s="90"/>
      <c r="U43" s="88">
        <v>256</v>
      </c>
      <c r="V43" s="89"/>
      <c r="W43" s="90"/>
      <c r="X43" s="88">
        <v>0</v>
      </c>
      <c r="Z43" s="131"/>
    </row>
    <row r="44" spans="1:26" x14ac:dyDescent="0.25">
      <c r="A44" s="75">
        <v>2015</v>
      </c>
      <c r="B44" s="76" t="s">
        <v>85</v>
      </c>
      <c r="C44" s="85"/>
      <c r="D44" s="86">
        <v>32399240.260533333</v>
      </c>
      <c r="E44" s="86"/>
      <c r="F44" s="87"/>
      <c r="G44" s="88">
        <v>20669</v>
      </c>
      <c r="H44" s="86"/>
      <c r="I44" s="88">
        <v>1779</v>
      </c>
      <c r="J44" s="89"/>
      <c r="K44" s="90"/>
      <c r="L44" s="88">
        <v>158</v>
      </c>
      <c r="M44" s="86"/>
      <c r="N44" s="91"/>
      <c r="O44" s="88">
        <v>515</v>
      </c>
      <c r="P44" s="89"/>
      <c r="Q44" s="92"/>
      <c r="R44" s="88">
        <v>6794</v>
      </c>
      <c r="S44" s="89"/>
      <c r="T44" s="90"/>
      <c r="U44" s="88">
        <v>255</v>
      </c>
      <c r="V44" s="89"/>
      <c r="W44" s="90"/>
      <c r="X44" s="88">
        <v>0</v>
      </c>
      <c r="Z44" s="131"/>
    </row>
    <row r="45" spans="1:26" x14ac:dyDescent="0.25">
      <c r="A45" s="75">
        <v>2015</v>
      </c>
      <c r="B45" s="76" t="s">
        <v>86</v>
      </c>
      <c r="C45" s="85"/>
      <c r="D45" s="86">
        <v>27207724.193333331</v>
      </c>
      <c r="E45" s="86"/>
      <c r="F45" s="87"/>
      <c r="G45" s="88">
        <v>20698</v>
      </c>
      <c r="H45" s="86"/>
      <c r="I45" s="88">
        <v>1772</v>
      </c>
      <c r="J45" s="89"/>
      <c r="K45" s="90"/>
      <c r="L45" s="88">
        <v>156</v>
      </c>
      <c r="M45" s="86"/>
      <c r="N45" s="91"/>
      <c r="O45" s="88">
        <v>515</v>
      </c>
      <c r="P45" s="89"/>
      <c r="Q45" s="92"/>
      <c r="R45" s="88">
        <v>6794</v>
      </c>
      <c r="S45" s="89"/>
      <c r="T45" s="90"/>
      <c r="U45" s="88">
        <v>255</v>
      </c>
      <c r="V45" s="89"/>
      <c r="W45" s="90"/>
      <c r="X45" s="88">
        <v>0</v>
      </c>
      <c r="Z45" s="131"/>
    </row>
    <row r="46" spans="1:26" x14ac:dyDescent="0.25">
      <c r="A46" s="75">
        <v>2015</v>
      </c>
      <c r="B46" s="76" t="s">
        <v>87</v>
      </c>
      <c r="C46" s="85"/>
      <c r="D46" s="86">
        <v>27907416.640533332</v>
      </c>
      <c r="E46" s="86"/>
      <c r="F46" s="87"/>
      <c r="G46" s="88">
        <v>20720</v>
      </c>
      <c r="H46" s="86"/>
      <c r="I46" s="88">
        <v>1773</v>
      </c>
      <c r="J46" s="89"/>
      <c r="K46" s="90"/>
      <c r="L46" s="88">
        <v>157</v>
      </c>
      <c r="M46" s="86"/>
      <c r="N46" s="91"/>
      <c r="O46" s="88">
        <v>515</v>
      </c>
      <c r="P46" s="89"/>
      <c r="Q46" s="92"/>
      <c r="R46" s="88">
        <v>6796</v>
      </c>
      <c r="S46" s="89"/>
      <c r="T46" s="90"/>
      <c r="U46" s="88">
        <v>255</v>
      </c>
      <c r="V46" s="89"/>
      <c r="W46" s="90"/>
      <c r="X46" s="88">
        <v>0</v>
      </c>
      <c r="Z46" s="131"/>
    </row>
    <row r="47" spans="1:26" x14ac:dyDescent="0.25">
      <c r="A47" s="75">
        <v>2015</v>
      </c>
      <c r="B47" s="76" t="s">
        <v>88</v>
      </c>
      <c r="C47" s="85"/>
      <c r="D47" s="86">
        <v>30150193.52733333</v>
      </c>
      <c r="E47" s="86"/>
      <c r="F47" s="87">
        <v>157973719</v>
      </c>
      <c r="G47" s="88">
        <v>20735</v>
      </c>
      <c r="H47" s="86">
        <v>54312604</v>
      </c>
      <c r="I47" s="88">
        <v>1775</v>
      </c>
      <c r="J47" s="89">
        <v>139796962</v>
      </c>
      <c r="K47" s="90">
        <v>402768</v>
      </c>
      <c r="L47" s="88">
        <v>157</v>
      </c>
      <c r="M47" s="86">
        <v>753964</v>
      </c>
      <c r="N47" s="91">
        <v>2077</v>
      </c>
      <c r="O47" s="88">
        <v>515</v>
      </c>
      <c r="P47" s="89">
        <v>2284687</v>
      </c>
      <c r="Q47" s="92">
        <v>6476</v>
      </c>
      <c r="R47" s="88">
        <v>6796</v>
      </c>
      <c r="S47" s="89">
        <v>970041</v>
      </c>
      <c r="T47" s="90"/>
      <c r="U47" s="88">
        <v>255</v>
      </c>
      <c r="V47" s="89"/>
      <c r="W47" s="90"/>
      <c r="X47" s="88">
        <v>0</v>
      </c>
      <c r="Z47" s="131"/>
    </row>
    <row r="48" spans="1:26" x14ac:dyDescent="0.25">
      <c r="A48" s="75">
        <v>2016</v>
      </c>
      <c r="B48" s="76" t="s">
        <v>78</v>
      </c>
      <c r="C48" s="85"/>
      <c r="D48" s="78">
        <v>33030100.046666667</v>
      </c>
      <c r="E48" s="78"/>
      <c r="F48" s="79"/>
      <c r="G48" s="80">
        <v>20753</v>
      </c>
      <c r="H48" s="78"/>
      <c r="I48" s="80">
        <v>1760</v>
      </c>
      <c r="J48" s="81"/>
      <c r="K48" s="82"/>
      <c r="L48" s="80">
        <v>157</v>
      </c>
      <c r="M48" s="78"/>
      <c r="N48" s="83"/>
      <c r="O48" s="80">
        <v>514</v>
      </c>
      <c r="P48" s="81"/>
      <c r="Q48" s="84"/>
      <c r="R48" s="80">
        <v>6821</v>
      </c>
      <c r="S48" s="81"/>
      <c r="T48" s="82"/>
      <c r="U48" s="80">
        <v>259</v>
      </c>
      <c r="V48" s="81"/>
      <c r="W48" s="82"/>
      <c r="X48" s="80">
        <v>0</v>
      </c>
      <c r="Z48" s="131"/>
    </row>
    <row r="49" spans="1:26" x14ac:dyDescent="0.25">
      <c r="A49" s="75">
        <v>2016</v>
      </c>
      <c r="B49" s="76" t="s">
        <v>79</v>
      </c>
      <c r="C49" s="85"/>
      <c r="D49" s="86">
        <v>30335368.476666667</v>
      </c>
      <c r="E49" s="86"/>
      <c r="F49" s="87"/>
      <c r="G49" s="88">
        <v>20779</v>
      </c>
      <c r="H49" s="86"/>
      <c r="I49" s="88">
        <v>1760</v>
      </c>
      <c r="J49" s="89"/>
      <c r="K49" s="90"/>
      <c r="L49" s="88">
        <v>156</v>
      </c>
      <c r="M49" s="86"/>
      <c r="N49" s="91"/>
      <c r="O49" s="88">
        <v>513</v>
      </c>
      <c r="P49" s="89"/>
      <c r="Q49" s="92"/>
      <c r="R49" s="88">
        <v>6825</v>
      </c>
      <c r="S49" s="89"/>
      <c r="T49" s="90"/>
      <c r="U49" s="88">
        <v>259</v>
      </c>
      <c r="V49" s="89"/>
      <c r="W49" s="90"/>
      <c r="X49" s="88">
        <v>0</v>
      </c>
      <c r="Z49" s="131"/>
    </row>
    <row r="50" spans="1:26" x14ac:dyDescent="0.25">
      <c r="A50" s="75">
        <v>2016</v>
      </c>
      <c r="B50" s="76" t="s">
        <v>80</v>
      </c>
      <c r="C50" s="85"/>
      <c r="D50" s="86">
        <v>29470505.726666667</v>
      </c>
      <c r="E50" s="86"/>
      <c r="F50" s="87"/>
      <c r="G50" s="88">
        <v>20778</v>
      </c>
      <c r="H50" s="86"/>
      <c r="I50" s="88">
        <v>1764</v>
      </c>
      <c r="J50" s="89"/>
      <c r="K50" s="90"/>
      <c r="L50" s="88">
        <v>157</v>
      </c>
      <c r="M50" s="86"/>
      <c r="N50" s="91"/>
      <c r="O50" s="88">
        <v>512</v>
      </c>
      <c r="P50" s="89"/>
      <c r="Q50" s="92"/>
      <c r="R50" s="88">
        <v>6825</v>
      </c>
      <c r="S50" s="89"/>
      <c r="T50" s="90"/>
      <c r="U50" s="88">
        <v>259</v>
      </c>
      <c r="V50" s="89"/>
      <c r="W50" s="90"/>
      <c r="X50" s="88">
        <v>0</v>
      </c>
      <c r="Z50" s="131"/>
    </row>
    <row r="51" spans="1:26" x14ac:dyDescent="0.25">
      <c r="A51" s="75">
        <v>2016</v>
      </c>
      <c r="B51" s="76" t="s">
        <v>81</v>
      </c>
      <c r="C51" s="85"/>
      <c r="D51" s="86">
        <v>27500006.806666669</v>
      </c>
      <c r="E51" s="86"/>
      <c r="F51" s="87"/>
      <c r="G51" s="88">
        <v>20791</v>
      </c>
      <c r="H51" s="86"/>
      <c r="I51" s="88">
        <v>1767</v>
      </c>
      <c r="J51" s="89"/>
      <c r="K51" s="90"/>
      <c r="L51" s="88">
        <v>159</v>
      </c>
      <c r="M51" s="86"/>
      <c r="N51" s="91"/>
      <c r="O51" s="88">
        <v>511</v>
      </c>
      <c r="P51" s="89"/>
      <c r="Q51" s="92"/>
      <c r="R51" s="88">
        <v>6825</v>
      </c>
      <c r="S51" s="89"/>
      <c r="T51" s="90"/>
      <c r="U51" s="88">
        <v>259</v>
      </c>
      <c r="V51" s="89"/>
      <c r="W51" s="90"/>
      <c r="X51" s="88">
        <v>0</v>
      </c>
      <c r="Z51" s="131"/>
    </row>
    <row r="52" spans="1:26" x14ac:dyDescent="0.25">
      <c r="A52" s="75">
        <v>2016</v>
      </c>
      <c r="B52" s="76" t="s">
        <v>47</v>
      </c>
      <c r="C52" s="85"/>
      <c r="D52" s="86">
        <v>28052824.666666668</v>
      </c>
      <c r="E52" s="86"/>
      <c r="F52" s="87"/>
      <c r="G52" s="88">
        <v>20791</v>
      </c>
      <c r="H52" s="86"/>
      <c r="I52" s="88">
        <v>1772</v>
      </c>
      <c r="J52" s="89"/>
      <c r="K52" s="90"/>
      <c r="L52" s="88">
        <v>159</v>
      </c>
      <c r="M52" s="86"/>
      <c r="N52" s="91"/>
      <c r="O52" s="88">
        <v>510</v>
      </c>
      <c r="P52" s="89"/>
      <c r="Q52" s="92"/>
      <c r="R52" s="88">
        <v>6825</v>
      </c>
      <c r="S52" s="89"/>
      <c r="T52" s="90"/>
      <c r="U52" s="88">
        <v>259</v>
      </c>
      <c r="V52" s="89"/>
      <c r="W52" s="90"/>
      <c r="X52" s="88">
        <v>0</v>
      </c>
      <c r="Z52" s="131"/>
    </row>
    <row r="53" spans="1:26" x14ac:dyDescent="0.25">
      <c r="A53" s="75">
        <v>2016</v>
      </c>
      <c r="B53" s="76" t="s">
        <v>82</v>
      </c>
      <c r="C53" s="85"/>
      <c r="D53" s="86">
        <v>31979033.996666666</v>
      </c>
      <c r="E53" s="86"/>
      <c r="F53" s="87"/>
      <c r="G53" s="88">
        <v>20805</v>
      </c>
      <c r="H53" s="86"/>
      <c r="I53" s="88">
        <v>1770</v>
      </c>
      <c r="J53" s="89"/>
      <c r="K53" s="90"/>
      <c r="L53" s="88">
        <v>158</v>
      </c>
      <c r="M53" s="86"/>
      <c r="N53" s="91"/>
      <c r="O53" s="88">
        <v>509</v>
      </c>
      <c r="P53" s="89"/>
      <c r="Q53" s="92"/>
      <c r="R53" s="88">
        <v>6825</v>
      </c>
      <c r="S53" s="89"/>
      <c r="T53" s="90"/>
      <c r="U53" s="88">
        <v>259</v>
      </c>
      <c r="V53" s="89"/>
      <c r="W53" s="90"/>
      <c r="X53" s="88">
        <v>0</v>
      </c>
      <c r="Z53" s="131"/>
    </row>
    <row r="54" spans="1:26" x14ac:dyDescent="0.25">
      <c r="A54" s="75">
        <v>2016</v>
      </c>
      <c r="B54" s="76" t="s">
        <v>83</v>
      </c>
      <c r="C54" s="85"/>
      <c r="D54" s="86">
        <v>38582728.506666668</v>
      </c>
      <c r="E54" s="86"/>
      <c r="F54" s="87"/>
      <c r="G54" s="88">
        <v>20835</v>
      </c>
      <c r="H54" s="86"/>
      <c r="I54" s="88">
        <v>1768</v>
      </c>
      <c r="J54" s="89"/>
      <c r="K54" s="90"/>
      <c r="L54" s="88">
        <v>158</v>
      </c>
      <c r="M54" s="86"/>
      <c r="N54" s="91"/>
      <c r="O54" s="88">
        <v>508</v>
      </c>
      <c r="P54" s="89"/>
      <c r="Q54" s="92"/>
      <c r="R54" s="88">
        <v>6825</v>
      </c>
      <c r="S54" s="89"/>
      <c r="T54" s="90"/>
      <c r="U54" s="88">
        <v>259</v>
      </c>
      <c r="V54" s="89"/>
      <c r="W54" s="90"/>
      <c r="X54" s="88">
        <v>0</v>
      </c>
      <c r="Z54" s="131"/>
    </row>
    <row r="55" spans="1:26" x14ac:dyDescent="0.25">
      <c r="A55" s="75">
        <v>2016</v>
      </c>
      <c r="B55" s="76" t="s">
        <v>84</v>
      </c>
      <c r="C55" s="85"/>
      <c r="D55" s="86">
        <v>41437079.986666664</v>
      </c>
      <c r="E55" s="86"/>
      <c r="F55" s="87"/>
      <c r="G55" s="88">
        <v>20842</v>
      </c>
      <c r="H55" s="86"/>
      <c r="I55" s="88">
        <v>1774</v>
      </c>
      <c r="J55" s="89"/>
      <c r="K55" s="90"/>
      <c r="L55" s="88">
        <v>159</v>
      </c>
      <c r="M55" s="86"/>
      <c r="N55" s="91"/>
      <c r="O55" s="88">
        <v>507</v>
      </c>
      <c r="P55" s="89"/>
      <c r="Q55" s="92"/>
      <c r="R55" s="88">
        <v>6825</v>
      </c>
      <c r="S55" s="89"/>
      <c r="T55" s="90"/>
      <c r="U55" s="88">
        <v>263</v>
      </c>
      <c r="V55" s="89"/>
      <c r="W55" s="90"/>
      <c r="X55" s="88">
        <v>0</v>
      </c>
      <c r="Z55" s="131"/>
    </row>
    <row r="56" spans="1:26" x14ac:dyDescent="0.25">
      <c r="A56" s="75">
        <v>2016</v>
      </c>
      <c r="B56" s="76" t="s">
        <v>85</v>
      </c>
      <c r="C56" s="85"/>
      <c r="D56" s="86">
        <v>31887811.926666666</v>
      </c>
      <c r="E56" s="86"/>
      <c r="F56" s="87"/>
      <c r="G56" s="88">
        <v>20849</v>
      </c>
      <c r="H56" s="86"/>
      <c r="I56" s="88">
        <v>1775</v>
      </c>
      <c r="J56" s="89"/>
      <c r="K56" s="90"/>
      <c r="L56" s="88">
        <v>160</v>
      </c>
      <c r="M56" s="86"/>
      <c r="N56" s="91"/>
      <c r="O56" s="88">
        <v>506</v>
      </c>
      <c r="P56" s="89"/>
      <c r="Q56" s="92"/>
      <c r="R56" s="88">
        <v>6825</v>
      </c>
      <c r="S56" s="89"/>
      <c r="T56" s="90"/>
      <c r="U56" s="88">
        <v>265</v>
      </c>
      <c r="V56" s="89"/>
      <c r="W56" s="90"/>
      <c r="X56" s="88">
        <v>0</v>
      </c>
      <c r="Z56" s="131"/>
    </row>
    <row r="57" spans="1:26" x14ac:dyDescent="0.25">
      <c r="A57" s="75">
        <v>2016</v>
      </c>
      <c r="B57" s="76" t="s">
        <v>86</v>
      </c>
      <c r="C57" s="85"/>
      <c r="D57" s="86">
        <v>27632019.866666667</v>
      </c>
      <c r="E57" s="86"/>
      <c r="F57" s="87"/>
      <c r="G57" s="88">
        <v>20857</v>
      </c>
      <c r="H57" s="86"/>
      <c r="I57" s="88">
        <v>1775</v>
      </c>
      <c r="J57" s="89"/>
      <c r="K57" s="90"/>
      <c r="L57" s="88">
        <v>161</v>
      </c>
      <c r="M57" s="86"/>
      <c r="N57" s="91"/>
      <c r="O57" s="88">
        <v>506</v>
      </c>
      <c r="P57" s="89"/>
      <c r="Q57" s="92"/>
      <c r="R57" s="88">
        <v>6825</v>
      </c>
      <c r="S57" s="89"/>
      <c r="T57" s="90"/>
      <c r="U57" s="88">
        <v>265</v>
      </c>
      <c r="V57" s="89"/>
      <c r="W57" s="90"/>
      <c r="X57" s="88">
        <v>0</v>
      </c>
      <c r="Z57" s="131"/>
    </row>
    <row r="58" spans="1:26" x14ac:dyDescent="0.25">
      <c r="A58" s="75">
        <v>2016</v>
      </c>
      <c r="B58" s="76" t="s">
        <v>87</v>
      </c>
      <c r="C58" s="85"/>
      <c r="D58" s="86">
        <v>28072689.79275357</v>
      </c>
      <c r="E58" s="86"/>
      <c r="F58" s="87"/>
      <c r="G58" s="88">
        <v>20883</v>
      </c>
      <c r="H58" s="86"/>
      <c r="I58" s="88">
        <v>1779</v>
      </c>
      <c r="J58" s="89"/>
      <c r="K58" s="90"/>
      <c r="L58" s="88">
        <v>162</v>
      </c>
      <c r="M58" s="86"/>
      <c r="N58" s="91"/>
      <c r="O58" s="88">
        <v>505</v>
      </c>
      <c r="P58" s="89"/>
      <c r="Q58" s="92"/>
      <c r="R58" s="88">
        <v>6825</v>
      </c>
      <c r="S58" s="89"/>
      <c r="T58" s="90"/>
      <c r="U58" s="88">
        <v>265</v>
      </c>
      <c r="V58" s="89"/>
      <c r="W58" s="90"/>
      <c r="X58" s="88">
        <v>0</v>
      </c>
      <c r="Z58" s="131"/>
    </row>
    <row r="59" spans="1:26" x14ac:dyDescent="0.25">
      <c r="A59" s="75">
        <v>2016</v>
      </c>
      <c r="B59" s="76" t="s">
        <v>88</v>
      </c>
      <c r="C59" s="85"/>
      <c r="D59" s="86">
        <v>32042035.384939767</v>
      </c>
      <c r="E59" s="86"/>
      <c r="F59" s="87">
        <v>163109690</v>
      </c>
      <c r="G59" s="88">
        <v>20907</v>
      </c>
      <c r="H59" s="86">
        <v>53545593</v>
      </c>
      <c r="I59" s="88">
        <v>1783</v>
      </c>
      <c r="J59" s="89">
        <v>143431671</v>
      </c>
      <c r="K59" s="90">
        <v>396528</v>
      </c>
      <c r="L59" s="88">
        <v>162</v>
      </c>
      <c r="M59" s="86">
        <v>749437</v>
      </c>
      <c r="N59" s="91">
        <v>2061</v>
      </c>
      <c r="O59" s="88">
        <v>504</v>
      </c>
      <c r="P59" s="89">
        <v>1575426</v>
      </c>
      <c r="Q59" s="92">
        <v>4561</v>
      </c>
      <c r="R59" s="88">
        <v>6829</v>
      </c>
      <c r="S59" s="89">
        <v>976708</v>
      </c>
      <c r="T59" s="90"/>
      <c r="U59" s="88">
        <v>265</v>
      </c>
      <c r="V59" s="89">
        <v>0</v>
      </c>
      <c r="W59" s="90">
        <v>0</v>
      </c>
      <c r="X59" s="88">
        <v>0</v>
      </c>
      <c r="Z59" s="131"/>
    </row>
    <row r="60" spans="1:26" x14ac:dyDescent="0.25">
      <c r="A60" s="75">
        <v>2017</v>
      </c>
      <c r="B60" s="76" t="s">
        <v>78</v>
      </c>
      <c r="C60" s="85"/>
      <c r="D60" s="78">
        <v>32603243.687800001</v>
      </c>
      <c r="E60" s="78"/>
      <c r="F60" s="79"/>
      <c r="G60" s="80">
        <v>20916</v>
      </c>
      <c r="H60" s="78"/>
      <c r="I60" s="80">
        <v>1786</v>
      </c>
      <c r="J60" s="81"/>
      <c r="K60" s="82"/>
      <c r="L60" s="80">
        <v>160</v>
      </c>
      <c r="M60" s="78"/>
      <c r="N60" s="83"/>
      <c r="O60" s="80">
        <v>506</v>
      </c>
      <c r="P60" s="81"/>
      <c r="Q60" s="84"/>
      <c r="R60" s="80">
        <v>6850</v>
      </c>
      <c r="S60" s="81"/>
      <c r="T60" s="82"/>
      <c r="U60" s="80">
        <v>262</v>
      </c>
      <c r="V60" s="81"/>
      <c r="W60" s="82"/>
      <c r="X60" s="80">
        <v>0</v>
      </c>
      <c r="Z60" s="131"/>
    </row>
    <row r="61" spans="1:26" x14ac:dyDescent="0.25">
      <c r="A61" s="75">
        <v>2017</v>
      </c>
      <c r="B61" s="76" t="s">
        <v>79</v>
      </c>
      <c r="C61" s="85"/>
      <c r="D61" s="86">
        <v>28442344.894508798</v>
      </c>
      <c r="E61" s="86"/>
      <c r="F61" s="87"/>
      <c r="G61" s="88">
        <v>20925</v>
      </c>
      <c r="H61" s="86"/>
      <c r="I61" s="88">
        <v>1785</v>
      </c>
      <c r="J61" s="89"/>
      <c r="K61" s="90"/>
      <c r="L61" s="88">
        <v>160</v>
      </c>
      <c r="M61" s="86"/>
      <c r="N61" s="91"/>
      <c r="O61" s="88">
        <v>504</v>
      </c>
      <c r="P61" s="89"/>
      <c r="Q61" s="92"/>
      <c r="R61" s="88">
        <v>6850</v>
      </c>
      <c r="S61" s="89"/>
      <c r="T61" s="90"/>
      <c r="U61" s="88">
        <v>261</v>
      </c>
      <c r="V61" s="89"/>
      <c r="W61" s="90"/>
      <c r="X61" s="88">
        <v>0</v>
      </c>
      <c r="Z61" s="131"/>
    </row>
    <row r="62" spans="1:26" x14ac:dyDescent="0.25">
      <c r="A62" s="75">
        <v>2017</v>
      </c>
      <c r="B62" s="76" t="s">
        <v>80</v>
      </c>
      <c r="C62" s="85"/>
      <c r="D62" s="86">
        <v>31091148.4114093</v>
      </c>
      <c r="E62" s="86"/>
      <c r="F62" s="87"/>
      <c r="G62" s="88">
        <v>20933</v>
      </c>
      <c r="H62" s="86"/>
      <c r="I62" s="88">
        <v>1789</v>
      </c>
      <c r="J62" s="89"/>
      <c r="K62" s="90"/>
      <c r="L62" s="88">
        <v>159</v>
      </c>
      <c r="M62" s="86"/>
      <c r="N62" s="91"/>
      <c r="O62" s="88">
        <v>503</v>
      </c>
      <c r="P62" s="89"/>
      <c r="Q62" s="92"/>
      <c r="R62" s="88">
        <v>6850</v>
      </c>
      <c r="S62" s="89"/>
      <c r="T62" s="90"/>
      <c r="U62" s="88">
        <v>262</v>
      </c>
      <c r="V62" s="89"/>
      <c r="W62" s="90"/>
      <c r="X62" s="88">
        <v>0</v>
      </c>
      <c r="Z62" s="131"/>
    </row>
    <row r="63" spans="1:26" x14ac:dyDescent="0.25">
      <c r="A63" s="75">
        <v>2017</v>
      </c>
      <c r="B63" s="76" t="s">
        <v>81</v>
      </c>
      <c r="C63" s="85"/>
      <c r="D63" s="86">
        <v>26726381.985407598</v>
      </c>
      <c r="E63" s="86"/>
      <c r="F63" s="87"/>
      <c r="G63" s="88">
        <v>20931</v>
      </c>
      <c r="H63" s="86"/>
      <c r="I63" s="88">
        <v>1793</v>
      </c>
      <c r="J63" s="89"/>
      <c r="K63" s="90"/>
      <c r="L63" s="88">
        <v>162</v>
      </c>
      <c r="M63" s="86"/>
      <c r="N63" s="91"/>
      <c r="O63" s="88">
        <v>503</v>
      </c>
      <c r="P63" s="89"/>
      <c r="Q63" s="92"/>
      <c r="R63" s="88">
        <v>6850</v>
      </c>
      <c r="S63" s="89"/>
      <c r="T63" s="90"/>
      <c r="U63" s="88">
        <v>262</v>
      </c>
      <c r="V63" s="89"/>
      <c r="W63" s="90"/>
      <c r="X63" s="88">
        <v>0</v>
      </c>
      <c r="Z63" s="131"/>
    </row>
    <row r="64" spans="1:26" x14ac:dyDescent="0.25">
      <c r="A64" s="75">
        <v>2017</v>
      </c>
      <c r="B64" s="76" t="s">
        <v>47</v>
      </c>
      <c r="C64" s="85"/>
      <c r="D64" s="86">
        <v>27100631.439999998</v>
      </c>
      <c r="E64" s="86"/>
      <c r="F64" s="87"/>
      <c r="G64" s="88">
        <v>20951</v>
      </c>
      <c r="H64" s="86"/>
      <c r="I64" s="88">
        <v>1797</v>
      </c>
      <c r="J64" s="89"/>
      <c r="K64" s="90"/>
      <c r="L64" s="88">
        <v>159</v>
      </c>
      <c r="M64" s="86"/>
      <c r="N64" s="91"/>
      <c r="O64" s="88">
        <v>501</v>
      </c>
      <c r="P64" s="89"/>
      <c r="Q64" s="92"/>
      <c r="R64" s="88">
        <v>6846</v>
      </c>
      <c r="S64" s="89"/>
      <c r="T64" s="90"/>
      <c r="U64" s="88">
        <v>262</v>
      </c>
      <c r="V64" s="89"/>
      <c r="W64" s="90"/>
      <c r="X64" s="88">
        <v>0</v>
      </c>
      <c r="Z64" s="131"/>
    </row>
    <row r="65" spans="1:26" x14ac:dyDescent="0.25">
      <c r="A65" s="75">
        <v>2017</v>
      </c>
      <c r="B65" s="76" t="s">
        <v>82</v>
      </c>
      <c r="C65" s="85"/>
      <c r="D65" s="86">
        <v>31069771.245993197</v>
      </c>
      <c r="E65" s="86"/>
      <c r="F65" s="87"/>
      <c r="G65" s="88">
        <v>20960</v>
      </c>
      <c r="H65" s="86"/>
      <c r="I65" s="88">
        <v>1792</v>
      </c>
      <c r="J65" s="89"/>
      <c r="K65" s="90"/>
      <c r="L65" s="88">
        <v>159</v>
      </c>
      <c r="M65" s="86"/>
      <c r="N65" s="91"/>
      <c r="O65" s="88">
        <v>499</v>
      </c>
      <c r="P65" s="89"/>
      <c r="Q65" s="92"/>
      <c r="R65" s="88">
        <v>6846</v>
      </c>
      <c r="S65" s="89"/>
      <c r="T65" s="90"/>
      <c r="U65" s="88">
        <v>262</v>
      </c>
      <c r="V65" s="89"/>
      <c r="W65" s="90"/>
      <c r="X65" s="88">
        <v>0</v>
      </c>
      <c r="Z65" s="131"/>
    </row>
    <row r="66" spans="1:26" x14ac:dyDescent="0.25">
      <c r="A66" s="75">
        <v>2017</v>
      </c>
      <c r="B66" s="76" t="s">
        <v>83</v>
      </c>
      <c r="C66" s="85"/>
      <c r="D66" s="86">
        <v>35551342.793448403</v>
      </c>
      <c r="E66" s="86"/>
      <c r="F66" s="87"/>
      <c r="G66" s="88">
        <v>20990</v>
      </c>
      <c r="H66" s="86"/>
      <c r="I66" s="88">
        <v>1789</v>
      </c>
      <c r="J66" s="89"/>
      <c r="K66" s="90"/>
      <c r="L66" s="88">
        <v>158</v>
      </c>
      <c r="M66" s="86"/>
      <c r="N66" s="91"/>
      <c r="O66" s="88">
        <v>501</v>
      </c>
      <c r="P66" s="89"/>
      <c r="Q66" s="92"/>
      <c r="R66" s="88">
        <v>6845</v>
      </c>
      <c r="S66" s="89"/>
      <c r="T66" s="90"/>
      <c r="U66" s="88">
        <v>262</v>
      </c>
      <c r="V66" s="89"/>
      <c r="W66" s="90"/>
      <c r="X66" s="88">
        <v>0</v>
      </c>
      <c r="Z66" s="131"/>
    </row>
    <row r="67" spans="1:26" x14ac:dyDescent="0.25">
      <c r="A67" s="75">
        <v>2017</v>
      </c>
      <c r="B67" s="76" t="s">
        <v>84</v>
      </c>
      <c r="C67" s="85"/>
      <c r="D67" s="86">
        <v>34125261.1615927</v>
      </c>
      <c r="E67" s="86"/>
      <c r="F67" s="87"/>
      <c r="G67" s="88">
        <v>21002</v>
      </c>
      <c r="H67" s="86"/>
      <c r="I67" s="88">
        <v>1791</v>
      </c>
      <c r="J67" s="89"/>
      <c r="K67" s="90"/>
      <c r="L67" s="88">
        <v>159</v>
      </c>
      <c r="M67" s="86"/>
      <c r="N67" s="91"/>
      <c r="O67" s="88">
        <v>501</v>
      </c>
      <c r="P67" s="89"/>
      <c r="Q67" s="92"/>
      <c r="R67" s="88">
        <v>6845</v>
      </c>
      <c r="S67" s="89"/>
      <c r="T67" s="90"/>
      <c r="U67" s="88">
        <v>262</v>
      </c>
      <c r="V67" s="89"/>
      <c r="W67" s="90"/>
      <c r="X67" s="88">
        <v>0</v>
      </c>
      <c r="Z67" s="131"/>
    </row>
    <row r="68" spans="1:26" x14ac:dyDescent="0.25">
      <c r="A68" s="75">
        <v>2017</v>
      </c>
      <c r="B68" s="76" t="s">
        <v>85</v>
      </c>
      <c r="C68" s="85"/>
      <c r="D68" s="86">
        <v>31037006.541170798</v>
      </c>
      <c r="E68" s="86"/>
      <c r="F68" s="87"/>
      <c r="G68" s="88">
        <v>21017</v>
      </c>
      <c r="H68" s="86"/>
      <c r="I68" s="88">
        <v>1792</v>
      </c>
      <c r="J68" s="89"/>
      <c r="K68" s="90"/>
      <c r="L68" s="88">
        <v>159</v>
      </c>
      <c r="M68" s="86"/>
      <c r="N68" s="91"/>
      <c r="O68" s="88">
        <v>501</v>
      </c>
      <c r="P68" s="89"/>
      <c r="Q68" s="92"/>
      <c r="R68" s="88">
        <v>6885</v>
      </c>
      <c r="S68" s="89"/>
      <c r="T68" s="90"/>
      <c r="U68" s="88">
        <v>262</v>
      </c>
      <c r="V68" s="89"/>
      <c r="W68" s="90"/>
      <c r="X68" s="88">
        <v>0</v>
      </c>
      <c r="Z68" s="131"/>
    </row>
    <row r="69" spans="1:26" x14ac:dyDescent="0.25">
      <c r="A69" s="75">
        <v>2017</v>
      </c>
      <c r="B69" s="76" t="s">
        <v>86</v>
      </c>
      <c r="C69" s="85"/>
      <c r="D69" s="86">
        <v>28262231.379913501</v>
      </c>
      <c r="E69" s="86"/>
      <c r="F69" s="87"/>
      <c r="G69" s="88">
        <v>21047</v>
      </c>
      <c r="H69" s="86"/>
      <c r="I69" s="88">
        <v>1791</v>
      </c>
      <c r="J69" s="89"/>
      <c r="K69" s="90"/>
      <c r="L69" s="88">
        <v>159</v>
      </c>
      <c r="M69" s="86"/>
      <c r="N69" s="91"/>
      <c r="O69" s="88">
        <v>494</v>
      </c>
      <c r="P69" s="89"/>
      <c r="Q69" s="92"/>
      <c r="R69" s="88">
        <v>6885</v>
      </c>
      <c r="S69" s="89"/>
      <c r="T69" s="90"/>
      <c r="U69" s="88">
        <v>262</v>
      </c>
      <c r="V69" s="89"/>
      <c r="W69" s="90"/>
      <c r="X69" s="88">
        <v>0</v>
      </c>
      <c r="Z69" s="131"/>
    </row>
    <row r="70" spans="1:26" x14ac:dyDescent="0.25">
      <c r="A70" s="75">
        <v>2017</v>
      </c>
      <c r="B70" s="76" t="s">
        <v>87</v>
      </c>
      <c r="C70" s="85"/>
      <c r="D70" s="86">
        <v>29451606.664241601</v>
      </c>
      <c r="E70" s="86"/>
      <c r="F70" s="87"/>
      <c r="G70" s="88">
        <v>21074</v>
      </c>
      <c r="H70" s="86"/>
      <c r="I70" s="88">
        <v>1795</v>
      </c>
      <c r="J70" s="89"/>
      <c r="K70" s="90"/>
      <c r="L70" s="88">
        <v>158</v>
      </c>
      <c r="M70" s="86"/>
      <c r="N70" s="91"/>
      <c r="O70" s="88">
        <v>494</v>
      </c>
      <c r="P70" s="89"/>
      <c r="Q70" s="92"/>
      <c r="R70" s="88">
        <v>6916</v>
      </c>
      <c r="S70" s="89"/>
      <c r="T70" s="90"/>
      <c r="U70" s="88">
        <v>262</v>
      </c>
      <c r="V70" s="89"/>
      <c r="W70" s="90"/>
      <c r="X70" s="88">
        <v>0</v>
      </c>
      <c r="Z70" s="131"/>
    </row>
    <row r="71" spans="1:26" x14ac:dyDescent="0.25">
      <c r="A71" s="75">
        <v>2017</v>
      </c>
      <c r="B71" s="76" t="s">
        <v>88</v>
      </c>
      <c r="C71" s="85"/>
      <c r="D71" s="86">
        <v>33135674.439350799</v>
      </c>
      <c r="E71" s="86"/>
      <c r="F71" s="87">
        <v>153825741</v>
      </c>
      <c r="G71" s="88">
        <v>21093</v>
      </c>
      <c r="H71" s="86">
        <v>52319962</v>
      </c>
      <c r="I71" s="88">
        <v>1797</v>
      </c>
      <c r="J71" s="89">
        <v>144490127</v>
      </c>
      <c r="K71" s="90">
        <v>397736</v>
      </c>
      <c r="L71" s="88">
        <v>158</v>
      </c>
      <c r="M71" s="86">
        <v>729133</v>
      </c>
      <c r="N71" s="91">
        <v>2012</v>
      </c>
      <c r="O71" s="88">
        <v>494</v>
      </c>
      <c r="P71" s="89">
        <v>1393112</v>
      </c>
      <c r="Q71" s="92">
        <v>3890</v>
      </c>
      <c r="R71" s="88">
        <v>6916</v>
      </c>
      <c r="S71" s="89">
        <v>958727</v>
      </c>
      <c r="T71" s="90"/>
      <c r="U71" s="88">
        <v>262</v>
      </c>
      <c r="V71" s="89"/>
      <c r="W71" s="90"/>
      <c r="X71" s="88">
        <v>0</v>
      </c>
      <c r="Z71" s="131"/>
    </row>
    <row r="72" spans="1:26" x14ac:dyDescent="0.25">
      <c r="A72" s="75">
        <v>2018</v>
      </c>
      <c r="B72" s="76" t="s">
        <v>78</v>
      </c>
      <c r="C72" s="85"/>
      <c r="D72" s="78">
        <v>34633272.560236096</v>
      </c>
      <c r="E72" s="78"/>
      <c r="F72" s="79">
        <v>14901343</v>
      </c>
      <c r="G72" s="80">
        <v>21130</v>
      </c>
      <c r="H72" s="78">
        <v>5230358</v>
      </c>
      <c r="I72" s="80">
        <v>1801</v>
      </c>
      <c r="J72" s="81">
        <v>12909177.35</v>
      </c>
      <c r="K72" s="82">
        <v>32596</v>
      </c>
      <c r="L72" s="80">
        <v>158</v>
      </c>
      <c r="M72" s="78">
        <v>60351</v>
      </c>
      <c r="N72" s="83">
        <v>162</v>
      </c>
      <c r="O72" s="80">
        <v>494</v>
      </c>
      <c r="P72" s="81">
        <v>147450</v>
      </c>
      <c r="Q72" s="84">
        <v>324</v>
      </c>
      <c r="R72" s="80">
        <v>6916</v>
      </c>
      <c r="S72" s="81">
        <v>81115</v>
      </c>
      <c r="T72" s="82"/>
      <c r="U72" s="80">
        <v>262</v>
      </c>
      <c r="V72" s="81"/>
      <c r="W72" s="82"/>
      <c r="X72" s="80">
        <v>0</v>
      </c>
      <c r="Z72" s="131"/>
    </row>
    <row r="73" spans="1:26" x14ac:dyDescent="0.25">
      <c r="A73" s="75">
        <v>2018</v>
      </c>
      <c r="B73" s="76" t="s">
        <v>79</v>
      </c>
      <c r="C73" s="85"/>
      <c r="D73" s="86">
        <v>29707123.119004901</v>
      </c>
      <c r="E73" s="86"/>
      <c r="F73" s="87">
        <v>12355576</v>
      </c>
      <c r="G73" s="88">
        <v>21124</v>
      </c>
      <c r="H73" s="86">
        <v>4428225</v>
      </c>
      <c r="I73" s="88">
        <v>1796</v>
      </c>
      <c r="J73" s="89">
        <v>11400123.99</v>
      </c>
      <c r="K73" s="90">
        <v>32498</v>
      </c>
      <c r="L73" s="88">
        <v>162</v>
      </c>
      <c r="M73" s="86">
        <v>54005</v>
      </c>
      <c r="N73" s="91">
        <v>160</v>
      </c>
      <c r="O73" s="88">
        <v>494</v>
      </c>
      <c r="P73" s="89">
        <v>122874</v>
      </c>
      <c r="Q73" s="92">
        <v>326</v>
      </c>
      <c r="R73" s="88">
        <v>6916</v>
      </c>
      <c r="S73" s="89">
        <v>73264</v>
      </c>
      <c r="T73" s="90"/>
      <c r="U73" s="88">
        <v>262</v>
      </c>
      <c r="V73" s="89"/>
      <c r="W73" s="90"/>
      <c r="X73" s="88">
        <v>0</v>
      </c>
      <c r="Z73" s="131"/>
    </row>
    <row r="74" spans="1:26" x14ac:dyDescent="0.25">
      <c r="A74" s="75">
        <v>2018</v>
      </c>
      <c r="B74" s="76" t="s">
        <v>80</v>
      </c>
      <c r="C74" s="85"/>
      <c r="D74" s="86">
        <v>31571358.704649799</v>
      </c>
      <c r="E74" s="86"/>
      <c r="F74" s="87">
        <v>12817780</v>
      </c>
      <c r="G74" s="88">
        <v>21147</v>
      </c>
      <c r="H74" s="86">
        <v>4562007</v>
      </c>
      <c r="I74" s="88">
        <v>1795</v>
      </c>
      <c r="J74" s="89">
        <v>12783690.890000001</v>
      </c>
      <c r="K74" s="90">
        <v>32274</v>
      </c>
      <c r="L74" s="88">
        <v>162</v>
      </c>
      <c r="M74" s="86">
        <v>59217</v>
      </c>
      <c r="N74" s="91">
        <v>163</v>
      </c>
      <c r="O74" s="88">
        <v>493</v>
      </c>
      <c r="P74" s="89">
        <v>121717</v>
      </c>
      <c r="Q74" s="92">
        <v>326</v>
      </c>
      <c r="R74" s="88">
        <v>6961</v>
      </c>
      <c r="S74" s="89">
        <v>81115</v>
      </c>
      <c r="T74" s="90"/>
      <c r="U74" s="88">
        <v>262</v>
      </c>
      <c r="V74" s="89"/>
      <c r="W74" s="90"/>
      <c r="X74" s="88">
        <v>0</v>
      </c>
      <c r="Z74" s="131"/>
    </row>
    <row r="75" spans="1:26" x14ac:dyDescent="0.25">
      <c r="A75" s="75">
        <v>2018</v>
      </c>
      <c r="B75" s="76" t="s">
        <v>81</v>
      </c>
      <c r="C75" s="85"/>
      <c r="D75" s="86">
        <v>29502213.161825802</v>
      </c>
      <c r="E75" s="86"/>
      <c r="F75" s="87">
        <v>11729652</v>
      </c>
      <c r="G75" s="88">
        <v>21175</v>
      </c>
      <c r="H75" s="86">
        <v>4198584</v>
      </c>
      <c r="I75" s="88">
        <v>1794</v>
      </c>
      <c r="J75" s="89">
        <v>12188110.15</v>
      </c>
      <c r="K75" s="90">
        <v>32118</v>
      </c>
      <c r="L75" s="88">
        <v>164</v>
      </c>
      <c r="M75" s="86">
        <v>57277</v>
      </c>
      <c r="N75" s="91">
        <v>160</v>
      </c>
      <c r="O75" s="88">
        <v>493</v>
      </c>
      <c r="P75" s="89">
        <v>103317</v>
      </c>
      <c r="Q75" s="92">
        <v>326</v>
      </c>
      <c r="R75" s="88">
        <v>6969</v>
      </c>
      <c r="S75" s="89">
        <v>78512</v>
      </c>
      <c r="T75" s="90"/>
      <c r="U75" s="88">
        <v>262</v>
      </c>
      <c r="V75" s="89"/>
      <c r="W75" s="90"/>
      <c r="X75" s="88">
        <v>0</v>
      </c>
      <c r="Z75" s="131"/>
    </row>
    <row r="76" spans="1:26" x14ac:dyDescent="0.25">
      <c r="A76" s="75">
        <v>2018</v>
      </c>
      <c r="B76" s="76" t="s">
        <v>47</v>
      </c>
      <c r="C76" s="85"/>
      <c r="D76" s="86">
        <v>29818036.360710699</v>
      </c>
      <c r="E76" s="86"/>
      <c r="F76" s="87">
        <v>11604831</v>
      </c>
      <c r="G76" s="88">
        <v>21206</v>
      </c>
      <c r="H76" s="86">
        <v>3938316</v>
      </c>
      <c r="I76" s="88">
        <v>1796</v>
      </c>
      <c r="J76" s="89">
        <v>12623857.939999999</v>
      </c>
      <c r="K76" s="90">
        <v>32987</v>
      </c>
      <c r="L76" s="88">
        <v>166</v>
      </c>
      <c r="M76" s="86">
        <v>59168</v>
      </c>
      <c r="N76" s="91">
        <v>159</v>
      </c>
      <c r="O76" s="88">
        <v>491</v>
      </c>
      <c r="P76" s="89">
        <v>94050</v>
      </c>
      <c r="Q76" s="92">
        <v>326</v>
      </c>
      <c r="R76" s="88">
        <v>6965</v>
      </c>
      <c r="S76" s="89">
        <v>81115</v>
      </c>
      <c r="T76" s="90"/>
      <c r="U76" s="88">
        <v>262</v>
      </c>
      <c r="V76" s="89"/>
      <c r="W76" s="90"/>
      <c r="X76" s="88">
        <v>0</v>
      </c>
      <c r="Z76" s="131"/>
    </row>
    <row r="77" spans="1:26" x14ac:dyDescent="0.25">
      <c r="A77" s="75">
        <v>2018</v>
      </c>
      <c r="B77" s="76" t="s">
        <v>82</v>
      </c>
      <c r="C77" s="85"/>
      <c r="D77" s="86">
        <v>32564167.646594502</v>
      </c>
      <c r="E77" s="86"/>
      <c r="F77" s="87">
        <v>15171804</v>
      </c>
      <c r="G77" s="88">
        <v>21221</v>
      </c>
      <c r="H77" s="86">
        <v>4258118</v>
      </c>
      <c r="I77" s="88">
        <v>1796</v>
      </c>
      <c r="J77" s="89">
        <v>12889521.039999999</v>
      </c>
      <c r="K77" s="90">
        <v>34956</v>
      </c>
      <c r="L77" s="88">
        <v>165</v>
      </c>
      <c r="M77" s="86">
        <v>57141</v>
      </c>
      <c r="N77" s="91">
        <v>160</v>
      </c>
      <c r="O77" s="88">
        <v>491</v>
      </c>
      <c r="P77" s="89">
        <v>84728</v>
      </c>
      <c r="Q77" s="92">
        <v>326</v>
      </c>
      <c r="R77" s="88">
        <v>6966</v>
      </c>
      <c r="S77" s="89">
        <v>78512</v>
      </c>
      <c r="T77" s="90"/>
      <c r="U77" s="88">
        <v>263</v>
      </c>
      <c r="V77" s="89"/>
      <c r="W77" s="90"/>
      <c r="X77" s="88">
        <v>0</v>
      </c>
      <c r="Z77" s="131"/>
    </row>
    <row r="78" spans="1:26" x14ac:dyDescent="0.25">
      <c r="A78" s="75">
        <v>2018</v>
      </c>
      <c r="B78" s="76" t="s">
        <v>83</v>
      </c>
      <c r="C78" s="85"/>
      <c r="D78" s="86">
        <v>41016276.892574996</v>
      </c>
      <c r="E78" s="86"/>
      <c r="F78" s="87">
        <v>19443094</v>
      </c>
      <c r="G78" s="88">
        <v>21234</v>
      </c>
      <c r="H78" s="86">
        <v>4745474.8699999992</v>
      </c>
      <c r="I78" s="88">
        <v>1795</v>
      </c>
      <c r="J78" s="89">
        <v>13817843.890000002</v>
      </c>
      <c r="K78" s="90">
        <v>35861</v>
      </c>
      <c r="L78" s="88">
        <v>165</v>
      </c>
      <c r="M78" s="86">
        <v>59045</v>
      </c>
      <c r="N78" s="91">
        <v>160</v>
      </c>
      <c r="O78" s="88">
        <v>491</v>
      </c>
      <c r="P78" s="89">
        <v>91086.34</v>
      </c>
      <c r="Q78" s="92">
        <v>326</v>
      </c>
      <c r="R78" s="88">
        <v>6963</v>
      </c>
      <c r="S78" s="89">
        <v>81282</v>
      </c>
      <c r="T78" s="90"/>
      <c r="U78" s="88">
        <v>263</v>
      </c>
      <c r="V78" s="89"/>
      <c r="W78" s="90"/>
      <c r="X78" s="88">
        <v>0</v>
      </c>
      <c r="Z78" s="131"/>
    </row>
    <row r="79" spans="1:26" x14ac:dyDescent="0.25">
      <c r="A79" s="75">
        <v>2018</v>
      </c>
      <c r="B79" s="76" t="s">
        <v>84</v>
      </c>
      <c r="C79" s="85"/>
      <c r="D79" s="86">
        <v>39071849.328965105</v>
      </c>
      <c r="E79" s="86"/>
      <c r="F79" s="87">
        <v>18669911</v>
      </c>
      <c r="G79" s="88">
        <v>21275</v>
      </c>
      <c r="H79" s="86">
        <v>4700329.49</v>
      </c>
      <c r="I79" s="88">
        <v>1798</v>
      </c>
      <c r="J79" s="89">
        <v>13480363.869999999</v>
      </c>
      <c r="K79" s="90">
        <v>37016</v>
      </c>
      <c r="L79" s="88">
        <v>166</v>
      </c>
      <c r="M79" s="86">
        <v>58891</v>
      </c>
      <c r="N79" s="91">
        <v>159</v>
      </c>
      <c r="O79" s="88">
        <v>490</v>
      </c>
      <c r="P79" s="89">
        <v>102354.1</v>
      </c>
      <c r="Q79" s="92">
        <v>327</v>
      </c>
      <c r="R79" s="88">
        <v>6958</v>
      </c>
      <c r="S79" s="89">
        <v>81282</v>
      </c>
      <c r="T79" s="90"/>
      <c r="U79" s="88">
        <v>264</v>
      </c>
      <c r="V79" s="89"/>
      <c r="W79" s="90"/>
      <c r="X79" s="88">
        <v>0</v>
      </c>
      <c r="Z79" s="131"/>
    </row>
    <row r="80" spans="1:26" x14ac:dyDescent="0.25">
      <c r="A80" s="75">
        <v>2018</v>
      </c>
      <c r="B80" s="76" t="s">
        <v>85</v>
      </c>
      <c r="C80" s="85"/>
      <c r="D80" s="86">
        <v>33330014.256383102</v>
      </c>
      <c r="E80" s="86"/>
      <c r="F80" s="87">
        <v>14900927</v>
      </c>
      <c r="G80" s="88">
        <v>21307</v>
      </c>
      <c r="H80" s="86">
        <v>4124982.3499999996</v>
      </c>
      <c r="I80" s="88">
        <v>1799</v>
      </c>
      <c r="J80" s="89">
        <v>12846725.720000001</v>
      </c>
      <c r="K80" s="90">
        <v>35759</v>
      </c>
      <c r="L80" s="88">
        <v>166</v>
      </c>
      <c r="M80" s="86">
        <v>56091</v>
      </c>
      <c r="N80" s="91">
        <v>159</v>
      </c>
      <c r="O80" s="88">
        <v>490</v>
      </c>
      <c r="P80" s="89">
        <v>112929.76</v>
      </c>
      <c r="Q80" s="92">
        <v>327</v>
      </c>
      <c r="R80" s="88">
        <v>6965</v>
      </c>
      <c r="S80" s="89">
        <v>78673</v>
      </c>
      <c r="T80" s="90"/>
      <c r="U80" s="88">
        <v>264</v>
      </c>
      <c r="V80" s="89"/>
      <c r="W80" s="90"/>
      <c r="X80" s="88">
        <v>0</v>
      </c>
      <c r="Z80" s="131"/>
    </row>
    <row r="81" spans="1:26" x14ac:dyDescent="0.25">
      <c r="A81" s="75">
        <v>2018</v>
      </c>
      <c r="B81" s="76" t="s">
        <v>86</v>
      </c>
      <c r="C81" s="85"/>
      <c r="D81" s="86">
        <v>29522757.314444497</v>
      </c>
      <c r="E81" s="86"/>
      <c r="F81" s="87">
        <v>12158367</v>
      </c>
      <c r="G81" s="88">
        <v>21336</v>
      </c>
      <c r="H81" s="86">
        <v>4020251.98</v>
      </c>
      <c r="I81" s="88">
        <v>1803</v>
      </c>
      <c r="J81" s="89">
        <v>12691050.619999999</v>
      </c>
      <c r="K81" s="90">
        <v>37047</v>
      </c>
      <c r="L81" s="88">
        <v>166</v>
      </c>
      <c r="M81" s="86">
        <v>52164</v>
      </c>
      <c r="N81" s="91">
        <v>176</v>
      </c>
      <c r="O81" s="88">
        <v>474</v>
      </c>
      <c r="P81" s="89">
        <v>131617.31</v>
      </c>
      <c r="Q81" s="92">
        <v>327</v>
      </c>
      <c r="R81" s="88">
        <v>6965</v>
      </c>
      <c r="S81" s="89">
        <v>81282</v>
      </c>
      <c r="T81" s="90"/>
      <c r="U81" s="88">
        <v>264</v>
      </c>
      <c r="V81" s="89"/>
      <c r="W81" s="90"/>
      <c r="X81" s="88">
        <v>0</v>
      </c>
      <c r="Z81" s="131"/>
    </row>
    <row r="82" spans="1:26" x14ac:dyDescent="0.25">
      <c r="A82" s="75">
        <v>2018</v>
      </c>
      <c r="B82" s="76" t="s">
        <v>87</v>
      </c>
      <c r="C82" s="85"/>
      <c r="D82" s="86">
        <v>30788860.462713901</v>
      </c>
      <c r="E82" s="86"/>
      <c r="F82" s="87">
        <v>12613269</v>
      </c>
      <c r="G82" s="88">
        <v>21354</v>
      </c>
      <c r="H82" s="86">
        <v>4244615</v>
      </c>
      <c r="I82" s="88">
        <v>1803</v>
      </c>
      <c r="J82" s="89">
        <v>12585634.629999999</v>
      </c>
      <c r="K82" s="90">
        <v>36218</v>
      </c>
      <c r="L82" s="88">
        <v>164</v>
      </c>
      <c r="M82" s="86">
        <v>50434</v>
      </c>
      <c r="N82" s="91">
        <v>140</v>
      </c>
      <c r="O82" s="88">
        <v>473</v>
      </c>
      <c r="P82" s="89">
        <v>140137.59</v>
      </c>
      <c r="Q82" s="92">
        <v>327</v>
      </c>
      <c r="R82" s="88">
        <v>6965</v>
      </c>
      <c r="S82" s="89">
        <v>78673</v>
      </c>
      <c r="T82" s="90"/>
      <c r="U82" s="88">
        <v>263</v>
      </c>
      <c r="V82" s="89"/>
      <c r="W82" s="90"/>
      <c r="X82" s="88">
        <v>0</v>
      </c>
      <c r="Z82" s="131"/>
    </row>
    <row r="83" spans="1:26" x14ac:dyDescent="0.25">
      <c r="A83" s="75">
        <v>2018</v>
      </c>
      <c r="B83" s="76" t="s">
        <v>88</v>
      </c>
      <c r="C83" s="85"/>
      <c r="D83" s="86">
        <v>32363996.620362099</v>
      </c>
      <c r="E83" s="86"/>
      <c r="F83" s="87">
        <v>14094885</v>
      </c>
      <c r="G83" s="88">
        <v>21399</v>
      </c>
      <c r="H83" s="86">
        <v>4532075.0999999996</v>
      </c>
      <c r="I83" s="88">
        <v>1803</v>
      </c>
      <c r="J83" s="89">
        <v>12394020.639999999</v>
      </c>
      <c r="K83" s="90">
        <v>34082</v>
      </c>
      <c r="L83" s="88">
        <v>164</v>
      </c>
      <c r="M83" s="86">
        <v>52090</v>
      </c>
      <c r="N83" s="91">
        <v>140</v>
      </c>
      <c r="O83" s="88">
        <v>464</v>
      </c>
      <c r="P83" s="89">
        <v>151694.71</v>
      </c>
      <c r="Q83" s="92">
        <v>327</v>
      </c>
      <c r="R83" s="88">
        <v>6966</v>
      </c>
      <c r="S83" s="89">
        <v>81282</v>
      </c>
      <c r="T83" s="90"/>
      <c r="U83" s="88">
        <v>263</v>
      </c>
      <c r="V83" s="89"/>
      <c r="W83" s="90"/>
      <c r="X83" s="88">
        <v>0</v>
      </c>
      <c r="Z83" s="131"/>
    </row>
    <row r="84" spans="1:26" x14ac:dyDescent="0.25">
      <c r="A84" s="75">
        <v>2019</v>
      </c>
      <c r="B84" s="76" t="s">
        <v>78</v>
      </c>
      <c r="C84" s="85"/>
      <c r="D84" s="78">
        <v>35287777.216221102</v>
      </c>
      <c r="E84" s="78"/>
      <c r="F84" s="79">
        <v>14874477.99</v>
      </c>
      <c r="G84" s="80">
        <v>21442</v>
      </c>
      <c r="H84" s="78">
        <v>4875949.74</v>
      </c>
      <c r="I84" s="80">
        <v>1808</v>
      </c>
      <c r="J84" s="81">
        <v>13791702.520000001</v>
      </c>
      <c r="K84" s="82">
        <v>33264.550000000003</v>
      </c>
      <c r="L84" s="80">
        <v>164</v>
      </c>
      <c r="M84" s="78">
        <v>51095.94</v>
      </c>
      <c r="N84" s="83">
        <v>140.4</v>
      </c>
      <c r="O84" s="80">
        <v>463</v>
      </c>
      <c r="P84" s="81">
        <v>147965.78</v>
      </c>
      <c r="Q84" s="84">
        <v>327.10000000000002</v>
      </c>
      <c r="R84" s="80">
        <v>6966</v>
      </c>
      <c r="S84" s="81">
        <v>81282</v>
      </c>
      <c r="T84" s="82"/>
      <c r="U84" s="80">
        <v>263</v>
      </c>
      <c r="V84" s="81"/>
      <c r="W84" s="82"/>
      <c r="X84" s="80">
        <v>0</v>
      </c>
      <c r="Z84" s="131"/>
    </row>
    <row r="85" spans="1:26" x14ac:dyDescent="0.25">
      <c r="A85" s="75">
        <v>2019</v>
      </c>
      <c r="B85" s="76" t="s">
        <v>79</v>
      </c>
      <c r="C85" s="85"/>
      <c r="D85" s="86">
        <v>31413450.428820997</v>
      </c>
      <c r="E85" s="86"/>
      <c r="F85" s="87">
        <v>13431708.34</v>
      </c>
      <c r="G85" s="88">
        <v>21445</v>
      </c>
      <c r="H85" s="86">
        <v>4491774.25</v>
      </c>
      <c r="I85" s="88">
        <v>1805</v>
      </c>
      <c r="J85" s="89">
        <v>12577188.540000001</v>
      </c>
      <c r="K85" s="90">
        <v>34490.920000000006</v>
      </c>
      <c r="L85" s="88">
        <v>164</v>
      </c>
      <c r="M85" s="86">
        <v>46059.93</v>
      </c>
      <c r="N85" s="91">
        <v>126</v>
      </c>
      <c r="O85" s="88">
        <v>462</v>
      </c>
      <c r="P85" s="89">
        <v>123303.58</v>
      </c>
      <c r="Q85" s="92">
        <v>327.10000000000002</v>
      </c>
      <c r="R85" s="88">
        <v>6966</v>
      </c>
      <c r="S85" s="89">
        <v>73414</v>
      </c>
      <c r="T85" s="90"/>
      <c r="U85" s="88">
        <v>263</v>
      </c>
      <c r="V85" s="89"/>
      <c r="W85" s="90"/>
      <c r="X85" s="88">
        <v>0</v>
      </c>
      <c r="Z85" s="131"/>
    </row>
    <row r="86" spans="1:26" x14ac:dyDescent="0.25">
      <c r="A86" s="75">
        <v>2019</v>
      </c>
      <c r="B86" s="76" t="s">
        <v>80</v>
      </c>
      <c r="C86" s="85"/>
      <c r="D86" s="86">
        <v>32753174.855792601</v>
      </c>
      <c r="E86" s="86"/>
      <c r="F86" s="87">
        <v>13333347.33</v>
      </c>
      <c r="G86" s="88">
        <v>21481</v>
      </c>
      <c r="H86" s="86">
        <v>4535805.8100000005</v>
      </c>
      <c r="I86" s="88">
        <v>1803</v>
      </c>
      <c r="J86" s="89">
        <v>13278879.979999999</v>
      </c>
      <c r="K86" s="90">
        <v>34393.79</v>
      </c>
      <c r="L86" s="88">
        <v>164</v>
      </c>
      <c r="M86" s="86">
        <v>50850.83</v>
      </c>
      <c r="N86" s="91">
        <v>137.6</v>
      </c>
      <c r="O86" s="88">
        <v>460</v>
      </c>
      <c r="P86" s="89">
        <v>122142.69</v>
      </c>
      <c r="Q86" s="92">
        <v>327</v>
      </c>
      <c r="R86" s="88">
        <v>6958</v>
      </c>
      <c r="S86" s="89">
        <v>81282</v>
      </c>
      <c r="T86" s="90"/>
      <c r="U86" s="88">
        <v>263</v>
      </c>
      <c r="V86" s="89"/>
      <c r="W86" s="90"/>
      <c r="X86" s="88">
        <v>0</v>
      </c>
      <c r="Z86" s="131"/>
    </row>
    <row r="87" spans="1:26" x14ac:dyDescent="0.25">
      <c r="A87" s="75">
        <v>2019</v>
      </c>
      <c r="B87" s="76" t="s">
        <v>81</v>
      </c>
      <c r="C87" s="85"/>
      <c r="D87" s="86">
        <v>28598242.1384985</v>
      </c>
      <c r="E87" s="86"/>
      <c r="F87" s="87">
        <v>11414109.529999999</v>
      </c>
      <c r="G87" s="88">
        <v>21510</v>
      </c>
      <c r="H87" s="86">
        <v>3956442.9499999997</v>
      </c>
      <c r="I87" s="88">
        <v>1798</v>
      </c>
      <c r="J87" s="89">
        <v>12269207.420000002</v>
      </c>
      <c r="K87" s="90">
        <v>33768.050000000003</v>
      </c>
      <c r="L87" s="88">
        <v>166</v>
      </c>
      <c r="M87" s="86">
        <v>48950.64</v>
      </c>
      <c r="N87" s="91">
        <v>137</v>
      </c>
      <c r="O87" s="88">
        <v>460</v>
      </c>
      <c r="P87" s="89">
        <v>103678.79</v>
      </c>
      <c r="Q87" s="92">
        <v>327</v>
      </c>
      <c r="R87" s="88">
        <v>6982</v>
      </c>
      <c r="S87" s="89">
        <v>78405</v>
      </c>
      <c r="T87" s="90"/>
      <c r="U87" s="88">
        <v>263</v>
      </c>
      <c r="V87" s="89"/>
      <c r="W87" s="90"/>
      <c r="X87" s="88">
        <v>0</v>
      </c>
      <c r="Z87" s="131"/>
    </row>
    <row r="88" spans="1:26" x14ac:dyDescent="0.25">
      <c r="A88" s="75">
        <v>2019</v>
      </c>
      <c r="B88" s="76" t="s">
        <v>47</v>
      </c>
      <c r="C88" s="85"/>
      <c r="D88" s="86">
        <v>27905719.018595401</v>
      </c>
      <c r="E88" s="86"/>
      <c r="F88" s="87">
        <v>10957340.539999999</v>
      </c>
      <c r="G88" s="88">
        <v>21532</v>
      </c>
      <c r="H88" s="86">
        <v>3718443.98</v>
      </c>
      <c r="I88" s="88">
        <v>1805</v>
      </c>
      <c r="J88" s="89">
        <v>12453135.58</v>
      </c>
      <c r="K88" s="90">
        <v>33287.800000000003</v>
      </c>
      <c r="L88" s="88">
        <v>167</v>
      </c>
      <c r="M88" s="86">
        <v>49563.06</v>
      </c>
      <c r="N88" s="91">
        <v>137</v>
      </c>
      <c r="O88" s="88">
        <v>455</v>
      </c>
      <c r="P88" s="89">
        <v>94379.11</v>
      </c>
      <c r="Q88" s="92">
        <v>327</v>
      </c>
      <c r="R88" s="88">
        <v>6988</v>
      </c>
      <c r="S88" s="89">
        <v>81006</v>
      </c>
      <c r="T88" s="90"/>
      <c r="U88" s="88">
        <v>262</v>
      </c>
      <c r="V88" s="89"/>
      <c r="W88" s="90"/>
      <c r="X88" s="88">
        <v>0</v>
      </c>
      <c r="Z88" s="131"/>
    </row>
    <row r="89" spans="1:26" x14ac:dyDescent="0.25">
      <c r="A89" s="75">
        <v>2019</v>
      </c>
      <c r="B89" s="76" t="s">
        <v>82</v>
      </c>
      <c r="C89" s="85"/>
      <c r="D89" s="86">
        <v>30246126.597568698</v>
      </c>
      <c r="E89" s="86"/>
      <c r="F89" s="87">
        <v>13546502.82</v>
      </c>
      <c r="G89" s="88">
        <v>21534</v>
      </c>
      <c r="H89" s="86">
        <v>3916810.87</v>
      </c>
      <c r="I89" s="88">
        <v>1803</v>
      </c>
      <c r="J89" s="89">
        <v>11941076.330000002</v>
      </c>
      <c r="K89" s="90">
        <v>34485.550000000003</v>
      </c>
      <c r="L89" s="88">
        <v>168</v>
      </c>
      <c r="M89" s="86">
        <v>47673.96</v>
      </c>
      <c r="N89" s="91">
        <v>134</v>
      </c>
      <c r="O89" s="88">
        <v>455</v>
      </c>
      <c r="P89" s="89">
        <v>85024.49</v>
      </c>
      <c r="Q89" s="92">
        <v>327</v>
      </c>
      <c r="R89" s="88">
        <v>6989</v>
      </c>
      <c r="S89" s="89">
        <v>78167</v>
      </c>
      <c r="T89" s="90"/>
      <c r="U89" s="88">
        <v>262</v>
      </c>
      <c r="V89" s="89"/>
      <c r="W89" s="90"/>
      <c r="X89" s="88">
        <v>0</v>
      </c>
      <c r="Z89" s="131"/>
    </row>
    <row r="90" spans="1:26" x14ac:dyDescent="0.25">
      <c r="A90" s="75">
        <v>2019</v>
      </c>
      <c r="B90" s="76" t="s">
        <v>83</v>
      </c>
      <c r="C90" s="85"/>
      <c r="D90" s="86">
        <v>40514961.932033904</v>
      </c>
      <c r="E90" s="86"/>
      <c r="F90" s="87">
        <v>19039077.73</v>
      </c>
      <c r="G90" s="88">
        <v>21576</v>
      </c>
      <c r="H90" s="86">
        <v>4531731.71</v>
      </c>
      <c r="I90" s="88">
        <v>1801</v>
      </c>
      <c r="J90" s="89">
        <v>13741928.619999999</v>
      </c>
      <c r="K90" s="90">
        <v>36881.550000000003</v>
      </c>
      <c r="L90" s="88">
        <v>168</v>
      </c>
      <c r="M90" s="86">
        <v>48891.29</v>
      </c>
      <c r="N90" s="91">
        <v>140</v>
      </c>
      <c r="O90" s="88">
        <v>450</v>
      </c>
      <c r="P90" s="89">
        <v>91086.34</v>
      </c>
      <c r="Q90" s="92">
        <v>327</v>
      </c>
      <c r="R90" s="88">
        <v>6989</v>
      </c>
      <c r="S90" s="89">
        <v>80760</v>
      </c>
      <c r="T90" s="90"/>
      <c r="U90" s="88">
        <v>261</v>
      </c>
      <c r="V90" s="89"/>
      <c r="W90" s="90"/>
      <c r="X90" s="88">
        <v>0</v>
      </c>
      <c r="Z90" s="131"/>
    </row>
    <row r="91" spans="1:26" x14ac:dyDescent="0.25">
      <c r="A91" s="75">
        <v>2019</v>
      </c>
      <c r="B91" s="76" t="s">
        <v>84</v>
      </c>
      <c r="C91" s="85"/>
      <c r="D91" s="86">
        <v>36599467.089364603</v>
      </c>
      <c r="E91" s="86"/>
      <c r="F91" s="87">
        <v>17276160.809999999</v>
      </c>
      <c r="G91" s="88">
        <v>21645</v>
      </c>
      <c r="H91" s="86">
        <v>4388810.58</v>
      </c>
      <c r="I91" s="88">
        <v>1797</v>
      </c>
      <c r="J91" s="89">
        <v>13086353.089999998</v>
      </c>
      <c r="K91" s="90">
        <v>36462.619999999995</v>
      </c>
      <c r="L91" s="88">
        <v>168</v>
      </c>
      <c r="M91" s="86">
        <v>48852.54</v>
      </c>
      <c r="N91" s="91">
        <v>125</v>
      </c>
      <c r="O91" s="88">
        <v>450</v>
      </c>
      <c r="P91" s="89">
        <v>102354.1</v>
      </c>
      <c r="Q91" s="92">
        <v>327</v>
      </c>
      <c r="R91" s="88">
        <v>7048</v>
      </c>
      <c r="S91" s="89">
        <v>80760</v>
      </c>
      <c r="T91" s="90"/>
      <c r="U91" s="88">
        <v>261</v>
      </c>
      <c r="V91" s="89"/>
      <c r="W91" s="90"/>
      <c r="X91" s="88">
        <v>0</v>
      </c>
      <c r="Z91" s="131"/>
    </row>
    <row r="92" spans="1:26" x14ac:dyDescent="0.25">
      <c r="A92" s="75">
        <v>2019</v>
      </c>
      <c r="B92" s="76" t="s">
        <v>85</v>
      </c>
      <c r="C92" s="85"/>
      <c r="D92" s="86">
        <v>30196024.2346556</v>
      </c>
      <c r="E92" s="86"/>
      <c r="F92" s="87">
        <v>12968842.1</v>
      </c>
      <c r="G92" s="88">
        <v>21664</v>
      </c>
      <c r="H92" s="86">
        <v>3794580.1399999997</v>
      </c>
      <c r="I92" s="88">
        <v>1793</v>
      </c>
      <c r="J92" s="89">
        <v>12274154.93</v>
      </c>
      <c r="K92" s="90">
        <v>35411.869999999995</v>
      </c>
      <c r="L92" s="88">
        <v>167</v>
      </c>
      <c r="M92" s="86">
        <v>47275.02</v>
      </c>
      <c r="N92" s="91">
        <v>133</v>
      </c>
      <c r="O92" s="88">
        <v>450</v>
      </c>
      <c r="P92" s="89">
        <v>112929.76</v>
      </c>
      <c r="Q92" s="92">
        <v>327</v>
      </c>
      <c r="R92" s="88">
        <v>7048</v>
      </c>
      <c r="S92" s="89">
        <v>78167</v>
      </c>
      <c r="T92" s="90"/>
      <c r="U92" s="88">
        <v>261</v>
      </c>
      <c r="V92" s="89"/>
      <c r="W92" s="90"/>
      <c r="X92" s="88">
        <v>0</v>
      </c>
      <c r="Z92" s="131"/>
    </row>
    <row r="93" spans="1:26" x14ac:dyDescent="0.25">
      <c r="A93" s="75">
        <v>2019</v>
      </c>
      <c r="B93" s="76" t="s">
        <v>86</v>
      </c>
      <c r="C93" s="85"/>
      <c r="D93" s="86">
        <v>27971860.355314802</v>
      </c>
      <c r="E93" s="86"/>
      <c r="F93" s="87">
        <v>11452779.060000001</v>
      </c>
      <c r="G93" s="88">
        <v>21699</v>
      </c>
      <c r="H93" s="86">
        <v>3732619.97</v>
      </c>
      <c r="I93" s="88">
        <v>1796</v>
      </c>
      <c r="J93" s="89">
        <v>11787119.860000001</v>
      </c>
      <c r="K93" s="90">
        <v>35611.5</v>
      </c>
      <c r="L93" s="88">
        <v>167</v>
      </c>
      <c r="M93" s="86">
        <v>48802.31</v>
      </c>
      <c r="N93" s="91">
        <v>132</v>
      </c>
      <c r="O93" s="88">
        <v>449</v>
      </c>
      <c r="P93" s="89">
        <v>131617.31</v>
      </c>
      <c r="Q93" s="92">
        <v>327</v>
      </c>
      <c r="R93" s="88">
        <v>7047</v>
      </c>
      <c r="S93" s="89">
        <v>80760</v>
      </c>
      <c r="T93" s="90"/>
      <c r="U93" s="88">
        <v>261</v>
      </c>
      <c r="V93" s="89"/>
      <c r="W93" s="90"/>
      <c r="X93" s="88">
        <v>0</v>
      </c>
      <c r="Z93" s="131"/>
    </row>
    <row r="94" spans="1:26" x14ac:dyDescent="0.25">
      <c r="A94" s="75">
        <v>2019</v>
      </c>
      <c r="B94" s="76" t="s">
        <v>87</v>
      </c>
      <c r="C94" s="85"/>
      <c r="D94" s="86">
        <v>30548760.205844</v>
      </c>
      <c r="E94" s="86"/>
      <c r="F94" s="87">
        <v>13109480.800000001</v>
      </c>
      <c r="G94" s="88">
        <v>21711</v>
      </c>
      <c r="H94" s="86">
        <v>4184336.71</v>
      </c>
      <c r="I94" s="88">
        <v>1782</v>
      </c>
      <c r="J94" s="89">
        <v>12056047.059999999</v>
      </c>
      <c r="K94" s="90">
        <v>35042.520000000004</v>
      </c>
      <c r="L94" s="88">
        <v>165</v>
      </c>
      <c r="M94" s="86">
        <v>47125.440000000002</v>
      </c>
      <c r="N94" s="91">
        <v>132</v>
      </c>
      <c r="O94" s="88">
        <v>449</v>
      </c>
      <c r="P94" s="89">
        <v>140137.59</v>
      </c>
      <c r="Q94" s="92">
        <v>327</v>
      </c>
      <c r="R94" s="88">
        <v>7050</v>
      </c>
      <c r="S94" s="89">
        <v>78167</v>
      </c>
      <c r="T94" s="90"/>
      <c r="U94" s="88">
        <v>261</v>
      </c>
      <c r="V94" s="89"/>
      <c r="W94" s="90"/>
      <c r="X94" s="88">
        <v>0</v>
      </c>
      <c r="Z94" s="131"/>
    </row>
    <row r="95" spans="1:26" x14ac:dyDescent="0.25">
      <c r="A95" s="75">
        <v>2019</v>
      </c>
      <c r="B95" s="76" t="s">
        <v>88</v>
      </c>
      <c r="C95" s="85"/>
      <c r="D95" s="86">
        <v>32756213.143715002</v>
      </c>
      <c r="E95" s="86"/>
      <c r="F95" s="87">
        <v>14402469.390000001</v>
      </c>
      <c r="G95" s="88">
        <v>21721</v>
      </c>
      <c r="H95" s="86">
        <v>4379127.82</v>
      </c>
      <c r="I95" s="88">
        <v>1777</v>
      </c>
      <c r="J95" s="89">
        <v>12095609.850000001</v>
      </c>
      <c r="K95" s="90">
        <v>32434.39</v>
      </c>
      <c r="L95" s="88">
        <v>166</v>
      </c>
      <c r="M95" s="86">
        <v>48696.29</v>
      </c>
      <c r="N95" s="91">
        <v>131</v>
      </c>
      <c r="O95" s="88">
        <v>440</v>
      </c>
      <c r="P95" s="89">
        <v>151694.71</v>
      </c>
      <c r="Q95" s="92">
        <v>327</v>
      </c>
      <c r="R95" s="88">
        <v>7050</v>
      </c>
      <c r="S95" s="89">
        <v>80760</v>
      </c>
      <c r="T95" s="90"/>
      <c r="U95" s="88">
        <v>261</v>
      </c>
      <c r="V95" s="89"/>
      <c r="W95" s="90"/>
      <c r="X95" s="88">
        <v>0</v>
      </c>
      <c r="Z95" s="131"/>
    </row>
    <row r="96" spans="1:26" x14ac:dyDescent="0.25">
      <c r="A96" s="75">
        <v>2020</v>
      </c>
      <c r="B96" s="76" t="s">
        <v>78</v>
      </c>
      <c r="C96" s="85"/>
      <c r="D96" s="78">
        <v>32984745.984053601</v>
      </c>
      <c r="E96" s="78"/>
      <c r="F96" s="79">
        <v>14357335.51</v>
      </c>
      <c r="G96" s="80">
        <v>21754</v>
      </c>
      <c r="H96" s="78">
        <v>4505399.3400000008</v>
      </c>
      <c r="I96" s="80">
        <v>1788</v>
      </c>
      <c r="J96" s="81">
        <v>12635834.73</v>
      </c>
      <c r="K96" s="82">
        <v>33039.89</v>
      </c>
      <c r="L96" s="80">
        <v>167</v>
      </c>
      <c r="M96" s="78">
        <v>48696.3</v>
      </c>
      <c r="N96" s="83">
        <v>131</v>
      </c>
      <c r="O96" s="80">
        <v>440</v>
      </c>
      <c r="P96" s="81">
        <v>149286.70000000001</v>
      </c>
      <c r="Q96" s="84">
        <v>330</v>
      </c>
      <c r="R96" s="80">
        <v>7050</v>
      </c>
      <c r="S96" s="81">
        <v>80760</v>
      </c>
      <c r="T96" s="82"/>
      <c r="U96" s="80">
        <v>261</v>
      </c>
      <c r="V96" s="81"/>
      <c r="W96" s="82"/>
      <c r="X96" s="80">
        <v>0</v>
      </c>
      <c r="Z96" s="131"/>
    </row>
    <row r="97" spans="1:26" x14ac:dyDescent="0.25">
      <c r="A97" s="75">
        <v>2020</v>
      </c>
      <c r="B97" s="76" t="s">
        <v>79</v>
      </c>
      <c r="C97" s="85"/>
      <c r="D97" s="86">
        <v>31066267.637283299</v>
      </c>
      <c r="E97" s="86"/>
      <c r="F97" s="87">
        <v>13257653</v>
      </c>
      <c r="G97" s="88">
        <v>21793</v>
      </c>
      <c r="H97" s="86">
        <v>4280495.82</v>
      </c>
      <c r="I97" s="88">
        <v>1778</v>
      </c>
      <c r="J97" s="89">
        <v>11833328.060000001</v>
      </c>
      <c r="K97" s="90">
        <v>32482</v>
      </c>
      <c r="L97" s="88">
        <v>167</v>
      </c>
      <c r="M97" s="86">
        <v>43943.05</v>
      </c>
      <c r="N97" s="91">
        <v>132</v>
      </c>
      <c r="O97" s="88">
        <v>406</v>
      </c>
      <c r="P97" s="89">
        <v>128628.34</v>
      </c>
      <c r="Q97" s="92">
        <v>330</v>
      </c>
      <c r="R97" s="88">
        <v>7052</v>
      </c>
      <c r="S97" s="89">
        <v>75228</v>
      </c>
      <c r="T97" s="90"/>
      <c r="U97" s="88">
        <v>260</v>
      </c>
      <c r="V97" s="89"/>
      <c r="W97" s="90"/>
      <c r="X97" s="88">
        <v>0</v>
      </c>
      <c r="Z97" s="131"/>
    </row>
    <row r="98" spans="1:26" x14ac:dyDescent="0.25">
      <c r="A98" s="75">
        <v>2020</v>
      </c>
      <c r="B98" s="76" t="s">
        <v>80</v>
      </c>
      <c r="C98" s="85"/>
      <c r="D98" s="86">
        <v>30079085.278391898</v>
      </c>
      <c r="E98" s="86"/>
      <c r="F98" s="87">
        <v>13373777.6</v>
      </c>
      <c r="G98" s="88">
        <v>21828</v>
      </c>
      <c r="H98" s="86">
        <v>4214474.96</v>
      </c>
      <c r="I98" s="88">
        <v>1788</v>
      </c>
      <c r="J98" s="89">
        <v>11287020.939999999</v>
      </c>
      <c r="K98" s="90">
        <v>31550</v>
      </c>
      <c r="L98" s="88">
        <v>158</v>
      </c>
      <c r="M98" s="86">
        <v>45273.89</v>
      </c>
      <c r="N98" s="91">
        <v>122</v>
      </c>
      <c r="O98" s="88">
        <v>406</v>
      </c>
      <c r="P98" s="89">
        <v>122721.58</v>
      </c>
      <c r="Q98" s="92">
        <v>330</v>
      </c>
      <c r="R98" s="88">
        <v>7052</v>
      </c>
      <c r="S98" s="89">
        <v>80422</v>
      </c>
      <c r="T98" s="90"/>
      <c r="U98" s="88">
        <v>260</v>
      </c>
      <c r="V98" s="89"/>
      <c r="W98" s="90"/>
      <c r="X98" s="88">
        <v>0</v>
      </c>
      <c r="Z98" s="131"/>
    </row>
    <row r="99" spans="1:26" x14ac:dyDescent="0.25">
      <c r="A99" s="75">
        <v>2020</v>
      </c>
      <c r="B99" s="76" t="s">
        <v>81</v>
      </c>
      <c r="C99" s="85"/>
      <c r="D99" s="86">
        <v>26605231.832859904</v>
      </c>
      <c r="E99" s="86"/>
      <c r="F99" s="87">
        <v>12414908.619999999</v>
      </c>
      <c r="G99" s="88">
        <v>21861</v>
      </c>
      <c r="H99" s="86">
        <v>3390848.1999999997</v>
      </c>
      <c r="I99" s="88">
        <v>1786</v>
      </c>
      <c r="J99" s="89">
        <v>9454858.0600000005</v>
      </c>
      <c r="K99" s="90">
        <v>27547</v>
      </c>
      <c r="L99" s="88">
        <v>158</v>
      </c>
      <c r="M99" s="86">
        <v>43810.02</v>
      </c>
      <c r="N99" s="91">
        <v>122</v>
      </c>
      <c r="O99" s="88">
        <v>404</v>
      </c>
      <c r="P99" s="89">
        <v>104147.88</v>
      </c>
      <c r="Q99" s="92">
        <v>330</v>
      </c>
      <c r="R99" s="88">
        <v>7052</v>
      </c>
      <c r="S99" s="89">
        <v>77839</v>
      </c>
      <c r="T99" s="90"/>
      <c r="U99" s="88">
        <v>260</v>
      </c>
      <c r="V99" s="89"/>
      <c r="W99" s="90"/>
      <c r="X99" s="88">
        <v>0</v>
      </c>
      <c r="Z99" s="131"/>
    </row>
    <row r="100" spans="1:26" x14ac:dyDescent="0.25">
      <c r="A100" s="75">
        <v>2020</v>
      </c>
      <c r="B100" s="76" t="s">
        <v>47</v>
      </c>
      <c r="C100" s="85"/>
      <c r="D100" s="86">
        <v>28255543.1817187</v>
      </c>
      <c r="E100" s="86"/>
      <c r="F100" s="87">
        <v>13456824.82</v>
      </c>
      <c r="G100" s="88">
        <v>21888</v>
      </c>
      <c r="H100" s="86">
        <v>3428186.73</v>
      </c>
      <c r="I100" s="88">
        <v>1783</v>
      </c>
      <c r="J100" s="89">
        <v>10075538.260000002</v>
      </c>
      <c r="K100" s="90">
        <v>32536</v>
      </c>
      <c r="L100" s="88">
        <v>158</v>
      </c>
      <c r="M100" s="86">
        <v>44955.83</v>
      </c>
      <c r="N100" s="91">
        <v>121</v>
      </c>
      <c r="O100" s="88">
        <v>403</v>
      </c>
      <c r="P100" s="89">
        <v>94875.12</v>
      </c>
      <c r="Q100" s="92">
        <v>330</v>
      </c>
      <c r="R100" s="88">
        <v>7052</v>
      </c>
      <c r="S100" s="89">
        <v>80029</v>
      </c>
      <c r="T100" s="90"/>
      <c r="U100" s="88">
        <v>259</v>
      </c>
      <c r="V100" s="89"/>
      <c r="W100" s="90"/>
      <c r="X100" s="88">
        <v>0</v>
      </c>
      <c r="Z100" s="131"/>
    </row>
    <row r="101" spans="1:26" x14ac:dyDescent="0.25">
      <c r="A101" s="75">
        <v>2020</v>
      </c>
      <c r="B101" s="76" t="s">
        <v>82</v>
      </c>
      <c r="C101" s="85"/>
      <c r="D101" s="86">
        <v>33406975.0200781</v>
      </c>
      <c r="E101" s="86"/>
      <c r="F101" s="87">
        <v>17782162.890000001</v>
      </c>
      <c r="G101" s="88">
        <v>21918</v>
      </c>
      <c r="H101" s="86">
        <v>3872427.9</v>
      </c>
      <c r="I101" s="88">
        <v>1793</v>
      </c>
      <c r="J101" s="89">
        <v>10973356.379999999</v>
      </c>
      <c r="K101" s="90">
        <v>32840</v>
      </c>
      <c r="L101" s="88">
        <v>160</v>
      </c>
      <c r="M101" s="86">
        <v>43454.34</v>
      </c>
      <c r="N101" s="91">
        <v>121</v>
      </c>
      <c r="O101" s="88">
        <v>402</v>
      </c>
      <c r="P101" s="89">
        <v>85734</v>
      </c>
      <c r="Q101" s="92">
        <v>330</v>
      </c>
      <c r="R101" s="88">
        <v>7052</v>
      </c>
      <c r="S101" s="89">
        <v>76647</v>
      </c>
      <c r="T101" s="90"/>
      <c r="U101" s="88">
        <v>257</v>
      </c>
      <c r="V101" s="89"/>
      <c r="W101" s="90"/>
      <c r="X101" s="88">
        <v>0</v>
      </c>
      <c r="Z101" s="131"/>
    </row>
    <row r="102" spans="1:26" x14ac:dyDescent="0.25">
      <c r="A102" s="75">
        <v>2020</v>
      </c>
      <c r="B102" s="76" t="s">
        <v>83</v>
      </c>
      <c r="C102" s="85"/>
      <c r="D102" s="86">
        <v>42687999.775185399</v>
      </c>
      <c r="E102" s="86"/>
      <c r="F102" s="87">
        <v>22211661.710000001</v>
      </c>
      <c r="G102" s="88">
        <v>21950</v>
      </c>
      <c r="H102" s="86">
        <v>4623631.9300000006</v>
      </c>
      <c r="I102" s="88">
        <v>1790</v>
      </c>
      <c r="J102" s="89">
        <v>12264473.049999999</v>
      </c>
      <c r="K102" s="90">
        <v>34975</v>
      </c>
      <c r="L102" s="88">
        <v>160</v>
      </c>
      <c r="M102" s="86">
        <v>44849.81</v>
      </c>
      <c r="N102" s="91">
        <v>121</v>
      </c>
      <c r="O102" s="88">
        <v>402</v>
      </c>
      <c r="P102" s="89">
        <v>92163.46</v>
      </c>
      <c r="Q102" s="92">
        <v>330</v>
      </c>
      <c r="R102" s="88">
        <v>7086</v>
      </c>
      <c r="S102" s="89">
        <v>79190</v>
      </c>
      <c r="T102" s="90"/>
      <c r="U102" s="88">
        <v>257</v>
      </c>
      <c r="V102" s="89"/>
      <c r="W102" s="90"/>
      <c r="X102" s="88">
        <v>0</v>
      </c>
      <c r="Z102" s="131"/>
    </row>
    <row r="103" spans="1:26" x14ac:dyDescent="0.25">
      <c r="A103" s="75">
        <v>2020</v>
      </c>
      <c r="B103" s="76" t="s">
        <v>84</v>
      </c>
      <c r="C103" s="85"/>
      <c r="D103" s="86">
        <v>37930770.327769101</v>
      </c>
      <c r="E103" s="86"/>
      <c r="F103" s="87">
        <v>19369497.870000001</v>
      </c>
      <c r="G103" s="88">
        <v>21972</v>
      </c>
      <c r="H103" s="86">
        <v>4482673.5600000005</v>
      </c>
      <c r="I103" s="88">
        <v>1791</v>
      </c>
      <c r="J103" s="89">
        <v>12006141.370000001</v>
      </c>
      <c r="K103" s="90">
        <v>34025</v>
      </c>
      <c r="L103" s="88">
        <v>161</v>
      </c>
      <c r="M103" s="86">
        <v>44849.82</v>
      </c>
      <c r="N103" s="91">
        <v>121</v>
      </c>
      <c r="O103" s="88">
        <v>402</v>
      </c>
      <c r="P103" s="89">
        <v>103707.8</v>
      </c>
      <c r="Q103" s="92">
        <v>330</v>
      </c>
      <c r="R103" s="88">
        <v>7096</v>
      </c>
      <c r="S103" s="89">
        <v>79190</v>
      </c>
      <c r="T103" s="90"/>
      <c r="U103" s="88">
        <v>257</v>
      </c>
      <c r="V103" s="89"/>
      <c r="W103" s="90"/>
      <c r="X103" s="88">
        <v>0</v>
      </c>
      <c r="Z103" s="131"/>
    </row>
    <row r="104" spans="1:26" x14ac:dyDescent="0.25">
      <c r="A104" s="75">
        <v>2020</v>
      </c>
      <c r="B104" s="76" t="s">
        <v>85</v>
      </c>
      <c r="C104" s="85"/>
      <c r="D104" s="86">
        <v>29216230.450019099</v>
      </c>
      <c r="E104" s="86"/>
      <c r="F104" s="87">
        <v>13630284.539999999</v>
      </c>
      <c r="G104" s="88">
        <v>21993</v>
      </c>
      <c r="H104" s="86">
        <v>3728234.4299999997</v>
      </c>
      <c r="I104" s="88">
        <v>1791</v>
      </c>
      <c r="J104" s="89">
        <v>11036613.07</v>
      </c>
      <c r="K104" s="90">
        <v>32959</v>
      </c>
      <c r="L104" s="88">
        <v>161</v>
      </c>
      <c r="M104" s="86">
        <v>43355.16</v>
      </c>
      <c r="N104" s="91">
        <v>121</v>
      </c>
      <c r="O104" s="88">
        <v>401</v>
      </c>
      <c r="P104" s="89">
        <v>114421.4</v>
      </c>
      <c r="Q104" s="92">
        <v>330</v>
      </c>
      <c r="R104" s="88">
        <v>7096</v>
      </c>
      <c r="S104" s="89">
        <v>76647</v>
      </c>
      <c r="T104" s="90"/>
      <c r="U104" s="88">
        <v>257</v>
      </c>
      <c r="V104" s="89"/>
      <c r="W104" s="90"/>
      <c r="X104" s="88">
        <v>0</v>
      </c>
      <c r="Z104" s="131"/>
    </row>
    <row r="105" spans="1:26" x14ac:dyDescent="0.25">
      <c r="A105" s="75">
        <v>2020</v>
      </c>
      <c r="B105" s="76" t="s">
        <v>86</v>
      </c>
      <c r="C105" s="85"/>
      <c r="D105" s="86">
        <v>27410041.627921898</v>
      </c>
      <c r="E105" s="86"/>
      <c r="F105" s="87">
        <v>12069964.689999999</v>
      </c>
      <c r="G105" s="88">
        <v>22017</v>
      </c>
      <c r="H105" s="86">
        <v>3701709.39</v>
      </c>
      <c r="I105" s="88">
        <v>1783</v>
      </c>
      <c r="J105" s="89">
        <v>10483165.18</v>
      </c>
      <c r="K105" s="90">
        <v>32743</v>
      </c>
      <c r="L105" s="88">
        <v>161</v>
      </c>
      <c r="M105" s="86">
        <v>44779.13</v>
      </c>
      <c r="N105" s="91">
        <v>120.6</v>
      </c>
      <c r="O105" s="88">
        <v>401</v>
      </c>
      <c r="P105" s="89">
        <v>133270.85999999999</v>
      </c>
      <c r="Q105" s="92">
        <v>330</v>
      </c>
      <c r="R105" s="88">
        <v>7055</v>
      </c>
      <c r="S105" s="89">
        <v>79190</v>
      </c>
      <c r="T105" s="90"/>
      <c r="U105" s="88">
        <v>257</v>
      </c>
      <c r="V105" s="89"/>
      <c r="W105" s="90"/>
      <c r="X105" s="88">
        <v>0</v>
      </c>
      <c r="Z105" s="131"/>
    </row>
    <row r="106" spans="1:26" x14ac:dyDescent="0.25">
      <c r="A106" s="75">
        <v>2020</v>
      </c>
      <c r="B106" s="76" t="s">
        <v>87</v>
      </c>
      <c r="C106" s="85"/>
      <c r="D106" s="86">
        <v>28047137.9106231</v>
      </c>
      <c r="E106" s="86"/>
      <c r="F106" s="87">
        <v>12744800.52</v>
      </c>
      <c r="G106" s="88">
        <v>22046</v>
      </c>
      <c r="H106" s="86">
        <v>3869106.98</v>
      </c>
      <c r="I106" s="88">
        <v>1788</v>
      </c>
      <c r="J106" s="89">
        <v>10300508.439999999</v>
      </c>
      <c r="K106" s="90">
        <v>28820</v>
      </c>
      <c r="L106" s="88">
        <v>161</v>
      </c>
      <c r="M106" s="86">
        <v>43262.64</v>
      </c>
      <c r="N106" s="91">
        <v>121</v>
      </c>
      <c r="O106" s="88">
        <v>401</v>
      </c>
      <c r="P106" s="89">
        <v>141740.54</v>
      </c>
      <c r="Q106" s="92">
        <v>330</v>
      </c>
      <c r="R106" s="88">
        <v>7055</v>
      </c>
      <c r="S106" s="89">
        <v>76647</v>
      </c>
      <c r="T106" s="90"/>
      <c r="U106" s="88">
        <v>257</v>
      </c>
      <c r="V106" s="89"/>
      <c r="W106" s="90"/>
      <c r="X106" s="88">
        <v>0</v>
      </c>
      <c r="Z106" s="131"/>
    </row>
    <row r="107" spans="1:26" x14ac:dyDescent="0.25">
      <c r="A107" s="75">
        <v>2020</v>
      </c>
      <c r="B107" s="76" t="s">
        <v>88</v>
      </c>
      <c r="C107" s="85"/>
      <c r="D107" s="86">
        <v>32403661.342188701</v>
      </c>
      <c r="E107" s="86"/>
      <c r="F107" s="87">
        <v>15245598.5</v>
      </c>
      <c r="G107" s="88">
        <v>22102</v>
      </c>
      <c r="H107" s="86">
        <v>4440317.87</v>
      </c>
      <c r="I107" s="88">
        <v>1791</v>
      </c>
      <c r="J107" s="89">
        <v>10933571.23</v>
      </c>
      <c r="K107" s="90">
        <v>28204</v>
      </c>
      <c r="L107" s="88">
        <v>161</v>
      </c>
      <c r="M107" s="86">
        <v>44704.73</v>
      </c>
      <c r="N107" s="91">
        <v>120</v>
      </c>
      <c r="O107" s="88">
        <v>401</v>
      </c>
      <c r="P107" s="89">
        <v>153109.51999999999</v>
      </c>
      <c r="Q107" s="92">
        <v>330</v>
      </c>
      <c r="R107" s="88">
        <v>7103</v>
      </c>
      <c r="S107" s="89">
        <v>79190</v>
      </c>
      <c r="T107" s="90"/>
      <c r="U107" s="88">
        <v>257</v>
      </c>
      <c r="V107" s="89"/>
      <c r="W107" s="90"/>
      <c r="X107" s="88">
        <v>0</v>
      </c>
      <c r="Z107" s="131"/>
    </row>
    <row r="108" spans="1:26" x14ac:dyDescent="0.25">
      <c r="A108" s="75">
        <v>2021</v>
      </c>
      <c r="B108" s="76" t="s">
        <v>78</v>
      </c>
      <c r="C108" s="85"/>
      <c r="D108" s="78">
        <v>32846157.776278503</v>
      </c>
      <c r="E108" s="78"/>
      <c r="F108" s="79">
        <v>15838147.710000001</v>
      </c>
      <c r="G108" s="80">
        <v>22121</v>
      </c>
      <c r="H108" s="78">
        <v>4781810.03</v>
      </c>
      <c r="I108" s="80">
        <v>1817</v>
      </c>
      <c r="J108" s="81">
        <v>10726335.640000001</v>
      </c>
      <c r="K108" s="82">
        <v>27582</v>
      </c>
      <c r="L108" s="80">
        <v>136</v>
      </c>
      <c r="M108" s="78">
        <v>44704.73</v>
      </c>
      <c r="N108" s="83">
        <v>120.4</v>
      </c>
      <c r="O108" s="80">
        <v>401</v>
      </c>
      <c r="P108" s="81">
        <v>148291.49</v>
      </c>
      <c r="Q108" s="84">
        <v>327.8</v>
      </c>
      <c r="R108" s="80">
        <v>7103</v>
      </c>
      <c r="S108" s="81">
        <v>79190</v>
      </c>
      <c r="T108" s="82"/>
      <c r="U108" s="80">
        <v>257</v>
      </c>
      <c r="V108" s="81"/>
      <c r="W108" s="82"/>
      <c r="X108" s="80">
        <v>0</v>
      </c>
      <c r="Z108" s="131"/>
    </row>
    <row r="109" spans="1:26" x14ac:dyDescent="0.25">
      <c r="A109" s="75">
        <v>2021</v>
      </c>
      <c r="B109" s="76" t="s">
        <v>79</v>
      </c>
      <c r="C109" s="85"/>
      <c r="D109" s="86">
        <v>30819473.817396801</v>
      </c>
      <c r="E109" s="86"/>
      <c r="F109" s="87">
        <v>14486833.300000001</v>
      </c>
      <c r="G109" s="88">
        <v>22198</v>
      </c>
      <c r="H109" s="86">
        <v>4553304.9000000004</v>
      </c>
      <c r="I109" s="88">
        <v>1820</v>
      </c>
      <c r="J109" s="89">
        <v>10234591.66</v>
      </c>
      <c r="K109" s="90">
        <v>27928.400000000001</v>
      </c>
      <c r="L109" s="88">
        <v>136</v>
      </c>
      <c r="M109" s="86">
        <v>40378.47</v>
      </c>
      <c r="N109" s="91">
        <v>120.4</v>
      </c>
      <c r="O109" s="88">
        <v>401</v>
      </c>
      <c r="P109" s="89">
        <v>123574.95</v>
      </c>
      <c r="Q109" s="92">
        <v>327.8</v>
      </c>
      <c r="R109" s="88">
        <v>7106</v>
      </c>
      <c r="S109" s="89">
        <v>71524</v>
      </c>
      <c r="T109" s="90"/>
      <c r="U109" s="88">
        <v>257</v>
      </c>
      <c r="V109" s="89"/>
      <c r="W109" s="90"/>
      <c r="X109" s="88">
        <v>0</v>
      </c>
      <c r="Z109" s="131"/>
    </row>
    <row r="110" spans="1:26" x14ac:dyDescent="0.25">
      <c r="A110" s="75">
        <v>2021</v>
      </c>
      <c r="B110" s="76" t="s">
        <v>80</v>
      </c>
      <c r="C110" s="85"/>
      <c r="D110" s="86">
        <v>30429325.708896</v>
      </c>
      <c r="E110" s="86"/>
      <c r="F110" s="87">
        <v>13580578.720000001</v>
      </c>
      <c r="G110" s="88">
        <v>22269</v>
      </c>
      <c r="H110" s="86">
        <v>4626248.7700000005</v>
      </c>
      <c r="I110" s="88">
        <v>1828</v>
      </c>
      <c r="J110" s="89">
        <v>10829737.430000002</v>
      </c>
      <c r="K110" s="90">
        <v>28625.64</v>
      </c>
      <c r="L110" s="88">
        <v>140</v>
      </c>
      <c r="M110" s="86">
        <v>44704.73</v>
      </c>
      <c r="N110" s="91">
        <v>120.4</v>
      </c>
      <c r="O110" s="88">
        <v>401</v>
      </c>
      <c r="P110" s="89">
        <v>122411.54</v>
      </c>
      <c r="Q110" s="92">
        <v>327.8</v>
      </c>
      <c r="R110" s="88">
        <v>7106</v>
      </c>
      <c r="S110" s="89">
        <v>79190</v>
      </c>
      <c r="T110" s="90"/>
      <c r="U110" s="88">
        <v>257</v>
      </c>
      <c r="V110" s="89"/>
      <c r="W110" s="90"/>
      <c r="X110" s="88">
        <v>0</v>
      </c>
      <c r="Z110" s="131"/>
    </row>
    <row r="111" spans="1:26" x14ac:dyDescent="0.25">
      <c r="A111" s="75">
        <v>2021</v>
      </c>
      <c r="B111" s="76" t="s">
        <v>81</v>
      </c>
      <c r="C111" s="85"/>
      <c r="D111" s="86">
        <v>26763134.5519844</v>
      </c>
      <c r="E111" s="86"/>
      <c r="F111" s="87">
        <v>11975553.24</v>
      </c>
      <c r="G111" s="88">
        <v>22294</v>
      </c>
      <c r="H111" s="86">
        <v>3836073.87</v>
      </c>
      <c r="I111" s="88">
        <v>1841</v>
      </c>
      <c r="J111" s="89">
        <v>9698568.5300000012</v>
      </c>
      <c r="K111" s="90">
        <v>28021.78</v>
      </c>
      <c r="L111" s="88">
        <v>140</v>
      </c>
      <c r="M111" s="86">
        <v>43262.64</v>
      </c>
      <c r="N111" s="91">
        <v>120.4</v>
      </c>
      <c r="O111" s="88">
        <v>401</v>
      </c>
      <c r="P111" s="89">
        <v>103453.54</v>
      </c>
      <c r="Q111" s="92">
        <v>327.8</v>
      </c>
      <c r="R111" s="88">
        <v>7105</v>
      </c>
      <c r="S111" s="89">
        <v>76647</v>
      </c>
      <c r="T111" s="90"/>
      <c r="U111" s="88">
        <v>257</v>
      </c>
      <c r="V111" s="89"/>
      <c r="W111" s="90"/>
      <c r="X111" s="88">
        <v>0</v>
      </c>
      <c r="Z111" s="131"/>
    </row>
    <row r="112" spans="1:26" x14ac:dyDescent="0.25">
      <c r="A112" s="75">
        <v>2021</v>
      </c>
      <c r="B112" s="76" t="s">
        <v>47</v>
      </c>
      <c r="C112" s="85"/>
      <c r="D112" s="86">
        <v>28296552.692327201</v>
      </c>
      <c r="E112" s="86"/>
      <c r="F112" s="87">
        <v>13476019.84</v>
      </c>
      <c r="G112" s="88">
        <v>22316</v>
      </c>
      <c r="H112" s="86">
        <v>3863113.84</v>
      </c>
      <c r="I112" s="88">
        <v>1843</v>
      </c>
      <c r="J112" s="89">
        <v>9927468.6499999985</v>
      </c>
      <c r="K112" s="90">
        <v>29304.6</v>
      </c>
      <c r="L112" s="88">
        <v>140</v>
      </c>
      <c r="M112" s="86">
        <v>44704.73</v>
      </c>
      <c r="N112" s="91">
        <v>120.4</v>
      </c>
      <c r="O112" s="88">
        <v>401</v>
      </c>
      <c r="P112" s="89">
        <v>94242.64</v>
      </c>
      <c r="Q112" s="92">
        <v>327.8</v>
      </c>
      <c r="R112" s="88">
        <v>7105</v>
      </c>
      <c r="S112" s="89">
        <v>77946</v>
      </c>
      <c r="T112" s="90"/>
      <c r="U112" s="88">
        <v>256</v>
      </c>
      <c r="V112" s="89"/>
      <c r="W112" s="90"/>
      <c r="X112" s="88">
        <v>0</v>
      </c>
      <c r="Z112" s="131"/>
    </row>
    <row r="113" spans="1:26" x14ac:dyDescent="0.25">
      <c r="A113" s="75">
        <v>2021</v>
      </c>
      <c r="B113" s="76" t="s">
        <v>82</v>
      </c>
      <c r="C113" s="85"/>
      <c r="D113" s="86">
        <v>34399006.535900503</v>
      </c>
      <c r="E113" s="86"/>
      <c r="F113" s="87">
        <v>16982021.079999998</v>
      </c>
      <c r="G113" s="88">
        <v>22382</v>
      </c>
      <c r="H113" s="86">
        <v>4362549.6000000006</v>
      </c>
      <c r="I113" s="88">
        <v>1843</v>
      </c>
      <c r="J113" s="89">
        <v>10906800.98</v>
      </c>
      <c r="K113" s="90">
        <v>30647.599999999999</v>
      </c>
      <c r="L113" s="88">
        <v>140</v>
      </c>
      <c r="M113" s="86">
        <v>42832.44</v>
      </c>
      <c r="N113" s="91">
        <v>119.2</v>
      </c>
      <c r="O113" s="88">
        <v>398</v>
      </c>
      <c r="P113" s="89">
        <v>85162.44</v>
      </c>
      <c r="Q113" s="92">
        <v>327.8</v>
      </c>
      <c r="R113" s="88">
        <v>7105</v>
      </c>
      <c r="S113" s="89">
        <v>75443</v>
      </c>
      <c r="T113" s="90"/>
      <c r="U113" s="88">
        <v>256</v>
      </c>
      <c r="V113" s="89"/>
      <c r="W113" s="90"/>
      <c r="X113" s="88">
        <v>0</v>
      </c>
      <c r="Z113" s="131"/>
    </row>
    <row r="114" spans="1:26" x14ac:dyDescent="0.25">
      <c r="A114" s="75">
        <v>2021</v>
      </c>
      <c r="B114" s="76" t="s">
        <v>83</v>
      </c>
      <c r="C114" s="85"/>
      <c r="D114" s="86">
        <v>36416581.592046797</v>
      </c>
      <c r="E114" s="86"/>
      <c r="F114" s="87">
        <v>18957065.719999999</v>
      </c>
      <c r="G114" s="88">
        <v>22403</v>
      </c>
      <c r="H114" s="86">
        <v>4824293.49</v>
      </c>
      <c r="I114" s="88">
        <v>1845</v>
      </c>
      <c r="J114" s="89">
        <v>11237187.99</v>
      </c>
      <c r="K114" s="90">
        <v>30355.48</v>
      </c>
      <c r="L114" s="88">
        <v>141</v>
      </c>
      <c r="M114" s="86">
        <v>42941.75</v>
      </c>
      <c r="N114" s="91">
        <v>119.2</v>
      </c>
      <c r="O114" s="88">
        <v>398</v>
      </c>
      <c r="P114" s="89">
        <v>91549.03</v>
      </c>
      <c r="Q114" s="92">
        <v>327.8</v>
      </c>
      <c r="R114" s="88">
        <v>7105</v>
      </c>
      <c r="S114" s="89">
        <v>77946</v>
      </c>
      <c r="T114" s="90"/>
      <c r="U114" s="88">
        <v>256</v>
      </c>
      <c r="V114" s="89"/>
      <c r="W114" s="90"/>
      <c r="X114" s="88">
        <v>0</v>
      </c>
      <c r="Z114" s="131"/>
    </row>
    <row r="115" spans="1:26" x14ac:dyDescent="0.25">
      <c r="A115" s="75">
        <v>2021</v>
      </c>
      <c r="B115" s="76" t="s">
        <v>84</v>
      </c>
      <c r="C115" s="85"/>
      <c r="D115" s="86">
        <v>41970614.616817705</v>
      </c>
      <c r="E115" s="86"/>
      <c r="F115" s="87">
        <v>21600059.73</v>
      </c>
      <c r="G115" s="88">
        <v>22462</v>
      </c>
      <c r="H115" s="86">
        <v>5450822.7799999993</v>
      </c>
      <c r="I115" s="88">
        <v>1845</v>
      </c>
      <c r="J115" s="89">
        <v>12164298.41</v>
      </c>
      <c r="K115" s="90">
        <v>31590.270000000004</v>
      </c>
      <c r="L115" s="88">
        <v>140</v>
      </c>
      <c r="M115" s="86">
        <v>36105.949999999997</v>
      </c>
      <c r="N115" s="91">
        <v>97.1</v>
      </c>
      <c r="O115" s="88">
        <v>345</v>
      </c>
      <c r="P115" s="89">
        <v>103016.38</v>
      </c>
      <c r="Q115" s="92">
        <v>327.8</v>
      </c>
      <c r="R115" s="88">
        <v>7105</v>
      </c>
      <c r="S115" s="89">
        <v>77946</v>
      </c>
      <c r="T115" s="90"/>
      <c r="U115" s="88">
        <v>256</v>
      </c>
      <c r="V115" s="89"/>
      <c r="W115" s="90"/>
      <c r="X115" s="88">
        <v>0</v>
      </c>
      <c r="Z115" s="131"/>
    </row>
    <row r="116" spans="1:26" x14ac:dyDescent="0.25">
      <c r="A116" s="75">
        <v>2021</v>
      </c>
      <c r="B116" s="76" t="s">
        <v>85</v>
      </c>
      <c r="C116" s="85"/>
      <c r="D116" s="86">
        <v>30974506.587737001</v>
      </c>
      <c r="E116" s="86"/>
      <c r="F116" s="87">
        <v>14782035.1</v>
      </c>
      <c r="G116" s="88">
        <v>22493</v>
      </c>
      <c r="H116" s="86">
        <v>4386824.76</v>
      </c>
      <c r="I116" s="88">
        <v>1846</v>
      </c>
      <c r="J116" s="89">
        <v>10734699.250000002</v>
      </c>
      <c r="K116" s="90">
        <v>30624.100000000002</v>
      </c>
      <c r="L116" s="88">
        <v>141</v>
      </c>
      <c r="M116" s="86">
        <v>34957.440000000002</v>
      </c>
      <c r="N116" s="91">
        <v>97.5</v>
      </c>
      <c r="O116" s="88">
        <v>345</v>
      </c>
      <c r="P116" s="89">
        <v>113659</v>
      </c>
      <c r="Q116" s="92">
        <v>327.8</v>
      </c>
      <c r="R116" s="88">
        <v>7105</v>
      </c>
      <c r="S116" s="89">
        <v>75395</v>
      </c>
      <c r="T116" s="90"/>
      <c r="U116" s="88">
        <v>256</v>
      </c>
      <c r="V116" s="89"/>
      <c r="W116" s="90"/>
      <c r="X116" s="88">
        <v>0</v>
      </c>
      <c r="Z116" s="131"/>
    </row>
    <row r="117" spans="1:26" x14ac:dyDescent="0.25">
      <c r="A117" s="75">
        <v>2021</v>
      </c>
      <c r="B117" s="76" t="s">
        <v>86</v>
      </c>
      <c r="C117" s="85"/>
      <c r="D117" s="86">
        <v>28889124.189985599</v>
      </c>
      <c r="E117" s="86"/>
      <c r="F117" s="87">
        <v>12931228.32</v>
      </c>
      <c r="G117" s="88">
        <v>22552</v>
      </c>
      <c r="H117" s="86">
        <v>4235432.3</v>
      </c>
      <c r="I117" s="88">
        <v>1846</v>
      </c>
      <c r="J117" s="89">
        <v>10597546.299999999</v>
      </c>
      <c r="K117" s="90">
        <v>28982.3</v>
      </c>
      <c r="L117" s="88">
        <v>141</v>
      </c>
      <c r="M117" s="86">
        <v>36156.17</v>
      </c>
      <c r="N117" s="91">
        <v>97.5</v>
      </c>
      <c r="O117" s="88">
        <v>347</v>
      </c>
      <c r="P117" s="89">
        <v>132382.45000000001</v>
      </c>
      <c r="Q117" s="92">
        <v>327.8</v>
      </c>
      <c r="R117" s="88">
        <v>7138</v>
      </c>
      <c r="S117" s="89">
        <v>77574</v>
      </c>
      <c r="T117" s="90"/>
      <c r="U117" s="88">
        <v>255</v>
      </c>
      <c r="V117" s="89"/>
      <c r="W117" s="90"/>
      <c r="X117" s="88">
        <v>0</v>
      </c>
      <c r="Z117" s="131"/>
    </row>
    <row r="118" spans="1:26" x14ac:dyDescent="0.25">
      <c r="A118" s="75">
        <v>2021</v>
      </c>
      <c r="B118" s="76" t="s">
        <v>87</v>
      </c>
      <c r="C118" s="85"/>
      <c r="D118" s="86">
        <v>29524971.059174798</v>
      </c>
      <c r="E118" s="86"/>
      <c r="F118" s="87">
        <v>13082669.48</v>
      </c>
      <c r="G118" s="88">
        <v>22604</v>
      </c>
      <c r="H118" s="86">
        <v>4459505.13</v>
      </c>
      <c r="I118" s="88">
        <v>1832</v>
      </c>
      <c r="J118" s="89">
        <v>10492851.17</v>
      </c>
      <c r="K118" s="90">
        <v>27361.199999999997</v>
      </c>
      <c r="L118" s="88">
        <v>141</v>
      </c>
      <c r="M118" s="86">
        <v>34989.839999999997</v>
      </c>
      <c r="N118" s="91">
        <v>97.5</v>
      </c>
      <c r="O118" s="88">
        <v>347</v>
      </c>
      <c r="P118" s="89">
        <v>140795.60999999999</v>
      </c>
      <c r="Q118" s="92">
        <v>327.8</v>
      </c>
      <c r="R118" s="88">
        <v>7138</v>
      </c>
      <c r="S118" s="89">
        <v>74181</v>
      </c>
      <c r="T118" s="90"/>
      <c r="U118" s="88">
        <v>254</v>
      </c>
      <c r="V118" s="89"/>
      <c r="W118" s="90"/>
      <c r="X118" s="88">
        <v>0</v>
      </c>
      <c r="Z118" s="131"/>
    </row>
    <row r="119" spans="1:26" x14ac:dyDescent="0.25">
      <c r="A119" s="75">
        <v>2021</v>
      </c>
      <c r="B119" s="76" t="s">
        <v>88</v>
      </c>
      <c r="C119" s="85"/>
      <c r="D119" s="86">
        <v>32565823.594668198</v>
      </c>
      <c r="E119" s="86"/>
      <c r="F119" s="87">
        <v>15200169.49</v>
      </c>
      <c r="G119" s="88">
        <v>22654</v>
      </c>
      <c r="H119" s="86">
        <v>4850070.4300000006</v>
      </c>
      <c r="I119" s="88">
        <v>1832</v>
      </c>
      <c r="J119" s="89">
        <v>10998377.120000001</v>
      </c>
      <c r="K119" s="90">
        <v>28201.9</v>
      </c>
      <c r="L119" s="88">
        <v>141</v>
      </c>
      <c r="M119" s="86">
        <v>36156.17</v>
      </c>
      <c r="N119" s="91">
        <v>97.5</v>
      </c>
      <c r="O119" s="88">
        <v>347</v>
      </c>
      <c r="P119" s="89">
        <v>152088.88</v>
      </c>
      <c r="Q119" s="92">
        <v>327.8</v>
      </c>
      <c r="R119" s="88">
        <v>7161</v>
      </c>
      <c r="S119" s="89">
        <v>76383</v>
      </c>
      <c r="T119" s="90"/>
      <c r="U119" s="88">
        <v>253</v>
      </c>
      <c r="V119" s="89"/>
      <c r="W119" s="90"/>
      <c r="X119" s="88">
        <v>0</v>
      </c>
      <c r="Z119" s="131"/>
    </row>
    <row r="120" spans="1:26" x14ac:dyDescent="0.25">
      <c r="A120" s="75">
        <v>2022</v>
      </c>
      <c r="B120" s="76" t="s">
        <v>78</v>
      </c>
      <c r="C120" s="85"/>
      <c r="D120" s="78">
        <v>35465006.471801899</v>
      </c>
      <c r="E120" s="78"/>
      <c r="F120" s="79">
        <v>17094811.809999999</v>
      </c>
      <c r="G120" s="80">
        <v>22676</v>
      </c>
      <c r="H120" s="78">
        <v>5248209.67</v>
      </c>
      <c r="I120" s="80">
        <v>1830</v>
      </c>
      <c r="J120" s="81">
        <v>11481027.18</v>
      </c>
      <c r="K120" s="82">
        <v>27990.36</v>
      </c>
      <c r="L120" s="80">
        <v>133</v>
      </c>
      <c r="M120" s="78">
        <v>36156.17</v>
      </c>
      <c r="N120" s="83">
        <v>97.45</v>
      </c>
      <c r="O120" s="80">
        <v>347</v>
      </c>
      <c r="P120" s="81">
        <v>149114.87</v>
      </c>
      <c r="Q120" s="84">
        <v>329.62</v>
      </c>
      <c r="R120" s="80">
        <v>7161</v>
      </c>
      <c r="S120" s="81">
        <v>76383</v>
      </c>
      <c r="T120" s="82"/>
      <c r="U120" s="80">
        <v>253</v>
      </c>
      <c r="V120" s="81"/>
      <c r="W120" s="82"/>
      <c r="X120" s="80">
        <v>0</v>
      </c>
      <c r="Z120" s="131"/>
    </row>
    <row r="121" spans="1:26" x14ac:dyDescent="0.25">
      <c r="A121" s="75">
        <v>2022</v>
      </c>
      <c r="B121" s="76" t="s">
        <v>79</v>
      </c>
      <c r="C121" s="85"/>
      <c r="D121" s="86">
        <v>31523310.542636499</v>
      </c>
      <c r="E121" s="86"/>
      <c r="F121" s="87">
        <v>14588726.92</v>
      </c>
      <c r="G121" s="88">
        <v>22684</v>
      </c>
      <c r="H121" s="86">
        <v>4771951.45</v>
      </c>
      <c r="I121" s="88">
        <v>1830</v>
      </c>
      <c r="J121" s="89">
        <v>10742355.280000001</v>
      </c>
      <c r="K121" s="90">
        <v>30666.99</v>
      </c>
      <c r="L121" s="88">
        <v>138</v>
      </c>
      <c r="M121" s="86">
        <v>32657.19</v>
      </c>
      <c r="N121" s="91">
        <v>97.91</v>
      </c>
      <c r="O121" s="88">
        <v>347</v>
      </c>
      <c r="P121" s="89">
        <v>124261.04</v>
      </c>
      <c r="Q121" s="92">
        <v>329.62</v>
      </c>
      <c r="R121" s="88">
        <v>7177</v>
      </c>
      <c r="S121" s="89">
        <v>68761</v>
      </c>
      <c r="T121" s="90"/>
      <c r="U121" s="88">
        <v>252</v>
      </c>
      <c r="V121" s="89"/>
      <c r="W121" s="90"/>
      <c r="X121" s="88">
        <v>0</v>
      </c>
      <c r="Z121" s="131"/>
    </row>
    <row r="122" spans="1:26" x14ac:dyDescent="0.25">
      <c r="A122" s="75">
        <v>2022</v>
      </c>
      <c r="B122" s="76" t="s">
        <v>80</v>
      </c>
      <c r="C122" s="85"/>
      <c r="D122" s="86">
        <v>32353240.0566434</v>
      </c>
      <c r="E122" s="86"/>
      <c r="F122" s="87">
        <v>14264198.84</v>
      </c>
      <c r="G122" s="88">
        <v>22714</v>
      </c>
      <c r="H122" s="86">
        <v>4844340.4000000004</v>
      </c>
      <c r="I122" s="88">
        <v>1834</v>
      </c>
      <c r="J122" s="89">
        <v>11771947.310000001</v>
      </c>
      <c r="K122" s="90">
        <v>30632.75</v>
      </c>
      <c r="L122" s="88">
        <v>139</v>
      </c>
      <c r="M122" s="86">
        <v>36079.730000000003</v>
      </c>
      <c r="N122" s="91">
        <v>96.99</v>
      </c>
      <c r="O122" s="88">
        <v>346</v>
      </c>
      <c r="P122" s="89">
        <v>123091.17</v>
      </c>
      <c r="Q122" s="92">
        <v>329.62</v>
      </c>
      <c r="R122" s="88">
        <v>7177</v>
      </c>
      <c r="S122" s="89">
        <v>76011</v>
      </c>
      <c r="T122" s="90"/>
      <c r="U122" s="88">
        <v>252</v>
      </c>
      <c r="V122" s="89"/>
      <c r="W122" s="90"/>
      <c r="X122" s="88">
        <v>0</v>
      </c>
      <c r="Z122" s="131"/>
    </row>
    <row r="123" spans="1:26" x14ac:dyDescent="0.25">
      <c r="A123" s="75">
        <v>2022</v>
      </c>
      <c r="B123" s="76" t="s">
        <v>81</v>
      </c>
      <c r="C123" s="85"/>
      <c r="D123" s="86">
        <v>27915177.2162803</v>
      </c>
      <c r="E123" s="86"/>
      <c r="F123" s="87">
        <v>12283802.050000001</v>
      </c>
      <c r="G123" s="88">
        <v>22758</v>
      </c>
      <c r="H123" s="86">
        <v>4163023.65</v>
      </c>
      <c r="I123" s="88">
        <v>1842</v>
      </c>
      <c r="J123" s="89">
        <v>10165552.229999999</v>
      </c>
      <c r="K123" s="90">
        <v>27648.229999999996</v>
      </c>
      <c r="L123" s="88">
        <v>139</v>
      </c>
      <c r="M123" s="86">
        <v>34826.04</v>
      </c>
      <c r="N123" s="91">
        <v>96.99</v>
      </c>
      <c r="O123" s="88">
        <v>346</v>
      </c>
      <c r="P123" s="89">
        <v>104027.95</v>
      </c>
      <c r="Q123" s="92">
        <v>329.62</v>
      </c>
      <c r="R123" s="88">
        <v>7177</v>
      </c>
      <c r="S123" s="89">
        <v>73571</v>
      </c>
      <c r="T123" s="90"/>
      <c r="U123" s="88">
        <v>252</v>
      </c>
      <c r="V123" s="89"/>
      <c r="W123" s="90"/>
      <c r="X123" s="88">
        <v>0</v>
      </c>
      <c r="Z123" s="131"/>
    </row>
    <row r="124" spans="1:26" x14ac:dyDescent="0.25">
      <c r="A124" s="75">
        <v>2022</v>
      </c>
      <c r="B124" s="76" t="s">
        <v>47</v>
      </c>
      <c r="C124" s="85"/>
      <c r="D124" s="86">
        <v>29942359.493953399</v>
      </c>
      <c r="E124" s="86"/>
      <c r="F124" s="87">
        <v>13299835.68</v>
      </c>
      <c r="G124" s="88">
        <v>22784</v>
      </c>
      <c r="H124" s="86">
        <v>4256205.5</v>
      </c>
      <c r="I124" s="88">
        <v>1844</v>
      </c>
      <c r="J124" s="89">
        <v>10987486.509999998</v>
      </c>
      <c r="K124" s="90">
        <v>29350.57</v>
      </c>
      <c r="L124" s="88">
        <v>138</v>
      </c>
      <c r="M124" s="86">
        <v>35986.910000000003</v>
      </c>
      <c r="N124" s="91">
        <v>96.99</v>
      </c>
      <c r="O124" s="88">
        <v>346</v>
      </c>
      <c r="P124" s="89">
        <v>94765.89</v>
      </c>
      <c r="Q124" s="92">
        <v>329.62</v>
      </c>
      <c r="R124" s="88">
        <v>7177</v>
      </c>
      <c r="S124" s="89">
        <v>76011</v>
      </c>
      <c r="T124" s="90"/>
      <c r="U124" s="88">
        <v>252</v>
      </c>
      <c r="V124" s="89"/>
      <c r="W124" s="90"/>
      <c r="X124" s="88">
        <v>0</v>
      </c>
      <c r="Z124" s="131"/>
    </row>
    <row r="125" spans="1:26" x14ac:dyDescent="0.25">
      <c r="A125" s="75">
        <v>2022</v>
      </c>
      <c r="B125" s="76" t="s">
        <v>82</v>
      </c>
      <c r="C125" s="85"/>
      <c r="D125" s="86">
        <v>32984458.022498798</v>
      </c>
      <c r="E125" s="86"/>
      <c r="F125" s="87">
        <v>15755653.300000001</v>
      </c>
      <c r="G125" s="88">
        <v>22808</v>
      </c>
      <c r="H125" s="86">
        <v>4499684.5599999996</v>
      </c>
      <c r="I125" s="88">
        <v>1844</v>
      </c>
      <c r="J125" s="89">
        <v>11187102.190000001</v>
      </c>
      <c r="K125" s="90">
        <v>31997.97</v>
      </c>
      <c r="L125" s="88">
        <v>138</v>
      </c>
      <c r="M125" s="86">
        <v>34826.04</v>
      </c>
      <c r="N125" s="91">
        <v>97.37</v>
      </c>
      <c r="O125" s="88">
        <v>346</v>
      </c>
      <c r="P125" s="89">
        <v>85635.24</v>
      </c>
      <c r="Q125" s="92">
        <v>329.62</v>
      </c>
      <c r="R125" s="88">
        <v>7177</v>
      </c>
      <c r="S125" s="89">
        <v>73571</v>
      </c>
      <c r="T125" s="90"/>
      <c r="U125" s="88">
        <v>252</v>
      </c>
      <c r="V125" s="89"/>
      <c r="W125" s="90"/>
      <c r="X125" s="88">
        <v>0</v>
      </c>
      <c r="Z125" s="131"/>
    </row>
    <row r="126" spans="1:26" x14ac:dyDescent="0.25">
      <c r="A126" s="75">
        <v>2022</v>
      </c>
      <c r="B126" s="76" t="s">
        <v>83</v>
      </c>
      <c r="C126" s="85"/>
      <c r="D126" s="86">
        <v>39133029.9268599</v>
      </c>
      <c r="E126" s="86"/>
      <c r="F126" s="87">
        <v>20212226.859999999</v>
      </c>
      <c r="G126" s="88">
        <v>22842</v>
      </c>
      <c r="H126" s="86">
        <v>5038460.28</v>
      </c>
      <c r="I126" s="88">
        <v>1836</v>
      </c>
      <c r="J126" s="89">
        <v>12132980.999999998</v>
      </c>
      <c r="K126" s="90">
        <v>31237.25</v>
      </c>
      <c r="L126" s="88">
        <v>140</v>
      </c>
      <c r="M126" s="86">
        <v>35891.15</v>
      </c>
      <c r="N126" s="91">
        <v>96.61</v>
      </c>
      <c r="O126" s="88">
        <v>346</v>
      </c>
      <c r="P126" s="89">
        <v>92057.33</v>
      </c>
      <c r="Q126" s="92">
        <v>329.62</v>
      </c>
      <c r="R126" s="88">
        <v>7177</v>
      </c>
      <c r="S126" s="89">
        <v>76011</v>
      </c>
      <c r="T126" s="90"/>
      <c r="U126" s="88">
        <v>252</v>
      </c>
      <c r="V126" s="89"/>
      <c r="W126" s="90"/>
      <c r="X126" s="88">
        <v>0</v>
      </c>
      <c r="Z126" s="131"/>
    </row>
    <row r="127" spans="1:26" x14ac:dyDescent="0.25">
      <c r="A127" s="75">
        <v>2022</v>
      </c>
      <c r="B127" s="76" t="s">
        <v>84</v>
      </c>
      <c r="C127" s="85"/>
      <c r="D127" s="86">
        <v>39821521.175825201</v>
      </c>
      <c r="E127" s="86"/>
      <c r="F127" s="87">
        <v>20213985.329999998</v>
      </c>
      <c r="G127" s="88">
        <v>22885</v>
      </c>
      <c r="H127" s="86">
        <v>5129010.74</v>
      </c>
      <c r="I127" s="88">
        <v>1836</v>
      </c>
      <c r="J127" s="89">
        <v>12590510.060000002</v>
      </c>
      <c r="K127" s="90">
        <v>31432.58</v>
      </c>
      <c r="L127" s="88">
        <v>140</v>
      </c>
      <c r="M127" s="86">
        <v>35843.269999999997</v>
      </c>
      <c r="N127" s="91">
        <v>96.83</v>
      </c>
      <c r="O127" s="88">
        <v>346</v>
      </c>
      <c r="P127" s="89">
        <v>103588.36</v>
      </c>
      <c r="Q127" s="92">
        <v>329.62</v>
      </c>
      <c r="R127" s="88">
        <v>7177</v>
      </c>
      <c r="S127" s="89">
        <v>76011</v>
      </c>
      <c r="T127" s="90"/>
      <c r="U127" s="88">
        <v>252</v>
      </c>
      <c r="V127" s="89"/>
      <c r="W127" s="90"/>
      <c r="X127" s="88">
        <v>0</v>
      </c>
      <c r="Z127" s="131"/>
    </row>
    <row r="128" spans="1:26" x14ac:dyDescent="0.25">
      <c r="A128" s="75">
        <v>2022</v>
      </c>
      <c r="B128" s="76" t="s">
        <v>85</v>
      </c>
      <c r="C128" s="85"/>
      <c r="D128" s="86">
        <v>31429525.786972698</v>
      </c>
      <c r="E128" s="86"/>
      <c r="F128" s="87">
        <v>14211138.42</v>
      </c>
      <c r="G128" s="88">
        <v>22924</v>
      </c>
      <c r="H128" s="86">
        <v>4269069.9000000004</v>
      </c>
      <c r="I128" s="88">
        <v>1837</v>
      </c>
      <c r="J128" s="89">
        <v>11467517.67</v>
      </c>
      <c r="K128" s="90">
        <v>31261.790000000005</v>
      </c>
      <c r="L128" s="88">
        <v>140</v>
      </c>
      <c r="M128" s="86">
        <v>34619.22</v>
      </c>
      <c r="N128" s="91">
        <v>96.42</v>
      </c>
      <c r="O128" s="88">
        <v>343</v>
      </c>
      <c r="P128" s="89">
        <v>114290.09</v>
      </c>
      <c r="Q128" s="92">
        <v>329.62</v>
      </c>
      <c r="R128" s="88">
        <v>7185</v>
      </c>
      <c r="S128" s="89">
        <v>73571</v>
      </c>
      <c r="T128" s="90"/>
      <c r="U128" s="88">
        <v>252</v>
      </c>
      <c r="V128" s="89"/>
      <c r="W128" s="90"/>
      <c r="X128" s="88">
        <v>0</v>
      </c>
      <c r="Z128" s="131"/>
    </row>
    <row r="129" spans="1:26" x14ac:dyDescent="0.25">
      <c r="A129" s="75">
        <v>2022</v>
      </c>
      <c r="B129" s="76" t="s">
        <v>86</v>
      </c>
      <c r="C129" s="85"/>
      <c r="D129" s="86">
        <v>28375439.900397301</v>
      </c>
      <c r="E129" s="86"/>
      <c r="F129" s="87">
        <v>11961248.59</v>
      </c>
      <c r="G129" s="88">
        <v>22993</v>
      </c>
      <c r="H129" s="86">
        <v>4084495.52</v>
      </c>
      <c r="I129" s="88">
        <v>1847</v>
      </c>
      <c r="J129" s="89">
        <v>10980059.050000001</v>
      </c>
      <c r="K129" s="90">
        <v>28362.549999999996</v>
      </c>
      <c r="L129" s="88">
        <v>140</v>
      </c>
      <c r="M129" s="86">
        <v>35724.65</v>
      </c>
      <c r="N129" s="91">
        <v>96.09</v>
      </c>
      <c r="O129" s="88">
        <v>342</v>
      </c>
      <c r="P129" s="89">
        <v>133117.44</v>
      </c>
      <c r="Q129" s="92">
        <v>329.62</v>
      </c>
      <c r="R129" s="88">
        <v>7185</v>
      </c>
      <c r="S129" s="89">
        <v>76011</v>
      </c>
      <c r="T129" s="90"/>
      <c r="U129" s="88">
        <v>252</v>
      </c>
      <c r="V129" s="89"/>
      <c r="W129" s="90"/>
      <c r="X129" s="88">
        <v>0</v>
      </c>
      <c r="Z129" s="131"/>
    </row>
    <row r="130" spans="1:26" x14ac:dyDescent="0.25">
      <c r="A130" s="75">
        <v>2022</v>
      </c>
      <c r="B130" s="76" t="s">
        <v>87</v>
      </c>
      <c r="C130" s="85"/>
      <c r="D130" s="86">
        <v>29798652.173497498</v>
      </c>
      <c r="E130" s="86"/>
      <c r="F130" s="87">
        <v>12947605.449999999</v>
      </c>
      <c r="G130" s="88">
        <v>23036</v>
      </c>
      <c r="H130" s="86">
        <v>4414009.78</v>
      </c>
      <c r="I130" s="88">
        <v>1837</v>
      </c>
      <c r="J130" s="89">
        <v>11042555.199999999</v>
      </c>
      <c r="K130" s="90">
        <v>28710.57</v>
      </c>
      <c r="L130" s="88">
        <v>141</v>
      </c>
      <c r="M130" s="86">
        <v>34572.239999999998</v>
      </c>
      <c r="N130" s="91">
        <v>96.28</v>
      </c>
      <c r="O130" s="88">
        <v>342</v>
      </c>
      <c r="P130" s="89">
        <v>141577.29999999999</v>
      </c>
      <c r="Q130" s="92">
        <v>329.62</v>
      </c>
      <c r="R130" s="88">
        <v>7185</v>
      </c>
      <c r="S130" s="89">
        <v>73571</v>
      </c>
      <c r="T130" s="90"/>
      <c r="U130" s="88">
        <v>252</v>
      </c>
      <c r="V130" s="89"/>
      <c r="W130" s="90"/>
      <c r="X130" s="88">
        <v>0</v>
      </c>
      <c r="Z130" s="131"/>
    </row>
    <row r="131" spans="1:26" x14ac:dyDescent="0.25">
      <c r="A131" s="75">
        <v>2022</v>
      </c>
      <c r="B131" s="76" t="s">
        <v>88</v>
      </c>
      <c r="C131" s="85"/>
      <c r="D131" s="86">
        <v>33870515.1064891</v>
      </c>
      <c r="E131" s="86"/>
      <c r="F131" s="87">
        <v>15811663.27</v>
      </c>
      <c r="G131" s="88">
        <v>23084</v>
      </c>
      <c r="H131" s="86">
        <v>5000980.3499999996</v>
      </c>
      <c r="I131" s="88">
        <v>1840</v>
      </c>
      <c r="J131" s="89">
        <v>11480377.619999999</v>
      </c>
      <c r="K131" s="90">
        <v>27921.54</v>
      </c>
      <c r="L131" s="88">
        <v>139</v>
      </c>
      <c r="M131" s="86">
        <v>35724.65</v>
      </c>
      <c r="N131" s="91">
        <v>96.28</v>
      </c>
      <c r="O131" s="88">
        <v>342</v>
      </c>
      <c r="P131" s="89">
        <v>152933.22</v>
      </c>
      <c r="Q131" s="92">
        <v>329.62</v>
      </c>
      <c r="R131" s="88">
        <v>7279</v>
      </c>
      <c r="S131" s="89">
        <v>76011</v>
      </c>
      <c r="T131" s="90"/>
      <c r="U131" s="88">
        <v>252</v>
      </c>
      <c r="V131" s="89"/>
      <c r="W131" s="90"/>
      <c r="X131" s="88">
        <v>0</v>
      </c>
      <c r="Z131" s="131"/>
    </row>
    <row r="132" spans="1:26" x14ac:dyDescent="0.25">
      <c r="A132" s="75">
        <v>2023</v>
      </c>
      <c r="B132" s="76" t="s">
        <v>78</v>
      </c>
      <c r="C132" s="85"/>
      <c r="D132" s="78">
        <v>33991812.103445902</v>
      </c>
      <c r="E132" s="78"/>
      <c r="F132" s="79">
        <v>15400439.299999999</v>
      </c>
      <c r="G132" s="80">
        <v>23098</v>
      </c>
      <c r="H132" s="78">
        <v>5119897.5199999986</v>
      </c>
      <c r="I132" s="80">
        <v>1847</v>
      </c>
      <c r="J132" s="81">
        <v>11307279.920249999</v>
      </c>
      <c r="K132" s="82">
        <v>28163.800000000003</v>
      </c>
      <c r="L132" s="80">
        <v>136</v>
      </c>
      <c r="M132" s="78">
        <v>35724.65</v>
      </c>
      <c r="N132" s="83">
        <v>96.28</v>
      </c>
      <c r="O132" s="80">
        <v>342</v>
      </c>
      <c r="P132" s="81">
        <v>151509.94</v>
      </c>
      <c r="Q132" s="84">
        <v>334.94</v>
      </c>
      <c r="R132" s="80">
        <v>7279</v>
      </c>
      <c r="S132" s="81">
        <v>76011</v>
      </c>
      <c r="T132" s="82"/>
      <c r="U132" s="80">
        <v>252</v>
      </c>
      <c r="V132" s="81"/>
      <c r="W132" s="82"/>
      <c r="X132" s="80">
        <v>0</v>
      </c>
      <c r="Z132" s="131"/>
    </row>
    <row r="133" spans="1:26" x14ac:dyDescent="0.25">
      <c r="A133" s="75">
        <v>2023</v>
      </c>
      <c r="B133" s="76" t="s">
        <v>79</v>
      </c>
      <c r="C133" s="85"/>
      <c r="D133" s="86">
        <v>30665858.379131198</v>
      </c>
      <c r="E133" s="86"/>
      <c r="F133" s="87">
        <v>13712540.429999998</v>
      </c>
      <c r="G133" s="88">
        <v>23116</v>
      </c>
      <c r="H133" s="86">
        <v>4653598.4899999993</v>
      </c>
      <c r="I133" s="88">
        <v>1841</v>
      </c>
      <c r="J133" s="89">
        <v>11186421.212000001</v>
      </c>
      <c r="K133" s="90">
        <v>28855.49</v>
      </c>
      <c r="L133" s="88">
        <v>136</v>
      </c>
      <c r="M133" s="86">
        <v>32267.430000000004</v>
      </c>
      <c r="N133" s="91">
        <v>96.28</v>
      </c>
      <c r="O133" s="88">
        <v>342</v>
      </c>
      <c r="P133" s="89">
        <v>126300.17</v>
      </c>
      <c r="Q133" s="92">
        <v>334.94</v>
      </c>
      <c r="R133" s="88">
        <v>7279</v>
      </c>
      <c r="S133" s="89">
        <v>67578</v>
      </c>
      <c r="T133" s="90"/>
      <c r="U133" s="88">
        <v>196</v>
      </c>
      <c r="V133" s="89"/>
      <c r="W133" s="90"/>
      <c r="X133" s="88">
        <v>0</v>
      </c>
      <c r="Z133" s="131"/>
    </row>
    <row r="134" spans="1:26" x14ac:dyDescent="0.25">
      <c r="A134" s="75">
        <v>2023</v>
      </c>
      <c r="B134" s="76" t="s">
        <v>80</v>
      </c>
      <c r="C134" s="85"/>
      <c r="D134" s="86">
        <v>32629381.9263977</v>
      </c>
      <c r="E134" s="86"/>
      <c r="F134" s="87">
        <v>14354034.919999994</v>
      </c>
      <c r="G134" s="88">
        <v>23151</v>
      </c>
      <c r="H134" s="86">
        <v>4943675.4899999993</v>
      </c>
      <c r="I134" s="88">
        <v>1842</v>
      </c>
      <c r="J134" s="89">
        <v>11453032.650750002</v>
      </c>
      <c r="K134" s="90">
        <v>27440.43</v>
      </c>
      <c r="L134" s="88">
        <v>136</v>
      </c>
      <c r="M134" s="86">
        <v>35724.65</v>
      </c>
      <c r="N134" s="91">
        <v>96.28</v>
      </c>
      <c r="O134" s="88">
        <v>342</v>
      </c>
      <c r="P134" s="89">
        <v>125127.83</v>
      </c>
      <c r="Q134" s="92">
        <v>334.94</v>
      </c>
      <c r="R134" s="88">
        <v>7305</v>
      </c>
      <c r="S134" s="89">
        <v>71845</v>
      </c>
      <c r="T134" s="90"/>
      <c r="U134" s="88">
        <v>196</v>
      </c>
      <c r="V134" s="89"/>
      <c r="W134" s="90"/>
      <c r="X134" s="88">
        <v>0</v>
      </c>
      <c r="Z134" s="131"/>
    </row>
    <row r="135" spans="1:26" x14ac:dyDescent="0.25">
      <c r="A135" s="75">
        <v>2023</v>
      </c>
      <c r="B135" s="76" t="s">
        <v>81</v>
      </c>
      <c r="C135" s="85"/>
      <c r="D135" s="86">
        <v>28070848.797054499</v>
      </c>
      <c r="E135" s="86"/>
      <c r="F135" s="87">
        <v>12070642.949999999</v>
      </c>
      <c r="G135" s="88">
        <v>23223</v>
      </c>
      <c r="H135" s="86">
        <v>4028518.22</v>
      </c>
      <c r="I135" s="88">
        <v>1848</v>
      </c>
      <c r="J135" s="89">
        <v>10875262.258750001</v>
      </c>
      <c r="K135" s="90">
        <v>27347.980000000003</v>
      </c>
      <c r="L135" s="88">
        <v>142</v>
      </c>
      <c r="M135" s="86">
        <v>34572.239999999998</v>
      </c>
      <c r="N135" s="91">
        <v>96.28</v>
      </c>
      <c r="O135" s="88">
        <v>342</v>
      </c>
      <c r="P135" s="89">
        <v>106242.79</v>
      </c>
      <c r="Q135" s="92">
        <v>334.94</v>
      </c>
      <c r="R135" s="88">
        <v>7305</v>
      </c>
      <c r="S135" s="89">
        <v>69311</v>
      </c>
      <c r="T135" s="90"/>
      <c r="U135" s="88">
        <v>195</v>
      </c>
      <c r="V135" s="89"/>
      <c r="W135" s="90"/>
      <c r="X135" s="88">
        <v>0</v>
      </c>
      <c r="Z135" s="131"/>
    </row>
    <row r="136" spans="1:26" x14ac:dyDescent="0.25">
      <c r="A136" s="75">
        <v>2023</v>
      </c>
      <c r="B136" s="76" t="s">
        <v>47</v>
      </c>
      <c r="C136" s="85"/>
      <c r="D136" s="86">
        <v>28924411.6335361</v>
      </c>
      <c r="E136" s="86"/>
      <c r="F136" s="87">
        <v>12265205.780000005</v>
      </c>
      <c r="G136" s="88">
        <v>23315</v>
      </c>
      <c r="H136" s="86">
        <v>4075068.2300000004</v>
      </c>
      <c r="I136" s="88">
        <v>1842</v>
      </c>
      <c r="J136" s="89">
        <v>10935284.704750001</v>
      </c>
      <c r="K136" s="90">
        <v>30485.699999999997</v>
      </c>
      <c r="L136" s="88">
        <v>144</v>
      </c>
      <c r="M136" s="86">
        <v>35724.65</v>
      </c>
      <c r="N136" s="91">
        <v>96.28</v>
      </c>
      <c r="O136" s="88">
        <v>342</v>
      </c>
      <c r="P136" s="89">
        <v>96674.69</v>
      </c>
      <c r="Q136" s="92">
        <v>334.94</v>
      </c>
      <c r="R136" s="88">
        <v>7305</v>
      </c>
      <c r="S136" s="89">
        <v>71473</v>
      </c>
      <c r="T136" s="90"/>
      <c r="U136" s="88">
        <v>195</v>
      </c>
      <c r="V136" s="89"/>
      <c r="W136" s="90"/>
      <c r="X136" s="88">
        <v>0</v>
      </c>
      <c r="Z136" s="131"/>
    </row>
    <row r="137" spans="1:26" x14ac:dyDescent="0.25">
      <c r="A137" s="75">
        <v>2023</v>
      </c>
      <c r="B137" s="76" t="s">
        <v>82</v>
      </c>
      <c r="C137" s="85"/>
      <c r="D137" s="86">
        <v>32337605.014613099</v>
      </c>
      <c r="E137" s="86"/>
      <c r="F137" s="87">
        <v>15104643.910000002</v>
      </c>
      <c r="G137" s="88">
        <v>23394</v>
      </c>
      <c r="H137" s="86">
        <v>4326511.0100000007</v>
      </c>
      <c r="I137" s="88">
        <v>1848</v>
      </c>
      <c r="J137" s="89">
        <v>11485832.382249998</v>
      </c>
      <c r="K137" s="90">
        <v>30853.600000000002</v>
      </c>
      <c r="L137" s="88">
        <v>144</v>
      </c>
      <c r="M137" s="86">
        <v>34572.239999999991</v>
      </c>
      <c r="N137" s="91">
        <v>96.28</v>
      </c>
      <c r="O137" s="88">
        <v>342</v>
      </c>
      <c r="P137" s="89">
        <v>87067.53</v>
      </c>
      <c r="Q137" s="92">
        <v>334.94</v>
      </c>
      <c r="R137" s="88">
        <v>7305</v>
      </c>
      <c r="S137" s="89">
        <v>69239</v>
      </c>
      <c r="T137" s="90"/>
      <c r="U137" s="88">
        <v>195</v>
      </c>
      <c r="V137" s="89"/>
      <c r="W137" s="90"/>
      <c r="X137" s="88">
        <v>0</v>
      </c>
      <c r="Z137" s="131"/>
    </row>
    <row r="138" spans="1:26" x14ac:dyDescent="0.25">
      <c r="A138" s="75">
        <v>2023</v>
      </c>
      <c r="B138" s="76" t="s">
        <v>83</v>
      </c>
      <c r="C138" s="85"/>
      <c r="D138" s="86">
        <v>39594891.335779101</v>
      </c>
      <c r="E138" s="86"/>
      <c r="F138" s="87">
        <v>20276948.509999998</v>
      </c>
      <c r="G138" s="88">
        <v>23430</v>
      </c>
      <c r="H138" s="86">
        <v>4969411.3099999996</v>
      </c>
      <c r="I138" s="88">
        <v>1849</v>
      </c>
      <c r="J138" s="89">
        <v>12313567.817249998</v>
      </c>
      <c r="K138" s="90">
        <v>31569.019999999997</v>
      </c>
      <c r="L138" s="88">
        <v>144</v>
      </c>
      <c r="M138" s="86">
        <v>35724.65</v>
      </c>
      <c r="N138" s="91">
        <v>96.28</v>
      </c>
      <c r="O138" s="88">
        <v>342</v>
      </c>
      <c r="P138" s="89">
        <v>94157.99</v>
      </c>
      <c r="Q138" s="92">
        <v>341.22</v>
      </c>
      <c r="R138" s="88">
        <v>7399</v>
      </c>
      <c r="S138" s="89">
        <v>71845</v>
      </c>
      <c r="T138" s="90"/>
      <c r="U138" s="88">
        <v>195</v>
      </c>
      <c r="V138" s="89"/>
      <c r="W138" s="90"/>
      <c r="X138" s="88">
        <v>0</v>
      </c>
      <c r="Z138" s="131"/>
    </row>
    <row r="139" spans="1:26" x14ac:dyDescent="0.25">
      <c r="A139" s="75">
        <v>2023</v>
      </c>
      <c r="B139" s="76" t="s">
        <v>84</v>
      </c>
      <c r="C139" s="85"/>
      <c r="D139" s="86">
        <v>35523357.586275995</v>
      </c>
      <c r="E139" s="86"/>
      <c r="F139" s="87">
        <v>17297910.550000004</v>
      </c>
      <c r="G139" s="88">
        <v>23485</v>
      </c>
      <c r="H139" s="86">
        <v>4569321.8500000006</v>
      </c>
      <c r="I139" s="88">
        <v>1845</v>
      </c>
      <c r="J139" s="89">
        <v>12062480.350000001</v>
      </c>
      <c r="K139" s="90">
        <v>29546.949999999997</v>
      </c>
      <c r="L139" s="88">
        <v>144</v>
      </c>
      <c r="M139" s="86">
        <v>35724.65</v>
      </c>
      <c r="N139" s="91">
        <v>96.28</v>
      </c>
      <c r="O139" s="88">
        <v>342</v>
      </c>
      <c r="P139" s="89">
        <v>106727.86</v>
      </c>
      <c r="Q139" s="92">
        <v>341.22</v>
      </c>
      <c r="R139" s="88">
        <v>7399</v>
      </c>
      <c r="S139" s="89">
        <v>71845</v>
      </c>
      <c r="T139" s="90"/>
      <c r="U139" s="88">
        <v>195</v>
      </c>
      <c r="V139" s="89"/>
      <c r="W139" s="90"/>
      <c r="X139" s="88">
        <v>0</v>
      </c>
      <c r="Z139" s="131"/>
    </row>
    <row r="140" spans="1:26" x14ac:dyDescent="0.25">
      <c r="A140" s="75">
        <v>2023</v>
      </c>
      <c r="B140" s="76" t="s">
        <v>85</v>
      </c>
      <c r="C140" s="85"/>
      <c r="D140" s="86">
        <v>31570923.270029802</v>
      </c>
      <c r="E140" s="86"/>
      <c r="F140" s="87">
        <v>14579829.130000001</v>
      </c>
      <c r="G140" s="88">
        <v>23557</v>
      </c>
      <c r="H140" s="86">
        <v>4269674.47</v>
      </c>
      <c r="I140" s="88">
        <v>1847</v>
      </c>
      <c r="J140" s="89">
        <v>11476498.1555</v>
      </c>
      <c r="K140" s="90">
        <v>32840.129999999997</v>
      </c>
      <c r="L140" s="88">
        <v>144</v>
      </c>
      <c r="M140" s="86">
        <v>34572.239999999998</v>
      </c>
      <c r="N140" s="91">
        <v>96.47</v>
      </c>
      <c r="O140" s="88">
        <v>342</v>
      </c>
      <c r="P140" s="89">
        <v>117772.01</v>
      </c>
      <c r="Q140" s="92">
        <v>341.22</v>
      </c>
      <c r="R140" s="88">
        <v>7399</v>
      </c>
      <c r="S140" s="89">
        <v>69539</v>
      </c>
      <c r="T140" s="90"/>
      <c r="U140" s="88">
        <v>195</v>
      </c>
      <c r="V140" s="89"/>
      <c r="W140" s="90"/>
      <c r="X140" s="88">
        <v>0</v>
      </c>
      <c r="Z140" s="131"/>
    </row>
    <row r="141" spans="1:26" x14ac:dyDescent="0.25">
      <c r="A141" s="75">
        <v>2023</v>
      </c>
      <c r="B141" s="76" t="s">
        <v>86</v>
      </c>
      <c r="C141" s="85"/>
      <c r="D141" s="86">
        <v>29609700.8526466</v>
      </c>
      <c r="E141" s="86"/>
      <c r="F141" s="87">
        <v>13072465.739999998</v>
      </c>
      <c r="G141" s="88">
        <v>23681</v>
      </c>
      <c r="H141" s="86">
        <v>4181105.42</v>
      </c>
      <c r="I141" s="88">
        <v>1845</v>
      </c>
      <c r="J141" s="89">
        <v>10979100.983500002</v>
      </c>
      <c r="K141" s="90">
        <v>29814.499999999996</v>
      </c>
      <c r="L141" s="88">
        <v>144</v>
      </c>
      <c r="M141" s="86">
        <v>35615.21</v>
      </c>
      <c r="N141" s="91">
        <v>95.990000000000009</v>
      </c>
      <c r="O141" s="88">
        <v>341</v>
      </c>
      <c r="P141" s="89">
        <v>137249.98000000001</v>
      </c>
      <c r="Q141" s="92">
        <v>341.22</v>
      </c>
      <c r="R141" s="88">
        <v>7383</v>
      </c>
      <c r="S141" s="89">
        <v>71845</v>
      </c>
      <c r="T141" s="92"/>
      <c r="U141" s="88">
        <v>196</v>
      </c>
      <c r="V141" s="89"/>
      <c r="W141" s="92"/>
      <c r="X141" s="88">
        <v>0</v>
      </c>
      <c r="Z141" s="131"/>
    </row>
    <row r="142" spans="1:26" x14ac:dyDescent="0.25">
      <c r="A142" s="75">
        <v>2023</v>
      </c>
      <c r="B142" s="76" t="s">
        <v>87</v>
      </c>
      <c r="C142" s="85"/>
      <c r="D142" s="86">
        <v>30895716.9335532</v>
      </c>
      <c r="E142" s="86"/>
      <c r="F142" s="87">
        <v>13791629.319999998</v>
      </c>
      <c r="G142" s="88">
        <v>23713</v>
      </c>
      <c r="H142" s="86">
        <v>4438433.7299999995</v>
      </c>
      <c r="I142" s="88">
        <v>1843</v>
      </c>
      <c r="J142" s="89">
        <v>11097897.367000001</v>
      </c>
      <c r="K142" s="90">
        <v>28939.419999999995</v>
      </c>
      <c r="L142" s="88">
        <v>145</v>
      </c>
      <c r="M142" s="86">
        <v>34367.039999999994</v>
      </c>
      <c r="N142" s="91">
        <v>93.13000000000001</v>
      </c>
      <c r="O142" s="88">
        <v>341</v>
      </c>
      <c r="P142" s="89">
        <v>146121.74</v>
      </c>
      <c r="Q142" s="92">
        <v>341.22</v>
      </c>
      <c r="R142" s="88">
        <v>7401</v>
      </c>
      <c r="S142" s="89">
        <v>69539</v>
      </c>
      <c r="T142" s="92"/>
      <c r="U142" s="88">
        <v>196</v>
      </c>
      <c r="V142" s="89"/>
      <c r="W142" s="92"/>
      <c r="X142" s="88">
        <v>0</v>
      </c>
      <c r="Z142" s="131"/>
    </row>
    <row r="143" spans="1:26" ht="13.8" thickBot="1" x14ac:dyDescent="0.3">
      <c r="A143" s="75">
        <v>2023</v>
      </c>
      <c r="B143" s="76" t="s">
        <v>88</v>
      </c>
      <c r="C143" s="85"/>
      <c r="D143" s="93">
        <v>32819279.789655898</v>
      </c>
      <c r="E143" s="93"/>
      <c r="F143" s="94">
        <v>15465345.939999999</v>
      </c>
      <c r="G143" s="95">
        <v>23761</v>
      </c>
      <c r="H143" s="93">
        <v>4704208.76</v>
      </c>
      <c r="I143" s="95">
        <v>1847</v>
      </c>
      <c r="J143" s="96">
        <v>11259431.705250001</v>
      </c>
      <c r="K143" s="97">
        <v>27947.090000000004</v>
      </c>
      <c r="L143" s="95">
        <v>145</v>
      </c>
      <c r="M143" s="93">
        <v>35081.289999999994</v>
      </c>
      <c r="N143" s="98">
        <v>97.28</v>
      </c>
      <c r="O143" s="95">
        <v>341</v>
      </c>
      <c r="P143" s="96">
        <v>158223.57999999999</v>
      </c>
      <c r="Q143" s="99">
        <v>341.22</v>
      </c>
      <c r="R143" s="95">
        <v>7272</v>
      </c>
      <c r="S143" s="96">
        <v>71845</v>
      </c>
      <c r="T143" s="99"/>
      <c r="U143" s="95">
        <v>196</v>
      </c>
      <c r="V143" s="96"/>
      <c r="W143" s="99"/>
      <c r="X143" s="88">
        <v>0</v>
      </c>
      <c r="Z143" s="131"/>
    </row>
    <row r="144" spans="1:26" x14ac:dyDescent="0.25">
      <c r="A144" s="75">
        <v>2024</v>
      </c>
      <c r="B144" s="76" t="s">
        <v>78</v>
      </c>
      <c r="C144" s="85"/>
      <c r="D144" s="178">
        <v>35923142.759999998</v>
      </c>
      <c r="E144" s="178"/>
      <c r="F144" s="179">
        <v>16620006.249999998</v>
      </c>
      <c r="G144" s="180">
        <v>23784</v>
      </c>
      <c r="H144" s="178">
        <v>5277246.97</v>
      </c>
      <c r="I144" s="180">
        <v>1851</v>
      </c>
      <c r="J144" s="181">
        <v>12290371.029999999</v>
      </c>
      <c r="K144" s="182">
        <v>29540.07</v>
      </c>
      <c r="L144" s="180">
        <v>146</v>
      </c>
      <c r="M144" s="178">
        <v>35141.35</v>
      </c>
      <c r="N144" s="183">
        <v>94.59</v>
      </c>
      <c r="O144" s="180">
        <v>341</v>
      </c>
      <c r="P144" s="181">
        <v>154066.38</v>
      </c>
      <c r="Q144" s="184">
        <v>341.22</v>
      </c>
      <c r="R144" s="180">
        <v>7272</v>
      </c>
      <c r="S144" s="181">
        <v>72169</v>
      </c>
      <c r="T144" s="182"/>
      <c r="U144" s="180">
        <v>197</v>
      </c>
      <c r="V144" s="181"/>
      <c r="W144" s="182"/>
      <c r="X144" s="180">
        <v>0</v>
      </c>
      <c r="Z144" s="131"/>
    </row>
    <row r="145" spans="1:26" x14ac:dyDescent="0.25">
      <c r="A145" s="75">
        <v>2024</v>
      </c>
      <c r="B145" s="76" t="s">
        <v>79</v>
      </c>
      <c r="C145" s="85"/>
      <c r="D145" s="178">
        <v>31731446.009999998</v>
      </c>
      <c r="E145" s="178"/>
      <c r="F145" s="179">
        <v>14310124.729999997</v>
      </c>
      <c r="G145" s="180">
        <v>23795</v>
      </c>
      <c r="H145" s="178">
        <v>4759355.5600000005</v>
      </c>
      <c r="I145" s="180">
        <v>1852</v>
      </c>
      <c r="J145" s="181">
        <v>11166513.59</v>
      </c>
      <c r="K145" s="182">
        <v>28681.360000000001</v>
      </c>
      <c r="L145" s="180">
        <v>146</v>
      </c>
      <c r="M145" s="178">
        <v>32714.789999999997</v>
      </c>
      <c r="N145" s="183">
        <v>94.25</v>
      </c>
      <c r="O145" s="180">
        <v>341</v>
      </c>
      <c r="P145" s="181">
        <v>129449.63</v>
      </c>
      <c r="Q145" s="184">
        <v>332.22</v>
      </c>
      <c r="R145" s="180">
        <v>7272</v>
      </c>
      <c r="S145" s="181">
        <v>67554.260000000009</v>
      </c>
      <c r="T145" s="182"/>
      <c r="U145" s="180">
        <v>197</v>
      </c>
      <c r="V145" s="181"/>
      <c r="W145" s="182"/>
      <c r="X145" s="180">
        <v>0</v>
      </c>
      <c r="Z145" s="131"/>
    </row>
    <row r="146" spans="1:26" x14ac:dyDescent="0.25">
      <c r="A146" s="75">
        <v>2024</v>
      </c>
      <c r="B146" s="76" t="s">
        <v>80</v>
      </c>
      <c r="C146" s="85"/>
      <c r="D146" s="178">
        <v>31839641.859999999</v>
      </c>
      <c r="E146" s="178"/>
      <c r="F146" s="179">
        <v>14024352.250000006</v>
      </c>
      <c r="G146" s="180">
        <v>23793</v>
      </c>
      <c r="H146" s="178">
        <v>4654697.83</v>
      </c>
      <c r="I146" s="180">
        <v>1850</v>
      </c>
      <c r="J146" s="181">
        <v>11494020.190000001</v>
      </c>
      <c r="K146" s="182">
        <v>29600.35</v>
      </c>
      <c r="L146" s="180">
        <v>148</v>
      </c>
      <c r="M146" s="178">
        <v>34970.97</v>
      </c>
      <c r="N146" s="183">
        <v>94.250000000000014</v>
      </c>
      <c r="O146" s="180">
        <v>341</v>
      </c>
      <c r="P146" s="181">
        <v>123724.45</v>
      </c>
      <c r="Q146" s="184">
        <v>332.22</v>
      </c>
      <c r="R146" s="180">
        <v>7274</v>
      </c>
      <c r="S146" s="181">
        <v>72044.739999999991</v>
      </c>
      <c r="T146" s="182"/>
      <c r="U146" s="180">
        <v>197</v>
      </c>
      <c r="V146" s="181"/>
      <c r="W146" s="182"/>
      <c r="X146" s="180">
        <v>0</v>
      </c>
      <c r="Z146" s="131"/>
    </row>
    <row r="147" spans="1:26" x14ac:dyDescent="0.25">
      <c r="A147" s="75">
        <v>2024</v>
      </c>
      <c r="B147" s="76" t="s">
        <v>81</v>
      </c>
      <c r="C147" s="85"/>
      <c r="D147" s="178">
        <v>28562458.940000001</v>
      </c>
      <c r="E147" s="178"/>
      <c r="F147" s="179">
        <v>12277882.850000009</v>
      </c>
      <c r="G147" s="180">
        <v>23812</v>
      </c>
      <c r="H147" s="178">
        <v>4161907.560000001</v>
      </c>
      <c r="I147" s="180">
        <v>1861</v>
      </c>
      <c r="J147" s="181">
        <v>10402709.76</v>
      </c>
      <c r="K147" s="182">
        <v>28661.64</v>
      </c>
      <c r="L147" s="180">
        <v>149</v>
      </c>
      <c r="M147" s="178">
        <v>33842.879999999997</v>
      </c>
      <c r="N147" s="183">
        <v>94.54</v>
      </c>
      <c r="O147" s="180">
        <v>341</v>
      </c>
      <c r="P147" s="181">
        <v>105186.58</v>
      </c>
      <c r="Q147" s="184">
        <v>332.22</v>
      </c>
      <c r="R147" s="180">
        <v>7274</v>
      </c>
      <c r="S147" s="181">
        <v>69611</v>
      </c>
      <c r="T147" s="182"/>
      <c r="U147" s="180">
        <v>196</v>
      </c>
      <c r="V147" s="181"/>
      <c r="W147" s="182"/>
      <c r="X147" s="180">
        <v>0</v>
      </c>
      <c r="Z147" s="131"/>
    </row>
    <row r="148" spans="1:26" x14ac:dyDescent="0.25">
      <c r="A148" s="75">
        <v>2024</v>
      </c>
      <c r="B148" s="76" t="s">
        <v>47</v>
      </c>
      <c r="C148" s="85"/>
      <c r="D148" s="178">
        <v>30423026.610000003</v>
      </c>
      <c r="E148" s="178"/>
      <c r="F148" s="179">
        <v>13273039.169999998</v>
      </c>
      <c r="G148" s="180">
        <v>23832</v>
      </c>
      <c r="H148" s="178">
        <v>4238711.51</v>
      </c>
      <c r="I148" s="180">
        <v>1861</v>
      </c>
      <c r="J148" s="181">
        <v>10237879.27</v>
      </c>
      <c r="K148" s="182">
        <v>27801.989999999998</v>
      </c>
      <c r="L148" s="180">
        <v>148</v>
      </c>
      <c r="M148" s="178">
        <v>34772.320000000007</v>
      </c>
      <c r="N148" s="183">
        <v>93.710000000000008</v>
      </c>
      <c r="O148" s="180">
        <v>341</v>
      </c>
      <c r="P148" s="181">
        <v>95961.94</v>
      </c>
      <c r="Q148" s="184">
        <v>332.22</v>
      </c>
      <c r="R148" s="180">
        <v>7320</v>
      </c>
      <c r="S148" s="181">
        <v>71920</v>
      </c>
      <c r="T148" s="182"/>
      <c r="U148" s="180">
        <v>196</v>
      </c>
      <c r="V148" s="181"/>
      <c r="W148" s="182"/>
      <c r="X148" s="180">
        <v>0</v>
      </c>
      <c r="Z148" s="131"/>
    </row>
    <row r="149" spans="1:26" x14ac:dyDescent="0.25">
      <c r="A149" s="75">
        <v>2024</v>
      </c>
      <c r="B149" s="76" t="s">
        <v>82</v>
      </c>
      <c r="C149" s="85"/>
      <c r="D149" s="178">
        <v>36158920.950000003</v>
      </c>
      <c r="E149" s="178"/>
      <c r="F149" s="179">
        <v>17823333.950000003</v>
      </c>
      <c r="G149" s="180">
        <v>23864</v>
      </c>
      <c r="H149" s="178">
        <v>4674634.830000001</v>
      </c>
      <c r="I149" s="180">
        <v>1855</v>
      </c>
      <c r="J149" s="181">
        <v>13589470.450000001</v>
      </c>
      <c r="K149" s="182">
        <v>36903.68</v>
      </c>
      <c r="L149" s="180">
        <v>148</v>
      </c>
      <c r="M149" s="178">
        <v>33642.899999999994</v>
      </c>
      <c r="N149" s="183">
        <v>93.71</v>
      </c>
      <c r="O149" s="180">
        <v>341</v>
      </c>
      <c r="P149" s="181">
        <v>87247.22</v>
      </c>
      <c r="Q149" s="184">
        <v>334.11</v>
      </c>
      <c r="R149" s="180">
        <v>7320</v>
      </c>
      <c r="S149" s="181">
        <v>69611</v>
      </c>
      <c r="T149" s="182"/>
      <c r="U149" s="180">
        <v>196</v>
      </c>
      <c r="V149" s="181"/>
      <c r="W149" s="182"/>
      <c r="X149" s="180">
        <v>0</v>
      </c>
      <c r="Z149" s="131"/>
    </row>
    <row r="150" spans="1:26" x14ac:dyDescent="0.25">
      <c r="A150" s="75">
        <v>2024</v>
      </c>
      <c r="B150" s="76" t="s">
        <v>83</v>
      </c>
      <c r="C150" s="85"/>
      <c r="D150" s="178">
        <v>42460733.059999995</v>
      </c>
      <c r="E150" s="178"/>
      <c r="F150" s="179">
        <v>22236723.369999997</v>
      </c>
      <c r="G150" s="180">
        <v>23908</v>
      </c>
      <c r="H150" s="178">
        <v>5345428.8099999996</v>
      </c>
      <c r="I150" s="180">
        <v>1859</v>
      </c>
      <c r="J150" s="181">
        <v>12838833.530000001</v>
      </c>
      <c r="K150" s="182">
        <v>32377.38</v>
      </c>
      <c r="L150" s="180">
        <v>148</v>
      </c>
      <c r="M150" s="178">
        <v>34692.340000000004</v>
      </c>
      <c r="N150" s="183">
        <v>93.490000000000009</v>
      </c>
      <c r="O150" s="180">
        <v>341</v>
      </c>
      <c r="P150" s="181">
        <v>93651.1</v>
      </c>
      <c r="Q150" s="184">
        <v>334.11</v>
      </c>
      <c r="R150" s="180">
        <v>7320</v>
      </c>
      <c r="S150" s="181">
        <v>71920</v>
      </c>
      <c r="T150" s="182"/>
      <c r="U150" s="180">
        <v>196</v>
      </c>
      <c r="V150" s="181"/>
      <c r="W150" s="182"/>
      <c r="X150" s="180">
        <v>0</v>
      </c>
      <c r="Z150" s="131"/>
    </row>
    <row r="151" spans="1:26" x14ac:dyDescent="0.25">
      <c r="A151" s="75">
        <v>2024</v>
      </c>
      <c r="B151" s="76" t="s">
        <v>84</v>
      </c>
      <c r="C151" s="85"/>
      <c r="D151" s="178">
        <v>38718871.799999997</v>
      </c>
      <c r="E151" s="178"/>
      <c r="F151" s="179">
        <v>19574993.610000003</v>
      </c>
      <c r="G151" s="180">
        <v>24018</v>
      </c>
      <c r="H151" s="178">
        <v>5022364.7199999988</v>
      </c>
      <c r="I151" s="180">
        <v>1871</v>
      </c>
      <c r="J151" s="181">
        <v>12298262.870000001</v>
      </c>
      <c r="K151" s="182">
        <v>32793.839999999997</v>
      </c>
      <c r="L151" s="180">
        <v>151</v>
      </c>
      <c r="M151" s="178">
        <v>34683.220000000008</v>
      </c>
      <c r="N151" s="183">
        <v>93.490000000000009</v>
      </c>
      <c r="O151" s="180">
        <v>341</v>
      </c>
      <c r="P151" s="181">
        <v>105077.64</v>
      </c>
      <c r="Q151" s="184">
        <v>334.11</v>
      </c>
      <c r="R151" s="180">
        <v>7329</v>
      </c>
      <c r="S151" s="181">
        <v>71920</v>
      </c>
      <c r="T151" s="182"/>
      <c r="U151" s="180">
        <v>196</v>
      </c>
      <c r="V151" s="181"/>
      <c r="W151" s="182"/>
      <c r="X151" s="180">
        <v>0</v>
      </c>
      <c r="Z151" s="131"/>
    </row>
    <row r="152" spans="1:26" x14ac:dyDescent="0.25">
      <c r="A152" s="75">
        <v>2024</v>
      </c>
      <c r="B152" s="76" t="s">
        <v>85</v>
      </c>
      <c r="C152" s="85"/>
      <c r="D152" s="178">
        <v>33712649.810000002</v>
      </c>
      <c r="E152" s="178"/>
      <c r="F152" s="179">
        <v>15870539.040000005</v>
      </c>
      <c r="G152" s="180">
        <v>24080</v>
      </c>
      <c r="H152" s="178">
        <v>4482480.3699999992</v>
      </c>
      <c r="I152" s="180">
        <v>1869</v>
      </c>
      <c r="J152" s="181">
        <v>11788195.91</v>
      </c>
      <c r="K152" s="182">
        <v>31312.799999999999</v>
      </c>
      <c r="L152" s="180">
        <v>150</v>
      </c>
      <c r="M152" s="178">
        <v>33472.439999999995</v>
      </c>
      <c r="N152" s="183">
        <v>91.02000000000001</v>
      </c>
      <c r="O152" s="180">
        <v>340</v>
      </c>
      <c r="P152" s="181">
        <v>115719.07</v>
      </c>
      <c r="Q152" s="184">
        <v>334.11</v>
      </c>
      <c r="R152" s="180">
        <v>7329</v>
      </c>
      <c r="S152" s="181">
        <v>69611</v>
      </c>
      <c r="T152" s="182"/>
      <c r="U152" s="180">
        <v>196</v>
      </c>
      <c r="V152" s="181"/>
      <c r="W152" s="182"/>
      <c r="X152" s="180">
        <v>0</v>
      </c>
      <c r="Z152" s="131"/>
    </row>
    <row r="153" spans="1:26" x14ac:dyDescent="0.25">
      <c r="A153" s="185"/>
      <c r="B153" s="85"/>
      <c r="C153" s="85"/>
      <c r="D153" s="186"/>
      <c r="E153" s="186"/>
      <c r="F153" s="186"/>
      <c r="G153" s="100"/>
      <c r="H153" s="186"/>
      <c r="I153" s="100"/>
      <c r="J153" s="100"/>
      <c r="K153" s="100"/>
      <c r="L153" s="100"/>
      <c r="M153" s="186"/>
      <c r="N153" s="186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Z153" s="131"/>
    </row>
    <row r="154" spans="1:26" x14ac:dyDescent="0.25">
      <c r="A154" s="58"/>
      <c r="B154" s="58"/>
      <c r="C154" s="85"/>
      <c r="D154" s="58"/>
      <c r="E154" s="77"/>
      <c r="F154" s="100"/>
      <c r="G154" s="100"/>
      <c r="H154" s="58"/>
      <c r="I154" s="101"/>
      <c r="J154" s="58"/>
      <c r="K154" s="101"/>
      <c r="L154" s="58"/>
      <c r="M154" s="58"/>
      <c r="N154" s="101"/>
      <c r="O154" s="58"/>
      <c r="P154" s="58"/>
      <c r="Q154" s="101"/>
      <c r="R154" s="58"/>
      <c r="S154" s="58"/>
      <c r="T154" s="101"/>
      <c r="U154" s="58"/>
      <c r="V154" s="58"/>
      <c r="W154" s="102"/>
      <c r="X154" s="102"/>
      <c r="Y154" s="58"/>
    </row>
    <row r="155" spans="1:26" s="136" customFormat="1" ht="13.8" x14ac:dyDescent="0.25">
      <c r="E155" s="137"/>
      <c r="G155" s="137"/>
      <c r="I155" s="137"/>
      <c r="L155" s="137"/>
      <c r="O155" s="138"/>
      <c r="X155" s="139"/>
    </row>
    <row r="156" spans="1:26" x14ac:dyDescent="0.25">
      <c r="A156" s="77"/>
      <c r="B156" s="77"/>
      <c r="C156" s="77"/>
      <c r="D156" s="77"/>
      <c r="E156" s="77"/>
      <c r="F156" s="100"/>
      <c r="G156" s="77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6" x14ac:dyDescent="0.25">
      <c r="A157" s="58"/>
      <c r="B157" s="58"/>
      <c r="C157" s="58"/>
      <c r="D157" s="58"/>
      <c r="E157" s="77"/>
      <c r="F157" s="100"/>
      <c r="G157" s="100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6" x14ac:dyDescent="0.25">
      <c r="A158" s="58"/>
      <c r="B158" s="58"/>
      <c r="C158" s="58"/>
      <c r="D158" s="58"/>
      <c r="E158" s="77"/>
      <c r="F158" s="100"/>
      <c r="G158" s="77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6" x14ac:dyDescent="0.25">
      <c r="A159" s="58"/>
      <c r="B159" s="58"/>
      <c r="C159" s="58"/>
      <c r="D159" s="58"/>
      <c r="E159" s="77"/>
      <c r="F159" s="100"/>
      <c r="G159" s="77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</sheetData>
  <sheetProtection selectLockedCells="1" selectUnlockedCells="1"/>
  <mergeCells count="10">
    <mergeCell ref="A20:B20"/>
    <mergeCell ref="D20:E20"/>
    <mergeCell ref="F20:X20"/>
    <mergeCell ref="S21:U21"/>
    <mergeCell ref="V21:X21"/>
    <mergeCell ref="F21:G21"/>
    <mergeCell ref="H21:I21"/>
    <mergeCell ref="J21:L21"/>
    <mergeCell ref="M21:O21"/>
    <mergeCell ref="P21:R21"/>
  </mergeCells>
  <phoneticPr fontId="17" type="noConversion"/>
  <pageMargins left="0.70866141732283472" right="0.70866141732283472" top="0.74803149606299213" bottom="0.74803149606299213" header="0.31496062992125984" footer="0.31496062992125984"/>
  <pageSetup paperSize="17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N65"/>
  <sheetViews>
    <sheetView topLeftCell="A21" zoomScale="85" zoomScaleNormal="85" workbookViewId="0">
      <selection activeCell="M14" sqref="M14"/>
    </sheetView>
    <sheetView workbookViewId="1"/>
  </sheetViews>
  <sheetFormatPr defaultRowHeight="13.2" x14ac:dyDescent="0.25"/>
  <cols>
    <col min="1" max="1" width="30.109375" customWidth="1"/>
    <col min="2" max="2" width="16.109375" bestFit="1" customWidth="1"/>
    <col min="3" max="3" width="14" bestFit="1" customWidth="1"/>
    <col min="4" max="8" width="12.5546875" bestFit="1" customWidth="1"/>
    <col min="9" max="10" width="12.5546875" customWidth="1"/>
    <col min="11" max="11" width="11.33203125" bestFit="1" customWidth="1"/>
    <col min="12" max="12" width="11.5546875" bestFit="1" customWidth="1"/>
    <col min="13" max="13" width="12.5546875" bestFit="1" customWidth="1"/>
  </cols>
  <sheetData>
    <row r="1" spans="1:14" ht="15.6" x14ac:dyDescent="0.3">
      <c r="A1" s="27" t="s">
        <v>115</v>
      </c>
    </row>
    <row r="2" spans="1:14" ht="39.6" x14ac:dyDescent="0.25">
      <c r="L2" s="29" t="s">
        <v>137</v>
      </c>
      <c r="M2" s="29" t="s">
        <v>112</v>
      </c>
    </row>
    <row r="3" spans="1:14" ht="26.4" x14ac:dyDescent="0.25">
      <c r="B3" s="29" t="s">
        <v>113</v>
      </c>
      <c r="C3" s="29" t="s">
        <v>111</v>
      </c>
      <c r="D3" s="29" t="s">
        <v>50</v>
      </c>
      <c r="E3" s="29" t="s">
        <v>51</v>
      </c>
      <c r="F3" s="29" t="s">
        <v>55</v>
      </c>
      <c r="G3" s="29" t="s">
        <v>56</v>
      </c>
      <c r="H3" s="29" t="s">
        <v>107</v>
      </c>
      <c r="I3" s="29" t="s">
        <v>63</v>
      </c>
      <c r="J3" s="29" t="s">
        <v>64</v>
      </c>
      <c r="K3" s="29" t="s">
        <v>116</v>
      </c>
      <c r="L3" s="29" t="s">
        <v>106</v>
      </c>
      <c r="M3" s="29" t="s">
        <v>106</v>
      </c>
    </row>
    <row r="4" spans="1:14" x14ac:dyDescent="0.25">
      <c r="A4" s="13" t="s">
        <v>42</v>
      </c>
      <c r="B4" s="20">
        <f>+'Power Purchased Model'!B152</f>
        <v>371282805.30290043</v>
      </c>
      <c r="C4" s="20">
        <f>+'Power Purchased Model'!B153</f>
        <v>372381250.86169994</v>
      </c>
      <c r="D4" s="20">
        <f>+'Power Purchased Model'!B154</f>
        <v>380022205.18436003</v>
      </c>
      <c r="E4" s="20">
        <f>+'Power Purchased Model'!B155</f>
        <v>368596644.64483672</v>
      </c>
      <c r="F4" s="20">
        <f>+'Power Purchased Model'!B156</f>
        <v>393889926.42846549</v>
      </c>
      <c r="G4" s="20">
        <f>+'Power Purchased Model'!B157</f>
        <v>384791777.21642524</v>
      </c>
      <c r="H4" s="20">
        <f>+'Power Purchased Model'!B158</f>
        <v>380093690.36809278</v>
      </c>
      <c r="I4" s="20">
        <f>+'Power Purchased Model'!B159</f>
        <v>383895272.72321349</v>
      </c>
      <c r="J4" s="20">
        <f>+'Power Purchased Model'!B160</f>
        <v>392612235.87385601</v>
      </c>
      <c r="K4" s="20">
        <f>+'Power Purchased Model'!B161</f>
        <v>386633787.62211913</v>
      </c>
    </row>
    <row r="5" spans="1:14" x14ac:dyDescent="0.25">
      <c r="A5" s="13" t="s">
        <v>43</v>
      </c>
      <c r="B5" s="20">
        <f>+'Power Purchased Model'!I152</f>
        <v>367760519.61482519</v>
      </c>
      <c r="C5" s="20">
        <f>+'Power Purchased Model'!I153</f>
        <v>370630784.63269252</v>
      </c>
      <c r="D5" s="20">
        <f>+'Power Purchased Model'!I154</f>
        <v>385511612.33985615</v>
      </c>
      <c r="E5" s="20">
        <f>+'Power Purchased Model'!I155</f>
        <v>370710251.6875124</v>
      </c>
      <c r="F5" s="20">
        <f>+'Power Purchased Model'!I156</f>
        <v>388357252.7349661</v>
      </c>
      <c r="G5" s="20">
        <f>+'Power Purchased Model'!I157</f>
        <v>380286738.37229729</v>
      </c>
      <c r="H5" s="20">
        <f>+'Power Purchased Model'!I158</f>
        <v>382550263.53179228</v>
      </c>
      <c r="I5" s="20">
        <f>+'Power Purchased Model'!I159</f>
        <v>389918999.62822038</v>
      </c>
      <c r="J5" s="20">
        <f>+'Power Purchased Model'!I160</f>
        <v>393782446.20711488</v>
      </c>
      <c r="K5" s="20">
        <f>+'Power Purchased Model'!I161</f>
        <v>387860754.27580702</v>
      </c>
      <c r="L5" s="20">
        <f>+'Power Purchased Model'!I162</f>
        <v>401110466.81963873</v>
      </c>
      <c r="M5" s="20">
        <f>+'Power Purchased Model'!I163</f>
        <v>405840241.68292063</v>
      </c>
    </row>
    <row r="6" spans="1:14" x14ac:dyDescent="0.25">
      <c r="A6" s="13" t="s">
        <v>6</v>
      </c>
      <c r="B6" s="28">
        <f t="shared" ref="B6:J6" si="0">(B5-B4)/B4</f>
        <v>-9.48679992115899E-3</v>
      </c>
      <c r="C6" s="28">
        <f t="shared" si="0"/>
        <v>-4.7007367448194514E-3</v>
      </c>
      <c r="D6" s="28">
        <f t="shared" si="0"/>
        <v>1.4444964216848977E-2</v>
      </c>
      <c r="E6" s="28">
        <f t="shared" si="0"/>
        <v>5.7342004420909785E-3</v>
      </c>
      <c r="F6" s="28">
        <f t="shared" si="0"/>
        <v>-1.4046243181860549E-2</v>
      </c>
      <c r="G6" s="28">
        <f t="shared" si="0"/>
        <v>-1.170773158594318E-2</v>
      </c>
      <c r="H6" s="28">
        <f t="shared" si="0"/>
        <v>6.4630727264125259E-3</v>
      </c>
      <c r="I6" s="28">
        <f t="shared" si="0"/>
        <v>1.5691068197523656E-2</v>
      </c>
      <c r="J6" s="28">
        <f t="shared" si="0"/>
        <v>2.9805753013638853E-3</v>
      </c>
      <c r="K6" s="28">
        <f t="shared" ref="K6" si="1">(K5-K4)/K4</f>
        <v>3.1734594672493651E-3</v>
      </c>
    </row>
    <row r="7" spans="1:14" x14ac:dyDescent="0.25">
      <c r="A7" s="13"/>
      <c r="B7" s="28"/>
      <c r="C7" s="28"/>
      <c r="D7" s="28"/>
      <c r="E7" s="28"/>
      <c r="F7" s="28"/>
      <c r="G7" s="28"/>
      <c r="H7" s="28"/>
      <c r="I7" s="28"/>
      <c r="J7" s="28"/>
      <c r="K7" s="28"/>
      <c r="L7" s="20"/>
      <c r="M7" s="20"/>
    </row>
    <row r="8" spans="1:14" x14ac:dyDescent="0.25">
      <c r="A8" s="13"/>
      <c r="B8" s="28"/>
      <c r="C8" s="28"/>
      <c r="D8" s="28"/>
      <c r="E8" s="28"/>
      <c r="F8" s="28"/>
      <c r="G8" s="28"/>
      <c r="H8" s="28"/>
      <c r="I8" s="28"/>
      <c r="J8" s="28"/>
      <c r="K8" s="28"/>
      <c r="L8" s="34"/>
      <c r="M8" s="34"/>
    </row>
    <row r="9" spans="1:14" x14ac:dyDescent="0.25">
      <c r="A9" s="13"/>
      <c r="B9" s="28"/>
      <c r="C9" s="28"/>
      <c r="D9" s="28"/>
      <c r="E9" s="28"/>
      <c r="F9" s="28"/>
      <c r="G9" s="28"/>
      <c r="H9" s="28"/>
      <c r="I9" s="28"/>
      <c r="J9" s="28"/>
      <c r="K9" s="165"/>
      <c r="L9" s="163"/>
      <c r="M9" s="163"/>
    </row>
    <row r="10" spans="1:14" x14ac:dyDescent="0.25">
      <c r="A10" s="13" t="s">
        <v>57</v>
      </c>
      <c r="B10" s="52">
        <f>'Rate Class Energy Model'!G3</f>
        <v>360518118</v>
      </c>
      <c r="C10" s="52">
        <f>'Rate Class Energy Model'!G4</f>
        <v>356091977</v>
      </c>
      <c r="D10" s="52">
        <f>'Rate Class Energy Model'!G5</f>
        <v>363388525</v>
      </c>
      <c r="E10" s="6">
        <f>'Rate Class Energy Model'!G6</f>
        <v>353716802</v>
      </c>
      <c r="F10" s="6">
        <f>'Rate Class Energy Model'!G7</f>
        <v>379090833.32999998</v>
      </c>
      <c r="G10" s="6">
        <f>'Rate Class Energy Model'!G8</f>
        <v>370608216.25</v>
      </c>
      <c r="H10" s="6">
        <f>'Rate Class Energy Model'!G9</f>
        <v>364637107.06999999</v>
      </c>
      <c r="I10" s="6">
        <f>'Rate Class Energy Model'!G10</f>
        <v>368482782.76999998</v>
      </c>
      <c r="J10" s="6">
        <f>'Rate Class Energy Model'!G11</f>
        <v>377130670.77999997</v>
      </c>
      <c r="K10" s="6">
        <f>'Rate Class Energy Model'!G12</f>
        <v>370827912.53724998</v>
      </c>
      <c r="L10" s="6">
        <f>'Rate Class Energy Model'!G13</f>
        <v>385362851.68502349</v>
      </c>
      <c r="M10" s="6">
        <f>'Rate Class Energy Model'!G14</f>
        <v>389906935.37247819</v>
      </c>
    </row>
    <row r="11" spans="1:14" x14ac:dyDescent="0.25">
      <c r="A11" s="13"/>
      <c r="B11" s="40"/>
      <c r="C11" s="40"/>
      <c r="D11" s="40"/>
      <c r="L11" s="6"/>
      <c r="M11" s="6"/>
    </row>
    <row r="12" spans="1:14" ht="15.6" x14ac:dyDescent="0.3">
      <c r="A12" s="27" t="s">
        <v>44</v>
      </c>
      <c r="B12" s="40"/>
      <c r="C12" s="46"/>
      <c r="D12" s="40"/>
      <c r="E12" s="1"/>
      <c r="H12" s="34"/>
    </row>
    <row r="13" spans="1:14" x14ac:dyDescent="0.25">
      <c r="A13" s="26" t="str">
        <f>'Rate Class Energy Model'!H2</f>
        <v>Residential</v>
      </c>
      <c r="B13" s="40"/>
      <c r="C13" s="46"/>
      <c r="D13" s="46"/>
      <c r="E13" s="1"/>
      <c r="H13" s="6"/>
      <c r="I13" s="6"/>
      <c r="J13" s="6"/>
      <c r="K13" s="6"/>
      <c r="L13" s="167"/>
      <c r="M13" s="6"/>
    </row>
    <row r="14" spans="1:14" x14ac:dyDescent="0.25">
      <c r="A14" t="s">
        <v>36</v>
      </c>
      <c r="B14" s="52">
        <f>'Rate Class Customer Model'!B11</f>
        <v>20472.166666666668</v>
      </c>
      <c r="C14" s="52">
        <f>'Rate Class Customer Model'!B12</f>
        <v>20635.5</v>
      </c>
      <c r="D14" s="52">
        <f>'Rate Class Customer Model'!B13</f>
        <v>20822.5</v>
      </c>
      <c r="E14" s="6">
        <f>'Rate Class Customer Model'!B14</f>
        <v>20986.583333333332</v>
      </c>
      <c r="F14" s="6">
        <f>'Rate Class Customer Model'!B15</f>
        <v>21242.333333333332</v>
      </c>
      <c r="G14" s="6">
        <f>'Rate Class Customer Model'!B16</f>
        <v>21580</v>
      </c>
      <c r="H14" s="6">
        <f>'Rate Class Customer Model'!B17</f>
        <v>21926.833333333332</v>
      </c>
      <c r="I14" s="6">
        <f>'Rate Class Customer Model'!B18</f>
        <v>22395.666666666668</v>
      </c>
      <c r="J14" s="6">
        <f>'Rate Class Customer Model'!B19</f>
        <v>22849</v>
      </c>
      <c r="K14" s="6">
        <f>'Rate Class Customer Model'!B20</f>
        <v>23410.333333333332</v>
      </c>
      <c r="L14" s="6">
        <f>'Rate Class Customer Model'!B21</f>
        <v>23945.038204845408</v>
      </c>
      <c r="M14" s="6">
        <f>'Rate Class Customer Model'!B22</f>
        <v>24304.521006352014</v>
      </c>
      <c r="N14" s="34"/>
    </row>
    <row r="15" spans="1:14" x14ac:dyDescent="0.25">
      <c r="A15" t="s">
        <v>37</v>
      </c>
      <c r="B15" s="52">
        <f>'Rate Class Energy Model'!H3</f>
        <v>158185053</v>
      </c>
      <c r="C15" s="52">
        <f>'Rate Class Energy Model'!H4</f>
        <v>157973719</v>
      </c>
      <c r="D15" s="52">
        <f>'Rate Class Energy Model'!H5</f>
        <v>163109690</v>
      </c>
      <c r="E15" s="33">
        <f>'Rate Class Energy Model'!H6</f>
        <v>153825741</v>
      </c>
      <c r="F15" s="6">
        <f>'Rate Class Energy Model'!H7</f>
        <v>170461439</v>
      </c>
      <c r="G15" s="6">
        <f>'Rate Class Energy Model'!H8</f>
        <v>165806296.44</v>
      </c>
      <c r="H15" s="6">
        <f>'Rate Class Energy Model'!H9</f>
        <v>179914470.27000001</v>
      </c>
      <c r="I15" s="6">
        <f>'Rate Class Energy Model'!H10</f>
        <v>182892381.72999999</v>
      </c>
      <c r="J15" s="6">
        <f>'Rate Class Energy Model'!H11</f>
        <v>182644896.51999998</v>
      </c>
      <c r="K15" s="6">
        <f>'Rate Class Energy Model'!H12</f>
        <v>177391636.47999999</v>
      </c>
      <c r="L15" s="6">
        <f>'Rate Class Energy Model'!H32</f>
        <v>183175828.51509136</v>
      </c>
      <c r="M15" s="6">
        <f>'Rate Class Energy Model'!H33</f>
        <v>187977436.14272216</v>
      </c>
      <c r="N15" s="34"/>
    </row>
    <row r="16" spans="1:14" x14ac:dyDescent="0.25">
      <c r="B16" s="40"/>
      <c r="C16" s="138"/>
      <c r="D16" s="40"/>
      <c r="F16" s="34"/>
      <c r="G16" s="34"/>
      <c r="I16" s="34"/>
      <c r="J16" s="34"/>
      <c r="K16" s="34"/>
      <c r="L16" s="34"/>
      <c r="M16" s="34"/>
      <c r="N16" s="34"/>
    </row>
    <row r="17" spans="1:14" x14ac:dyDescent="0.25">
      <c r="A17" s="26" t="str">
        <f>'Rate Class Energy Model'!I2</f>
        <v>General Service &lt; 50 kW</v>
      </c>
      <c r="B17" s="40"/>
      <c r="C17" s="141"/>
      <c r="D17" s="46"/>
      <c r="E17" s="1"/>
      <c r="F17" s="1"/>
      <c r="G17" s="6"/>
      <c r="H17" s="6"/>
      <c r="I17" s="6"/>
      <c r="J17" s="6"/>
      <c r="K17" s="6"/>
      <c r="L17" s="6"/>
      <c r="M17" s="6"/>
      <c r="N17" s="34"/>
    </row>
    <row r="18" spans="1:14" ht="13.5" customHeight="1" x14ac:dyDescent="0.25">
      <c r="A18" t="s">
        <v>36</v>
      </c>
      <c r="B18" s="52">
        <f>'Rate Class Customer Model'!C11</f>
        <v>1742.8333333333333</v>
      </c>
      <c r="C18" s="52">
        <f>'Rate Class Customer Model'!C12</f>
        <v>1769.0833333333333</v>
      </c>
      <c r="D18" s="52">
        <f>'Rate Class Customer Model'!C13</f>
        <v>1770.5833333333333</v>
      </c>
      <c r="E18" s="6">
        <f>'Rate Class Customer Model'!C14</f>
        <v>1791.4166666666667</v>
      </c>
      <c r="F18" s="6">
        <f>'Rate Class Customer Model'!C15</f>
        <v>1798.25</v>
      </c>
      <c r="G18" s="6">
        <f>'Rate Class Customer Model'!C16</f>
        <v>1797.3333333333333</v>
      </c>
      <c r="H18" s="6">
        <f>'Rate Class Customer Model'!C17</f>
        <v>1787.5</v>
      </c>
      <c r="I18" s="6">
        <f>'Rate Class Customer Model'!C18</f>
        <v>1836.5</v>
      </c>
      <c r="J18" s="6">
        <f>'Rate Class Customer Model'!C19</f>
        <v>1838.0833333333333</v>
      </c>
      <c r="K18" s="6">
        <f>'Rate Class Customer Model'!C20</f>
        <v>1845.3333333333333</v>
      </c>
      <c r="L18" s="6">
        <f>'Rate Class Customer Model'!C21</f>
        <v>1862.564695171367</v>
      </c>
      <c r="M18" s="6">
        <f>'Rate Class Customer Model'!C22</f>
        <v>1874.4291515896209</v>
      </c>
      <c r="N18" s="34"/>
    </row>
    <row r="19" spans="1:14" x14ac:dyDescent="0.25">
      <c r="A19" t="s">
        <v>37</v>
      </c>
      <c r="B19" s="52">
        <f>'Rate Class Energy Model'!I3</f>
        <v>53903009</v>
      </c>
      <c r="C19" s="52">
        <f>'Rate Class Energy Model'!I4</f>
        <v>54312604</v>
      </c>
      <c r="D19" s="52">
        <f>'Rate Class Energy Model'!I5</f>
        <v>53545593</v>
      </c>
      <c r="E19" s="6">
        <f>'Rate Class Energy Model'!I6</f>
        <v>52319962</v>
      </c>
      <c r="F19" s="6">
        <f>'Rate Class Energy Model'!I7</f>
        <v>52983336.789999999</v>
      </c>
      <c r="G19" s="6">
        <f>'Rate Class Energy Model'!I8</f>
        <v>50506434.530000001</v>
      </c>
      <c r="H19" s="6">
        <f>'Rate Class Energy Model'!I9</f>
        <v>48537507.109999992</v>
      </c>
      <c r="I19" s="6">
        <f>'Rate Class Energy Model'!I10</f>
        <v>54230049.899999999</v>
      </c>
      <c r="J19" s="6">
        <f>'Rate Class Energy Model'!I11</f>
        <v>55719441.800000004</v>
      </c>
      <c r="K19" s="6">
        <f>'Rate Class Energy Model'!I12</f>
        <v>54279424.499999993</v>
      </c>
      <c r="L19" s="6">
        <f>'Rate Class Energy Model'!I32</f>
        <v>55309389.132203817</v>
      </c>
      <c r="M19" s="6">
        <f>'Rate Class Energy Model'!I33</f>
        <v>56275913.102706693</v>
      </c>
      <c r="N19" s="34"/>
    </row>
    <row r="20" spans="1:14" x14ac:dyDescent="0.25">
      <c r="B20" s="52"/>
      <c r="C20" s="46"/>
      <c r="D20" s="40"/>
      <c r="G20" s="34"/>
      <c r="I20" s="34"/>
      <c r="J20" s="34"/>
      <c r="K20" s="34"/>
      <c r="L20" s="34"/>
      <c r="M20" s="34"/>
      <c r="N20" s="34"/>
    </row>
    <row r="21" spans="1:14" x14ac:dyDescent="0.25">
      <c r="A21" s="26" t="str">
        <f>'Rate Class Energy Model'!J2</f>
        <v>General Service &gt; 50 to 4999 kW</v>
      </c>
      <c r="B21" s="52"/>
      <c r="C21" s="46"/>
      <c r="D21" s="46"/>
      <c r="E21" s="1"/>
      <c r="F21" s="1"/>
      <c r="N21" s="34"/>
    </row>
    <row r="22" spans="1:14" x14ac:dyDescent="0.25">
      <c r="A22" t="s">
        <v>36</v>
      </c>
      <c r="B22" s="52">
        <f>'Rate Class Customer Model'!D11</f>
        <v>165.33333333333334</v>
      </c>
      <c r="C22" s="52">
        <f>'Rate Class Customer Model'!D12</f>
        <v>158.83333333333334</v>
      </c>
      <c r="D22" s="52">
        <f>'Rate Class Customer Model'!D13</f>
        <v>159</v>
      </c>
      <c r="E22" s="6">
        <f>'Rate Class Customer Model'!D14</f>
        <v>159.16666666666666</v>
      </c>
      <c r="F22" s="6">
        <f>'Rate Class Customer Model'!D15</f>
        <v>164</v>
      </c>
      <c r="G22" s="6">
        <f>'Rate Class Customer Model'!D16</f>
        <v>166.16666666666666</v>
      </c>
      <c r="H22" s="6">
        <f>'Rate Class Customer Model'!D17</f>
        <v>161.08333333333334</v>
      </c>
      <c r="I22" s="6">
        <f>'Rate Class Customer Model'!D18</f>
        <v>139.75</v>
      </c>
      <c r="J22" s="6">
        <f>'Rate Class Customer Model'!D19</f>
        <v>138.75</v>
      </c>
      <c r="K22" s="6">
        <f>'Rate Class Customer Model'!D20</f>
        <v>142</v>
      </c>
      <c r="L22" s="6">
        <f>'Rate Class Customer Model'!D21</f>
        <v>148.95042516039706</v>
      </c>
      <c r="M22" s="6">
        <f>'Rate Class Customer Model'!D22</f>
        <v>146.45371925770544</v>
      </c>
      <c r="N22" s="34"/>
    </row>
    <row r="23" spans="1:14" x14ac:dyDescent="0.25">
      <c r="A23" t="s">
        <v>37</v>
      </c>
      <c r="B23" s="52">
        <f>'Rate Class Energy Model'!J3</f>
        <v>144192534</v>
      </c>
      <c r="C23" s="52">
        <f>'Rate Class Energy Model'!J4</f>
        <v>139796962</v>
      </c>
      <c r="D23" s="52">
        <f>'Rate Class Energy Model'!J5</f>
        <v>143431671</v>
      </c>
      <c r="E23" s="6">
        <f>'Rate Class Energy Model'!J6</f>
        <v>144490127</v>
      </c>
      <c r="F23" s="6">
        <f>'Rate Class Energy Model'!J7</f>
        <v>152610120.72999999</v>
      </c>
      <c r="G23" s="6">
        <f>'Rate Class Energy Model'!J8</f>
        <v>151352403.78</v>
      </c>
      <c r="H23" s="6">
        <f>'Rate Class Energy Model'!J9</f>
        <v>133284408.77</v>
      </c>
      <c r="I23" s="6">
        <f>'Rate Class Energy Model'!J10</f>
        <v>128548463.13</v>
      </c>
      <c r="J23" s="6">
        <f>'Rate Class Energy Model'!J11</f>
        <v>136029471.30000001</v>
      </c>
      <c r="K23" s="6">
        <f>'Rate Class Energy Model'!J12</f>
        <v>136432089.50725001</v>
      </c>
      <c r="L23" s="6">
        <f>'Rate Class Energy Model'!J32</f>
        <v>144175823.01275414</v>
      </c>
      <c r="M23" s="6">
        <f>'Rate Class Energy Model'!J33</f>
        <v>142981821.03625277</v>
      </c>
      <c r="N23" s="34"/>
    </row>
    <row r="24" spans="1:14" x14ac:dyDescent="0.25">
      <c r="A24" t="s">
        <v>38</v>
      </c>
      <c r="B24" s="52">
        <f>'Rate Class Load Model'!B2</f>
        <v>402375</v>
      </c>
      <c r="C24" s="52">
        <f>'Rate Class Load Model'!B3</f>
        <v>402768</v>
      </c>
      <c r="D24" s="52">
        <f>'Rate Class Load Model'!B4</f>
        <v>396528</v>
      </c>
      <c r="E24" s="6">
        <f>'Rate Class Load Model'!B5</f>
        <v>397736</v>
      </c>
      <c r="F24" s="6">
        <f>'Rate Class Load Model'!B6</f>
        <v>413412</v>
      </c>
      <c r="G24" s="6">
        <f>'Rate Class Load Model'!B7</f>
        <v>415535.11</v>
      </c>
      <c r="H24" s="6">
        <f>'Rate Class Load Model'!B8</f>
        <v>381720.89</v>
      </c>
      <c r="I24" s="6">
        <f>'Rate Class Load Model'!B9</f>
        <v>349225.27</v>
      </c>
      <c r="J24" s="6">
        <f>'Rate Class Load Model'!B10</f>
        <v>357213.14999999997</v>
      </c>
      <c r="K24" s="6">
        <f>'Rate Class Load Model'!B11</f>
        <v>353804.11000000004</v>
      </c>
      <c r="L24" s="6">
        <f>'Rate Class Load Model'!B12</f>
        <v>395664.86426691175</v>
      </c>
      <c r="M24" s="6">
        <f>'Rate Class Load Model'!B13</f>
        <v>392388.13852958026</v>
      </c>
      <c r="N24" s="34"/>
    </row>
    <row r="25" spans="1:14" x14ac:dyDescent="0.25">
      <c r="B25" s="52"/>
      <c r="C25" s="52"/>
      <c r="D25" s="52"/>
      <c r="E25" s="6"/>
      <c r="F25" s="6"/>
      <c r="G25" s="6"/>
      <c r="H25" s="6"/>
      <c r="I25" s="6"/>
      <c r="L25" s="6"/>
      <c r="M25" s="6"/>
      <c r="N25" s="34"/>
    </row>
    <row r="26" spans="1:14" x14ac:dyDescent="0.25">
      <c r="A26" s="26" t="str">
        <f>'Rate Class Energy Model'!K2</f>
        <v xml:space="preserve">Sentinel </v>
      </c>
      <c r="B26" s="40"/>
      <c r="C26" s="40"/>
      <c r="D26" s="40"/>
      <c r="E26" s="1"/>
      <c r="F26" s="1"/>
      <c r="H26" s="1"/>
      <c r="N26" s="34"/>
    </row>
    <row r="27" spans="1:14" x14ac:dyDescent="0.25">
      <c r="A27" t="s">
        <v>39</v>
      </c>
      <c r="B27" s="52">
        <f>'Rate Class Customer Model'!E11</f>
        <v>519.16666666666663</v>
      </c>
      <c r="C27" s="52">
        <f>'Rate Class Customer Model'!E12</f>
        <v>515.08333333333337</v>
      </c>
      <c r="D27" s="52">
        <f>'Rate Class Customer Model'!E13</f>
        <v>508.75</v>
      </c>
      <c r="E27" s="6">
        <f>'Rate Class Customer Model'!E14</f>
        <v>500.08333333333331</v>
      </c>
      <c r="F27" s="6">
        <f>'Rate Class Customer Model'!E15</f>
        <v>486.5</v>
      </c>
      <c r="G27" s="6">
        <f>'Rate Class Customer Model'!E16</f>
        <v>453.58333333333331</v>
      </c>
      <c r="H27" s="6">
        <f>'Rate Class Customer Model'!E17</f>
        <v>405.75</v>
      </c>
      <c r="I27" s="6">
        <f>'Rate Class Customer Model'!E18</f>
        <v>377.66666666666669</v>
      </c>
      <c r="J27" s="6">
        <f>'Rate Class Customer Model'!E19</f>
        <v>344.91666666666669</v>
      </c>
      <c r="K27" s="6">
        <f>'Rate Class Customer Model'!E20</f>
        <v>341.75</v>
      </c>
      <c r="L27" s="6">
        <f>'Rate Class Customer Model'!E21</f>
        <v>340.61121376389104</v>
      </c>
      <c r="M27" s="6">
        <f>'Rate Class Customer Model'!E22</f>
        <v>325.1482010575661</v>
      </c>
      <c r="N27" s="34"/>
    </row>
    <row r="28" spans="1:14" x14ac:dyDescent="0.25">
      <c r="A28" t="s">
        <v>37</v>
      </c>
      <c r="B28" s="52">
        <f>'Rate Class Energy Model'!K3</f>
        <v>767199</v>
      </c>
      <c r="C28" s="52">
        <f>'Rate Class Energy Model'!K4</f>
        <v>753964</v>
      </c>
      <c r="D28" s="52">
        <f>'Rate Class Energy Model'!K5</f>
        <v>749437</v>
      </c>
      <c r="E28" s="6">
        <f>'Rate Class Energy Model'!K6</f>
        <v>729133</v>
      </c>
      <c r="F28" s="6">
        <f>'Rate Class Energy Model'!K7</f>
        <v>675874</v>
      </c>
      <c r="G28" s="6">
        <f>'Rate Class Energy Model'!K8</f>
        <v>583837.25</v>
      </c>
      <c r="H28" s="6">
        <f>'Rate Class Energy Model'!K9</f>
        <v>535934.71999999997</v>
      </c>
      <c r="I28" s="6">
        <f>'Rate Class Energy Model'!K10</f>
        <v>481895.06</v>
      </c>
      <c r="J28" s="6">
        <f>'Rate Class Energy Model'!K11</f>
        <v>422907.26</v>
      </c>
      <c r="K28" s="6">
        <f>'Rate Class Energy Model'!K12</f>
        <v>419670.93999999994</v>
      </c>
      <c r="L28" s="6">
        <f>'Rate Class Energy Model'!K32</f>
        <v>418272.50403755106</v>
      </c>
      <c r="M28" s="6">
        <f>'Rate Class Energy Model'!K33</f>
        <v>399283.83665585291</v>
      </c>
      <c r="N28" s="34"/>
    </row>
    <row r="29" spans="1:14" x14ac:dyDescent="0.25">
      <c r="A29" t="s">
        <v>38</v>
      </c>
      <c r="B29" s="52">
        <f>'Rate Class Load Model'!C2</f>
        <v>2120</v>
      </c>
      <c r="C29" s="52">
        <f>'Rate Class Load Model'!C3</f>
        <v>2077</v>
      </c>
      <c r="D29" s="52">
        <f>'Rate Class Load Model'!C4</f>
        <v>2061</v>
      </c>
      <c r="E29" s="6">
        <f>'Rate Class Load Model'!C5</f>
        <v>2012</v>
      </c>
      <c r="F29" s="6">
        <f>'Rate Class Load Model'!C6</f>
        <v>1898</v>
      </c>
      <c r="G29" s="6">
        <f>'Rate Class Load Model'!C7</f>
        <v>1605</v>
      </c>
      <c r="H29" s="6">
        <f>'Rate Class Load Model'!C8</f>
        <v>1473.6</v>
      </c>
      <c r="I29" s="6">
        <f>'Rate Class Load Model'!C9</f>
        <v>1327.5</v>
      </c>
      <c r="J29" s="6">
        <f>'Rate Class Load Model'!C10</f>
        <v>1162.21</v>
      </c>
      <c r="K29" s="6">
        <f>'Rate Class Load Model'!C11</f>
        <v>1153.1099999999999</v>
      </c>
      <c r="L29" s="6">
        <f>'Rate Class Load Model'!C12</f>
        <v>1153.8039525851389</v>
      </c>
      <c r="M29" s="6">
        <f>'Rate Class Load Model'!C13</f>
        <v>1101.4237476521346</v>
      </c>
      <c r="N29" s="34"/>
    </row>
    <row r="30" spans="1:14" x14ac:dyDescent="0.25">
      <c r="B30" s="40"/>
      <c r="C30" s="40"/>
      <c r="D30" s="40"/>
      <c r="H30" s="6"/>
      <c r="I30" s="6"/>
      <c r="L30" s="6"/>
      <c r="M30" s="6"/>
    </row>
    <row r="31" spans="1:14" x14ac:dyDescent="0.25">
      <c r="A31" s="26" t="str">
        <f>'Rate Class Energy Model'!L2</f>
        <v xml:space="preserve">Street Lighting </v>
      </c>
      <c r="B31" s="40"/>
      <c r="C31" s="40"/>
      <c r="D31" s="40"/>
      <c r="E31" s="1"/>
      <c r="G31" s="1"/>
    </row>
    <row r="32" spans="1:14" x14ac:dyDescent="0.25">
      <c r="A32" t="s">
        <v>39</v>
      </c>
      <c r="B32" s="52">
        <f>'Rate Class Customer Model'!F11</f>
        <v>6784.333333333333</v>
      </c>
      <c r="C32" s="52">
        <f>'Rate Class Customer Model'!F12</f>
        <v>6792.583333333333</v>
      </c>
      <c r="D32" s="52">
        <f>'Rate Class Customer Model'!F13</f>
        <v>6825</v>
      </c>
      <c r="E32" s="6">
        <f>'Rate Class Customer Model'!F14</f>
        <v>6865.333333333333</v>
      </c>
      <c r="F32" s="6">
        <f>'Rate Class Customer Model'!F15</f>
        <v>6956.25</v>
      </c>
      <c r="G32" s="6">
        <f>'Rate Class Customer Model'!F16</f>
        <v>7006.75</v>
      </c>
      <c r="H32" s="6">
        <f>'Rate Class Customer Model'!F17</f>
        <v>7066.75</v>
      </c>
      <c r="I32" s="6">
        <f>'Rate Class Customer Model'!F18</f>
        <v>7115.166666666667</v>
      </c>
      <c r="J32" s="6">
        <f>'Rate Class Customer Model'!F19</f>
        <v>7186.166666666667</v>
      </c>
      <c r="K32" s="6">
        <f>'Rate Class Customer Model'!F20</f>
        <v>7335.916666666667</v>
      </c>
      <c r="L32" s="6">
        <f>'Rate Class Customer Model'!F21</f>
        <v>7311.2655982613132</v>
      </c>
      <c r="M32" s="6">
        <f>'Rate Class Customer Model'!F22</f>
        <v>7375.0415819619884</v>
      </c>
      <c r="N32" s="34"/>
    </row>
    <row r="33" spans="1:14" x14ac:dyDescent="0.25">
      <c r="A33" t="s">
        <v>37</v>
      </c>
      <c r="B33" s="52">
        <f>'Rate Class Energy Model'!L3</f>
        <v>2503378</v>
      </c>
      <c r="C33" s="52">
        <f>'Rate Class Energy Model'!L4</f>
        <v>2284687</v>
      </c>
      <c r="D33" s="52">
        <f>'Rate Class Energy Model'!L5</f>
        <v>1575426</v>
      </c>
      <c r="E33" s="6">
        <f>'Rate Class Energy Model'!L6</f>
        <v>1393112</v>
      </c>
      <c r="F33" s="6">
        <f>'Rate Class Energy Model'!L7</f>
        <v>1403955.81</v>
      </c>
      <c r="G33" s="6">
        <f>'Rate Class Energy Model'!L8</f>
        <v>1406314.25</v>
      </c>
      <c r="H33" s="6">
        <f>'Rate Class Energy Model'!L9</f>
        <v>1423807.2000000002</v>
      </c>
      <c r="I33" s="6">
        <f>'Rate Class Energy Model'!L10</f>
        <v>1410627.9499999997</v>
      </c>
      <c r="J33" s="6">
        <f>'Rate Class Energy Model'!L11</f>
        <v>1418459.9</v>
      </c>
      <c r="K33" s="6">
        <f>'Rate Class Energy Model'!L12</f>
        <v>1453176.11</v>
      </c>
      <c r="L33" s="6">
        <f>'Rate Class Energy Model'!L32</f>
        <v>1448292.9651497584</v>
      </c>
      <c r="M33" s="6">
        <f>'Rate Class Energy Model'!L33</f>
        <v>1460926.3878175328</v>
      </c>
    </row>
    <row r="34" spans="1:14" x14ac:dyDescent="0.25">
      <c r="A34" t="s">
        <v>38</v>
      </c>
      <c r="B34" s="52">
        <f>'Rate Class Load Model'!D2</f>
        <v>6992</v>
      </c>
      <c r="C34" s="52">
        <f>'Rate Class Load Model'!D3</f>
        <v>6476</v>
      </c>
      <c r="D34" s="52">
        <f>'Rate Class Load Model'!D4</f>
        <v>4561</v>
      </c>
      <c r="E34" s="6">
        <f>'Rate Class Load Model'!D5</f>
        <v>3890</v>
      </c>
      <c r="F34" s="6">
        <f>'Rate Class Load Model'!D6</f>
        <v>3915</v>
      </c>
      <c r="G34" s="6">
        <f>'Rate Class Load Model'!D7</f>
        <v>3924.2</v>
      </c>
      <c r="H34" s="6">
        <f>'Rate Class Load Model'!D8</f>
        <v>3960</v>
      </c>
      <c r="I34" s="6">
        <f>'Rate Class Load Model'!D9</f>
        <v>3933.6000000000008</v>
      </c>
      <c r="J34" s="6">
        <f>'Rate Class Load Model'!D10</f>
        <v>3955.4399999999991</v>
      </c>
      <c r="K34" s="6">
        <f>'Rate Class Load Model'!D11</f>
        <v>4056.9600000000009</v>
      </c>
      <c r="L34" s="6">
        <f>'Rate Class Load Model'!D12</f>
        <v>4061.6026629702164</v>
      </c>
      <c r="M34" s="6">
        <f>'Rate Class Load Model'!D13</f>
        <v>4097.0319196086029</v>
      </c>
    </row>
    <row r="35" spans="1:14" x14ac:dyDescent="0.25">
      <c r="B35" s="40"/>
      <c r="C35" s="40"/>
      <c r="D35" s="40"/>
    </row>
    <row r="36" spans="1:14" x14ac:dyDescent="0.25">
      <c r="A36" s="26" t="str">
        <f>'Rate Class Energy Model'!M2</f>
        <v>USL</v>
      </c>
      <c r="B36" s="40"/>
      <c r="C36" s="40"/>
      <c r="D36" s="40"/>
      <c r="E36" s="1"/>
      <c r="F36" s="1"/>
      <c r="G36" s="1"/>
      <c r="H36" s="1"/>
    </row>
    <row r="37" spans="1:14" x14ac:dyDescent="0.25">
      <c r="A37" t="s">
        <v>39</v>
      </c>
      <c r="B37" s="52">
        <f>'Rate Class Customer Model'!G11</f>
        <v>259.33333333333331</v>
      </c>
      <c r="C37" s="52">
        <f>'Rate Class Customer Model'!G12</f>
        <v>256.66666666666669</v>
      </c>
      <c r="D37" s="52">
        <f>'Rate Class Customer Model'!G13</f>
        <v>261.33333333333331</v>
      </c>
      <c r="E37" s="6">
        <f>'Rate Class Customer Model'!G14</f>
        <v>261.91666666666669</v>
      </c>
      <c r="F37" s="6">
        <f>'Rate Class Customer Model'!G15</f>
        <v>262.83333333333331</v>
      </c>
      <c r="G37" s="6">
        <f>'Rate Class Customer Model'!G16</f>
        <v>261.83333333333331</v>
      </c>
      <c r="H37" s="6">
        <f>'Rate Class Customer Model'!G17</f>
        <v>258.25</v>
      </c>
      <c r="I37" s="6">
        <f>'Rate Class Customer Model'!G18</f>
        <v>255.83333333333334</v>
      </c>
      <c r="J37" s="6">
        <f>'Rate Class Customer Model'!G19</f>
        <v>252.08333333333334</v>
      </c>
      <c r="K37" s="6">
        <f>'Rate Class Customer Model'!G20</f>
        <v>200.16666666666666</v>
      </c>
      <c r="L37" s="6">
        <f>'Rate Class Customer Model'!G21</f>
        <v>196.25</v>
      </c>
      <c r="M37" s="6">
        <f>'Rate Class Customer Model'!G22</f>
        <v>190.68361562951188</v>
      </c>
      <c r="N37" s="34"/>
    </row>
    <row r="38" spans="1:14" x14ac:dyDescent="0.25">
      <c r="A38" t="s">
        <v>37</v>
      </c>
      <c r="B38" s="52">
        <f>'Rate Class Energy Model'!M3</f>
        <v>966945</v>
      </c>
      <c r="C38" s="52">
        <f>'Rate Class Energy Model'!M4</f>
        <v>970041</v>
      </c>
      <c r="D38" s="52">
        <f>'Rate Class Energy Model'!M5</f>
        <v>976708</v>
      </c>
      <c r="E38" s="6">
        <f>'Rate Class Energy Model'!M6</f>
        <v>958727</v>
      </c>
      <c r="F38" s="6">
        <f>'Rate Class Energy Model'!M7</f>
        <v>956107</v>
      </c>
      <c r="G38" s="6">
        <f>'Rate Class Energy Model'!M8</f>
        <v>952930</v>
      </c>
      <c r="H38" s="6">
        <f>'Rate Class Energy Model'!M9</f>
        <v>940979</v>
      </c>
      <c r="I38" s="6">
        <f>'Rate Class Energy Model'!M10</f>
        <v>919365</v>
      </c>
      <c r="J38" s="6">
        <f>'Rate Class Energy Model'!M11</f>
        <v>895494</v>
      </c>
      <c r="K38" s="6">
        <f>'Rate Class Energy Model'!M12</f>
        <v>851915</v>
      </c>
      <c r="L38" s="6">
        <f>'Rate Class Energy Model'!M32</f>
        <v>835245.55578684446</v>
      </c>
      <c r="M38" s="6">
        <f>'Rate Class Energy Model'!M33</f>
        <v>811554.8663231422</v>
      </c>
    </row>
    <row r="39" spans="1:14" x14ac:dyDescent="0.25">
      <c r="B39" s="40"/>
      <c r="C39" s="40"/>
      <c r="D39" s="40"/>
    </row>
    <row r="40" spans="1:14" x14ac:dyDescent="0.25">
      <c r="A40" s="26" t="str">
        <f>'Rate Class Energy Model'!N2</f>
        <v>Large User</v>
      </c>
      <c r="B40" s="40"/>
      <c r="C40" s="40"/>
      <c r="D40" s="40"/>
      <c r="E40" s="1"/>
      <c r="G40" s="1"/>
    </row>
    <row r="41" spans="1:14" x14ac:dyDescent="0.25">
      <c r="A41" t="s">
        <v>39</v>
      </c>
      <c r="B41" s="52">
        <v>1</v>
      </c>
      <c r="C41" s="52">
        <f>'Rate Class Customer Model'!H12</f>
        <v>0</v>
      </c>
      <c r="D41" s="52">
        <f>'Rate Class Customer Model'!H13</f>
        <v>0</v>
      </c>
      <c r="E41" s="6">
        <f>'Rate Class Customer Model'!H14</f>
        <v>0</v>
      </c>
      <c r="F41" s="6">
        <f>'Rate Class Customer Model'!H15</f>
        <v>0</v>
      </c>
      <c r="G41" s="6">
        <f>'Rate Class Customer Model'!H16</f>
        <v>0</v>
      </c>
      <c r="H41" s="6">
        <f>'Rate Class Customer Model'!H17</f>
        <v>0</v>
      </c>
      <c r="I41" s="6">
        <f>'Rate Class Customer Model'!H18</f>
        <v>0</v>
      </c>
      <c r="J41" s="6">
        <f>'Rate Class Customer Model'!H19</f>
        <v>0</v>
      </c>
      <c r="K41" s="6">
        <f>'Rate Class Customer Model'!H20</f>
        <v>0</v>
      </c>
      <c r="L41" s="6">
        <f>'Rate Class Customer Model'!H21</f>
        <v>0</v>
      </c>
      <c r="M41" s="6">
        <f>'Rate Class Customer Model'!H22</f>
        <v>0</v>
      </c>
    </row>
    <row r="42" spans="1:14" x14ac:dyDescent="0.25">
      <c r="A42" t="s">
        <v>37</v>
      </c>
      <c r="B42" s="52">
        <f>'Rate Class Energy Model'!N3</f>
        <v>0</v>
      </c>
      <c r="C42" s="52">
        <f>'Rate Class Energy Model'!N4</f>
        <v>0</v>
      </c>
      <c r="D42" s="52">
        <f>'Rate Class Energy Model'!N5</f>
        <v>0</v>
      </c>
      <c r="E42" s="6">
        <f>'Rate Class Energy Model'!N6</f>
        <v>0</v>
      </c>
      <c r="F42" s="6">
        <f>'Rate Class Energy Model'!N7</f>
        <v>0</v>
      </c>
      <c r="G42" s="6">
        <f>'Rate Class Energy Model'!N8</f>
        <v>0</v>
      </c>
      <c r="H42" s="6">
        <f>'Rate Class Energy Model'!N9</f>
        <v>0</v>
      </c>
      <c r="I42" s="6">
        <f>'Rate Class Energy Model'!N10</f>
        <v>0</v>
      </c>
      <c r="J42" s="6">
        <f>'Rate Class Energy Model'!N11</f>
        <v>0</v>
      </c>
      <c r="K42" s="6">
        <f>'Rate Class Energy Model'!N12</f>
        <v>0</v>
      </c>
      <c r="L42" s="6">
        <f>'Rate Class Energy Model'!N32</f>
        <v>0</v>
      </c>
      <c r="M42" s="6">
        <f>'Rate Class Energy Model'!N33</f>
        <v>0</v>
      </c>
    </row>
    <row r="43" spans="1:14" x14ac:dyDescent="0.25">
      <c r="A43" t="s">
        <v>38</v>
      </c>
      <c r="B43" s="52">
        <f>'Rate Class Load Model'!E2</f>
        <v>0</v>
      </c>
      <c r="C43" s="52">
        <f>'Rate Class Load Model'!E3</f>
        <v>0</v>
      </c>
      <c r="D43" s="52">
        <f>'Rate Class Load Model'!E4</f>
        <v>0</v>
      </c>
      <c r="E43" s="6">
        <f>'Rate Class Load Model'!E5</f>
        <v>0</v>
      </c>
      <c r="F43" s="6">
        <f>'Rate Class Load Model'!E6</f>
        <v>0</v>
      </c>
      <c r="G43" s="6">
        <f>'Rate Class Load Model'!E7</f>
        <v>0</v>
      </c>
      <c r="H43" s="6">
        <f>'Rate Class Load Model'!E8</f>
        <v>0</v>
      </c>
      <c r="I43" s="6">
        <f>'Rate Class Load Model'!E9</f>
        <v>0</v>
      </c>
      <c r="J43" s="6">
        <f>'Rate Class Load Model'!E10</f>
        <v>0</v>
      </c>
      <c r="K43" s="6">
        <f>'Rate Class Load Model'!E11</f>
        <v>0</v>
      </c>
      <c r="L43" s="6">
        <f>'Rate Class Load Model'!E12</f>
        <v>0</v>
      </c>
      <c r="M43" s="6">
        <f>'Rate Class Load Model'!E13</f>
        <v>0</v>
      </c>
    </row>
    <row r="44" spans="1:14" x14ac:dyDescent="0.25">
      <c r="B44" s="40"/>
      <c r="C44" s="40"/>
      <c r="D44" s="40"/>
    </row>
    <row r="45" spans="1:14" x14ac:dyDescent="0.25">
      <c r="A45" s="26" t="s">
        <v>7</v>
      </c>
      <c r="B45" s="40"/>
      <c r="C45" s="46"/>
      <c r="D45" s="40"/>
      <c r="E45" s="1"/>
      <c r="H45" s="41"/>
    </row>
    <row r="46" spans="1:14" x14ac:dyDescent="0.25">
      <c r="A46" t="s">
        <v>41</v>
      </c>
      <c r="B46" s="52">
        <f>+B14+B18+B22+B27+B32+B37+B41</f>
        <v>29944.166666666664</v>
      </c>
      <c r="C46" s="52">
        <f>+C14+C18+C22+C27+C32+C37+C41</f>
        <v>30127.749999999996</v>
      </c>
      <c r="D46" s="52">
        <f t="shared" ref="D46:M46" si="2">+D14+D18+D22+D27+D32+D37+D41</f>
        <v>30347.166666666664</v>
      </c>
      <c r="E46" s="6">
        <f t="shared" si="2"/>
        <v>30564.5</v>
      </c>
      <c r="F46" s="6">
        <f t="shared" si="2"/>
        <v>30910.166666666664</v>
      </c>
      <c r="G46" s="6">
        <f t="shared" si="2"/>
        <v>31265.666666666664</v>
      </c>
      <c r="H46" s="6">
        <f t="shared" si="2"/>
        <v>31606.166666666664</v>
      </c>
      <c r="I46" s="6">
        <f>+I14+I18+I22+I27+I32+I37+I41</f>
        <v>32120.583333333336</v>
      </c>
      <c r="J46" s="6">
        <f t="shared" si="2"/>
        <v>32609</v>
      </c>
      <c r="K46" s="6">
        <f t="shared" ref="K46" si="3">+K14+K18+K22+K27+K32+K37+K41</f>
        <v>33275.499999999993</v>
      </c>
      <c r="L46" s="6">
        <f t="shared" si="2"/>
        <v>33804.680137202376</v>
      </c>
      <c r="M46" s="6">
        <f t="shared" si="2"/>
        <v>34216.277275848406</v>
      </c>
    </row>
    <row r="47" spans="1:14" x14ac:dyDescent="0.25">
      <c r="A47" t="s">
        <v>37</v>
      </c>
      <c r="B47" s="52">
        <f>+B15+B19+B23+B28+B33+B38+B42</f>
        <v>360518118</v>
      </c>
      <c r="C47" s="52">
        <f t="shared" ref="C47:M47" si="4">+C15+C19+C23+C28+C33+C38+C42</f>
        <v>356091977</v>
      </c>
      <c r="D47" s="52">
        <f t="shared" si="4"/>
        <v>363388525</v>
      </c>
      <c r="E47" s="6">
        <f t="shared" si="4"/>
        <v>353716802</v>
      </c>
      <c r="F47" s="6">
        <f>+F15+F19+F23+F28+F33+F38+F42</f>
        <v>379090833.32999998</v>
      </c>
      <c r="G47" s="6">
        <f t="shared" si="4"/>
        <v>370608216.25</v>
      </c>
      <c r="H47" s="6">
        <f t="shared" si="4"/>
        <v>364637107.06999999</v>
      </c>
      <c r="I47" s="6">
        <f t="shared" si="4"/>
        <v>368482782.76999998</v>
      </c>
      <c r="J47" s="6">
        <f>+J15+J19+J23+J28+J33+J38+J42</f>
        <v>377130670.77999997</v>
      </c>
      <c r="K47" s="6">
        <f t="shared" ref="K47" si="5">+K15+K19+K23+K28+K33+K38+K42</f>
        <v>370827912.53724998</v>
      </c>
      <c r="L47" s="6">
        <f t="shared" si="4"/>
        <v>385362851.68502349</v>
      </c>
      <c r="M47" s="6">
        <f t="shared" si="4"/>
        <v>389906935.37247819</v>
      </c>
    </row>
    <row r="48" spans="1:14" x14ac:dyDescent="0.25">
      <c r="A48" t="s">
        <v>40</v>
      </c>
      <c r="B48" s="52">
        <f>+B24+B29+B34+B43</f>
        <v>411487</v>
      </c>
      <c r="C48" s="52">
        <f t="shared" ref="C48:J48" si="6">+C24+C29+C34+C43</f>
        <v>411321</v>
      </c>
      <c r="D48" s="52">
        <f t="shared" si="6"/>
        <v>403150</v>
      </c>
      <c r="E48" s="6">
        <f t="shared" si="6"/>
        <v>403638</v>
      </c>
      <c r="F48" s="6">
        <f t="shared" si="6"/>
        <v>419225</v>
      </c>
      <c r="G48" s="6">
        <f t="shared" si="6"/>
        <v>421064.31</v>
      </c>
      <c r="H48" s="6">
        <f t="shared" si="6"/>
        <v>387154.49</v>
      </c>
      <c r="I48" s="6">
        <f t="shared" si="6"/>
        <v>354486.37</v>
      </c>
      <c r="J48" s="6">
        <f t="shared" si="6"/>
        <v>362330.8</v>
      </c>
      <c r="K48" s="6">
        <f t="shared" ref="K48" si="7">+K24+K29+K34+K43</f>
        <v>359014.18000000005</v>
      </c>
      <c r="L48" s="6">
        <f>+L24+L29+L34+L43</f>
        <v>400880.2708824671</v>
      </c>
      <c r="M48" s="6">
        <f>+M24+M29+M34+M43</f>
        <v>397586.594196841</v>
      </c>
    </row>
    <row r="49" spans="1:13" x14ac:dyDescent="0.25">
      <c r="B49" s="40"/>
      <c r="C49" s="142"/>
      <c r="D49" s="46"/>
      <c r="E49" s="1"/>
      <c r="F49" s="1"/>
    </row>
    <row r="50" spans="1:13" x14ac:dyDescent="0.25">
      <c r="A50" t="s">
        <v>41</v>
      </c>
      <c r="B50" s="52">
        <f>'Rate Class Customer Model'!I11</f>
        <v>29943.166666666664</v>
      </c>
      <c r="C50" s="52">
        <f>'Rate Class Customer Model'!I12</f>
        <v>30127.749999999996</v>
      </c>
      <c r="D50" s="52">
        <f>'Rate Class Customer Model'!I13</f>
        <v>30347.166666666664</v>
      </c>
      <c r="E50" s="6">
        <f>'Rate Class Customer Model'!I14</f>
        <v>30564.5</v>
      </c>
      <c r="F50" s="6">
        <f>'Rate Class Customer Model'!I15</f>
        <v>30910.166666666664</v>
      </c>
      <c r="G50" s="6">
        <f>'Rate Class Customer Model'!I16</f>
        <v>31265.666666666664</v>
      </c>
      <c r="H50" s="6">
        <f>'Rate Class Customer Model'!I17</f>
        <v>31606.166666666664</v>
      </c>
      <c r="I50" s="6">
        <f>'Rate Class Customer Model'!I18</f>
        <v>32120.583333333336</v>
      </c>
      <c r="J50" s="6">
        <f>'Rate Class Customer Model'!I19</f>
        <v>32609</v>
      </c>
      <c r="K50" s="6">
        <f>'Rate Class Customer Model'!I20</f>
        <v>33275.499999999993</v>
      </c>
      <c r="L50" s="6">
        <f>'Rate Class Customer Model'!I21</f>
        <v>33804.680137202376</v>
      </c>
      <c r="M50" s="6">
        <f>'Rate Class Customer Model'!I22</f>
        <v>34216.277275848406</v>
      </c>
    </row>
    <row r="51" spans="1:13" x14ac:dyDescent="0.25">
      <c r="A51" t="s">
        <v>37</v>
      </c>
      <c r="B51" s="6">
        <f>'Rate Class Energy Model'!G3</f>
        <v>360518118</v>
      </c>
      <c r="C51" s="6">
        <f>'Rate Class Energy Model'!G4</f>
        <v>356091977</v>
      </c>
      <c r="D51" s="6">
        <f>'Rate Class Energy Model'!G5</f>
        <v>363388525</v>
      </c>
      <c r="E51" s="6">
        <f>'Rate Class Energy Model'!G6</f>
        <v>353716802</v>
      </c>
      <c r="F51" s="6">
        <f>'Rate Class Energy Model'!G7</f>
        <v>379090833.32999998</v>
      </c>
      <c r="G51" s="6">
        <f>'Rate Class Energy Model'!G8</f>
        <v>370608216.25</v>
      </c>
      <c r="H51" s="6">
        <f>'Rate Class Energy Model'!G9</f>
        <v>364637107.06999999</v>
      </c>
      <c r="I51" s="6">
        <f>'Rate Class Energy Model'!G10</f>
        <v>368482782.76999998</v>
      </c>
      <c r="J51" s="6">
        <f>'Rate Class Energy Model'!G11</f>
        <v>377130670.77999997</v>
      </c>
      <c r="K51" s="6">
        <f>'Rate Class Energy Model'!G12</f>
        <v>370827912.53724998</v>
      </c>
      <c r="L51" s="6">
        <f>'Rate Class Energy Model'!O32</f>
        <v>385362851.68502349</v>
      </c>
      <c r="M51" s="6">
        <f>'Rate Class Energy Model'!O33</f>
        <v>389906935.37247819</v>
      </c>
    </row>
    <row r="52" spans="1:13" x14ac:dyDescent="0.25">
      <c r="A52" t="s">
        <v>40</v>
      </c>
      <c r="B52" s="6">
        <f>'Rate Class Load Model'!F2</f>
        <v>411487</v>
      </c>
      <c r="C52" s="6">
        <f>'Rate Class Load Model'!F3</f>
        <v>411321</v>
      </c>
      <c r="D52" s="6">
        <f>'Rate Class Load Model'!F4</f>
        <v>403150</v>
      </c>
      <c r="E52" s="6">
        <f>'Rate Class Load Model'!F5</f>
        <v>403638</v>
      </c>
      <c r="F52" s="6">
        <f>'Rate Class Load Model'!F6</f>
        <v>419225</v>
      </c>
      <c r="G52" s="6">
        <f>'Rate Class Load Model'!F7</f>
        <v>421064.31</v>
      </c>
      <c r="H52" s="6">
        <f>'Rate Class Load Model'!F8</f>
        <v>387154.49</v>
      </c>
      <c r="I52" s="6">
        <f>'Rate Class Load Model'!F9</f>
        <v>354486.37</v>
      </c>
      <c r="J52" s="6">
        <f>'Rate Class Load Model'!F10</f>
        <v>362330.8</v>
      </c>
      <c r="K52" s="6">
        <f>'Rate Class Load Model'!F11</f>
        <v>359014.18000000005</v>
      </c>
      <c r="L52" s="6">
        <f>'Rate Class Load Model'!F12</f>
        <v>400880.2708824671</v>
      </c>
      <c r="M52" s="6">
        <f>'Rate Class Load Model'!F13</f>
        <v>397586.594196841</v>
      </c>
    </row>
    <row r="54" spans="1:13" hidden="1" x14ac:dyDescent="0.25">
      <c r="A54" t="s">
        <v>41</v>
      </c>
      <c r="H54" s="6">
        <f>'Rate Class Load Model'!F12</f>
        <v>400880.2708824671</v>
      </c>
      <c r="I54" s="6" t="e">
        <f>#REF!</f>
        <v>#REF!</v>
      </c>
      <c r="J54" s="6"/>
      <c r="K54" s="6"/>
      <c r="L54" s="6" t="e">
        <f>#REF!</f>
        <v>#REF!</v>
      </c>
      <c r="M54" s="6" t="e">
        <f>#REF!</f>
        <v>#REF!</v>
      </c>
    </row>
    <row r="55" spans="1:13" hidden="1" x14ac:dyDescent="0.25">
      <c r="A55" t="s">
        <v>37</v>
      </c>
      <c r="H55" s="6">
        <f>'Rate Class Load Model'!F13</f>
        <v>397586.594196841</v>
      </c>
      <c r="I55" s="6" t="e">
        <f>#REF!</f>
        <v>#REF!</v>
      </c>
      <c r="J55" s="6"/>
      <c r="K55" s="6"/>
      <c r="L55" s="6" t="e">
        <f>#REF!</f>
        <v>#REF!</v>
      </c>
      <c r="M55" s="6" t="e">
        <f>#REF!</f>
        <v>#REF!</v>
      </c>
    </row>
    <row r="56" spans="1:13" hidden="1" x14ac:dyDescent="0.25">
      <c r="A56" t="s">
        <v>40</v>
      </c>
      <c r="H56" s="6">
        <f>'Rate Class Load Model'!F14</f>
        <v>0</v>
      </c>
      <c r="I56" s="6" t="e">
        <f>#REF!</f>
        <v>#REF!</v>
      </c>
      <c r="J56" s="6"/>
      <c r="K56" s="6"/>
      <c r="L56" s="6" t="e">
        <f>#REF!</f>
        <v>#REF!</v>
      </c>
      <c r="M56" s="6" t="e">
        <f>#REF!</f>
        <v>#REF!</v>
      </c>
    </row>
    <row r="57" spans="1:13" hidden="1" x14ac:dyDescent="0.25">
      <c r="H57" s="6">
        <f>'Rate Class Load Model'!F15</f>
        <v>0</v>
      </c>
    </row>
    <row r="58" spans="1:13" hidden="1" x14ac:dyDescent="0.25">
      <c r="A58" t="s">
        <v>41</v>
      </c>
      <c r="H58" s="6">
        <f>'Rate Class Load Model'!F16</f>
        <v>0</v>
      </c>
      <c r="I58" s="6" t="e">
        <f>#REF!-I54</f>
        <v>#REF!</v>
      </c>
      <c r="J58" s="6"/>
      <c r="K58" s="6"/>
      <c r="L58" s="6" t="e">
        <f>#REF!-L54</f>
        <v>#REF!</v>
      </c>
      <c r="M58" s="6" t="e">
        <f>#REF!-M54</f>
        <v>#REF!</v>
      </c>
    </row>
    <row r="59" spans="1:13" hidden="1" x14ac:dyDescent="0.25">
      <c r="A59" t="s">
        <v>37</v>
      </c>
      <c r="H59" s="6">
        <f>'Rate Class Load Model'!F17</f>
        <v>0</v>
      </c>
      <c r="I59" s="6" t="e">
        <f>#REF!-I55</f>
        <v>#REF!</v>
      </c>
      <c r="J59" s="6"/>
      <c r="K59" s="6"/>
      <c r="L59" s="6" t="e">
        <f>#REF!-L55</f>
        <v>#REF!</v>
      </c>
      <c r="M59" s="6" t="e">
        <f>#REF!-M55</f>
        <v>#REF!</v>
      </c>
    </row>
    <row r="60" spans="1:13" hidden="1" x14ac:dyDescent="0.25">
      <c r="A60" t="s">
        <v>40</v>
      </c>
      <c r="H60" s="6">
        <f>'Rate Class Load Model'!F18</f>
        <v>0</v>
      </c>
      <c r="I60" s="6" t="e">
        <f>#REF!-I56</f>
        <v>#REF!</v>
      </c>
      <c r="J60" s="6"/>
      <c r="K60" s="6"/>
      <c r="L60" s="6" t="e">
        <f>#REF!-L56</f>
        <v>#REF!</v>
      </c>
      <c r="M60" s="6" t="e">
        <f>#REF!-M56</f>
        <v>#REF!</v>
      </c>
    </row>
    <row r="61" spans="1:13" hidden="1" x14ac:dyDescent="0.25">
      <c r="H61" s="6">
        <f>'Rate Class Load Model'!F19</f>
        <v>0</v>
      </c>
    </row>
    <row r="62" spans="1:13" x14ac:dyDescent="0.25">
      <c r="A62" s="40" t="s">
        <v>12</v>
      </c>
      <c r="H62" s="6"/>
    </row>
    <row r="63" spans="1:13" x14ac:dyDescent="0.25">
      <c r="A63" t="s">
        <v>41</v>
      </c>
      <c r="B63" s="6">
        <f t="shared" ref="B63:M63" si="8">B46-B50</f>
        <v>1</v>
      </c>
      <c r="C63" s="6">
        <f>C46-C50</f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ref="J63:J65" si="9">J46-J50</f>
        <v>0</v>
      </c>
      <c r="K63" s="6">
        <f t="shared" ref="K63" si="10">K46-K50</f>
        <v>0</v>
      </c>
      <c r="L63" s="6">
        <f t="shared" si="8"/>
        <v>0</v>
      </c>
      <c r="M63" s="6">
        <f t="shared" si="8"/>
        <v>0</v>
      </c>
    </row>
    <row r="64" spans="1:13" x14ac:dyDescent="0.25">
      <c r="A64" t="s">
        <v>37</v>
      </c>
      <c r="B64" s="6">
        <f>B47-B51</f>
        <v>0</v>
      </c>
      <c r="C64" s="6">
        <f t="shared" ref="C64:M64" si="11">C47-C51</f>
        <v>0</v>
      </c>
      <c r="D64" s="6">
        <f t="shared" si="11"/>
        <v>0</v>
      </c>
      <c r="E64" s="6">
        <f t="shared" si="11"/>
        <v>0</v>
      </c>
      <c r="F64" s="6">
        <f t="shared" si="11"/>
        <v>0</v>
      </c>
      <c r="G64" s="6">
        <f t="shared" si="11"/>
        <v>0</v>
      </c>
      <c r="H64" s="6">
        <f t="shared" si="11"/>
        <v>0</v>
      </c>
      <c r="I64" s="6">
        <f t="shared" si="11"/>
        <v>0</v>
      </c>
      <c r="J64" s="6">
        <f t="shared" si="9"/>
        <v>0</v>
      </c>
      <c r="K64" s="6">
        <f t="shared" ref="K64" si="12">K47-K51</f>
        <v>0</v>
      </c>
      <c r="L64" s="6">
        <f t="shared" si="11"/>
        <v>0</v>
      </c>
      <c r="M64" s="6">
        <f t="shared" si="11"/>
        <v>0</v>
      </c>
    </row>
    <row r="65" spans="1:13" x14ac:dyDescent="0.25">
      <c r="A65" t="s">
        <v>40</v>
      </c>
      <c r="B65" s="6">
        <f t="shared" ref="B65:M65" si="13">B48-B52</f>
        <v>0</v>
      </c>
      <c r="C65" s="6">
        <f t="shared" si="13"/>
        <v>0</v>
      </c>
      <c r="D65" s="6">
        <f t="shared" si="13"/>
        <v>0</v>
      </c>
      <c r="E65" s="6">
        <f t="shared" si="13"/>
        <v>0</v>
      </c>
      <c r="F65" s="6">
        <f t="shared" si="13"/>
        <v>0</v>
      </c>
      <c r="G65" s="6">
        <f t="shared" si="13"/>
        <v>0</v>
      </c>
      <c r="H65" s="6">
        <f t="shared" si="13"/>
        <v>0</v>
      </c>
      <c r="I65" s="6">
        <f t="shared" si="13"/>
        <v>0</v>
      </c>
      <c r="J65" s="6">
        <f t="shared" si="9"/>
        <v>0</v>
      </c>
      <c r="K65" s="6">
        <f t="shared" ref="K65" si="14">K48-K52</f>
        <v>0</v>
      </c>
      <c r="L65" s="6">
        <f t="shared" si="13"/>
        <v>0</v>
      </c>
      <c r="M65" s="6">
        <f t="shared" si="13"/>
        <v>0</v>
      </c>
    </row>
  </sheetData>
  <phoneticPr fontId="0" type="noConversion"/>
  <pageMargins left="0.38" right="0.75" top="0.73" bottom="0.74" header="0.5" footer="0.5"/>
  <pageSetup scale="6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</sheetPr>
  <dimension ref="A2:Y174"/>
  <sheetViews>
    <sheetView topLeftCell="A127" zoomScale="70" zoomScaleNormal="70" workbookViewId="0">
      <selection activeCell="I167" sqref="I167"/>
    </sheetView>
    <sheetView workbookViewId="1"/>
  </sheetViews>
  <sheetFormatPr defaultRowHeight="13.2" x14ac:dyDescent="0.25"/>
  <cols>
    <col min="1" max="1" width="11.88671875" style="25" customWidth="1"/>
    <col min="2" max="2" width="16.88671875" style="6" customWidth="1"/>
    <col min="3" max="3" width="11.5546875" style="1" customWidth="1"/>
    <col min="4" max="4" width="13.44140625" style="1" customWidth="1"/>
    <col min="5" max="5" width="10.109375" style="1" customWidth="1"/>
    <col min="6" max="6" width="10.33203125" style="50" customWidth="1"/>
    <col min="7" max="8" width="13" style="1" customWidth="1"/>
    <col min="9" max="9" width="16.33203125" style="1" bestFit="1" customWidth="1"/>
    <col min="10" max="12" width="16.33203125" style="1" customWidth="1"/>
    <col min="13" max="13" width="22.44140625" style="1" bestFit="1" customWidth="1"/>
    <col min="14" max="14" width="13" style="1" customWidth="1"/>
    <col min="15" max="15" width="21" style="1" customWidth="1"/>
    <col min="16" max="16" width="15.6640625" style="1" customWidth="1"/>
    <col min="17" max="17" width="35.33203125" style="1" bestFit="1" customWidth="1"/>
    <col min="18" max="18" width="21.21875" style="1" bestFit="1" customWidth="1"/>
    <col min="19" max="19" width="31.6640625" customWidth="1"/>
    <col min="20" max="20" width="18.44140625" customWidth="1"/>
    <col min="21" max="25" width="12.5546875" customWidth="1"/>
  </cols>
  <sheetData>
    <row r="2" spans="1:22" ht="39.6" x14ac:dyDescent="0.25">
      <c r="A2" s="154"/>
      <c r="B2" s="155" t="s">
        <v>52</v>
      </c>
      <c r="C2" s="156" t="s">
        <v>2</v>
      </c>
      <c r="D2" s="156" t="s">
        <v>3</v>
      </c>
      <c r="E2" s="156" t="s">
        <v>91</v>
      </c>
      <c r="F2" s="157" t="s">
        <v>13</v>
      </c>
      <c r="G2" s="156" t="s">
        <v>105</v>
      </c>
      <c r="H2" s="156" t="s">
        <v>138</v>
      </c>
      <c r="I2" s="156" t="s">
        <v>8</v>
      </c>
      <c r="J2" s="146" t="s">
        <v>129</v>
      </c>
      <c r="K2" s="146" t="s">
        <v>130</v>
      </c>
      <c r="L2" s="146" t="s">
        <v>131</v>
      </c>
      <c r="M2" s="146" t="s">
        <v>126</v>
      </c>
      <c r="N2" s="146" t="s">
        <v>127</v>
      </c>
      <c r="O2" s="146" t="s">
        <v>128</v>
      </c>
      <c r="P2" s="146"/>
      <c r="Q2" t="s">
        <v>14</v>
      </c>
      <c r="R2"/>
    </row>
    <row r="3" spans="1:22" ht="13.8" thickBot="1" x14ac:dyDescent="0.3">
      <c r="A3" s="158">
        <v>41670</v>
      </c>
      <c r="B3" s="159">
        <f>Inputs!D24</f>
        <v>38467367.798308365</v>
      </c>
      <c r="C3" s="159">
        <v>783.19999999999993</v>
      </c>
      <c r="D3" s="159">
        <v>0</v>
      </c>
      <c r="E3" s="159">
        <v>31</v>
      </c>
      <c r="F3" s="160">
        <v>0</v>
      </c>
      <c r="G3" s="159">
        <f>Inputs!G24+Inputs!I24+Inputs!L24+Inputs!X24</f>
        <v>22328</v>
      </c>
      <c r="H3" s="159">
        <v>0</v>
      </c>
      <c r="I3" s="159">
        <f>$R$18+$R$19*C3+$R$20*D3+$R$21*E3+$R$22*F3+$R$23*G3+$R$24*H3</f>
        <v>35450484.457978971</v>
      </c>
      <c r="J3" s="9">
        <f t="shared" ref="J3:J34" si="0">I3-B3</f>
        <v>-3016883.3403293937</v>
      </c>
      <c r="K3" s="168">
        <f t="shared" ref="K3:K34" si="1">J3/B3</f>
        <v>-7.8427080224139065E-2</v>
      </c>
      <c r="L3" s="168">
        <f>ABS(K3)</f>
        <v>7.8427080224139065E-2</v>
      </c>
      <c r="M3" s="169">
        <f t="shared" ref="M3:M34" si="2">J3*J3</f>
        <v>9101585089157.041</v>
      </c>
      <c r="N3" s="11"/>
      <c r="O3" s="11"/>
      <c r="P3" s="11"/>
      <c r="Q3"/>
      <c r="R3"/>
    </row>
    <row r="4" spans="1:22" x14ac:dyDescent="0.25">
      <c r="A4" s="158">
        <v>41698</v>
      </c>
      <c r="B4" s="159">
        <f>Inputs!D25</f>
        <v>34199178.581508368</v>
      </c>
      <c r="C4" s="159">
        <v>743.69999999999993</v>
      </c>
      <c r="D4" s="159">
        <v>0</v>
      </c>
      <c r="E4" s="159">
        <v>28</v>
      </c>
      <c r="F4" s="160">
        <v>0</v>
      </c>
      <c r="G4" s="159">
        <f>Inputs!G25+Inputs!I25+Inputs!L25+Inputs!X25</f>
        <v>22325</v>
      </c>
      <c r="H4" s="159">
        <v>0</v>
      </c>
      <c r="I4" s="159">
        <f t="shared" ref="I4:I67" si="3">$R$18+$R$19*C4+$R$20*D4+$R$21*E4+$R$22*F4+$R$23*G4+$R$24*H4</f>
        <v>31291138.911846459</v>
      </c>
      <c r="J4" s="9">
        <f t="shared" si="0"/>
        <v>-2908039.6696619093</v>
      </c>
      <c r="K4" s="168">
        <f t="shared" si="1"/>
        <v>-8.5032442014098486E-2</v>
      </c>
      <c r="L4" s="168">
        <f t="shared" ref="L4:L67" si="4">ABS(K4)</f>
        <v>8.5032442014098486E-2</v>
      </c>
      <c r="M4" s="169">
        <f t="shared" si="2"/>
        <v>8456694720327.3467</v>
      </c>
      <c r="N4" s="169">
        <f t="shared" ref="N4:N35" si="5">J4-J3</f>
        <v>108843.6706674844</v>
      </c>
      <c r="O4" s="169">
        <f>N4*N4</f>
        <v>11846944644.371805</v>
      </c>
      <c r="P4" s="11"/>
      <c r="Q4" s="203" t="s">
        <v>15</v>
      </c>
      <c r="R4" s="203"/>
    </row>
    <row r="5" spans="1:22" x14ac:dyDescent="0.25">
      <c r="A5" s="158">
        <v>41729</v>
      </c>
      <c r="B5" s="159">
        <f>Inputs!D26</f>
        <v>35654944.074708365</v>
      </c>
      <c r="C5" s="159">
        <v>692.30000000000007</v>
      </c>
      <c r="D5" s="159">
        <v>0</v>
      </c>
      <c r="E5" s="159">
        <v>31</v>
      </c>
      <c r="F5" s="160">
        <v>1</v>
      </c>
      <c r="G5" s="159">
        <f>Inputs!G26+Inputs!I26+Inputs!L26+Inputs!X26</f>
        <v>22339</v>
      </c>
      <c r="H5" s="159">
        <v>0</v>
      </c>
      <c r="I5" s="159">
        <f t="shared" si="3"/>
        <v>32283527.25584916</v>
      </c>
      <c r="J5" s="9">
        <f t="shared" si="0"/>
        <v>-3371416.8188592046</v>
      </c>
      <c r="K5" s="168">
        <f t="shared" si="1"/>
        <v>-9.455678325550089E-2</v>
      </c>
      <c r="L5" s="168">
        <f t="shared" si="4"/>
        <v>9.455678325550089E-2</v>
      </c>
      <c r="M5" s="169">
        <f t="shared" si="2"/>
        <v>11366451366486.719</v>
      </c>
      <c r="N5" s="169">
        <f t="shared" si="5"/>
        <v>-463377.14919729531</v>
      </c>
      <c r="O5" s="169">
        <f t="shared" ref="O5:O68" si="6">N5*N5</f>
        <v>214718382398.21246</v>
      </c>
      <c r="P5" s="11"/>
      <c r="Q5" s="200" t="s">
        <v>16</v>
      </c>
      <c r="R5" s="200">
        <v>0.95909433197784399</v>
      </c>
    </row>
    <row r="6" spans="1:22" x14ac:dyDescent="0.25">
      <c r="A6" s="158">
        <v>41759</v>
      </c>
      <c r="B6" s="159">
        <f>Inputs!D27</f>
        <v>28165972.897108365</v>
      </c>
      <c r="C6" s="159">
        <v>338.40000000000009</v>
      </c>
      <c r="D6" s="159">
        <v>0</v>
      </c>
      <c r="E6" s="159">
        <v>30</v>
      </c>
      <c r="F6" s="160">
        <v>1</v>
      </c>
      <c r="G6" s="159">
        <f>Inputs!G27+Inputs!I27+Inputs!L27+Inputs!X27</f>
        <v>22333</v>
      </c>
      <c r="H6" s="159">
        <v>0</v>
      </c>
      <c r="I6" s="159">
        <f t="shared" si="3"/>
        <v>27329613.576852694</v>
      </c>
      <c r="J6" s="9">
        <f t="shared" si="0"/>
        <v>-836359.3202556707</v>
      </c>
      <c r="K6" s="168">
        <f t="shared" si="1"/>
        <v>-2.9693961693101494E-2</v>
      </c>
      <c r="L6" s="168">
        <f t="shared" si="4"/>
        <v>2.9693961693101494E-2</v>
      </c>
      <c r="M6" s="169">
        <f t="shared" si="2"/>
        <v>699496912578.52759</v>
      </c>
      <c r="N6" s="169">
        <f t="shared" si="5"/>
        <v>2535057.498603534</v>
      </c>
      <c r="O6" s="169">
        <f t="shared" si="6"/>
        <v>6426516521226.0068</v>
      </c>
      <c r="P6" s="11"/>
      <c r="Q6" s="200" t="s">
        <v>17</v>
      </c>
      <c r="R6" s="200">
        <v>0.91986193763202684</v>
      </c>
    </row>
    <row r="7" spans="1:22" x14ac:dyDescent="0.25">
      <c r="A7" s="158">
        <v>41790</v>
      </c>
      <c r="B7" s="159">
        <f>Inputs!D28</f>
        <v>25902426.925908364</v>
      </c>
      <c r="C7" s="159">
        <v>143.89999999999995</v>
      </c>
      <c r="D7" s="159">
        <v>7.3</v>
      </c>
      <c r="E7" s="159">
        <v>31</v>
      </c>
      <c r="F7" s="160">
        <v>1</v>
      </c>
      <c r="G7" s="159">
        <f>Inputs!G28+Inputs!I28+Inputs!L28+Inputs!X28</f>
        <v>22335</v>
      </c>
      <c r="H7" s="159">
        <v>0</v>
      </c>
      <c r="I7" s="159">
        <f t="shared" si="3"/>
        <v>27231880.888184398</v>
      </c>
      <c r="J7" s="9">
        <f t="shared" si="0"/>
        <v>1329453.9622760341</v>
      </c>
      <c r="K7" s="168">
        <f t="shared" si="1"/>
        <v>5.1325459428138577E-2</v>
      </c>
      <c r="L7" s="168">
        <f t="shared" si="4"/>
        <v>5.1325459428138577E-2</v>
      </c>
      <c r="M7" s="169">
        <f t="shared" si="2"/>
        <v>1767447837811.4465</v>
      </c>
      <c r="N7" s="169">
        <f t="shared" si="5"/>
        <v>2165813.2825317048</v>
      </c>
      <c r="O7" s="169">
        <f t="shared" si="6"/>
        <v>4690747174790.7578</v>
      </c>
      <c r="P7" s="11"/>
      <c r="Q7" s="200" t="s">
        <v>18</v>
      </c>
      <c r="R7" s="200">
        <v>0.91592072144999537</v>
      </c>
    </row>
    <row r="8" spans="1:22" x14ac:dyDescent="0.25">
      <c r="A8" s="158">
        <v>41820</v>
      </c>
      <c r="B8" s="159">
        <f>Inputs!D29</f>
        <v>30464660.981508367</v>
      </c>
      <c r="C8" s="159">
        <v>21.3</v>
      </c>
      <c r="D8" s="159">
        <v>62.800000000000004</v>
      </c>
      <c r="E8" s="159">
        <v>30</v>
      </c>
      <c r="F8" s="160">
        <v>0</v>
      </c>
      <c r="G8" s="159">
        <f>Inputs!G29+Inputs!I29+Inputs!L29+Inputs!X29</f>
        <v>22350</v>
      </c>
      <c r="H8" s="159">
        <v>0</v>
      </c>
      <c r="I8" s="159">
        <f t="shared" si="3"/>
        <v>32160803.521254316</v>
      </c>
      <c r="J8" s="9">
        <f t="shared" si="0"/>
        <v>1696142.5397459492</v>
      </c>
      <c r="K8" s="168">
        <f t="shared" si="1"/>
        <v>5.5675739860538233E-2</v>
      </c>
      <c r="L8" s="168">
        <f t="shared" si="4"/>
        <v>5.5675739860538233E-2</v>
      </c>
      <c r="M8" s="169">
        <f t="shared" si="2"/>
        <v>2876899515135.8389</v>
      </c>
      <c r="N8" s="169">
        <f t="shared" si="5"/>
        <v>366688.57746991515</v>
      </c>
      <c r="O8" s="169">
        <f t="shared" si="6"/>
        <v>134460512846.90997</v>
      </c>
      <c r="P8" s="11"/>
      <c r="Q8" s="200" t="s">
        <v>19</v>
      </c>
      <c r="R8" s="200">
        <v>1095771.7063313161</v>
      </c>
    </row>
    <row r="9" spans="1:22" ht="13.8" thickBot="1" x14ac:dyDescent="0.3">
      <c r="A9" s="158">
        <v>41851</v>
      </c>
      <c r="B9" s="159">
        <f>Inputs!D30</f>
        <v>32211915.350708365</v>
      </c>
      <c r="C9" s="159">
        <v>13.700000000000001</v>
      </c>
      <c r="D9" s="159">
        <v>51</v>
      </c>
      <c r="E9" s="159">
        <v>31</v>
      </c>
      <c r="F9" s="160">
        <v>0</v>
      </c>
      <c r="G9" s="159">
        <f>Inputs!G30+Inputs!I30+Inputs!L30+Inputs!X30</f>
        <v>22374</v>
      </c>
      <c r="H9" s="159">
        <v>0</v>
      </c>
      <c r="I9" s="159">
        <f t="shared" si="3"/>
        <v>32236243.045857277</v>
      </c>
      <c r="J9" s="9">
        <f t="shared" si="0"/>
        <v>24327.695148911327</v>
      </c>
      <c r="K9" s="168">
        <f t="shared" si="1"/>
        <v>7.5523901277035801E-4</v>
      </c>
      <c r="L9" s="168">
        <f t="shared" si="4"/>
        <v>7.5523901277035801E-4</v>
      </c>
      <c r="M9" s="169">
        <f t="shared" si="2"/>
        <v>591836751.25836372</v>
      </c>
      <c r="N9" s="169">
        <f t="shared" si="5"/>
        <v>-1671814.8445970379</v>
      </c>
      <c r="O9" s="169">
        <f t="shared" si="6"/>
        <v>2794964874615.0181</v>
      </c>
      <c r="P9" s="11"/>
      <c r="Q9" s="201" t="s">
        <v>20</v>
      </c>
      <c r="R9" s="201">
        <v>129</v>
      </c>
    </row>
    <row r="10" spans="1:22" x14ac:dyDescent="0.25">
      <c r="A10" s="158">
        <v>41882</v>
      </c>
      <c r="B10" s="159">
        <f>Inputs!D31</f>
        <v>31548682.743508365</v>
      </c>
      <c r="C10" s="159">
        <v>11.999999999999998</v>
      </c>
      <c r="D10" s="159">
        <v>56.999999999999993</v>
      </c>
      <c r="E10" s="159">
        <v>31</v>
      </c>
      <c r="F10" s="160">
        <v>0</v>
      </c>
      <c r="G10" s="159">
        <f>Inputs!G31+Inputs!I31+Inputs!L31+Inputs!X31</f>
        <v>22385</v>
      </c>
      <c r="H10" s="159">
        <v>0</v>
      </c>
      <c r="I10" s="159">
        <f t="shared" si="3"/>
        <v>32791280.125263531</v>
      </c>
      <c r="J10" s="9">
        <f t="shared" si="0"/>
        <v>1242597.3817551658</v>
      </c>
      <c r="K10" s="168">
        <f t="shared" si="1"/>
        <v>3.9386664472095892E-2</v>
      </c>
      <c r="L10" s="168">
        <f t="shared" si="4"/>
        <v>3.9386664472095892E-2</v>
      </c>
      <c r="M10" s="169">
        <f t="shared" si="2"/>
        <v>1544048253144.7932</v>
      </c>
      <c r="N10" s="169">
        <f t="shared" si="5"/>
        <v>1218269.6866062544</v>
      </c>
      <c r="O10" s="169">
        <f t="shared" si="6"/>
        <v>1484181029303.7014</v>
      </c>
      <c r="P10" s="11"/>
      <c r="Q10"/>
      <c r="R10"/>
    </row>
    <row r="11" spans="1:22" ht="13.8" thickBot="1" x14ac:dyDescent="0.3">
      <c r="A11" s="158">
        <v>41912</v>
      </c>
      <c r="B11" s="159">
        <f>Inputs!D32</f>
        <v>27000977.735508364</v>
      </c>
      <c r="C11" s="159">
        <v>85.300000000000011</v>
      </c>
      <c r="D11" s="159">
        <v>27.500000000000004</v>
      </c>
      <c r="E11" s="159">
        <v>30</v>
      </c>
      <c r="F11" s="160">
        <v>0</v>
      </c>
      <c r="G11" s="159">
        <f>Inputs!G32+Inputs!I32+Inputs!L32+Inputs!X32</f>
        <v>22410</v>
      </c>
      <c r="H11" s="159">
        <v>0</v>
      </c>
      <c r="I11" s="159">
        <f t="shared" si="3"/>
        <v>29551585.159851231</v>
      </c>
      <c r="J11" s="9">
        <f t="shared" si="0"/>
        <v>2550607.424342867</v>
      </c>
      <c r="K11" s="168">
        <f t="shared" si="1"/>
        <v>9.4463520889046249E-2</v>
      </c>
      <c r="L11" s="168">
        <f t="shared" si="4"/>
        <v>9.4463520889046249E-2</v>
      </c>
      <c r="M11" s="169">
        <f t="shared" si="2"/>
        <v>6505598233112.9541</v>
      </c>
      <c r="N11" s="169">
        <f t="shared" si="5"/>
        <v>1308010.0425877012</v>
      </c>
      <c r="O11" s="169">
        <f t="shared" si="6"/>
        <v>1710890271510.28</v>
      </c>
      <c r="P11" s="11"/>
      <c r="Q11" t="s">
        <v>21</v>
      </c>
      <c r="R11"/>
    </row>
    <row r="12" spans="1:22" x14ac:dyDescent="0.25">
      <c r="A12" s="158">
        <v>41943</v>
      </c>
      <c r="B12" s="159">
        <f>Inputs!D33</f>
        <v>27855559.415108364</v>
      </c>
      <c r="C12" s="159">
        <v>223.09999999999997</v>
      </c>
      <c r="D12" s="159">
        <v>4.5</v>
      </c>
      <c r="E12" s="159">
        <v>31</v>
      </c>
      <c r="F12" s="160">
        <v>1</v>
      </c>
      <c r="G12" s="159">
        <f>Inputs!G33+Inputs!I33+Inputs!L33+Inputs!X33</f>
        <v>22459</v>
      </c>
      <c r="H12" s="159">
        <v>0</v>
      </c>
      <c r="I12" s="159">
        <f t="shared" si="3"/>
        <v>27887644.30783584</v>
      </c>
      <c r="J12" s="9">
        <f t="shared" si="0"/>
        <v>32084.892727475613</v>
      </c>
      <c r="K12" s="168">
        <f t="shared" si="1"/>
        <v>1.1518308517643101E-3</v>
      </c>
      <c r="L12" s="168">
        <f t="shared" si="4"/>
        <v>1.1518308517643101E-3</v>
      </c>
      <c r="M12" s="169">
        <f t="shared" si="2"/>
        <v>1029440341.3336174</v>
      </c>
      <c r="N12" s="169">
        <f t="shared" si="5"/>
        <v>-2518522.5316153914</v>
      </c>
      <c r="O12" s="169">
        <f t="shared" si="6"/>
        <v>6342955742254.4004</v>
      </c>
      <c r="P12" s="11"/>
      <c r="Q12" s="202"/>
      <c r="R12" s="202" t="s">
        <v>25</v>
      </c>
      <c r="S12" s="202" t="s">
        <v>26</v>
      </c>
      <c r="T12" s="202" t="s">
        <v>27</v>
      </c>
      <c r="U12" s="202" t="s">
        <v>28</v>
      </c>
      <c r="V12" s="202" t="s">
        <v>29</v>
      </c>
    </row>
    <row r="13" spans="1:22" x14ac:dyDescent="0.25">
      <c r="A13" s="158">
        <v>41973</v>
      </c>
      <c r="B13" s="159">
        <f>Inputs!D34</f>
        <v>28807438.079908364</v>
      </c>
      <c r="C13" s="159">
        <v>465.7</v>
      </c>
      <c r="D13" s="159">
        <v>0</v>
      </c>
      <c r="E13" s="159">
        <v>30</v>
      </c>
      <c r="F13" s="160">
        <v>1</v>
      </c>
      <c r="G13" s="159">
        <f>Inputs!G34+Inputs!I34+Inputs!L34+Inputs!X34</f>
        <v>22457</v>
      </c>
      <c r="H13" s="159">
        <v>0</v>
      </c>
      <c r="I13" s="159">
        <f t="shared" si="3"/>
        <v>28752014.526265118</v>
      </c>
      <c r="J13" s="9">
        <f t="shared" si="0"/>
        <v>-55423.55364324525</v>
      </c>
      <c r="K13" s="168">
        <f t="shared" si="1"/>
        <v>-1.9239320584325127E-3</v>
      </c>
      <c r="L13" s="168">
        <f t="shared" si="4"/>
        <v>1.9239320584325127E-3</v>
      </c>
      <c r="M13" s="169">
        <f t="shared" si="2"/>
        <v>3071770298.445684</v>
      </c>
      <c r="N13" s="169">
        <f t="shared" si="5"/>
        <v>-87508.446370720863</v>
      </c>
      <c r="O13" s="169">
        <f t="shared" si="6"/>
        <v>7657728186.217329</v>
      </c>
      <c r="P13" s="11"/>
      <c r="Q13" s="200" t="s">
        <v>22</v>
      </c>
      <c r="R13" s="200">
        <v>6</v>
      </c>
      <c r="S13" s="200">
        <v>1681449416345040.5</v>
      </c>
      <c r="T13" s="200">
        <v>280241569390840.09</v>
      </c>
      <c r="U13" s="200">
        <v>233.39545336939406</v>
      </c>
      <c r="V13" s="200">
        <v>2.2570288282589088E-64</v>
      </c>
    </row>
    <row r="14" spans="1:22" x14ac:dyDescent="0.25">
      <c r="A14" s="158">
        <v>42004</v>
      </c>
      <c r="B14" s="159">
        <f>Inputs!D35</f>
        <v>31003680.719108365</v>
      </c>
      <c r="C14" s="159">
        <v>540.79999999999995</v>
      </c>
      <c r="D14" s="159">
        <v>0</v>
      </c>
      <c r="E14" s="159">
        <v>31</v>
      </c>
      <c r="F14" s="160">
        <v>1</v>
      </c>
      <c r="G14" s="159">
        <f>Inputs!G35+Inputs!I35+Inputs!L35+Inputs!X35</f>
        <v>22469</v>
      </c>
      <c r="H14" s="159">
        <v>0</v>
      </c>
      <c r="I14" s="159">
        <f t="shared" si="3"/>
        <v>30794303.837786123</v>
      </c>
      <c r="J14" s="9">
        <f t="shared" si="0"/>
        <v>-209376.88132224232</v>
      </c>
      <c r="K14" s="168">
        <f t="shared" si="1"/>
        <v>-6.7532911082134181E-3</v>
      </c>
      <c r="L14" s="168">
        <f t="shared" si="4"/>
        <v>6.7532911082134181E-3</v>
      </c>
      <c r="M14" s="169">
        <f t="shared" si="2"/>
        <v>43838678432.228348</v>
      </c>
      <c r="N14" s="169">
        <f t="shared" si="5"/>
        <v>-153953.32767899707</v>
      </c>
      <c r="O14" s="169">
        <f t="shared" si="6"/>
        <v>23701627103.436646</v>
      </c>
      <c r="P14" s="11"/>
      <c r="Q14" s="200" t="s">
        <v>23</v>
      </c>
      <c r="R14" s="200">
        <v>122</v>
      </c>
      <c r="S14" s="200">
        <v>146487307152341.78</v>
      </c>
      <c r="T14" s="200">
        <v>1200715632396.2441</v>
      </c>
      <c r="U14" s="200"/>
      <c r="V14" s="200"/>
    </row>
    <row r="15" spans="1:22" ht="13.8" thickBot="1" x14ac:dyDescent="0.3">
      <c r="A15" s="158">
        <v>42035</v>
      </c>
      <c r="B15" s="159">
        <f>Inputs!D36</f>
        <v>34986676.1710333</v>
      </c>
      <c r="C15" s="159">
        <v>753.1</v>
      </c>
      <c r="D15" s="159">
        <v>0</v>
      </c>
      <c r="E15" s="159">
        <v>31</v>
      </c>
      <c r="F15" s="160">
        <v>0</v>
      </c>
      <c r="G15" s="159">
        <f>Inputs!G36+Inputs!I36+Inputs!L36+Inputs!X36</f>
        <v>22484</v>
      </c>
      <c r="H15" s="159">
        <v>0</v>
      </c>
      <c r="I15" s="159">
        <f t="shared" si="3"/>
        <v>35250076.975968324</v>
      </c>
      <c r="J15" s="9">
        <f t="shared" si="0"/>
        <v>263400.80493502319</v>
      </c>
      <c r="K15" s="168">
        <f t="shared" si="1"/>
        <v>7.5286032787847956E-3</v>
      </c>
      <c r="L15" s="168">
        <f t="shared" si="4"/>
        <v>7.5286032787847956E-3</v>
      </c>
      <c r="M15" s="169">
        <f t="shared" si="2"/>
        <v>69379984040.418137</v>
      </c>
      <c r="N15" s="169">
        <f t="shared" si="5"/>
        <v>472777.68625726551</v>
      </c>
      <c r="O15" s="169">
        <f t="shared" si="6"/>
        <v>223518740622.77338</v>
      </c>
      <c r="P15" s="11"/>
      <c r="Q15" s="201" t="s">
        <v>7</v>
      </c>
      <c r="R15" s="201">
        <v>128</v>
      </c>
      <c r="S15" s="201">
        <v>1827936723497382.3</v>
      </c>
      <c r="T15" s="201"/>
      <c r="U15" s="201"/>
      <c r="V15" s="201"/>
    </row>
    <row r="16" spans="1:22" ht="13.8" thickBot="1" x14ac:dyDescent="0.3">
      <c r="A16" s="158">
        <v>42063</v>
      </c>
      <c r="B16" s="159">
        <f>Inputs!D37</f>
        <v>32520528.185333334</v>
      </c>
      <c r="C16" s="159">
        <v>871.9</v>
      </c>
      <c r="D16" s="159">
        <v>0</v>
      </c>
      <c r="E16" s="159">
        <v>28</v>
      </c>
      <c r="F16" s="160">
        <v>0</v>
      </c>
      <c r="G16" s="159">
        <f>Inputs!G37+Inputs!I37+Inputs!L37+Inputs!X37</f>
        <v>22480</v>
      </c>
      <c r="H16" s="159">
        <v>0</v>
      </c>
      <c r="I16" s="159">
        <f t="shared" si="3"/>
        <v>32745689.342757411</v>
      </c>
      <c r="J16" s="9">
        <f t="shared" si="0"/>
        <v>225161.15742407739</v>
      </c>
      <c r="K16" s="168">
        <f t="shared" si="1"/>
        <v>6.923662375373855E-3</v>
      </c>
      <c r="L16" s="168">
        <f t="shared" si="4"/>
        <v>6.923662375373855E-3</v>
      </c>
      <c r="M16" s="169">
        <f t="shared" si="2"/>
        <v>50697546812.550163</v>
      </c>
      <c r="N16" s="169">
        <f t="shared" si="5"/>
        <v>-38239.647510945797</v>
      </c>
      <c r="O16" s="169">
        <f t="shared" si="6"/>
        <v>1462270641.7613831</v>
      </c>
      <c r="P16" s="11"/>
      <c r="Q16"/>
      <c r="R16"/>
    </row>
    <row r="17" spans="1:25" x14ac:dyDescent="0.25">
      <c r="A17" s="158">
        <v>42094</v>
      </c>
      <c r="B17" s="159">
        <f>Inputs!D38</f>
        <v>32214658.640933331</v>
      </c>
      <c r="C17" s="159">
        <v>637</v>
      </c>
      <c r="D17" s="159">
        <v>0</v>
      </c>
      <c r="E17" s="159">
        <v>31</v>
      </c>
      <c r="F17" s="160">
        <v>1</v>
      </c>
      <c r="G17" s="159">
        <f>Inputs!G38+Inputs!I38+Inputs!L38+Inputs!X38</f>
        <v>22502</v>
      </c>
      <c r="H17" s="159">
        <v>0</v>
      </c>
      <c r="I17" s="159">
        <f t="shared" si="3"/>
        <v>31824681.918227285</v>
      </c>
      <c r="J17" s="9">
        <f t="shared" si="0"/>
        <v>-389976.72270604596</v>
      </c>
      <c r="K17" s="168">
        <f t="shared" si="1"/>
        <v>-1.2105567439119927E-2</v>
      </c>
      <c r="L17" s="168">
        <f t="shared" si="4"/>
        <v>1.2105567439119927E-2</v>
      </c>
      <c r="M17" s="169">
        <f t="shared" si="2"/>
        <v>152081844252.54825</v>
      </c>
      <c r="N17" s="169">
        <f t="shared" si="5"/>
        <v>-615137.88013012335</v>
      </c>
      <c r="O17" s="169">
        <f t="shared" si="6"/>
        <v>378394611570.98199</v>
      </c>
      <c r="P17" s="11"/>
      <c r="Q17" s="202"/>
      <c r="R17" s="202" t="s">
        <v>117</v>
      </c>
      <c r="S17" s="202" t="s">
        <v>19</v>
      </c>
      <c r="T17" s="202" t="s">
        <v>118</v>
      </c>
      <c r="U17" s="202" t="s">
        <v>119</v>
      </c>
      <c r="V17" s="202" t="s">
        <v>120</v>
      </c>
      <c r="W17" s="202" t="s">
        <v>121</v>
      </c>
      <c r="X17" s="202" t="s">
        <v>122</v>
      </c>
      <c r="Y17" s="202" t="s">
        <v>123</v>
      </c>
    </row>
    <row r="18" spans="1:25" x14ac:dyDescent="0.25">
      <c r="A18" s="158">
        <v>42124</v>
      </c>
      <c r="B18" s="159">
        <f>Inputs!D39</f>
        <v>27411226.508933332</v>
      </c>
      <c r="C18" s="159">
        <v>319.59999999999997</v>
      </c>
      <c r="D18" s="159">
        <v>0</v>
      </c>
      <c r="E18" s="159">
        <v>30</v>
      </c>
      <c r="F18" s="160">
        <v>1</v>
      </c>
      <c r="G18" s="159">
        <f>Inputs!G39+Inputs!I39+Inputs!L39+Inputs!X39</f>
        <v>22537</v>
      </c>
      <c r="H18" s="159">
        <v>0</v>
      </c>
      <c r="I18" s="159">
        <f t="shared" si="3"/>
        <v>27282599.494544089</v>
      </c>
      <c r="J18" s="9">
        <f t="shared" si="0"/>
        <v>-128627.01438924298</v>
      </c>
      <c r="K18" s="168">
        <f t="shared" si="1"/>
        <v>-4.6924939439438569E-3</v>
      </c>
      <c r="L18" s="168">
        <f t="shared" si="4"/>
        <v>4.6924939439438569E-3</v>
      </c>
      <c r="M18" s="169">
        <f t="shared" si="2"/>
        <v>16544908830.690519</v>
      </c>
      <c r="N18" s="169">
        <f t="shared" si="5"/>
        <v>261349.70831680298</v>
      </c>
      <c r="O18" s="169">
        <f t="shared" si="6"/>
        <v>68303670037.277992</v>
      </c>
      <c r="P18" s="11"/>
      <c r="Q18" s="200" t="s">
        <v>24</v>
      </c>
      <c r="R18" s="200">
        <v>-27805164.479502928</v>
      </c>
      <c r="S18" s="200">
        <v>4615798.8185493005</v>
      </c>
      <c r="T18" s="200">
        <v>-6.0239116938467028</v>
      </c>
      <c r="U18" s="200">
        <v>1.8549862872094197E-8</v>
      </c>
      <c r="V18" s="200">
        <v>-36942599.259821899</v>
      </c>
      <c r="W18" s="200">
        <v>-18667729.699183956</v>
      </c>
      <c r="X18" s="200">
        <v>-36942599.259821899</v>
      </c>
      <c r="Y18" s="200">
        <v>-18667729.699183956</v>
      </c>
    </row>
    <row r="19" spans="1:25" x14ac:dyDescent="0.25">
      <c r="A19" s="158">
        <v>42155</v>
      </c>
      <c r="B19" s="159">
        <f>Inputs!D40</f>
        <v>28734001.131733332</v>
      </c>
      <c r="C19" s="159">
        <v>96.5</v>
      </c>
      <c r="D19" s="159">
        <v>34.200000000000003</v>
      </c>
      <c r="E19" s="159">
        <v>31</v>
      </c>
      <c r="F19" s="160">
        <v>1</v>
      </c>
      <c r="G19" s="159">
        <f>Inputs!G40+Inputs!I40+Inputs!L40+Inputs!X40</f>
        <v>22526</v>
      </c>
      <c r="H19" s="159">
        <v>0</v>
      </c>
      <c r="I19" s="159">
        <f t="shared" si="3"/>
        <v>29408161.809265677</v>
      </c>
      <c r="J19" s="9">
        <f t="shared" si="0"/>
        <v>674160.67753234506</v>
      </c>
      <c r="K19" s="168">
        <f t="shared" si="1"/>
        <v>2.346212330268943E-2</v>
      </c>
      <c r="L19" s="168">
        <f t="shared" si="4"/>
        <v>2.346212330268943E-2</v>
      </c>
      <c r="M19" s="169">
        <f t="shared" si="2"/>
        <v>454492619130.87054</v>
      </c>
      <c r="N19" s="169">
        <f t="shared" si="5"/>
        <v>802787.69192158803</v>
      </c>
      <c r="O19" s="169">
        <f t="shared" si="6"/>
        <v>644468078300.79053</v>
      </c>
      <c r="P19" s="11"/>
      <c r="Q19" s="200" t="s">
        <v>2</v>
      </c>
      <c r="R19" s="200">
        <v>10459.199865952494</v>
      </c>
      <c r="S19" s="200">
        <v>560.45132822277731</v>
      </c>
      <c r="T19" s="200">
        <v>18.662102022523893</v>
      </c>
      <c r="U19" s="200">
        <v>1.5010816969456676E-37</v>
      </c>
      <c r="V19" s="200">
        <v>9349.7304847050073</v>
      </c>
      <c r="W19" s="200">
        <v>11568.669247199981</v>
      </c>
      <c r="X19" s="200">
        <v>9349.7304847050073</v>
      </c>
      <c r="Y19" s="200">
        <v>11568.669247199981</v>
      </c>
    </row>
    <row r="20" spans="1:25" x14ac:dyDescent="0.25">
      <c r="A20" s="158">
        <v>42185</v>
      </c>
      <c r="B20" s="159">
        <f>Inputs!D41</f>
        <v>29750992.611733332</v>
      </c>
      <c r="C20" s="159">
        <v>35.9</v>
      </c>
      <c r="D20" s="159">
        <v>28.599999999999998</v>
      </c>
      <c r="E20" s="159">
        <v>30</v>
      </c>
      <c r="F20" s="160">
        <v>0</v>
      </c>
      <c r="G20" s="159">
        <f>Inputs!G41+Inputs!I41+Inputs!L41+Inputs!X41</f>
        <v>22535</v>
      </c>
      <c r="H20" s="159">
        <v>0</v>
      </c>
      <c r="I20" s="159">
        <f t="shared" si="3"/>
        <v>29230116.425176226</v>
      </c>
      <c r="J20" s="9">
        <f t="shared" si="0"/>
        <v>-520876.18655710667</v>
      </c>
      <c r="K20" s="168">
        <f t="shared" si="1"/>
        <v>-1.7507859094142667E-2</v>
      </c>
      <c r="L20" s="168">
        <f t="shared" si="4"/>
        <v>1.7507859094142667E-2</v>
      </c>
      <c r="M20" s="169">
        <f t="shared" si="2"/>
        <v>271312001722.2738</v>
      </c>
      <c r="N20" s="169">
        <f t="shared" si="5"/>
        <v>-1195036.8640894517</v>
      </c>
      <c r="O20" s="169">
        <f t="shared" si="6"/>
        <v>1428113106532.7507</v>
      </c>
      <c r="P20" s="11"/>
      <c r="Q20" s="200" t="s">
        <v>3</v>
      </c>
      <c r="R20" s="200">
        <v>94125.005788810566</v>
      </c>
      <c r="S20" s="200">
        <v>4288.0375183923361</v>
      </c>
      <c r="T20" s="200">
        <v>21.950602200910723</v>
      </c>
      <c r="U20" s="200">
        <v>3.4530174277728261E-44</v>
      </c>
      <c r="V20" s="200">
        <v>85636.407238454936</v>
      </c>
      <c r="W20" s="200">
        <v>102613.6043391662</v>
      </c>
      <c r="X20" s="200">
        <v>85636.407238454936</v>
      </c>
      <c r="Y20" s="200">
        <v>102613.6043391662</v>
      </c>
    </row>
    <row r="21" spans="1:25" x14ac:dyDescent="0.25">
      <c r="A21" s="158">
        <v>42216</v>
      </c>
      <c r="B21" s="159">
        <f>Inputs!D42</f>
        <v>35319999.557733327</v>
      </c>
      <c r="C21" s="159">
        <v>7.6</v>
      </c>
      <c r="D21" s="159">
        <v>79.100000000000009</v>
      </c>
      <c r="E21" s="159">
        <v>31</v>
      </c>
      <c r="F21" s="160">
        <v>0</v>
      </c>
      <c r="G21" s="159">
        <f>Inputs!G42+Inputs!I42+Inputs!L42+Inputs!X42</f>
        <v>22560</v>
      </c>
      <c r="H21" s="159">
        <v>0</v>
      </c>
      <c r="I21" s="159">
        <f t="shared" si="3"/>
        <v>34953771.799055554</v>
      </c>
      <c r="J21" s="9">
        <f t="shared" si="0"/>
        <v>-366227.75867777318</v>
      </c>
      <c r="K21" s="168">
        <f t="shared" si="1"/>
        <v>-1.0368849469523492E-2</v>
      </c>
      <c r="L21" s="168">
        <f t="shared" si="4"/>
        <v>1.0368849469523492E-2</v>
      </c>
      <c r="M21" s="169">
        <f t="shared" si="2"/>
        <v>134122771226.14526</v>
      </c>
      <c r="N21" s="169">
        <f t="shared" si="5"/>
        <v>154648.4278793335</v>
      </c>
      <c r="O21" s="169">
        <f t="shared" si="6"/>
        <v>23916136245.549416</v>
      </c>
      <c r="P21" s="11"/>
      <c r="Q21" s="200" t="s">
        <v>91</v>
      </c>
      <c r="R21" s="200">
        <v>1248002.2912837784</v>
      </c>
      <c r="S21" s="200">
        <v>138657.78886745253</v>
      </c>
      <c r="T21" s="200">
        <v>9.0005927649458197</v>
      </c>
      <c r="U21" s="200">
        <v>3.6436080248934687E-15</v>
      </c>
      <c r="V21" s="200">
        <v>973515.34929054312</v>
      </c>
      <c r="W21" s="200">
        <v>1522489.2332770135</v>
      </c>
      <c r="X21" s="200">
        <v>973515.34929054312</v>
      </c>
      <c r="Y21" s="200">
        <v>1522489.2332770135</v>
      </c>
    </row>
    <row r="22" spans="1:25" x14ac:dyDescent="0.25">
      <c r="A22" s="158">
        <v>42247</v>
      </c>
      <c r="B22" s="159">
        <f>Inputs!D43</f>
        <v>33778593.432533331</v>
      </c>
      <c r="C22" s="159">
        <v>12</v>
      </c>
      <c r="D22" s="159">
        <v>59</v>
      </c>
      <c r="E22" s="159">
        <v>31</v>
      </c>
      <c r="F22" s="160">
        <v>0</v>
      </c>
      <c r="G22" s="159">
        <f>Inputs!G43+Inputs!I43+Inputs!L43+Inputs!X43</f>
        <v>22588</v>
      </c>
      <c r="H22" s="159">
        <v>0</v>
      </c>
      <c r="I22" s="159">
        <f t="shared" si="3"/>
        <v>33128415.586153768</v>
      </c>
      <c r="J22" s="9">
        <f t="shared" si="0"/>
        <v>-650177.84637956321</v>
      </c>
      <c r="K22" s="168">
        <f t="shared" si="1"/>
        <v>-1.924822144172985E-2</v>
      </c>
      <c r="L22" s="168">
        <f t="shared" si="4"/>
        <v>1.924822144172985E-2</v>
      </c>
      <c r="M22" s="169">
        <f t="shared" si="2"/>
        <v>422731231922.76691</v>
      </c>
      <c r="N22" s="169">
        <f t="shared" si="5"/>
        <v>-283950.08770179003</v>
      </c>
      <c r="O22" s="169">
        <f t="shared" si="6"/>
        <v>80627652305.854248</v>
      </c>
      <c r="P22" s="11"/>
      <c r="Q22" s="200" t="s">
        <v>13</v>
      </c>
      <c r="R22" s="200">
        <v>-2224283.6187602435</v>
      </c>
      <c r="S22" s="200">
        <v>269915.49251433427</v>
      </c>
      <c r="T22" s="200">
        <v>-8.2406667288359507</v>
      </c>
      <c r="U22" s="200">
        <v>2.2481551605963849E-13</v>
      </c>
      <c r="V22" s="200">
        <v>-2758608.2949432814</v>
      </c>
      <c r="W22" s="200">
        <v>-1689958.9425772056</v>
      </c>
      <c r="X22" s="200">
        <v>-2758608.2949432814</v>
      </c>
      <c r="Y22" s="200">
        <v>-1689958.9425772056</v>
      </c>
    </row>
    <row r="23" spans="1:25" x14ac:dyDescent="0.25">
      <c r="A23" s="158">
        <v>42277</v>
      </c>
      <c r="B23" s="159">
        <f>Inputs!D44</f>
        <v>32399240.260533333</v>
      </c>
      <c r="C23" s="159">
        <v>37</v>
      </c>
      <c r="D23" s="159">
        <v>54.4</v>
      </c>
      <c r="E23" s="159">
        <v>30</v>
      </c>
      <c r="F23" s="160">
        <v>0</v>
      </c>
      <c r="G23" s="159">
        <f>Inputs!G44+Inputs!I44+Inputs!L44+Inputs!X44</f>
        <v>22606</v>
      </c>
      <c r="H23" s="159">
        <v>0</v>
      </c>
      <c r="I23" s="159">
        <f t="shared" si="3"/>
        <v>31722119.930346571</v>
      </c>
      <c r="J23" s="9">
        <f t="shared" si="0"/>
        <v>-677120.33018676192</v>
      </c>
      <c r="K23" s="168">
        <f t="shared" si="1"/>
        <v>-2.0899265684682929E-2</v>
      </c>
      <c r="L23" s="168">
        <f t="shared" si="4"/>
        <v>2.0899265684682929E-2</v>
      </c>
      <c r="M23" s="169">
        <f t="shared" si="2"/>
        <v>458491941552.22949</v>
      </c>
      <c r="N23" s="169">
        <f t="shared" si="5"/>
        <v>-26942.483807198703</v>
      </c>
      <c r="O23" s="169">
        <f t="shared" si="6"/>
        <v>725897433.70116436</v>
      </c>
      <c r="P23" s="11"/>
      <c r="Q23" s="200" t="s">
        <v>105</v>
      </c>
      <c r="R23" s="200">
        <v>733.42585868285448</v>
      </c>
      <c r="S23" s="200">
        <v>88.077071670790801</v>
      </c>
      <c r="T23" s="200">
        <v>8.3270917705371694</v>
      </c>
      <c r="U23" s="200">
        <v>1.4127120342816177E-13</v>
      </c>
      <c r="V23" s="200">
        <v>559.06849830589795</v>
      </c>
      <c r="W23" s="200">
        <v>907.78321905981102</v>
      </c>
      <c r="X23" s="200">
        <v>559.06849830589795</v>
      </c>
      <c r="Y23" s="200">
        <v>907.78321905981102</v>
      </c>
    </row>
    <row r="24" spans="1:25" ht="13.8" thickBot="1" x14ac:dyDescent="0.3">
      <c r="A24" s="158">
        <v>42308</v>
      </c>
      <c r="B24" s="159">
        <f>Inputs!D45</f>
        <v>27207724.193333331</v>
      </c>
      <c r="C24" s="159">
        <v>252.3</v>
      </c>
      <c r="D24" s="159">
        <v>0.9</v>
      </c>
      <c r="E24" s="159">
        <v>31</v>
      </c>
      <c r="F24" s="160">
        <v>1</v>
      </c>
      <c r="G24" s="159">
        <f>Inputs!G45+Inputs!I45+Inputs!L45+Inputs!X45</f>
        <v>22626</v>
      </c>
      <c r="H24" s="159">
        <v>0</v>
      </c>
      <c r="I24" s="159">
        <f t="shared" si="3"/>
        <v>27976685.041481968</v>
      </c>
      <c r="J24" s="9">
        <f t="shared" si="0"/>
        <v>768960.84814863652</v>
      </c>
      <c r="K24" s="168">
        <f t="shared" si="1"/>
        <v>2.8262593471050177E-2</v>
      </c>
      <c r="L24" s="168">
        <f t="shared" si="4"/>
        <v>2.8262593471050177E-2</v>
      </c>
      <c r="M24" s="169">
        <f t="shared" si="2"/>
        <v>591300785985.47046</v>
      </c>
      <c r="N24" s="169">
        <f t="shared" si="5"/>
        <v>1446081.1783353984</v>
      </c>
      <c r="O24" s="169">
        <f t="shared" si="6"/>
        <v>2091150774335.8945</v>
      </c>
      <c r="P24" s="11"/>
      <c r="Q24" s="201" t="s">
        <v>138</v>
      </c>
      <c r="R24" s="201">
        <v>-1639478.081051036</v>
      </c>
      <c r="S24" s="201">
        <v>648431.44949550531</v>
      </c>
      <c r="T24" s="201">
        <v>-2.5283753314657824</v>
      </c>
      <c r="U24" s="201">
        <v>1.2735744498424137E-2</v>
      </c>
      <c r="V24" s="201">
        <v>-2923112.8996792543</v>
      </c>
      <c r="W24" s="201">
        <v>-355843.26242281776</v>
      </c>
      <c r="X24" s="201">
        <v>-2923112.8996792543</v>
      </c>
      <c r="Y24" s="201">
        <v>-355843.26242281776</v>
      </c>
    </row>
    <row r="25" spans="1:25" x14ac:dyDescent="0.25">
      <c r="A25" s="158">
        <v>42338</v>
      </c>
      <c r="B25" s="159">
        <f>Inputs!D46</f>
        <v>27907416.640533332</v>
      </c>
      <c r="C25" s="159">
        <v>337</v>
      </c>
      <c r="D25" s="159">
        <v>0</v>
      </c>
      <c r="E25" s="159">
        <v>30</v>
      </c>
      <c r="F25" s="160">
        <v>1</v>
      </c>
      <c r="G25" s="159">
        <f>Inputs!G46+Inputs!I46+Inputs!L46+Inputs!X46</f>
        <v>22650</v>
      </c>
      <c r="H25" s="159">
        <v>0</v>
      </c>
      <c r="I25" s="159">
        <f t="shared" si="3"/>
        <v>27547466.694242828</v>
      </c>
      <c r="J25" s="9">
        <f t="shared" si="0"/>
        <v>-359949.94629050419</v>
      </c>
      <c r="K25" s="168">
        <f t="shared" si="1"/>
        <v>-1.2898003098133604E-2</v>
      </c>
      <c r="L25" s="168">
        <f t="shared" si="4"/>
        <v>1.2898003098133604E-2</v>
      </c>
      <c r="M25" s="169">
        <f t="shared" si="2"/>
        <v>129563963834.53685</v>
      </c>
      <c r="N25" s="169">
        <f t="shared" si="5"/>
        <v>-1128910.7944391407</v>
      </c>
      <c r="O25" s="169">
        <f t="shared" si="6"/>
        <v>1274439581801.2119</v>
      </c>
      <c r="P25" s="11"/>
      <c r="Q25"/>
      <c r="R25"/>
    </row>
    <row r="26" spans="1:25" x14ac:dyDescent="0.25">
      <c r="A26" s="158">
        <v>42369</v>
      </c>
      <c r="B26" s="159">
        <f>Inputs!D47</f>
        <v>30150193.52733333</v>
      </c>
      <c r="C26" s="159">
        <v>408.99999999999989</v>
      </c>
      <c r="D26" s="159">
        <v>0</v>
      </c>
      <c r="E26" s="159">
        <v>31</v>
      </c>
      <c r="F26" s="160">
        <v>1</v>
      </c>
      <c r="G26" s="159">
        <f>Inputs!G47+Inputs!I47+Inputs!L47+Inputs!X47</f>
        <v>22667</v>
      </c>
      <c r="H26" s="159">
        <v>0</v>
      </c>
      <c r="I26" s="159">
        <f t="shared" si="3"/>
        <v>29560999.61547279</v>
      </c>
      <c r="J26" s="9">
        <f t="shared" si="0"/>
        <v>-589193.91186054051</v>
      </c>
      <c r="K26" s="168">
        <f t="shared" si="1"/>
        <v>-1.9541961192600425E-2</v>
      </c>
      <c r="L26" s="168">
        <f t="shared" si="4"/>
        <v>1.9541961192600425E-2</v>
      </c>
      <c r="M26" s="169">
        <f t="shared" si="2"/>
        <v>347149465773.52637</v>
      </c>
      <c r="N26" s="169">
        <f t="shared" si="5"/>
        <v>-229243.96557003632</v>
      </c>
      <c r="O26" s="169">
        <f t="shared" si="6"/>
        <v>52552795750.276001</v>
      </c>
      <c r="P26" s="11"/>
      <c r="Q26"/>
      <c r="R26"/>
    </row>
    <row r="27" spans="1:25" x14ac:dyDescent="0.25">
      <c r="A27" s="158">
        <v>42400</v>
      </c>
      <c r="B27" s="159">
        <f>Inputs!D48</f>
        <v>33030100.046666667</v>
      </c>
      <c r="C27" s="159">
        <v>657.2</v>
      </c>
      <c r="D27" s="159">
        <v>0</v>
      </c>
      <c r="E27" s="159">
        <v>31</v>
      </c>
      <c r="F27" s="160">
        <v>0</v>
      </c>
      <c r="G27" s="159">
        <f>Inputs!G48+Inputs!I48+Inputs!L48+Inputs!X48</f>
        <v>22670</v>
      </c>
      <c r="H27" s="159">
        <v>0</v>
      </c>
      <c r="I27" s="159">
        <f t="shared" si="3"/>
        <v>34383456.918538496</v>
      </c>
      <c r="J27" s="9">
        <f t="shared" si="0"/>
        <v>1353356.871871829</v>
      </c>
      <c r="K27" s="168">
        <f t="shared" si="1"/>
        <v>4.0973441496081911E-2</v>
      </c>
      <c r="L27" s="168">
        <f t="shared" si="4"/>
        <v>4.0973441496081911E-2</v>
      </c>
      <c r="M27" s="169">
        <f t="shared" si="2"/>
        <v>1831574822642.7021</v>
      </c>
      <c r="N27" s="169">
        <f t="shared" si="5"/>
        <v>1942550.7837323695</v>
      </c>
      <c r="O27" s="169">
        <f t="shared" si="6"/>
        <v>3773503547379.2432</v>
      </c>
      <c r="P27" s="11"/>
      <c r="Q27"/>
      <c r="R27"/>
    </row>
    <row r="28" spans="1:25" x14ac:dyDescent="0.25">
      <c r="A28" s="158">
        <v>42429</v>
      </c>
      <c r="B28" s="159">
        <f>Inputs!D49</f>
        <v>30335368.476666667</v>
      </c>
      <c r="C28" s="159">
        <v>587.1</v>
      </c>
      <c r="D28" s="159">
        <v>0</v>
      </c>
      <c r="E28" s="159">
        <v>29</v>
      </c>
      <c r="F28" s="160">
        <v>0</v>
      </c>
      <c r="G28" s="159">
        <f>Inputs!G49+Inputs!I49+Inputs!L49+Inputs!X49</f>
        <v>22695</v>
      </c>
      <c r="H28" s="159">
        <v>0</v>
      </c>
      <c r="I28" s="159">
        <f t="shared" si="3"/>
        <v>31172598.071834736</v>
      </c>
      <c r="J28" s="9">
        <f t="shared" si="0"/>
        <v>837229.59516806901</v>
      </c>
      <c r="K28" s="168">
        <f t="shared" si="1"/>
        <v>2.759912396686556E-2</v>
      </c>
      <c r="L28" s="168">
        <f t="shared" si="4"/>
        <v>2.759912396686556E-2</v>
      </c>
      <c r="M28" s="169">
        <f t="shared" si="2"/>
        <v>700953395025.2887</v>
      </c>
      <c r="N28" s="169">
        <f t="shared" si="5"/>
        <v>-516127.27670376003</v>
      </c>
      <c r="O28" s="169">
        <f t="shared" si="6"/>
        <v>266387365757.63968</v>
      </c>
      <c r="P28" s="11"/>
      <c r="Q28" t="s">
        <v>132</v>
      </c>
      <c r="R28" s="132">
        <f>M132</f>
        <v>146487307152341.81</v>
      </c>
    </row>
    <row r="29" spans="1:25" x14ac:dyDescent="0.25">
      <c r="A29" s="158">
        <v>42460</v>
      </c>
      <c r="B29" s="159">
        <f>Inputs!D50</f>
        <v>29470505.726666667</v>
      </c>
      <c r="C29" s="159">
        <v>448.80000000000007</v>
      </c>
      <c r="D29" s="159">
        <v>0</v>
      </c>
      <c r="E29" s="159">
        <v>31</v>
      </c>
      <c r="F29" s="160">
        <v>1</v>
      </c>
      <c r="G29" s="159">
        <f>Inputs!G50+Inputs!I50+Inputs!L50+Inputs!X50</f>
        <v>22699</v>
      </c>
      <c r="H29" s="159">
        <v>0</v>
      </c>
      <c r="I29" s="159">
        <f t="shared" si="3"/>
        <v>30000745.397615552</v>
      </c>
      <c r="J29" s="9">
        <f t="shared" si="0"/>
        <v>530239.67094888538</v>
      </c>
      <c r="K29" s="168">
        <f t="shared" si="1"/>
        <v>1.7992214855990511E-2</v>
      </c>
      <c r="L29" s="168">
        <f t="shared" si="4"/>
        <v>1.7992214855990511E-2</v>
      </c>
      <c r="M29" s="169">
        <f t="shared" si="2"/>
        <v>281154108647.98224</v>
      </c>
      <c r="N29" s="169">
        <f t="shared" si="5"/>
        <v>-306989.92421918362</v>
      </c>
      <c r="O29" s="169">
        <f t="shared" si="6"/>
        <v>94242813572.100098</v>
      </c>
      <c r="P29" s="11"/>
      <c r="Q29"/>
      <c r="R29"/>
    </row>
    <row r="30" spans="1:25" x14ac:dyDescent="0.25">
      <c r="A30" s="158">
        <v>42490</v>
      </c>
      <c r="B30" s="159">
        <f>Inputs!D51</f>
        <v>27500006.806666669</v>
      </c>
      <c r="C30" s="159">
        <v>352.8</v>
      </c>
      <c r="D30" s="159">
        <v>0</v>
      </c>
      <c r="E30" s="159">
        <v>30</v>
      </c>
      <c r="F30" s="160">
        <v>1</v>
      </c>
      <c r="G30" s="159">
        <f>Inputs!G51+Inputs!I51+Inputs!L51+Inputs!X51</f>
        <v>22717</v>
      </c>
      <c r="H30" s="159">
        <v>0</v>
      </c>
      <c r="I30" s="159">
        <f t="shared" si="3"/>
        <v>27761861.584656626</v>
      </c>
      <c r="J30" s="9">
        <f t="shared" si="0"/>
        <v>261854.77798995748</v>
      </c>
      <c r="K30" s="168">
        <f t="shared" si="1"/>
        <v>9.5219895700708532E-3</v>
      </c>
      <c r="L30" s="168">
        <f t="shared" si="4"/>
        <v>9.5219895700708532E-3</v>
      </c>
      <c r="M30" s="169">
        <f t="shared" si="2"/>
        <v>68567924756.169922</v>
      </c>
      <c r="N30" s="169">
        <f t="shared" si="5"/>
        <v>-268384.8929589279</v>
      </c>
      <c r="O30" s="169">
        <f t="shared" si="6"/>
        <v>72030450768.57518</v>
      </c>
      <c r="P30" s="11"/>
      <c r="Q30" s="147" t="s">
        <v>133</v>
      </c>
      <c r="R30" s="170">
        <f>R27/R28</f>
        <v>0</v>
      </c>
    </row>
    <row r="31" spans="1:25" x14ac:dyDescent="0.25">
      <c r="A31" s="158">
        <v>42521</v>
      </c>
      <c r="B31" s="159">
        <f>Inputs!D52</f>
        <v>28052824.666666668</v>
      </c>
      <c r="C31" s="159">
        <v>144.60000000000002</v>
      </c>
      <c r="D31" s="159">
        <v>24.400000000000002</v>
      </c>
      <c r="E31" s="159">
        <v>31</v>
      </c>
      <c r="F31" s="160">
        <v>1</v>
      </c>
      <c r="G31" s="159">
        <f>Inputs!G52+Inputs!I52+Inputs!L52+Inputs!X52</f>
        <v>22722</v>
      </c>
      <c r="H31" s="159">
        <v>0</v>
      </c>
      <c r="I31" s="159">
        <f t="shared" si="3"/>
        <v>29132575.734389484</v>
      </c>
      <c r="J31" s="9">
        <f t="shared" si="0"/>
        <v>1079751.067722816</v>
      </c>
      <c r="K31" s="168">
        <f t="shared" si="1"/>
        <v>3.8489923227082848E-2</v>
      </c>
      <c r="L31" s="168">
        <f t="shared" si="4"/>
        <v>3.8489923227082848E-2</v>
      </c>
      <c r="M31" s="169">
        <f t="shared" si="2"/>
        <v>1165862368248.5613</v>
      </c>
      <c r="N31" s="169">
        <f t="shared" si="5"/>
        <v>817896.28973285854</v>
      </c>
      <c r="O31" s="169">
        <f t="shared" si="6"/>
        <v>668954340758.77612</v>
      </c>
      <c r="P31" s="11"/>
      <c r="Q31" s="147"/>
      <c r="T31" s="40"/>
    </row>
    <row r="32" spans="1:25" x14ac:dyDescent="0.25">
      <c r="A32" s="158">
        <v>42551</v>
      </c>
      <c r="B32" s="159">
        <f>Inputs!D53</f>
        <v>31979033.996666666</v>
      </c>
      <c r="C32" s="159">
        <v>29.2</v>
      </c>
      <c r="D32" s="159">
        <v>51.699999999999996</v>
      </c>
      <c r="E32" s="159">
        <v>30</v>
      </c>
      <c r="F32" s="160">
        <v>0</v>
      </c>
      <c r="G32" s="159">
        <f>Inputs!G53+Inputs!I53+Inputs!L53+Inputs!X53</f>
        <v>22733</v>
      </c>
      <c r="H32" s="159">
        <v>0</v>
      </c>
      <c r="I32" s="159">
        <f t="shared" si="3"/>
        <v>31479545.739815071</v>
      </c>
      <c r="J32" s="9">
        <f t="shared" si="0"/>
        <v>-499488.2568515949</v>
      </c>
      <c r="K32" s="168">
        <f t="shared" si="1"/>
        <v>-1.5619241560068983E-2</v>
      </c>
      <c r="L32" s="168">
        <f t="shared" si="4"/>
        <v>1.5619241560068983E-2</v>
      </c>
      <c r="M32" s="169">
        <f t="shared" si="2"/>
        <v>249488518732.64484</v>
      </c>
      <c r="N32" s="169">
        <f t="shared" si="5"/>
        <v>-1579239.3245744109</v>
      </c>
      <c r="O32" s="169">
        <f t="shared" si="6"/>
        <v>2493996844282.2417</v>
      </c>
      <c r="P32" s="11"/>
      <c r="Q32" s="147"/>
      <c r="T32" s="40"/>
    </row>
    <row r="33" spans="1:20" x14ac:dyDescent="0.25">
      <c r="A33" s="158">
        <v>42582</v>
      </c>
      <c r="B33" s="159">
        <f>Inputs!D54</f>
        <v>38582728.506666668</v>
      </c>
      <c r="C33" s="159">
        <v>0</v>
      </c>
      <c r="D33" s="159">
        <v>140.69999999999996</v>
      </c>
      <c r="E33" s="159">
        <v>31</v>
      </c>
      <c r="F33" s="160">
        <v>0</v>
      </c>
      <c r="G33" s="159">
        <f>Inputs!G54+Inputs!I54+Inputs!L54+Inputs!X54</f>
        <v>22761</v>
      </c>
      <c r="H33" s="159">
        <v>0</v>
      </c>
      <c r="I33" s="159">
        <f t="shared" si="3"/>
        <v>40819800.8342603</v>
      </c>
      <c r="J33" s="9">
        <f t="shared" si="0"/>
        <v>2237072.327593632</v>
      </c>
      <c r="K33" s="168">
        <f t="shared" si="1"/>
        <v>5.7981185213666027E-2</v>
      </c>
      <c r="L33" s="168">
        <f t="shared" si="4"/>
        <v>5.7981185213666027E-2</v>
      </c>
      <c r="M33" s="169">
        <f t="shared" si="2"/>
        <v>5004492598885.1904</v>
      </c>
      <c r="N33" s="169">
        <f t="shared" si="5"/>
        <v>2736560.5844452269</v>
      </c>
      <c r="O33" s="169">
        <f t="shared" si="6"/>
        <v>7488763832339.2021</v>
      </c>
      <c r="P33" s="11"/>
      <c r="Q33" s="147"/>
      <c r="R33"/>
      <c r="T33" s="40"/>
    </row>
    <row r="34" spans="1:20" x14ac:dyDescent="0.25">
      <c r="A34" s="158">
        <v>42613</v>
      </c>
      <c r="B34" s="159">
        <f>Inputs!D55</f>
        <v>41437079.986666664</v>
      </c>
      <c r="C34" s="159">
        <v>0.1</v>
      </c>
      <c r="D34" s="159">
        <v>159.30000000000001</v>
      </c>
      <c r="E34" s="159">
        <v>31</v>
      </c>
      <c r="F34" s="160">
        <v>0</v>
      </c>
      <c r="G34" s="159">
        <f>Inputs!G55+Inputs!I55+Inputs!L55+Inputs!X55</f>
        <v>22775</v>
      </c>
      <c r="H34" s="159">
        <v>0</v>
      </c>
      <c r="I34" s="159">
        <f t="shared" si="3"/>
        <v>42581839.823940337</v>
      </c>
      <c r="J34" s="9">
        <f t="shared" si="0"/>
        <v>1144759.8372736722</v>
      </c>
      <c r="K34" s="168">
        <f t="shared" si="1"/>
        <v>2.7626460108724483E-2</v>
      </c>
      <c r="L34" s="168">
        <f t="shared" si="4"/>
        <v>2.7626460108724483E-2</v>
      </c>
      <c r="M34" s="169">
        <f t="shared" si="2"/>
        <v>1310475085034.8445</v>
      </c>
      <c r="N34" s="169">
        <f t="shared" si="5"/>
        <v>-1092312.4903199598</v>
      </c>
      <c r="O34" s="169">
        <f t="shared" si="6"/>
        <v>1193146576508.9924</v>
      </c>
      <c r="P34" s="11"/>
      <c r="Q34" s="147"/>
      <c r="R34"/>
      <c r="T34" s="40"/>
    </row>
    <row r="35" spans="1:20" x14ac:dyDescent="0.25">
      <c r="A35" s="158">
        <v>42643</v>
      </c>
      <c r="B35" s="159">
        <f>Inputs!D56</f>
        <v>31887811.926666666</v>
      </c>
      <c r="C35" s="159">
        <v>34.299999999999997</v>
      </c>
      <c r="D35" s="159">
        <v>47.3</v>
      </c>
      <c r="E35" s="159">
        <v>30</v>
      </c>
      <c r="F35" s="160">
        <v>0</v>
      </c>
      <c r="G35" s="159">
        <f>Inputs!G56+Inputs!I56+Inputs!L56+Inputs!X56</f>
        <v>22784</v>
      </c>
      <c r="H35" s="159">
        <v>0</v>
      </c>
      <c r="I35" s="159">
        <f t="shared" si="3"/>
        <v>31156142.352453493</v>
      </c>
      <c r="J35" s="9">
        <f t="shared" ref="J35:J66" si="7">I35-B35</f>
        <v>-731669.57421317324</v>
      </c>
      <c r="K35" s="168">
        <f t="shared" ref="K35:K66" si="8">J35/B35</f>
        <v>-2.2945116958661672E-2</v>
      </c>
      <c r="L35" s="168">
        <f t="shared" si="4"/>
        <v>2.2945116958661672E-2</v>
      </c>
      <c r="M35" s="169">
        <f t="shared" ref="M35:M66" si="9">J35*J35</f>
        <v>535340365829.28619</v>
      </c>
      <c r="N35" s="169">
        <f t="shared" si="5"/>
        <v>-1876429.4114868455</v>
      </c>
      <c r="O35" s="169">
        <f t="shared" si="6"/>
        <v>3520987336292.8691</v>
      </c>
      <c r="P35" s="11"/>
      <c r="Q35" s="147"/>
      <c r="R35"/>
      <c r="T35" s="40"/>
    </row>
    <row r="36" spans="1:20" x14ac:dyDescent="0.25">
      <c r="A36" s="158">
        <v>42674</v>
      </c>
      <c r="B36" s="159">
        <f>Inputs!D57</f>
        <v>27632019.866666667</v>
      </c>
      <c r="C36" s="159">
        <v>184.50000000000003</v>
      </c>
      <c r="D36" s="159">
        <v>5.0999999999999996</v>
      </c>
      <c r="E36" s="159">
        <v>31</v>
      </c>
      <c r="F36" s="160">
        <v>1</v>
      </c>
      <c r="G36" s="159">
        <f>Inputs!G57+Inputs!I57+Inputs!L57+Inputs!X57</f>
        <v>22793</v>
      </c>
      <c r="H36" s="159">
        <v>0</v>
      </c>
      <c r="I36" s="159">
        <f t="shared" si="3"/>
        <v>27785358.43328343</v>
      </c>
      <c r="J36" s="9">
        <f t="shared" si="7"/>
        <v>153338.56661676243</v>
      </c>
      <c r="K36" s="168">
        <f t="shared" si="8"/>
        <v>5.5493071934903798E-3</v>
      </c>
      <c r="L36" s="168">
        <f t="shared" si="4"/>
        <v>5.5493071934903798E-3</v>
      </c>
      <c r="M36" s="169">
        <f t="shared" si="9"/>
        <v>23512716012.08329</v>
      </c>
      <c r="N36" s="169">
        <f t="shared" ref="N36:N72" si="10">J36-J35</f>
        <v>885008.14082993567</v>
      </c>
      <c r="O36" s="169">
        <f t="shared" si="6"/>
        <v>783239409335.25928</v>
      </c>
      <c r="P36" s="11"/>
      <c r="Q36" s="147"/>
      <c r="R36"/>
      <c r="T36" s="40"/>
    </row>
    <row r="37" spans="1:20" x14ac:dyDescent="0.25">
      <c r="A37" s="158">
        <v>42704</v>
      </c>
      <c r="B37" s="159">
        <f>Inputs!D58</f>
        <v>28072689.79275357</v>
      </c>
      <c r="C37" s="159">
        <v>356.7</v>
      </c>
      <c r="D37" s="159">
        <v>0</v>
      </c>
      <c r="E37" s="159">
        <v>30</v>
      </c>
      <c r="F37" s="160">
        <v>1</v>
      </c>
      <c r="G37" s="159">
        <f>Inputs!G58+Inputs!I58+Inputs!L58+Inputs!X58</f>
        <v>22824</v>
      </c>
      <c r="H37" s="159">
        <v>0</v>
      </c>
      <c r="I37" s="159">
        <f t="shared" si="3"/>
        <v>27881129.031012908</v>
      </c>
      <c r="J37" s="9">
        <f t="shared" si="7"/>
        <v>-191560.76174066216</v>
      </c>
      <c r="K37" s="168">
        <f t="shared" si="8"/>
        <v>-6.8237409081515913E-3</v>
      </c>
      <c r="L37" s="168">
        <f t="shared" si="4"/>
        <v>6.8237409081515913E-3</v>
      </c>
      <c r="M37" s="169">
        <f t="shared" si="9"/>
        <v>36695525438.662735</v>
      </c>
      <c r="N37" s="169">
        <f t="shared" si="10"/>
        <v>-344899.32835742459</v>
      </c>
      <c r="O37" s="169">
        <f t="shared" si="6"/>
        <v>118955546701.40259</v>
      </c>
      <c r="P37" s="11"/>
      <c r="Q37" s="147"/>
      <c r="R37"/>
      <c r="T37" s="40"/>
    </row>
    <row r="38" spans="1:20" x14ac:dyDescent="0.25">
      <c r="A38" s="158">
        <v>42735</v>
      </c>
      <c r="B38" s="159">
        <f>Inputs!D59</f>
        <v>32042035.384939767</v>
      </c>
      <c r="C38" s="159">
        <v>567.70000000000005</v>
      </c>
      <c r="D38" s="159">
        <v>0</v>
      </c>
      <c r="E38" s="159">
        <v>31</v>
      </c>
      <c r="F38" s="160">
        <v>1</v>
      </c>
      <c r="G38" s="159">
        <f>Inputs!G59+Inputs!I59+Inputs!L59+Inputs!X59</f>
        <v>22852</v>
      </c>
      <c r="H38" s="159">
        <v>0</v>
      </c>
      <c r="I38" s="159">
        <f t="shared" si="3"/>
        <v>31356558.41805578</v>
      </c>
      <c r="J38" s="9">
        <f t="shared" si="7"/>
        <v>-685476.96688398719</v>
      </c>
      <c r="K38" s="168">
        <f t="shared" si="8"/>
        <v>-2.1393053176833189E-2</v>
      </c>
      <c r="L38" s="168">
        <f t="shared" si="4"/>
        <v>2.1393053176833189E-2</v>
      </c>
      <c r="M38" s="169">
        <f t="shared" si="9"/>
        <v>469878672128.47089</v>
      </c>
      <c r="N38" s="169">
        <f t="shared" si="10"/>
        <v>-493916.20514332503</v>
      </c>
      <c r="O38" s="169">
        <f t="shared" si="6"/>
        <v>243953217703.18314</v>
      </c>
      <c r="P38" s="11"/>
      <c r="Q38" s="147"/>
      <c r="R38"/>
      <c r="T38" s="40"/>
    </row>
    <row r="39" spans="1:20" x14ac:dyDescent="0.25">
      <c r="A39" s="158">
        <v>42766</v>
      </c>
      <c r="B39" s="159">
        <f>Inputs!D60</f>
        <v>32603243.687800001</v>
      </c>
      <c r="C39" s="159">
        <v>593.9</v>
      </c>
      <c r="D39" s="159">
        <v>0</v>
      </c>
      <c r="E39" s="159">
        <v>31</v>
      </c>
      <c r="F39" s="160">
        <v>0</v>
      </c>
      <c r="G39" s="159">
        <f>Inputs!G60+Inputs!I60+Inputs!L60+Inputs!X60</f>
        <v>22862</v>
      </c>
      <c r="H39" s="159">
        <v>0</v>
      </c>
      <c r="I39" s="159">
        <f t="shared" si="3"/>
        <v>33862207.331890807</v>
      </c>
      <c r="J39" s="9">
        <f t="shared" si="7"/>
        <v>1258963.6440908052</v>
      </c>
      <c r="K39" s="168">
        <f t="shared" si="8"/>
        <v>3.8614674544235734E-2</v>
      </c>
      <c r="L39" s="168">
        <f t="shared" si="4"/>
        <v>3.8614674544235734E-2</v>
      </c>
      <c r="M39" s="169">
        <f t="shared" si="9"/>
        <v>1584989457142.3997</v>
      </c>
      <c r="N39" s="169">
        <f t="shared" si="10"/>
        <v>1944440.6109747924</v>
      </c>
      <c r="O39" s="169">
        <f t="shared" si="6"/>
        <v>3780849289608.0239</v>
      </c>
      <c r="P39" s="11"/>
      <c r="Q39" s="147"/>
      <c r="R39"/>
      <c r="T39" s="40"/>
    </row>
    <row r="40" spans="1:20" x14ac:dyDescent="0.25">
      <c r="A40" s="158">
        <v>42794</v>
      </c>
      <c r="B40" s="159">
        <f>Inputs!D61</f>
        <v>28442344.894508798</v>
      </c>
      <c r="C40" s="159">
        <v>487.80000000000007</v>
      </c>
      <c r="D40" s="159">
        <v>0</v>
      </c>
      <c r="E40" s="159">
        <v>28</v>
      </c>
      <c r="F40" s="160">
        <v>0</v>
      </c>
      <c r="G40" s="159">
        <f>Inputs!G61+Inputs!I61+Inputs!L61+Inputs!X61</f>
        <v>22870</v>
      </c>
      <c r="H40" s="159">
        <v>0</v>
      </c>
      <c r="I40" s="159">
        <f t="shared" si="3"/>
        <v>29014346.759131376</v>
      </c>
      <c r="J40" s="9">
        <f t="shared" si="7"/>
        <v>572001.86462257802</v>
      </c>
      <c r="K40" s="168">
        <f t="shared" si="8"/>
        <v>2.0110924986814684E-2</v>
      </c>
      <c r="L40" s="168">
        <f t="shared" si="4"/>
        <v>2.0110924986814684E-2</v>
      </c>
      <c r="M40" s="169">
        <f t="shared" si="9"/>
        <v>327186133131.70605</v>
      </c>
      <c r="N40" s="169">
        <f t="shared" si="10"/>
        <v>-686961.77946822718</v>
      </c>
      <c r="O40" s="169">
        <f t="shared" si="6"/>
        <v>471916486450.1532</v>
      </c>
      <c r="P40" s="11"/>
      <c r="Q40" s="147"/>
      <c r="R40"/>
    </row>
    <row r="41" spans="1:20" x14ac:dyDescent="0.25">
      <c r="A41" s="158">
        <v>42825</v>
      </c>
      <c r="B41" s="159">
        <f>Inputs!D62</f>
        <v>31091148.4114093</v>
      </c>
      <c r="C41" s="159">
        <v>555.29999999999995</v>
      </c>
      <c r="D41" s="159">
        <v>0</v>
      </c>
      <c r="E41" s="159">
        <v>31</v>
      </c>
      <c r="F41" s="160">
        <v>1</v>
      </c>
      <c r="G41" s="159">
        <f>Inputs!G62+Inputs!I62+Inputs!L62+Inputs!X62</f>
        <v>22881</v>
      </c>
      <c r="H41" s="159">
        <v>0</v>
      </c>
      <c r="I41" s="159">
        <f t="shared" si="3"/>
        <v>31248133.689619772</v>
      </c>
      <c r="J41" s="9">
        <f t="shared" si="7"/>
        <v>156985.27821047232</v>
      </c>
      <c r="K41" s="168">
        <f t="shared" si="8"/>
        <v>5.0491952285964623E-3</v>
      </c>
      <c r="L41" s="168">
        <f t="shared" si="4"/>
        <v>5.0491952285964623E-3</v>
      </c>
      <c r="M41" s="169">
        <f t="shared" si="9"/>
        <v>24644377574.819393</v>
      </c>
      <c r="N41" s="169">
        <f t="shared" si="10"/>
        <v>-415016.58641210571</v>
      </c>
      <c r="O41" s="169">
        <f t="shared" si="6"/>
        <v>172238766997.1568</v>
      </c>
      <c r="P41" s="11"/>
      <c r="Q41" s="147"/>
      <c r="R41"/>
    </row>
    <row r="42" spans="1:20" x14ac:dyDescent="0.25">
      <c r="A42" s="158">
        <v>42855</v>
      </c>
      <c r="B42" s="159">
        <f>Inputs!D63</f>
        <v>26726381.985407598</v>
      </c>
      <c r="C42" s="159">
        <v>261.80000000000007</v>
      </c>
      <c r="D42" s="159">
        <v>0.5</v>
      </c>
      <c r="E42" s="159">
        <v>30</v>
      </c>
      <c r="F42" s="160">
        <v>1</v>
      </c>
      <c r="G42" s="159">
        <f>Inputs!G63+Inputs!I63+Inputs!L63+Inputs!X63</f>
        <v>22886</v>
      </c>
      <c r="H42" s="159">
        <v>0</v>
      </c>
      <c r="I42" s="159">
        <f t="shared" si="3"/>
        <v>26981085.869866755</v>
      </c>
      <c r="J42" s="9">
        <f t="shared" si="7"/>
        <v>254703.88445915654</v>
      </c>
      <c r="K42" s="168">
        <f t="shared" si="8"/>
        <v>9.5300547825075219E-3</v>
      </c>
      <c r="L42" s="168">
        <f t="shared" si="4"/>
        <v>9.5300547825075219E-3</v>
      </c>
      <c r="M42" s="169">
        <f t="shared" si="9"/>
        <v>64874068758.583366</v>
      </c>
      <c r="N42" s="169">
        <f t="shared" si="10"/>
        <v>97718.606248684227</v>
      </c>
      <c r="O42" s="169">
        <f t="shared" si="6"/>
        <v>9548926007.1853886</v>
      </c>
      <c r="P42" s="11"/>
      <c r="Q42" s="147"/>
      <c r="R42"/>
    </row>
    <row r="43" spans="1:20" x14ac:dyDescent="0.25">
      <c r="A43" s="158">
        <v>42886</v>
      </c>
      <c r="B43" s="159">
        <f>Inputs!D64</f>
        <v>27100631.439999998</v>
      </c>
      <c r="C43" s="159">
        <v>168.29999999999998</v>
      </c>
      <c r="D43" s="159">
        <v>6.4999999999999991</v>
      </c>
      <c r="E43" s="159">
        <v>31</v>
      </c>
      <c r="F43" s="160">
        <v>1</v>
      </c>
      <c r="G43" s="159">
        <f>Inputs!G64+Inputs!I64+Inputs!L64+Inputs!X64</f>
        <v>22907</v>
      </c>
      <c r="H43" s="159">
        <v>0</v>
      </c>
      <c r="I43" s="159">
        <f t="shared" si="3"/>
        <v>27831304.951449182</v>
      </c>
      <c r="J43" s="9">
        <f t="shared" si="7"/>
        <v>730673.51144918427</v>
      </c>
      <c r="K43" s="168">
        <f t="shared" si="8"/>
        <v>2.6961493980938191E-2</v>
      </c>
      <c r="L43" s="168">
        <f t="shared" si="4"/>
        <v>2.6961493980938191E-2</v>
      </c>
      <c r="M43" s="169">
        <f t="shared" si="9"/>
        <v>533883780333.4812</v>
      </c>
      <c r="N43" s="169">
        <f t="shared" si="10"/>
        <v>475969.62699002773</v>
      </c>
      <c r="O43" s="169">
        <f t="shared" si="6"/>
        <v>226547085817.02612</v>
      </c>
      <c r="P43" s="11"/>
      <c r="Q43" s="147"/>
      <c r="R43"/>
    </row>
    <row r="44" spans="1:20" x14ac:dyDescent="0.25">
      <c r="A44" s="158">
        <v>42916</v>
      </c>
      <c r="B44" s="159">
        <f>Inputs!D65</f>
        <v>31069771.245993197</v>
      </c>
      <c r="C44" s="159">
        <v>32.599999999999994</v>
      </c>
      <c r="D44" s="159">
        <v>62.20000000000001</v>
      </c>
      <c r="E44" s="159">
        <v>30</v>
      </c>
      <c r="F44" s="160">
        <v>0</v>
      </c>
      <c r="G44" s="159">
        <f>Inputs!G65+Inputs!I65+Inputs!L65+Inputs!X65</f>
        <v>22911</v>
      </c>
      <c r="H44" s="159">
        <v>0</v>
      </c>
      <c r="I44" s="159">
        <f t="shared" si="3"/>
        <v>32633969.382987369</v>
      </c>
      <c r="J44" s="9">
        <f t="shared" si="7"/>
        <v>1564198.1369941719</v>
      </c>
      <c r="K44" s="168">
        <f t="shared" si="8"/>
        <v>5.0344694352903972E-2</v>
      </c>
      <c r="L44" s="168">
        <f t="shared" si="4"/>
        <v>5.0344694352903972E-2</v>
      </c>
      <c r="M44" s="169">
        <f t="shared" si="9"/>
        <v>2446715811776.0381</v>
      </c>
      <c r="N44" s="169">
        <f t="shared" si="10"/>
        <v>833524.62554498762</v>
      </c>
      <c r="O44" s="169">
        <f t="shared" si="6"/>
        <v>694763301389.91187</v>
      </c>
      <c r="P44" s="11"/>
      <c r="Q44" s="147"/>
      <c r="R44"/>
    </row>
    <row r="45" spans="1:20" x14ac:dyDescent="0.25">
      <c r="A45" s="158">
        <v>42947</v>
      </c>
      <c r="B45" s="159">
        <f>Inputs!D66</f>
        <v>35551342.793448403</v>
      </c>
      <c r="C45" s="159">
        <v>2.2000000000000002</v>
      </c>
      <c r="D45" s="159">
        <v>83</v>
      </c>
      <c r="E45" s="159">
        <v>31</v>
      </c>
      <c r="F45" s="160">
        <v>0</v>
      </c>
      <c r="G45" s="159">
        <f>Inputs!G66+Inputs!I66+Inputs!L66+Inputs!X66</f>
        <v>22937</v>
      </c>
      <c r="H45" s="159">
        <v>0</v>
      </c>
      <c r="I45" s="159">
        <f t="shared" si="3"/>
        <v>35540881.191079207</v>
      </c>
      <c r="J45" s="9">
        <f t="shared" si="7"/>
        <v>-10461.602369196713</v>
      </c>
      <c r="K45" s="168">
        <f t="shared" si="8"/>
        <v>-2.9426743259679727E-4</v>
      </c>
      <c r="L45" s="168">
        <f t="shared" si="4"/>
        <v>2.9426743259679727E-4</v>
      </c>
      <c r="M45" s="169">
        <f t="shared" si="9"/>
        <v>109445124.13118228</v>
      </c>
      <c r="N45" s="169">
        <f t="shared" si="10"/>
        <v>-1574659.7393633686</v>
      </c>
      <c r="O45" s="169">
        <f t="shared" si="6"/>
        <v>2479553294771.9121</v>
      </c>
      <c r="P45" s="11"/>
      <c r="Q45" s="147"/>
      <c r="R45"/>
    </row>
    <row r="46" spans="1:20" x14ac:dyDescent="0.25">
      <c r="A46" s="158">
        <v>42978</v>
      </c>
      <c r="B46" s="159">
        <f>Inputs!D67</f>
        <v>34125261.1615927</v>
      </c>
      <c r="C46" s="159">
        <v>19.200000000000003</v>
      </c>
      <c r="D46" s="159">
        <v>50.800000000000004</v>
      </c>
      <c r="E46" s="159">
        <v>31</v>
      </c>
      <c r="F46" s="160">
        <v>0</v>
      </c>
      <c r="G46" s="159">
        <f>Inputs!G67+Inputs!I67+Inputs!L67+Inputs!X67</f>
        <v>22952</v>
      </c>
      <c r="H46" s="159">
        <v>0</v>
      </c>
      <c r="I46" s="159">
        <f t="shared" si="3"/>
        <v>32698863.790280942</v>
      </c>
      <c r="J46" s="9">
        <f t="shared" si="7"/>
        <v>-1426397.3713117577</v>
      </c>
      <c r="K46" s="168">
        <f t="shared" si="8"/>
        <v>-4.179887047771929E-2</v>
      </c>
      <c r="L46" s="168">
        <f t="shared" si="4"/>
        <v>4.179887047771929E-2</v>
      </c>
      <c r="M46" s="169">
        <f t="shared" si="9"/>
        <v>2034609460885.0923</v>
      </c>
      <c r="N46" s="169">
        <f t="shared" si="10"/>
        <v>-1415935.768942561</v>
      </c>
      <c r="O46" s="169">
        <f t="shared" si="6"/>
        <v>2004874101770.9614</v>
      </c>
      <c r="P46" s="11"/>
      <c r="Q46" s="147"/>
      <c r="R46"/>
    </row>
    <row r="47" spans="1:20" x14ac:dyDescent="0.25">
      <c r="A47" s="158">
        <v>43008</v>
      </c>
      <c r="B47" s="159">
        <f>Inputs!D68</f>
        <v>31037006.541170798</v>
      </c>
      <c r="C47" s="159">
        <v>66.5</v>
      </c>
      <c r="D47" s="159">
        <v>49.3</v>
      </c>
      <c r="E47" s="159">
        <v>30</v>
      </c>
      <c r="F47" s="160">
        <v>0</v>
      </c>
      <c r="G47" s="159">
        <f>Inputs!G68+Inputs!I68+Inputs!L68+Inputs!X68</f>
        <v>22968</v>
      </c>
      <c r="H47" s="159">
        <v>0</v>
      </c>
      <c r="I47" s="159">
        <f t="shared" si="3"/>
        <v>31816128.957712427</v>
      </c>
      <c r="J47" s="9">
        <f t="shared" si="7"/>
        <v>779122.41654162854</v>
      </c>
      <c r="K47" s="168">
        <f t="shared" si="8"/>
        <v>2.5103014219754648E-2</v>
      </c>
      <c r="L47" s="168">
        <f t="shared" si="4"/>
        <v>2.5103014219754648E-2</v>
      </c>
      <c r="M47" s="169">
        <f t="shared" si="9"/>
        <v>607031739957.66687</v>
      </c>
      <c r="N47" s="169">
        <f t="shared" si="10"/>
        <v>2205519.7878533863</v>
      </c>
      <c r="O47" s="169">
        <f t="shared" si="6"/>
        <v>4864317534612.8457</v>
      </c>
      <c r="P47" s="11"/>
      <c r="Q47" s="147"/>
      <c r="R47"/>
    </row>
    <row r="48" spans="1:20" x14ac:dyDescent="0.25">
      <c r="A48" s="158">
        <v>43039</v>
      </c>
      <c r="B48" s="159">
        <f>Inputs!D69</f>
        <v>28262231.379913501</v>
      </c>
      <c r="C48" s="159">
        <v>148.5</v>
      </c>
      <c r="D48" s="159">
        <v>6.4</v>
      </c>
      <c r="E48" s="159">
        <v>31</v>
      </c>
      <c r="F48" s="160">
        <v>1</v>
      </c>
      <c r="G48" s="159">
        <f>Inputs!G69+Inputs!I69+Inputs!L69+Inputs!X69</f>
        <v>22997</v>
      </c>
      <c r="H48" s="159">
        <v>0</v>
      </c>
      <c r="I48" s="159">
        <f t="shared" si="3"/>
        <v>27680808.620805897</v>
      </c>
      <c r="J48" s="9">
        <f t="shared" si="7"/>
        <v>-581422.75910760462</v>
      </c>
      <c r="K48" s="168">
        <f t="shared" si="8"/>
        <v>-2.0572429377279555E-2</v>
      </c>
      <c r="L48" s="168">
        <f t="shared" si="4"/>
        <v>2.0572429377279555E-2</v>
      </c>
      <c r="M48" s="169">
        <f t="shared" si="9"/>
        <v>338052424808.29962</v>
      </c>
      <c r="N48" s="169">
        <f t="shared" si="10"/>
        <v>-1360545.1756492332</v>
      </c>
      <c r="O48" s="169">
        <f t="shared" si="6"/>
        <v>1851083174982.4028</v>
      </c>
      <c r="P48" s="11"/>
      <c r="Q48" s="147"/>
      <c r="R48"/>
    </row>
    <row r="49" spans="1:18" x14ac:dyDescent="0.25">
      <c r="A49" s="158">
        <v>43069</v>
      </c>
      <c r="B49" s="159">
        <f>Inputs!D70</f>
        <v>29451606.664241601</v>
      </c>
      <c r="C49" s="159">
        <v>411.39999999999992</v>
      </c>
      <c r="D49" s="159">
        <v>0</v>
      </c>
      <c r="E49" s="159">
        <v>30</v>
      </c>
      <c r="F49" s="160">
        <v>1</v>
      </c>
      <c r="G49" s="159">
        <f>Inputs!G70+Inputs!I70+Inputs!L70+Inputs!X70</f>
        <v>23027</v>
      </c>
      <c r="H49" s="159">
        <v>0</v>
      </c>
      <c r="I49" s="159">
        <f t="shared" si="3"/>
        <v>28602132.712993123</v>
      </c>
      <c r="J49" s="9">
        <f t="shared" si="7"/>
        <v>-849473.95124847814</v>
      </c>
      <c r="K49" s="168">
        <f t="shared" si="8"/>
        <v>-2.8843042789915403E-2</v>
      </c>
      <c r="L49" s="168">
        <f t="shared" si="4"/>
        <v>2.8843042789915403E-2</v>
      </c>
      <c r="M49" s="169">
        <f t="shared" si="9"/>
        <v>721605993849.70178</v>
      </c>
      <c r="N49" s="169">
        <f t="shared" si="10"/>
        <v>-268051.19214087352</v>
      </c>
      <c r="O49" s="169">
        <f t="shared" si="6"/>
        <v>71851441608.143494</v>
      </c>
      <c r="P49" s="11"/>
      <c r="Q49" s="147"/>
      <c r="R49"/>
    </row>
    <row r="50" spans="1:18" x14ac:dyDescent="0.25">
      <c r="A50" s="158">
        <v>43100</v>
      </c>
      <c r="B50" s="159">
        <f>Inputs!D71</f>
        <v>33135674.439350799</v>
      </c>
      <c r="C50" s="159">
        <v>692.00000000000023</v>
      </c>
      <c r="D50" s="159">
        <v>0</v>
      </c>
      <c r="E50" s="159">
        <v>31</v>
      </c>
      <c r="F50" s="160">
        <v>1</v>
      </c>
      <c r="G50" s="159">
        <f>Inputs!G71+Inputs!I71+Inputs!L71+Inputs!X71</f>
        <v>23048</v>
      </c>
      <c r="H50" s="159">
        <v>0</v>
      </c>
      <c r="I50" s="159">
        <f t="shared" si="3"/>
        <v>32800388.429695517</v>
      </c>
      <c r="J50" s="9">
        <f t="shared" si="7"/>
        <v>-335286.0096552819</v>
      </c>
      <c r="K50" s="168">
        <f t="shared" si="8"/>
        <v>-1.0118581116221605E-2</v>
      </c>
      <c r="L50" s="168">
        <f t="shared" si="4"/>
        <v>1.0118581116221605E-2</v>
      </c>
      <c r="M50" s="169">
        <f t="shared" si="9"/>
        <v>112416708270.56178</v>
      </c>
      <c r="N50" s="169">
        <f t="shared" si="10"/>
        <v>514187.94159319624</v>
      </c>
      <c r="O50" s="169">
        <f t="shared" si="6"/>
        <v>264389239279.84821</v>
      </c>
      <c r="P50" s="11"/>
      <c r="Q50" s="147"/>
      <c r="R50"/>
    </row>
    <row r="51" spans="1:18" x14ac:dyDescent="0.25">
      <c r="A51" s="158">
        <v>43131</v>
      </c>
      <c r="B51" s="159">
        <f>Inputs!D72</f>
        <v>34633272.560236096</v>
      </c>
      <c r="C51" s="159">
        <v>731</v>
      </c>
      <c r="D51" s="159">
        <v>0</v>
      </c>
      <c r="E51" s="159">
        <v>31</v>
      </c>
      <c r="F51" s="160">
        <v>0</v>
      </c>
      <c r="G51" s="159">
        <f>Inputs!G72+Inputs!I72+Inputs!L72+Inputs!X72</f>
        <v>23089</v>
      </c>
      <c r="H51" s="159">
        <v>0</v>
      </c>
      <c r="I51" s="159">
        <f t="shared" si="3"/>
        <v>35462651.303433903</v>
      </c>
      <c r="J51" s="9">
        <f t="shared" si="7"/>
        <v>829378.74319780618</v>
      </c>
      <c r="K51" s="168">
        <f t="shared" si="8"/>
        <v>2.3947455203816068E-2</v>
      </c>
      <c r="L51" s="168">
        <f t="shared" si="4"/>
        <v>2.3947455203816068E-2</v>
      </c>
      <c r="M51" s="169">
        <f t="shared" si="9"/>
        <v>687869099668.37256</v>
      </c>
      <c r="N51" s="169">
        <f t="shared" si="10"/>
        <v>1164664.7528530881</v>
      </c>
      <c r="O51" s="169">
        <f t="shared" si="6"/>
        <v>1356443986538.3447</v>
      </c>
      <c r="P51" s="11"/>
      <c r="Q51" s="147"/>
      <c r="R51"/>
    </row>
    <row r="52" spans="1:18" x14ac:dyDescent="0.25">
      <c r="A52" s="158">
        <v>43159</v>
      </c>
      <c r="B52" s="159">
        <f>Inputs!D73</f>
        <v>29707123.119004901</v>
      </c>
      <c r="C52" s="159">
        <v>540.29999999999984</v>
      </c>
      <c r="D52" s="159">
        <v>0</v>
      </c>
      <c r="E52" s="159">
        <v>28</v>
      </c>
      <c r="F52" s="160">
        <v>0</v>
      </c>
      <c r="G52" s="159">
        <f>Inputs!G73+Inputs!I73+Inputs!L73+Inputs!X73</f>
        <v>23082</v>
      </c>
      <c r="H52" s="159">
        <v>0</v>
      </c>
      <c r="I52" s="159">
        <f t="shared" si="3"/>
        <v>29718941.034134641</v>
      </c>
      <c r="J52" s="9">
        <f t="shared" si="7"/>
        <v>11817.915129739791</v>
      </c>
      <c r="K52" s="168">
        <f t="shared" si="8"/>
        <v>3.9781419030035162E-4</v>
      </c>
      <c r="L52" s="168">
        <f t="shared" si="4"/>
        <v>3.9781419030035162E-4</v>
      </c>
      <c r="M52" s="169">
        <f t="shared" si="9"/>
        <v>139663118.01373267</v>
      </c>
      <c r="N52" s="169">
        <f t="shared" si="10"/>
        <v>-817560.82806806639</v>
      </c>
      <c r="O52" s="169">
        <f t="shared" si="6"/>
        <v>668405707591.34241</v>
      </c>
      <c r="P52" s="11"/>
      <c r="Q52" s="147"/>
      <c r="R52"/>
    </row>
    <row r="53" spans="1:18" x14ac:dyDescent="0.25">
      <c r="A53" s="158">
        <v>43190</v>
      </c>
      <c r="B53" s="159">
        <f>Inputs!D74</f>
        <v>31571358.704649799</v>
      </c>
      <c r="C53" s="159">
        <v>564.50000000000011</v>
      </c>
      <c r="D53" s="159">
        <v>0</v>
      </c>
      <c r="E53" s="159">
        <v>31</v>
      </c>
      <c r="F53" s="160">
        <v>1</v>
      </c>
      <c r="G53" s="159">
        <f>Inputs!G74+Inputs!I74+Inputs!L74+Inputs!X74</f>
        <v>23104</v>
      </c>
      <c r="H53" s="159">
        <v>0</v>
      </c>
      <c r="I53" s="159">
        <f t="shared" si="3"/>
        <v>31507912.294872813</v>
      </c>
      <c r="J53" s="9">
        <f t="shared" si="7"/>
        <v>-63446.409776985645</v>
      </c>
      <c r="K53" s="168">
        <f t="shared" si="8"/>
        <v>-2.0096192365532031E-3</v>
      </c>
      <c r="L53" s="168">
        <f t="shared" si="4"/>
        <v>2.0096192365532031E-3</v>
      </c>
      <c r="M53" s="169">
        <f t="shared" si="9"/>
        <v>4025446913.5891795</v>
      </c>
      <c r="N53" s="169">
        <f t="shared" si="10"/>
        <v>-75264.324906725436</v>
      </c>
      <c r="O53" s="169">
        <f t="shared" si="6"/>
        <v>5664718603.6651306</v>
      </c>
      <c r="P53" s="11"/>
      <c r="Q53" s="147"/>
      <c r="R53"/>
    </row>
    <row r="54" spans="1:18" x14ac:dyDescent="0.25">
      <c r="A54" s="158">
        <v>43220</v>
      </c>
      <c r="B54" s="159">
        <f>Inputs!D75</f>
        <v>29502213.161825802</v>
      </c>
      <c r="C54" s="159">
        <v>438.3</v>
      </c>
      <c r="D54" s="159">
        <v>0</v>
      </c>
      <c r="E54" s="159">
        <v>30</v>
      </c>
      <c r="F54" s="160">
        <v>1</v>
      </c>
      <c r="G54" s="159">
        <f>Inputs!G75+Inputs!I75+Inputs!L75+Inputs!X75</f>
        <v>23133</v>
      </c>
      <c r="H54" s="159">
        <v>0</v>
      </c>
      <c r="I54" s="159">
        <f t="shared" si="3"/>
        <v>28961228.330407631</v>
      </c>
      <c r="J54" s="9">
        <f t="shared" si="7"/>
        <v>-540984.83141817153</v>
      </c>
      <c r="K54" s="168">
        <f t="shared" si="8"/>
        <v>-1.8337093168256793E-2</v>
      </c>
      <c r="L54" s="168">
        <f t="shared" si="4"/>
        <v>1.8337093168256793E-2</v>
      </c>
      <c r="M54" s="169">
        <f t="shared" si="9"/>
        <v>292664587824.54749</v>
      </c>
      <c r="N54" s="169">
        <f t="shared" si="10"/>
        <v>-477538.42164118588</v>
      </c>
      <c r="O54" s="169">
        <f t="shared" si="6"/>
        <v>228042944143.55502</v>
      </c>
      <c r="P54" s="11"/>
      <c r="Q54" s="147"/>
      <c r="R54"/>
    </row>
    <row r="55" spans="1:18" x14ac:dyDescent="0.25">
      <c r="A55" s="158">
        <v>43251</v>
      </c>
      <c r="B55" s="159">
        <f>Inputs!D76</f>
        <v>29818036.360710699</v>
      </c>
      <c r="C55" s="159">
        <v>75.3</v>
      </c>
      <c r="D55" s="159">
        <v>30</v>
      </c>
      <c r="E55" s="159">
        <v>31</v>
      </c>
      <c r="F55" s="160">
        <v>1</v>
      </c>
      <c r="G55" s="159">
        <f>Inputs!G76+Inputs!I76+Inputs!L76+Inputs!X76</f>
        <v>23168</v>
      </c>
      <c r="H55" s="159">
        <v>0</v>
      </c>
      <c r="I55" s="159">
        <f t="shared" si="3"/>
        <v>29261961.14906887</v>
      </c>
      <c r="J55" s="9">
        <f t="shared" si="7"/>
        <v>-556075.21164182946</v>
      </c>
      <c r="K55" s="168">
        <f t="shared" si="8"/>
        <v>-1.8648954777402239E-2</v>
      </c>
      <c r="L55" s="168">
        <f t="shared" si="4"/>
        <v>1.8648954777402239E-2</v>
      </c>
      <c r="M55" s="169">
        <f t="shared" si="9"/>
        <v>309219641002.50543</v>
      </c>
      <c r="N55" s="169">
        <f t="shared" si="10"/>
        <v>-15090.380223657936</v>
      </c>
      <c r="O55" s="169">
        <f t="shared" si="6"/>
        <v>227719575.29456654</v>
      </c>
      <c r="P55" s="11"/>
      <c r="Q55" s="147"/>
      <c r="R55"/>
    </row>
    <row r="56" spans="1:18" x14ac:dyDescent="0.25">
      <c r="A56" s="158">
        <v>43281</v>
      </c>
      <c r="B56" s="159">
        <f>Inputs!D77</f>
        <v>32564167.646594502</v>
      </c>
      <c r="C56" s="159">
        <v>21.199999999999996</v>
      </c>
      <c r="D56" s="159">
        <v>47.800000000000004</v>
      </c>
      <c r="E56" s="159">
        <v>30</v>
      </c>
      <c r="F56" s="160">
        <v>0</v>
      </c>
      <c r="G56" s="159">
        <f>Inputs!G77+Inputs!I77+Inputs!L77+Inputs!X77</f>
        <v>23182</v>
      </c>
      <c r="H56" s="159">
        <v>0</v>
      </c>
      <c r="I56" s="159">
        <f t="shared" si="3"/>
        <v>31358092.828859694</v>
      </c>
      <c r="J56" s="9">
        <f t="shared" si="7"/>
        <v>-1206074.8177348077</v>
      </c>
      <c r="K56" s="168">
        <f t="shared" si="8"/>
        <v>-3.7036869200031179E-2</v>
      </c>
      <c r="L56" s="168">
        <f t="shared" si="4"/>
        <v>3.7036869200031179E-2</v>
      </c>
      <c r="M56" s="169">
        <f t="shared" si="9"/>
        <v>1454616465974.0498</v>
      </c>
      <c r="N56" s="169">
        <f t="shared" si="10"/>
        <v>-649999.60609297827</v>
      </c>
      <c r="O56" s="169">
        <f t="shared" si="6"/>
        <v>422499487921.02692</v>
      </c>
      <c r="P56" s="11"/>
      <c r="Q56" s="147"/>
      <c r="R56"/>
    </row>
    <row r="57" spans="1:18" x14ac:dyDescent="0.25">
      <c r="A57" s="158">
        <v>43312</v>
      </c>
      <c r="B57" s="159">
        <f>Inputs!D78</f>
        <v>41016276.892574996</v>
      </c>
      <c r="C57" s="159">
        <v>0</v>
      </c>
      <c r="D57" s="159">
        <v>111.3</v>
      </c>
      <c r="E57" s="159">
        <v>31</v>
      </c>
      <c r="F57" s="160">
        <v>0</v>
      </c>
      <c r="G57" s="159">
        <f>Inputs!G78+Inputs!I78+Inputs!L78+Inputs!X78</f>
        <v>23194</v>
      </c>
      <c r="H57" s="159">
        <v>0</v>
      </c>
      <c r="I57" s="159">
        <f t="shared" si="3"/>
        <v>38370099.060878947</v>
      </c>
      <c r="J57" s="9">
        <f t="shared" si="7"/>
        <v>-2646177.8316960484</v>
      </c>
      <c r="K57" s="168">
        <f t="shared" si="8"/>
        <v>-6.4515310315136742E-2</v>
      </c>
      <c r="L57" s="168">
        <f t="shared" si="4"/>
        <v>6.4515310315136742E-2</v>
      </c>
      <c r="M57" s="169">
        <f t="shared" si="9"/>
        <v>7002257116959.6006</v>
      </c>
      <c r="N57" s="169">
        <f t="shared" si="10"/>
        <v>-1440103.0139612406</v>
      </c>
      <c r="O57" s="169">
        <f t="shared" si="6"/>
        <v>2073896690820.2493</v>
      </c>
      <c r="P57" s="11"/>
      <c r="Q57" s="147"/>
      <c r="R57"/>
    </row>
    <row r="58" spans="1:18" x14ac:dyDescent="0.25">
      <c r="A58" s="158">
        <v>43343</v>
      </c>
      <c r="B58" s="159">
        <f>Inputs!D79</f>
        <v>39071849.328965105</v>
      </c>
      <c r="C58" s="159">
        <v>1.6</v>
      </c>
      <c r="D58" s="159">
        <v>124.00000000000001</v>
      </c>
      <c r="E58" s="159">
        <v>31</v>
      </c>
      <c r="F58" s="160">
        <v>0</v>
      </c>
      <c r="G58" s="159">
        <f>Inputs!G79+Inputs!I79+Inputs!L79+Inputs!X79</f>
        <v>23239</v>
      </c>
      <c r="H58" s="159">
        <v>0</v>
      </c>
      <c r="I58" s="159">
        <f t="shared" si="3"/>
        <v>39615225.517823093</v>
      </c>
      <c r="J58" s="9">
        <f t="shared" si="7"/>
        <v>543376.18885798752</v>
      </c>
      <c r="K58" s="168">
        <f t="shared" si="8"/>
        <v>1.390710186976399E-2</v>
      </c>
      <c r="L58" s="168">
        <f t="shared" si="4"/>
        <v>1.390710186976399E-2</v>
      </c>
      <c r="M58" s="169">
        <f t="shared" si="9"/>
        <v>295257682617.8313</v>
      </c>
      <c r="N58" s="169">
        <f t="shared" si="10"/>
        <v>3189554.0205540359</v>
      </c>
      <c r="O58" s="169">
        <f t="shared" si="6"/>
        <v>10173254850032.416</v>
      </c>
      <c r="P58" s="11"/>
      <c r="Q58" s="147"/>
      <c r="R58"/>
    </row>
    <row r="59" spans="1:18" x14ac:dyDescent="0.25">
      <c r="A59" s="158">
        <v>43373</v>
      </c>
      <c r="B59" s="159">
        <f>Inputs!D80</f>
        <v>33330014.256383102</v>
      </c>
      <c r="C59" s="159">
        <v>57.900000000000006</v>
      </c>
      <c r="D59" s="159">
        <v>69.3</v>
      </c>
      <c r="E59" s="159">
        <v>30</v>
      </c>
      <c r="F59" s="160">
        <v>0</v>
      </c>
      <c r="G59" s="159">
        <f>Inputs!G80+Inputs!I80+Inputs!L80+Inputs!X80</f>
        <v>23272</v>
      </c>
      <c r="H59" s="159">
        <v>0</v>
      </c>
      <c r="I59" s="159">
        <f t="shared" si="3"/>
        <v>33831641.415681034</v>
      </c>
      <c r="J59" s="9">
        <f t="shared" si="7"/>
        <v>501627.15929793194</v>
      </c>
      <c r="K59" s="168">
        <f t="shared" si="8"/>
        <v>1.5050313373384298E-2</v>
      </c>
      <c r="L59" s="168">
        <f t="shared" si="4"/>
        <v>1.5050313373384298E-2</v>
      </c>
      <c r="M59" s="169">
        <f t="shared" si="9"/>
        <v>251629806945.31277</v>
      </c>
      <c r="N59" s="169">
        <f t="shared" si="10"/>
        <v>-41749.029560055584</v>
      </c>
      <c r="O59" s="169">
        <f t="shared" si="6"/>
        <v>1742981469.2063949</v>
      </c>
      <c r="P59" s="11"/>
      <c r="Q59" s="147"/>
      <c r="R59"/>
    </row>
    <row r="60" spans="1:18" x14ac:dyDescent="0.25">
      <c r="A60" s="158">
        <v>43404</v>
      </c>
      <c r="B60" s="159">
        <f>Inputs!D81</f>
        <v>29522757.314444497</v>
      </c>
      <c r="C60" s="159">
        <v>245.5</v>
      </c>
      <c r="D60" s="159">
        <v>11.100000000000001</v>
      </c>
      <c r="E60" s="159">
        <v>31</v>
      </c>
      <c r="F60" s="160">
        <v>1</v>
      </c>
      <c r="G60" s="159">
        <f>Inputs!G81+Inputs!I81+Inputs!L81+Inputs!X81</f>
        <v>23305</v>
      </c>
      <c r="H60" s="159">
        <v>0</v>
      </c>
      <c r="I60" s="159">
        <f t="shared" si="3"/>
        <v>29363633.699485019</v>
      </c>
      <c r="J60" s="9">
        <f t="shared" si="7"/>
        <v>-159123.61495947838</v>
      </c>
      <c r="K60" s="168">
        <f t="shared" si="8"/>
        <v>-5.3898629204808222E-3</v>
      </c>
      <c r="L60" s="168">
        <f t="shared" si="4"/>
        <v>5.3898629204808222E-3</v>
      </c>
      <c r="M60" s="169">
        <f t="shared" si="9"/>
        <v>25320324837.772331</v>
      </c>
      <c r="N60" s="169">
        <f t="shared" si="10"/>
        <v>-660750.77425741032</v>
      </c>
      <c r="O60" s="169">
        <f t="shared" si="6"/>
        <v>436591585681.76721</v>
      </c>
      <c r="P60" s="11"/>
      <c r="Q60" s="147"/>
      <c r="R60"/>
    </row>
    <row r="61" spans="1:18" x14ac:dyDescent="0.25">
      <c r="A61" s="158">
        <v>43434</v>
      </c>
      <c r="B61" s="159">
        <f>Inputs!D82</f>
        <v>30788860.462713901</v>
      </c>
      <c r="C61" s="159">
        <v>462.59999999999997</v>
      </c>
      <c r="D61" s="159">
        <v>0</v>
      </c>
      <c r="E61" s="159">
        <v>30</v>
      </c>
      <c r="F61" s="160">
        <v>1</v>
      </c>
      <c r="G61" s="159">
        <f>Inputs!G82+Inputs!I82+Inputs!L82+Inputs!X82</f>
        <v>23321</v>
      </c>
      <c r="H61" s="159">
        <v>0</v>
      </c>
      <c r="I61" s="159">
        <f t="shared" si="3"/>
        <v>29353270.948582653</v>
      </c>
      <c r="J61" s="9">
        <f t="shared" si="7"/>
        <v>-1435589.514131248</v>
      </c>
      <c r="K61" s="168">
        <f t="shared" si="8"/>
        <v>-4.6626912869015845E-2</v>
      </c>
      <c r="L61" s="168">
        <f t="shared" si="4"/>
        <v>4.6626912869015845E-2</v>
      </c>
      <c r="M61" s="169">
        <f t="shared" si="9"/>
        <v>2060917253083.5928</v>
      </c>
      <c r="N61" s="169">
        <f t="shared" si="10"/>
        <v>-1276465.8991717696</v>
      </c>
      <c r="O61" s="169">
        <f t="shared" si="6"/>
        <v>1629365191748.3943</v>
      </c>
      <c r="P61" s="11"/>
      <c r="Q61" s="147"/>
      <c r="R61"/>
    </row>
    <row r="62" spans="1:18" x14ac:dyDescent="0.25">
      <c r="A62" s="158">
        <v>43465</v>
      </c>
      <c r="B62" s="159">
        <f>Inputs!D83</f>
        <v>32363996.620362099</v>
      </c>
      <c r="C62" s="159">
        <v>550.4</v>
      </c>
      <c r="D62" s="159">
        <v>0</v>
      </c>
      <c r="E62" s="159">
        <v>31</v>
      </c>
      <c r="F62" s="160">
        <v>1</v>
      </c>
      <c r="G62" s="159">
        <f>Inputs!G83+Inputs!I83+Inputs!L83+Inputs!X83</f>
        <v>23366</v>
      </c>
      <c r="H62" s="159">
        <v>0</v>
      </c>
      <c r="I62" s="159">
        <f t="shared" si="3"/>
        <v>31552595.151737791</v>
      </c>
      <c r="J62" s="9">
        <f t="shared" si="7"/>
        <v>-811401.46862430871</v>
      </c>
      <c r="K62" s="168">
        <f t="shared" si="8"/>
        <v>-2.5071114613632366E-2</v>
      </c>
      <c r="L62" s="168">
        <f t="shared" si="4"/>
        <v>2.5071114613632366E-2</v>
      </c>
      <c r="M62" s="169">
        <f t="shared" si="9"/>
        <v>658372343285.68506</v>
      </c>
      <c r="N62" s="169">
        <f t="shared" si="10"/>
        <v>624188.04550693929</v>
      </c>
      <c r="O62" s="169">
        <f t="shared" si="6"/>
        <v>389610716153.77289</v>
      </c>
      <c r="P62" s="11"/>
      <c r="Q62" s="147"/>
      <c r="R62"/>
    </row>
    <row r="63" spans="1:18" x14ac:dyDescent="0.25">
      <c r="A63" s="158">
        <v>43496</v>
      </c>
      <c r="B63" s="159">
        <f>Inputs!D84</f>
        <v>35287777.216221102</v>
      </c>
      <c r="C63" s="159">
        <v>726.30000000000007</v>
      </c>
      <c r="D63" s="159">
        <v>0</v>
      </c>
      <c r="E63" s="159">
        <v>31</v>
      </c>
      <c r="F63" s="160">
        <v>0</v>
      </c>
      <c r="G63" s="159">
        <f>Inputs!G84+Inputs!I84+Inputs!L84+Inputs!X84</f>
        <v>23414</v>
      </c>
      <c r="H63" s="159">
        <v>0</v>
      </c>
      <c r="I63" s="159">
        <f t="shared" si="3"/>
        <v>35651856.468135849</v>
      </c>
      <c r="J63" s="9">
        <f t="shared" si="7"/>
        <v>364079.25191474706</v>
      </c>
      <c r="K63" s="168">
        <f t="shared" si="8"/>
        <v>1.0317432284949558E-2</v>
      </c>
      <c r="L63" s="168">
        <f t="shared" si="4"/>
        <v>1.0317432284949558E-2</v>
      </c>
      <c r="M63" s="169">
        <f t="shared" si="9"/>
        <v>132553701674.80185</v>
      </c>
      <c r="N63" s="169">
        <f t="shared" si="10"/>
        <v>1175480.7205390558</v>
      </c>
      <c r="O63" s="169">
        <f t="shared" si="6"/>
        <v>1381754924359.0178</v>
      </c>
      <c r="P63" s="11"/>
      <c r="Q63" s="147"/>
      <c r="R63"/>
    </row>
    <row r="64" spans="1:18" x14ac:dyDescent="0.25">
      <c r="A64" s="158">
        <v>43524</v>
      </c>
      <c r="B64" s="159">
        <f>Inputs!D85</f>
        <v>31413450.428820997</v>
      </c>
      <c r="C64" s="159">
        <v>587.80000000000007</v>
      </c>
      <c r="D64" s="159">
        <v>0</v>
      </c>
      <c r="E64" s="159">
        <v>28</v>
      </c>
      <c r="F64" s="160">
        <v>0</v>
      </c>
      <c r="G64" s="159">
        <f>Inputs!G85+Inputs!I85+Inputs!L85+Inputs!X85</f>
        <v>23414</v>
      </c>
      <c r="H64" s="159">
        <v>0</v>
      </c>
      <c r="I64" s="159">
        <f t="shared" si="3"/>
        <v>30459250.412850097</v>
      </c>
      <c r="J64" s="9">
        <f t="shared" si="7"/>
        <v>-954200.01597090065</v>
      </c>
      <c r="K64" s="168">
        <f t="shared" si="8"/>
        <v>-3.0375523953759875E-2</v>
      </c>
      <c r="L64" s="168">
        <f t="shared" si="4"/>
        <v>3.0375523953759875E-2</v>
      </c>
      <c r="M64" s="169">
        <f t="shared" si="9"/>
        <v>910497670478.86707</v>
      </c>
      <c r="N64" s="169">
        <f t="shared" si="10"/>
        <v>-1318279.2678856477</v>
      </c>
      <c r="O64" s="169">
        <f t="shared" si="6"/>
        <v>1737860228137.1194</v>
      </c>
      <c r="P64" s="11"/>
      <c r="Q64" s="147"/>
      <c r="R64"/>
    </row>
    <row r="65" spans="1:18" x14ac:dyDescent="0.25">
      <c r="A65" s="158">
        <v>43555</v>
      </c>
      <c r="B65" s="159">
        <f>Inputs!D86</f>
        <v>32753174.855792601</v>
      </c>
      <c r="C65" s="159">
        <v>598.00000000000023</v>
      </c>
      <c r="D65" s="159">
        <v>0</v>
      </c>
      <c r="E65" s="159">
        <v>31</v>
      </c>
      <c r="F65" s="160">
        <v>1</v>
      </c>
      <c r="G65" s="159">
        <f>Inputs!G86+Inputs!I86+Inputs!L86+Inputs!X86</f>
        <v>23448</v>
      </c>
      <c r="H65" s="159">
        <v>0</v>
      </c>
      <c r="I65" s="159">
        <f t="shared" si="3"/>
        <v>32110593.985769127</v>
      </c>
      <c r="J65" s="9">
        <f t="shared" si="7"/>
        <v>-642580.8700234741</v>
      </c>
      <c r="K65" s="168">
        <f t="shared" si="8"/>
        <v>-1.9618888026967245E-2</v>
      </c>
      <c r="L65" s="168">
        <f t="shared" si="4"/>
        <v>1.9618888026967245E-2</v>
      </c>
      <c r="M65" s="169">
        <f t="shared" si="9"/>
        <v>412910174520.12494</v>
      </c>
      <c r="N65" s="169">
        <f t="shared" si="10"/>
        <v>311619.14594742656</v>
      </c>
      <c r="O65" s="169">
        <f t="shared" si="6"/>
        <v>97106492121.00354</v>
      </c>
      <c r="P65" s="11"/>
      <c r="Q65" s="147"/>
    </row>
    <row r="66" spans="1:18" x14ac:dyDescent="0.25">
      <c r="A66" s="158">
        <v>43585</v>
      </c>
      <c r="B66" s="159">
        <f>Inputs!D87</f>
        <v>28598242.1384985</v>
      </c>
      <c r="C66" s="159">
        <v>327.29999999999995</v>
      </c>
      <c r="D66" s="159">
        <v>0</v>
      </c>
      <c r="E66" s="159">
        <v>30</v>
      </c>
      <c r="F66" s="160">
        <v>1</v>
      </c>
      <c r="G66" s="159">
        <f>Inputs!G87+Inputs!I87+Inputs!L87+Inputs!X87</f>
        <v>23474</v>
      </c>
      <c r="H66" s="159">
        <v>0</v>
      </c>
      <c r="I66" s="159">
        <f t="shared" si="3"/>
        <v>28050355.363097757</v>
      </c>
      <c r="J66" s="9">
        <f t="shared" si="7"/>
        <v>-547886.77540074289</v>
      </c>
      <c r="K66" s="168">
        <f t="shared" si="8"/>
        <v>-1.9158057783670079E-2</v>
      </c>
      <c r="L66" s="168">
        <f t="shared" si="4"/>
        <v>1.9158057783670079E-2</v>
      </c>
      <c r="M66" s="169">
        <f t="shared" si="9"/>
        <v>300179918659.02411</v>
      </c>
      <c r="N66" s="169">
        <f t="shared" si="10"/>
        <v>94694.094622731209</v>
      </c>
      <c r="O66" s="169">
        <f t="shared" si="6"/>
        <v>8966971556.4187717</v>
      </c>
      <c r="P66" s="11"/>
      <c r="Q66" s="147"/>
    </row>
    <row r="67" spans="1:18" x14ac:dyDescent="0.25">
      <c r="A67" s="158">
        <v>43616</v>
      </c>
      <c r="B67" s="159">
        <f>Inputs!D88</f>
        <v>27905719.018595401</v>
      </c>
      <c r="C67" s="159">
        <v>173.70000000000002</v>
      </c>
      <c r="D67" s="159">
        <v>1.8</v>
      </c>
      <c r="E67" s="159">
        <v>31</v>
      </c>
      <c r="F67" s="160">
        <v>1</v>
      </c>
      <c r="G67" s="159">
        <f>Inputs!G88+Inputs!I88+Inputs!L88+Inputs!X88</f>
        <v>23504</v>
      </c>
      <c r="H67" s="159">
        <v>0</v>
      </c>
      <c r="I67" s="159">
        <f t="shared" si="3"/>
        <v>27883252.34115158</v>
      </c>
      <c r="J67" s="9">
        <f t="shared" ref="J67:J98" si="11">I67-B67</f>
        <v>-22466.677443820983</v>
      </c>
      <c r="K67" s="168">
        <f t="shared" ref="K67:K98" si="12">J67/B67</f>
        <v>-8.0509222603617457E-4</v>
      </c>
      <c r="L67" s="168">
        <f t="shared" si="4"/>
        <v>8.0509222603617457E-4</v>
      </c>
      <c r="M67" s="169">
        <f t="shared" ref="M67:M72" si="13">J67*J67</f>
        <v>504751595.36469454</v>
      </c>
      <c r="N67" s="169">
        <f t="shared" si="10"/>
        <v>525420.09795692191</v>
      </c>
      <c r="O67" s="169">
        <f t="shared" si="6"/>
        <v>276066279337.0614</v>
      </c>
      <c r="P67" s="11"/>
      <c r="Q67" s="147"/>
    </row>
    <row r="68" spans="1:18" x14ac:dyDescent="0.25">
      <c r="A68" s="158">
        <v>43646</v>
      </c>
      <c r="B68" s="159">
        <f>Inputs!D89</f>
        <v>30246126.597568698</v>
      </c>
      <c r="C68" s="159">
        <v>33.599999999999994</v>
      </c>
      <c r="D68" s="159">
        <v>31.799999999999997</v>
      </c>
      <c r="E68" s="159">
        <v>30</v>
      </c>
      <c r="F68" s="160">
        <v>0</v>
      </c>
      <c r="G68" s="159">
        <f>Inputs!G89+Inputs!I89+Inputs!L89+Inputs!X89</f>
        <v>23505</v>
      </c>
      <c r="H68" s="159">
        <v>0</v>
      </c>
      <c r="I68" s="159">
        <f t="shared" ref="I68:I131" si="14">$R$18+$R$19*C68+$R$20*D68+$R$21*E68+$R$22*F68+$R$23*G68+$R$24*H68</f>
        <v>30218683.366931096</v>
      </c>
      <c r="J68" s="9">
        <f t="shared" si="11"/>
        <v>-27443.230637602508</v>
      </c>
      <c r="K68" s="168">
        <f t="shared" si="12"/>
        <v>-9.0733041631216684E-4</v>
      </c>
      <c r="L68" s="168">
        <f t="shared" ref="L68:L122" si="15">ABS(K68)</f>
        <v>9.0733041631216684E-4</v>
      </c>
      <c r="M68" s="169">
        <f t="shared" si="13"/>
        <v>753130907.82864499</v>
      </c>
      <c r="N68" s="169">
        <f t="shared" si="10"/>
        <v>-4976.5531937815249</v>
      </c>
      <c r="O68" s="169">
        <f t="shared" si="6"/>
        <v>24766081.690537095</v>
      </c>
      <c r="P68" s="11"/>
      <c r="Q68" s="147"/>
    </row>
    <row r="69" spans="1:18" x14ac:dyDescent="0.25">
      <c r="A69" s="158">
        <v>43677</v>
      </c>
      <c r="B69" s="159">
        <f>Inputs!D90</f>
        <v>40514961.932033904</v>
      </c>
      <c r="C69" s="159">
        <v>0</v>
      </c>
      <c r="D69" s="159">
        <v>143.79999999999998</v>
      </c>
      <c r="E69" s="159">
        <v>31</v>
      </c>
      <c r="F69" s="160">
        <v>0</v>
      </c>
      <c r="G69" s="159">
        <f>Inputs!G90+Inputs!I90+Inputs!L90+Inputs!X90</f>
        <v>23545</v>
      </c>
      <c r="H69" s="159">
        <v>0</v>
      </c>
      <c r="I69" s="159">
        <f t="shared" si="14"/>
        <v>41686594.225412965</v>
      </c>
      <c r="J69" s="9">
        <f t="shared" si="11"/>
        <v>1171632.2933790609</v>
      </c>
      <c r="K69" s="168">
        <f t="shared" si="12"/>
        <v>2.8918509052150636E-2</v>
      </c>
      <c r="L69" s="168">
        <f t="shared" si="15"/>
        <v>2.8918509052150636E-2</v>
      </c>
      <c r="M69" s="169">
        <f t="shared" si="13"/>
        <v>1372722230888.678</v>
      </c>
      <c r="N69" s="169">
        <f t="shared" si="10"/>
        <v>1199075.5240166634</v>
      </c>
      <c r="O69" s="169">
        <f t="shared" ref="O69:O122" si="16">N69*N69</f>
        <v>1437782112295.8359</v>
      </c>
      <c r="P69" s="11"/>
      <c r="Q69" s="147"/>
    </row>
    <row r="70" spans="1:18" x14ac:dyDescent="0.25">
      <c r="A70" s="158">
        <v>43708</v>
      </c>
      <c r="B70" s="159">
        <f>Inputs!D91</f>
        <v>36599467.089364603</v>
      </c>
      <c r="C70" s="159">
        <v>4.5999999999999996</v>
      </c>
      <c r="D70" s="159">
        <v>76</v>
      </c>
      <c r="E70" s="159">
        <v>31</v>
      </c>
      <c r="F70" s="160">
        <v>0</v>
      </c>
      <c r="G70" s="159">
        <f>Inputs!G91+Inputs!I91+Inputs!L91+Inputs!X91</f>
        <v>23610</v>
      </c>
      <c r="H70" s="159">
        <v>0</v>
      </c>
      <c r="I70" s="159">
        <f t="shared" si="14"/>
        <v>35400703.833129376</v>
      </c>
      <c r="J70" s="9">
        <f t="shared" si="11"/>
        <v>-1198763.256235227</v>
      </c>
      <c r="K70" s="168">
        <f t="shared" si="12"/>
        <v>-3.275357133775246E-2</v>
      </c>
      <c r="L70" s="168">
        <f t="shared" si="15"/>
        <v>3.275357133775246E-2</v>
      </c>
      <c r="M70" s="169">
        <f t="shared" si="13"/>
        <v>1437033344499.6846</v>
      </c>
      <c r="N70" s="169">
        <f t="shared" si="10"/>
        <v>-2370395.5496142879</v>
      </c>
      <c r="O70" s="169">
        <f t="shared" si="16"/>
        <v>5618775061631.2217</v>
      </c>
      <c r="P70" s="11"/>
      <c r="Q70" s="147"/>
    </row>
    <row r="71" spans="1:18" x14ac:dyDescent="0.25">
      <c r="A71" s="158">
        <v>43738</v>
      </c>
      <c r="B71" s="159">
        <f>Inputs!D92</f>
        <v>30196024.2346556</v>
      </c>
      <c r="C71" s="159">
        <v>31.600000000000005</v>
      </c>
      <c r="D71" s="159">
        <v>11.6</v>
      </c>
      <c r="E71" s="159">
        <v>30</v>
      </c>
      <c r="F71" s="160">
        <v>0</v>
      </c>
      <c r="G71" s="159">
        <f>Inputs!G92+Inputs!I92+Inputs!L92+Inputs!X92</f>
        <v>23624</v>
      </c>
      <c r="H71" s="159">
        <v>0</v>
      </c>
      <c r="I71" s="159">
        <f t="shared" si="14"/>
        <v>28383717.527448475</v>
      </c>
      <c r="J71" s="9">
        <f t="shared" si="11"/>
        <v>-1812306.7072071247</v>
      </c>
      <c r="K71" s="168">
        <f t="shared" si="12"/>
        <v>-6.0018057116511481E-2</v>
      </c>
      <c r="L71" s="168">
        <f t="shared" si="15"/>
        <v>6.0018057116511481E-2</v>
      </c>
      <c r="M71" s="169">
        <f t="shared" si="13"/>
        <v>3284455600987.9307</v>
      </c>
      <c r="N71" s="169">
        <f t="shared" si="10"/>
        <v>-613543.45097189769</v>
      </c>
      <c r="O71" s="169">
        <f t="shared" si="16"/>
        <v>376435566230.50543</v>
      </c>
      <c r="P71" s="11"/>
      <c r="Q71" s="147"/>
    </row>
    <row r="72" spans="1:18" x14ac:dyDescent="0.25">
      <c r="A72" s="158">
        <v>43769</v>
      </c>
      <c r="B72" s="159">
        <f>Inputs!D93</f>
        <v>27971860.355314802</v>
      </c>
      <c r="C72" s="159">
        <v>220.89999999999998</v>
      </c>
      <c r="D72" s="159">
        <v>3.9</v>
      </c>
      <c r="E72" s="159">
        <v>31</v>
      </c>
      <c r="F72" s="160">
        <v>1</v>
      </c>
      <c r="G72" s="159">
        <f>Inputs!G93+Inputs!I93+Inputs!L93+Inputs!X93</f>
        <v>23662</v>
      </c>
      <c r="H72" s="159">
        <v>0</v>
      </c>
      <c r="I72" s="159">
        <f t="shared" si="14"/>
        <v>28690470.372652929</v>
      </c>
      <c r="J72" s="9">
        <f t="shared" si="11"/>
        <v>718610.0173381269</v>
      </c>
      <c r="K72" s="168">
        <f t="shared" si="12"/>
        <v>2.5690462064729535E-2</v>
      </c>
      <c r="L72" s="168">
        <f t="shared" si="15"/>
        <v>2.5690462064729535E-2</v>
      </c>
      <c r="M72" s="169">
        <f t="shared" si="13"/>
        <v>516400357018.70306</v>
      </c>
      <c r="N72" s="169">
        <f t="shared" si="10"/>
        <v>2530916.7245452516</v>
      </c>
      <c r="O72" s="169">
        <f t="shared" si="16"/>
        <v>6405539466582.8652</v>
      </c>
      <c r="P72" s="11"/>
      <c r="Q72" s="147"/>
    </row>
    <row r="73" spans="1:18" x14ac:dyDescent="0.25">
      <c r="A73" s="158">
        <v>43799</v>
      </c>
      <c r="B73" s="159">
        <f>Inputs!D94</f>
        <v>30548760.205844</v>
      </c>
      <c r="C73" s="159">
        <v>502.69999999999993</v>
      </c>
      <c r="D73" s="159">
        <v>0</v>
      </c>
      <c r="E73" s="159">
        <v>30</v>
      </c>
      <c r="F73" s="160">
        <v>1</v>
      </c>
      <c r="G73" s="159">
        <f>Inputs!G94+Inputs!I94+Inputs!L94+Inputs!X94</f>
        <v>23658</v>
      </c>
      <c r="H73" s="159">
        <v>0</v>
      </c>
      <c r="I73" s="159">
        <f t="shared" si="14"/>
        <v>30019849.37758347</v>
      </c>
      <c r="J73" s="9">
        <f t="shared" si="11"/>
        <v>-528910.82826052979</v>
      </c>
      <c r="K73" s="168">
        <f t="shared" si="12"/>
        <v>-1.7313659366095937E-2</v>
      </c>
      <c r="L73" s="168">
        <f t="shared" si="15"/>
        <v>1.7313659366095937E-2</v>
      </c>
      <c r="M73" s="169">
        <f t="shared" ref="M73:M122" si="17">J73*J73</f>
        <v>279746664251.23962</v>
      </c>
      <c r="N73" s="169">
        <f t="shared" ref="N73:N122" si="18">J73-J72</f>
        <v>-1247520.8455986567</v>
      </c>
      <c r="O73" s="169">
        <f t="shared" si="16"/>
        <v>1556308260203.1875</v>
      </c>
      <c r="P73" s="11"/>
      <c r="Q73" s="147"/>
    </row>
    <row r="74" spans="1:18" x14ac:dyDescent="0.25">
      <c r="A74" s="158">
        <v>43830</v>
      </c>
      <c r="B74" s="159">
        <f>Inputs!D95</f>
        <v>32756213.143715002</v>
      </c>
      <c r="C74" s="159">
        <v>546.60000000000014</v>
      </c>
      <c r="D74" s="159">
        <v>0</v>
      </c>
      <c r="E74" s="159">
        <v>31</v>
      </c>
      <c r="F74" s="160">
        <v>1</v>
      </c>
      <c r="G74" s="159">
        <f>Inputs!G95+Inputs!I95+Inputs!L95+Inputs!X95</f>
        <v>23664</v>
      </c>
      <c r="H74" s="159">
        <v>0</v>
      </c>
      <c r="I74" s="159">
        <f t="shared" si="14"/>
        <v>31731411.098134663</v>
      </c>
      <c r="J74" s="9">
        <f t="shared" si="11"/>
        <v>-1024802.0455803387</v>
      </c>
      <c r="K74" s="168">
        <f t="shared" si="12"/>
        <v>-3.1285730163133019E-2</v>
      </c>
      <c r="L74" s="168">
        <f t="shared" si="15"/>
        <v>3.1285730163133019E-2</v>
      </c>
      <c r="M74" s="169">
        <f t="shared" si="17"/>
        <v>1050219232625.6466</v>
      </c>
      <c r="N74" s="169">
        <f t="shared" si="18"/>
        <v>-495891.2173198089</v>
      </c>
      <c r="O74" s="169">
        <f t="shared" si="16"/>
        <v>245908099414.92194</v>
      </c>
      <c r="P74" s="11"/>
      <c r="Q74" s="147"/>
    </row>
    <row r="75" spans="1:18" x14ac:dyDescent="0.25">
      <c r="A75" s="158">
        <v>43861</v>
      </c>
      <c r="B75" s="159">
        <f>Inputs!D96</f>
        <v>32984745.984053601</v>
      </c>
      <c r="C75" s="159">
        <v>551.6</v>
      </c>
      <c r="D75" s="159">
        <v>0</v>
      </c>
      <c r="E75" s="159">
        <v>31</v>
      </c>
      <c r="F75" s="160">
        <v>0</v>
      </c>
      <c r="G75" s="159">
        <f>Inputs!G96+Inputs!I96+Inputs!L96+Inputs!X96</f>
        <v>23709</v>
      </c>
      <c r="H75" s="159">
        <v>0</v>
      </c>
      <c r="I75" s="159">
        <f t="shared" si="14"/>
        <v>34040994.879865393</v>
      </c>
      <c r="J75" s="9">
        <f t="shared" si="11"/>
        <v>1056248.8958117925</v>
      </c>
      <c r="K75" s="168">
        <f t="shared" si="12"/>
        <v>3.2022344398905896E-2</v>
      </c>
      <c r="L75" s="168">
        <f t="shared" si="15"/>
        <v>3.2022344398905896E-2</v>
      </c>
      <c r="M75" s="169">
        <f t="shared" si="17"/>
        <v>1115661729903.6309</v>
      </c>
      <c r="N75" s="169">
        <f t="shared" si="18"/>
        <v>2081050.9413921311</v>
      </c>
      <c r="O75" s="169">
        <f t="shared" si="16"/>
        <v>4330773020669.0752</v>
      </c>
      <c r="P75" s="11"/>
      <c r="Q75" s="147"/>
      <c r="R75" s="39"/>
    </row>
    <row r="76" spans="1:18" x14ac:dyDescent="0.25">
      <c r="A76" s="158">
        <v>43890</v>
      </c>
      <c r="B76" s="159">
        <f>Inputs!D97</f>
        <v>31066267.637283299</v>
      </c>
      <c r="C76" s="159">
        <v>586.90000000000009</v>
      </c>
      <c r="D76" s="159">
        <v>0</v>
      </c>
      <c r="E76" s="159">
        <v>29</v>
      </c>
      <c r="F76" s="160">
        <v>0</v>
      </c>
      <c r="G76" s="159">
        <f>Inputs!G97+Inputs!I97+Inputs!L97+Inputs!X97</f>
        <v>23738</v>
      </c>
      <c r="H76" s="159">
        <v>0</v>
      </c>
      <c r="I76" s="159">
        <f t="shared" si="14"/>
        <v>31935469.402467765</v>
      </c>
      <c r="J76" s="9">
        <f t="shared" si="11"/>
        <v>869201.7651844658</v>
      </c>
      <c r="K76" s="168">
        <f t="shared" si="12"/>
        <v>2.7978956961708459E-2</v>
      </c>
      <c r="L76" s="168">
        <f t="shared" si="15"/>
        <v>2.7978956961708459E-2</v>
      </c>
      <c r="M76" s="169">
        <f t="shared" si="17"/>
        <v>755511708599.79126</v>
      </c>
      <c r="N76" s="169">
        <f t="shared" si="18"/>
        <v>-187047.13062732667</v>
      </c>
      <c r="O76" s="169">
        <f t="shared" si="16"/>
        <v>34986629075.916206</v>
      </c>
      <c r="P76" s="11"/>
      <c r="Q76" s="147"/>
    </row>
    <row r="77" spans="1:18" x14ac:dyDescent="0.25">
      <c r="A77" s="158">
        <v>43921</v>
      </c>
      <c r="B77" s="159">
        <f>Inputs!D98</f>
        <v>30079085.278391898</v>
      </c>
      <c r="C77" s="159">
        <v>433.8</v>
      </c>
      <c r="D77" s="159">
        <v>0</v>
      </c>
      <c r="E77" s="159">
        <v>31</v>
      </c>
      <c r="F77" s="160">
        <v>1</v>
      </c>
      <c r="G77" s="159">
        <f>Inputs!G98+Inputs!I98+Inputs!L98+Inputs!X98</f>
        <v>23774</v>
      </c>
      <c r="H77" s="187">
        <v>1</v>
      </c>
      <c r="I77" s="159">
        <f>$R$18+$R$19*C77+$R$20*D77+$R$21*E77+$R$22*F77+$R$23*G77+$R$24*H77</f>
        <v>28992812.116659295</v>
      </c>
      <c r="J77" s="9">
        <f t="shared" si="11"/>
        <v>-1086273.1617326029</v>
      </c>
      <c r="K77" s="168">
        <f t="shared" si="12"/>
        <v>-3.6113902789223308E-2</v>
      </c>
      <c r="L77" s="168">
        <f t="shared" si="15"/>
        <v>3.6113902789223308E-2</v>
      </c>
      <c r="M77" s="169">
        <f t="shared" si="17"/>
        <v>1179989381900.5457</v>
      </c>
      <c r="N77" s="169">
        <f t="shared" si="18"/>
        <v>-1955474.9269170687</v>
      </c>
      <c r="O77" s="169">
        <f t="shared" si="16"/>
        <v>3823882189801.3149</v>
      </c>
      <c r="P77" s="11"/>
      <c r="Q77" s="147"/>
    </row>
    <row r="78" spans="1:18" x14ac:dyDescent="0.25">
      <c r="A78" s="158">
        <v>43951</v>
      </c>
      <c r="B78" s="159">
        <f>Inputs!D99</f>
        <v>26605231.832859904</v>
      </c>
      <c r="C78" s="159">
        <v>372.9</v>
      </c>
      <c r="D78" s="159">
        <v>0</v>
      </c>
      <c r="E78" s="159">
        <v>30</v>
      </c>
      <c r="F78" s="160">
        <v>1</v>
      </c>
      <c r="G78" s="159">
        <f>Inputs!G99+Inputs!I99+Inputs!L99+Inputs!X99</f>
        <v>23805</v>
      </c>
      <c r="H78" s="187">
        <v>1</v>
      </c>
      <c r="I78" s="159">
        <f t="shared" si="14"/>
        <v>27130580.755158179</v>
      </c>
      <c r="J78" s="9">
        <f t="shared" si="11"/>
        <v>525348.92229827493</v>
      </c>
      <c r="K78" s="168">
        <f t="shared" si="12"/>
        <v>1.9746075719190719E-2</v>
      </c>
      <c r="L78" s="168">
        <f t="shared" si="15"/>
        <v>1.9746075719190719E-2</v>
      </c>
      <c r="M78" s="169">
        <f t="shared" si="17"/>
        <v>275991490159.95892</v>
      </c>
      <c r="N78" s="169">
        <f t="shared" si="18"/>
        <v>1611622.0840308778</v>
      </c>
      <c r="O78" s="169">
        <f t="shared" si="16"/>
        <v>2597325741736.0298</v>
      </c>
      <c r="P78" s="11"/>
      <c r="Q78" s="147"/>
    </row>
    <row r="79" spans="1:18" x14ac:dyDescent="0.25">
      <c r="A79" s="158">
        <v>43982</v>
      </c>
      <c r="B79" s="159">
        <f>Inputs!D100</f>
        <v>28255543.1817187</v>
      </c>
      <c r="C79" s="159">
        <v>207.90000000000003</v>
      </c>
      <c r="D79" s="159">
        <v>22.8</v>
      </c>
      <c r="E79" s="159">
        <v>31</v>
      </c>
      <c r="F79" s="160">
        <v>1</v>
      </c>
      <c r="G79" s="159">
        <f>Inputs!G100+Inputs!I100+Inputs!L100+Inputs!X100</f>
        <v>23829</v>
      </c>
      <c r="H79" s="187">
        <v>1</v>
      </c>
      <c r="I79" s="159">
        <f t="shared" si="14"/>
        <v>28816467.421153069</v>
      </c>
      <c r="J79" s="9">
        <f t="shared" si="11"/>
        <v>560924.23943436891</v>
      </c>
      <c r="K79" s="168">
        <f t="shared" si="12"/>
        <v>1.9851829987019544E-2</v>
      </c>
      <c r="L79" s="168">
        <f t="shared" si="15"/>
        <v>1.9851829987019544E-2</v>
      </c>
      <c r="M79" s="169">
        <f t="shared" si="17"/>
        <v>314636002385.02521</v>
      </c>
      <c r="N79" s="169">
        <f t="shared" si="18"/>
        <v>35575.317136093974</v>
      </c>
      <c r="O79" s="169">
        <f t="shared" si="16"/>
        <v>1265603189.3336616</v>
      </c>
      <c r="P79" s="11"/>
      <c r="Q79" s="147"/>
    </row>
    <row r="80" spans="1:18" x14ac:dyDescent="0.25">
      <c r="A80" s="158">
        <v>44012</v>
      </c>
      <c r="B80" s="159">
        <f>Inputs!D101</f>
        <v>33406975.0200781</v>
      </c>
      <c r="C80" s="159">
        <v>27</v>
      </c>
      <c r="D80" s="159">
        <v>70.09999999999998</v>
      </c>
      <c r="E80" s="159">
        <v>30</v>
      </c>
      <c r="F80" s="160">
        <v>0</v>
      </c>
      <c r="G80" s="159">
        <f>Inputs!G101+Inputs!I101+Inputs!L101+Inputs!X101</f>
        <v>23871</v>
      </c>
      <c r="H80" s="159">
        <v>0</v>
      </c>
      <c r="I80" s="159">
        <f t="shared" si="14"/>
        <v>34023074.23380518</v>
      </c>
      <c r="J80" s="9">
        <f t="shared" si="11"/>
        <v>616099.21372707933</v>
      </c>
      <c r="K80" s="168">
        <f t="shared" si="12"/>
        <v>1.8442232897674642E-2</v>
      </c>
      <c r="L80" s="168">
        <f t="shared" si="15"/>
        <v>1.8442232897674642E-2</v>
      </c>
      <c r="M80" s="169">
        <f t="shared" si="17"/>
        <v>379578241155.12537</v>
      </c>
      <c r="N80" s="169">
        <f t="shared" si="18"/>
        <v>55174.974292710423</v>
      </c>
      <c r="O80" s="169">
        <f t="shared" si="16"/>
        <v>3044277788.2012563</v>
      </c>
      <c r="P80" s="11"/>
      <c r="Q80" s="147"/>
    </row>
    <row r="81" spans="1:18" x14ac:dyDescent="0.25">
      <c r="A81" s="158">
        <v>44043</v>
      </c>
      <c r="B81" s="159">
        <f>Inputs!D102</f>
        <v>42687999.775185399</v>
      </c>
      <c r="C81" s="159">
        <v>0</v>
      </c>
      <c r="D81" s="159">
        <v>168.5</v>
      </c>
      <c r="E81" s="159">
        <v>31</v>
      </c>
      <c r="F81" s="160">
        <v>0</v>
      </c>
      <c r="G81" s="159">
        <f>Inputs!G102+Inputs!I102+Inputs!L102+Inputs!X102</f>
        <v>23900</v>
      </c>
      <c r="H81" s="159">
        <v>0</v>
      </c>
      <c r="I81" s="159">
        <f t="shared" si="14"/>
        <v>44271848.048229001</v>
      </c>
      <c r="J81" s="9">
        <f t="shared" si="11"/>
        <v>1583848.2730436027</v>
      </c>
      <c r="K81" s="168">
        <f t="shared" si="12"/>
        <v>3.7102892648633687E-2</v>
      </c>
      <c r="L81" s="168">
        <f t="shared" si="15"/>
        <v>3.7102892648633687E-2</v>
      </c>
      <c r="M81" s="169">
        <f t="shared" si="17"/>
        <v>2508575352023.2026</v>
      </c>
      <c r="N81" s="169">
        <f t="shared" si="18"/>
        <v>967749.05931652337</v>
      </c>
      <c r="O81" s="169">
        <f t="shared" si="16"/>
        <v>936538241808.01587</v>
      </c>
      <c r="P81" s="11"/>
      <c r="Q81" s="147"/>
    </row>
    <row r="82" spans="1:18" x14ac:dyDescent="0.25">
      <c r="A82" s="158">
        <v>44074</v>
      </c>
      <c r="B82" s="159">
        <f>Inputs!D103</f>
        <v>37930770.327769101</v>
      </c>
      <c r="C82" s="159">
        <v>1.5999999999999999</v>
      </c>
      <c r="D82" s="159">
        <v>71.100000000000009</v>
      </c>
      <c r="E82" s="159">
        <v>31</v>
      </c>
      <c r="F82" s="160">
        <v>0</v>
      </c>
      <c r="G82" s="159">
        <f>Inputs!G103+Inputs!I103+Inputs!L103+Inputs!X103</f>
        <v>23924</v>
      </c>
      <c r="H82" s="159">
        <v>0</v>
      </c>
      <c r="I82" s="159">
        <f t="shared" si="14"/>
        <v>35138409.424792767</v>
      </c>
      <c r="J82" s="9">
        <f t="shared" si="11"/>
        <v>-2792360.9029763341</v>
      </c>
      <c r="K82" s="168">
        <f t="shared" si="12"/>
        <v>-7.3617300119318899E-2</v>
      </c>
      <c r="L82" s="168">
        <f t="shared" si="15"/>
        <v>7.3617300119318899E-2</v>
      </c>
      <c r="M82" s="169">
        <f t="shared" si="17"/>
        <v>7797279412470.8076</v>
      </c>
      <c r="N82" s="169">
        <f t="shared" si="18"/>
        <v>-4376209.1760199368</v>
      </c>
      <c r="O82" s="169">
        <f t="shared" si="16"/>
        <v>19151206752281.094</v>
      </c>
      <c r="P82" s="11"/>
      <c r="Q82" s="147"/>
    </row>
    <row r="83" spans="1:18" x14ac:dyDescent="0.25">
      <c r="A83" s="158">
        <v>44104</v>
      </c>
      <c r="B83" s="159">
        <f>Inputs!D104</f>
        <v>29216230.450019099</v>
      </c>
      <c r="C83" s="159">
        <v>74.999999999999986</v>
      </c>
      <c r="D83" s="159">
        <v>10</v>
      </c>
      <c r="E83" s="159">
        <v>30</v>
      </c>
      <c r="F83" s="160">
        <v>0</v>
      </c>
      <c r="G83" s="159">
        <f>Inputs!G104+Inputs!I104+Inputs!L104+Inputs!X104</f>
        <v>23945</v>
      </c>
      <c r="H83" s="159">
        <v>0</v>
      </c>
      <c r="I83" s="159">
        <f t="shared" si="14"/>
        <v>28922476.493005916</v>
      </c>
      <c r="J83" s="9">
        <f t="shared" si="11"/>
        <v>-293753.95701318234</v>
      </c>
      <c r="K83" s="168">
        <f t="shared" si="12"/>
        <v>-1.0054478366595383E-2</v>
      </c>
      <c r="L83" s="168">
        <f t="shared" si="15"/>
        <v>1.0054478366595383E-2</v>
      </c>
      <c r="M83" s="169">
        <f t="shared" si="17"/>
        <v>86291387260.902573</v>
      </c>
      <c r="N83" s="169">
        <f t="shared" si="18"/>
        <v>2498606.9459631518</v>
      </c>
      <c r="O83" s="169">
        <f t="shared" si="16"/>
        <v>6243036670415.3086</v>
      </c>
      <c r="P83" s="11"/>
      <c r="Q83" s="147"/>
    </row>
    <row r="84" spans="1:18" x14ac:dyDescent="0.25">
      <c r="A84" s="158">
        <v>44135</v>
      </c>
      <c r="B84" s="159">
        <f>Inputs!D105</f>
        <v>27410041.627921898</v>
      </c>
      <c r="C84" s="159">
        <v>252.50000000000006</v>
      </c>
      <c r="D84" s="159">
        <v>0</v>
      </c>
      <c r="E84" s="159">
        <v>31</v>
      </c>
      <c r="F84" s="160">
        <v>1</v>
      </c>
      <c r="G84" s="159">
        <f>Inputs!G105+Inputs!I105+Inputs!L105+Inputs!X105</f>
        <v>23961</v>
      </c>
      <c r="H84" s="159">
        <v>0</v>
      </c>
      <c r="I84" s="159">
        <f t="shared" si="14"/>
        <v>28873187.897586841</v>
      </c>
      <c r="J84" s="9">
        <f t="shared" si="11"/>
        <v>1463146.2696649432</v>
      </c>
      <c r="K84" s="168">
        <f t="shared" si="12"/>
        <v>5.3379936066002692E-2</v>
      </c>
      <c r="L84" s="168">
        <f t="shared" si="15"/>
        <v>5.3379936066002692E-2</v>
      </c>
      <c r="M84" s="169">
        <f t="shared" si="17"/>
        <v>2140797006434.4387</v>
      </c>
      <c r="N84" s="169">
        <f t="shared" si="18"/>
        <v>1756900.2266781256</v>
      </c>
      <c r="O84" s="169">
        <f t="shared" si="16"/>
        <v>3086698406501.6489</v>
      </c>
      <c r="P84" s="11"/>
      <c r="Q84" s="147"/>
    </row>
    <row r="85" spans="1:18" x14ac:dyDescent="0.25">
      <c r="A85" s="158">
        <v>44165</v>
      </c>
      <c r="B85" s="159">
        <f>Inputs!D106</f>
        <v>28047137.9106231</v>
      </c>
      <c r="C85" s="159">
        <v>329.20000000000005</v>
      </c>
      <c r="D85" s="159">
        <v>0</v>
      </c>
      <c r="E85" s="159">
        <v>30</v>
      </c>
      <c r="F85" s="160">
        <v>1</v>
      </c>
      <c r="G85" s="159">
        <f>Inputs!G106+Inputs!I106+Inputs!L106+Inputs!X106</f>
        <v>23995</v>
      </c>
      <c r="H85" s="159">
        <v>0</v>
      </c>
      <c r="I85" s="159">
        <f t="shared" si="14"/>
        <v>28452342.715216834</v>
      </c>
      <c r="J85" s="9">
        <f t="shared" si="11"/>
        <v>405204.80459373444</v>
      </c>
      <c r="K85" s="168">
        <f t="shared" si="12"/>
        <v>1.4447278217299298E-2</v>
      </c>
      <c r="L85" s="168">
        <f t="shared" si="15"/>
        <v>1.4447278217299298E-2</v>
      </c>
      <c r="M85" s="169">
        <f t="shared" si="17"/>
        <v>164190933665.84653</v>
      </c>
      <c r="N85" s="169">
        <f t="shared" si="18"/>
        <v>-1057941.4650712088</v>
      </c>
      <c r="O85" s="169">
        <f t="shared" si="16"/>
        <v>1119240143517.0156</v>
      </c>
      <c r="P85" s="11"/>
      <c r="Q85" s="147"/>
    </row>
    <row r="86" spans="1:18" x14ac:dyDescent="0.25">
      <c r="A86" s="158">
        <v>44196</v>
      </c>
      <c r="B86" s="159">
        <f>Inputs!D107</f>
        <v>32403661.342188701</v>
      </c>
      <c r="C86" s="159">
        <v>540.4</v>
      </c>
      <c r="D86" s="159">
        <v>0</v>
      </c>
      <c r="E86" s="159">
        <v>31</v>
      </c>
      <c r="F86" s="160">
        <v>1</v>
      </c>
      <c r="G86" s="159">
        <f>Inputs!G107+Inputs!I107+Inputs!L107+Inputs!X107</f>
        <v>24054</v>
      </c>
      <c r="H86" s="159">
        <v>0</v>
      </c>
      <c r="I86" s="159">
        <f t="shared" si="14"/>
        <v>31952600.14385207</v>
      </c>
      <c r="J86" s="9">
        <f t="shared" si="11"/>
        <v>-451061.19833663106</v>
      </c>
      <c r="K86" s="168">
        <f t="shared" si="12"/>
        <v>-1.3920068895096168E-2</v>
      </c>
      <c r="L86" s="168">
        <f t="shared" si="15"/>
        <v>1.3920068895096168E-2</v>
      </c>
      <c r="M86" s="169">
        <f t="shared" si="17"/>
        <v>203456204644.87762</v>
      </c>
      <c r="N86" s="169">
        <f t="shared" si="18"/>
        <v>-856266.0029303655</v>
      </c>
      <c r="O86" s="169">
        <f t="shared" si="16"/>
        <v>733191467774.34473</v>
      </c>
      <c r="P86" s="11"/>
      <c r="Q86" s="147"/>
    </row>
    <row r="87" spans="1:18" x14ac:dyDescent="0.25">
      <c r="A87" s="158">
        <v>44227</v>
      </c>
      <c r="B87" s="159">
        <f>Inputs!D108</f>
        <v>32846157.776278503</v>
      </c>
      <c r="C87" s="159">
        <v>626.70000000000005</v>
      </c>
      <c r="D87" s="159">
        <v>0</v>
      </c>
      <c r="E87" s="159">
        <v>31</v>
      </c>
      <c r="F87" s="160">
        <v>0</v>
      </c>
      <c r="G87" s="159">
        <f>Inputs!G108+Inputs!I108+Inputs!L108+Inputs!X108</f>
        <v>24074</v>
      </c>
      <c r="H87" s="159">
        <v>0</v>
      </c>
      <c r="I87" s="159">
        <f t="shared" si="14"/>
        <v>35094181.228217669</v>
      </c>
      <c r="J87" s="9">
        <f t="shared" si="11"/>
        <v>2248023.4519391656</v>
      </c>
      <c r="K87" s="168">
        <f t="shared" si="12"/>
        <v>6.8440986834773357E-2</v>
      </c>
      <c r="L87" s="168">
        <f t="shared" si="15"/>
        <v>6.8440986834773357E-2</v>
      </c>
      <c r="M87" s="169">
        <f t="shared" si="17"/>
        <v>5053609440468.4824</v>
      </c>
      <c r="N87" s="169">
        <f t="shared" si="18"/>
        <v>2699084.6502757967</v>
      </c>
      <c r="O87" s="169">
        <f t="shared" si="16"/>
        <v>7285057949354.4199</v>
      </c>
      <c r="P87" s="11"/>
      <c r="Q87" s="147"/>
    </row>
    <row r="88" spans="1:18" x14ac:dyDescent="0.25">
      <c r="A88" s="158">
        <v>44255</v>
      </c>
      <c r="B88" s="159">
        <f>Inputs!D109</f>
        <v>30819473.817396801</v>
      </c>
      <c r="C88" s="159">
        <v>667.10000000000014</v>
      </c>
      <c r="D88" s="159">
        <v>0</v>
      </c>
      <c r="E88" s="159">
        <v>28</v>
      </c>
      <c r="F88" s="160">
        <v>0</v>
      </c>
      <c r="G88" s="159">
        <f>Inputs!G109+Inputs!I109+Inputs!L109+Inputs!X109</f>
        <v>24154</v>
      </c>
      <c r="H88" s="159">
        <v>0</v>
      </c>
      <c r="I88" s="159">
        <f t="shared" si="14"/>
        <v>31831400.097645443</v>
      </c>
      <c r="J88" s="9">
        <f t="shared" si="11"/>
        <v>1011926.280248642</v>
      </c>
      <c r="K88" s="168">
        <f t="shared" si="12"/>
        <v>3.2833989517284869E-2</v>
      </c>
      <c r="L88" s="168">
        <f t="shared" si="15"/>
        <v>3.2833989517284869E-2</v>
      </c>
      <c r="M88" s="169">
        <f t="shared" si="17"/>
        <v>1023994796657.853</v>
      </c>
      <c r="N88" s="169">
        <f t="shared" si="18"/>
        <v>-1236097.1716905236</v>
      </c>
      <c r="O88" s="169">
        <f t="shared" si="16"/>
        <v>1527936217861.3118</v>
      </c>
      <c r="P88" s="11"/>
      <c r="Q88" s="147"/>
    </row>
    <row r="89" spans="1:18" x14ac:dyDescent="0.25">
      <c r="A89" s="158">
        <v>44286</v>
      </c>
      <c r="B89" s="159">
        <f>Inputs!D110</f>
        <v>30429325.708896</v>
      </c>
      <c r="C89" s="159">
        <v>450.80000000000007</v>
      </c>
      <c r="D89" s="159">
        <v>0</v>
      </c>
      <c r="E89" s="159">
        <v>31</v>
      </c>
      <c r="F89" s="160">
        <v>1</v>
      </c>
      <c r="G89" s="159">
        <f>Inputs!G110+Inputs!I110+Inputs!L110+Inputs!X110</f>
        <v>24237</v>
      </c>
      <c r="H89" s="159">
        <v>0</v>
      </c>
      <c r="I89" s="159">
        <f t="shared" si="14"/>
        <v>31149672.768001687</v>
      </c>
      <c r="J89" s="9">
        <f t="shared" si="11"/>
        <v>720347.05910568684</v>
      </c>
      <c r="K89" s="168">
        <f t="shared" si="12"/>
        <v>2.3672790715013894E-2</v>
      </c>
      <c r="L89" s="168">
        <f t="shared" si="15"/>
        <v>2.3672790715013894E-2</v>
      </c>
      <c r="M89" s="169">
        <f t="shared" si="17"/>
        <v>518899885562.21191</v>
      </c>
      <c r="N89" s="169">
        <f t="shared" si="18"/>
        <v>-291579.22114295512</v>
      </c>
      <c r="O89" s="169">
        <f t="shared" si="16"/>
        <v>85018442202.332321</v>
      </c>
      <c r="P89" s="11"/>
      <c r="Q89" s="147"/>
    </row>
    <row r="90" spans="1:18" x14ac:dyDescent="0.25">
      <c r="A90" s="158">
        <v>44316</v>
      </c>
      <c r="B90" s="159">
        <f>Inputs!D111</f>
        <v>26763134.5519844</v>
      </c>
      <c r="C90" s="159">
        <v>307</v>
      </c>
      <c r="D90" s="159">
        <v>0</v>
      </c>
      <c r="E90" s="159">
        <v>30</v>
      </c>
      <c r="F90" s="160">
        <v>1</v>
      </c>
      <c r="G90" s="159">
        <f>Inputs!G111+Inputs!I111+Inputs!L111+Inputs!X111</f>
        <v>24275</v>
      </c>
      <c r="H90" s="159">
        <v>0</v>
      </c>
      <c r="I90" s="159">
        <f t="shared" si="14"/>
        <v>28425507.718623888</v>
      </c>
      <c r="J90" s="9">
        <f t="shared" si="11"/>
        <v>1662373.1666394882</v>
      </c>
      <c r="K90" s="168">
        <f t="shared" si="12"/>
        <v>6.2114292457429228E-2</v>
      </c>
      <c r="L90" s="168">
        <f t="shared" si="15"/>
        <v>6.2114292457429228E-2</v>
      </c>
      <c r="M90" s="169">
        <f t="shared" si="17"/>
        <v>2763484545162.9995</v>
      </c>
      <c r="N90" s="169">
        <f t="shared" si="18"/>
        <v>942026.10753380135</v>
      </c>
      <c r="O90" s="169">
        <f t="shared" si="16"/>
        <v>887413187275.28503</v>
      </c>
      <c r="P90" s="11"/>
      <c r="Q90" s="147"/>
    </row>
    <row r="91" spans="1:18" x14ac:dyDescent="0.25">
      <c r="A91" s="158">
        <v>44347</v>
      </c>
      <c r="B91" s="159">
        <f>Inputs!D112</f>
        <v>28296552.692327201</v>
      </c>
      <c r="C91" s="159">
        <v>185.10000000000005</v>
      </c>
      <c r="D91" s="159">
        <v>16.5</v>
      </c>
      <c r="E91" s="159">
        <v>31</v>
      </c>
      <c r="F91" s="160">
        <v>1</v>
      </c>
      <c r="G91" s="159">
        <f>Inputs!G112+Inputs!I112+Inputs!L112+Inputs!X112</f>
        <v>24299</v>
      </c>
      <c r="H91" s="159">
        <v>0</v>
      </c>
      <c r="I91" s="159">
        <f t="shared" si="14"/>
        <v>29969198.362371821</v>
      </c>
      <c r="J91" s="9">
        <f t="shared" si="11"/>
        <v>1672645.6700446196</v>
      </c>
      <c r="K91" s="168">
        <f t="shared" si="12"/>
        <v>5.9111287803555256E-2</v>
      </c>
      <c r="L91" s="168">
        <f t="shared" si="15"/>
        <v>5.9111287803555256E-2</v>
      </c>
      <c r="M91" s="169">
        <f t="shared" si="17"/>
        <v>2797743537519.0146</v>
      </c>
      <c r="N91" s="169">
        <f t="shared" si="18"/>
        <v>10272.5034051314</v>
      </c>
      <c r="O91" s="169">
        <f t="shared" si="16"/>
        <v>105524326.20843621</v>
      </c>
      <c r="P91" s="11"/>
      <c r="Q91" s="147"/>
    </row>
    <row r="92" spans="1:18" x14ac:dyDescent="0.25">
      <c r="A92" s="158">
        <v>44377</v>
      </c>
      <c r="B92" s="159">
        <f>Inputs!D113</f>
        <v>34399006.535900503</v>
      </c>
      <c r="C92" s="159">
        <v>18</v>
      </c>
      <c r="D92" s="159">
        <v>84.800000000000011</v>
      </c>
      <c r="E92" s="159">
        <v>30</v>
      </c>
      <c r="F92" s="160">
        <v>0</v>
      </c>
      <c r="G92" s="159">
        <f>Inputs!G113+Inputs!I113+Inputs!L113+Inputs!X113</f>
        <v>24365</v>
      </c>
      <c r="H92" s="159">
        <v>0</v>
      </c>
      <c r="I92" s="159">
        <f t="shared" si="14"/>
        <v>35674891.394296452</v>
      </c>
      <c r="J92" s="9">
        <f t="shared" si="11"/>
        <v>1275884.858395949</v>
      </c>
      <c r="K92" s="168">
        <f t="shared" si="12"/>
        <v>3.7090747288424521E-2</v>
      </c>
      <c r="L92" s="168">
        <f t="shared" si="15"/>
        <v>3.7090747288424521E-2</v>
      </c>
      <c r="M92" s="169">
        <f t="shared" si="17"/>
        <v>1627882171884.0508</v>
      </c>
      <c r="N92" s="169">
        <f t="shared" si="18"/>
        <v>-396760.81164867058</v>
      </c>
      <c r="O92" s="169">
        <f t="shared" si="16"/>
        <v>157419141660.11185</v>
      </c>
      <c r="P92" s="11"/>
      <c r="Q92" s="147"/>
      <c r="R92"/>
    </row>
    <row r="93" spans="1:18" x14ac:dyDescent="0.25">
      <c r="A93" s="158">
        <v>44408</v>
      </c>
      <c r="B93" s="159">
        <f>Inputs!D114</f>
        <v>36416581.592046797</v>
      </c>
      <c r="C93" s="159">
        <v>6.6000000000000005</v>
      </c>
      <c r="D93" s="159">
        <v>71</v>
      </c>
      <c r="E93" s="159">
        <v>31</v>
      </c>
      <c r="F93" s="160">
        <v>0</v>
      </c>
      <c r="G93" s="159">
        <f>Inputs!G114+Inputs!I114+Inputs!L114+Inputs!X114</f>
        <v>24389</v>
      </c>
      <c r="H93" s="159">
        <v>0</v>
      </c>
      <c r="I93" s="159">
        <f t="shared" si="14"/>
        <v>35522335.947831176</v>
      </c>
      <c r="J93" s="9">
        <f t="shared" si="11"/>
        <v>-894245.64421562105</v>
      </c>
      <c r="K93" s="168">
        <f t="shared" si="12"/>
        <v>-2.455600182997187E-2</v>
      </c>
      <c r="L93" s="168">
        <f t="shared" si="15"/>
        <v>2.455600182997187E-2</v>
      </c>
      <c r="M93" s="169">
        <f t="shared" si="17"/>
        <v>799675272198.61108</v>
      </c>
      <c r="N93" s="169">
        <f t="shared" si="18"/>
        <v>-2170130.5026115701</v>
      </c>
      <c r="O93" s="169">
        <f t="shared" si="16"/>
        <v>4709466398365.1455</v>
      </c>
      <c r="P93" s="11"/>
      <c r="Q93" s="147"/>
      <c r="R93"/>
    </row>
    <row r="94" spans="1:18" x14ac:dyDescent="0.25">
      <c r="A94" s="158">
        <v>44439</v>
      </c>
      <c r="B94" s="159">
        <f>Inputs!D115</f>
        <v>41970614.616817705</v>
      </c>
      <c r="C94" s="159">
        <v>1.8</v>
      </c>
      <c r="D94" s="159">
        <v>137.00000000000003</v>
      </c>
      <c r="E94" s="159">
        <v>31</v>
      </c>
      <c r="F94" s="160">
        <v>0</v>
      </c>
      <c r="G94" s="159">
        <f>Inputs!G115+Inputs!I115+Inputs!L115+Inputs!X115</f>
        <v>24447</v>
      </c>
      <c r="H94" s="159">
        <v>0</v>
      </c>
      <c r="I94" s="159">
        <f t="shared" si="14"/>
        <v>41726920.870339707</v>
      </c>
      <c r="J94" s="9">
        <f t="shared" si="11"/>
        <v>-243693.74647799879</v>
      </c>
      <c r="K94" s="168">
        <f t="shared" si="12"/>
        <v>-5.8062944444075464E-3</v>
      </c>
      <c r="L94" s="168">
        <f t="shared" si="15"/>
        <v>5.8062944444075464E-3</v>
      </c>
      <c r="M94" s="169">
        <f t="shared" si="17"/>
        <v>59386642072.483147</v>
      </c>
      <c r="N94" s="169">
        <f t="shared" si="18"/>
        <v>650551.89773762226</v>
      </c>
      <c r="O94" s="169">
        <f t="shared" si="16"/>
        <v>423217771650.02173</v>
      </c>
      <c r="P94" s="11"/>
      <c r="Q94" s="147"/>
      <c r="R94"/>
    </row>
    <row r="95" spans="1:18" x14ac:dyDescent="0.25">
      <c r="A95" s="158">
        <v>44469</v>
      </c>
      <c r="B95" s="159">
        <f>Inputs!D116</f>
        <v>30974506.587737001</v>
      </c>
      <c r="C95" s="159">
        <v>39.6</v>
      </c>
      <c r="D95" s="159">
        <v>18.399999999999999</v>
      </c>
      <c r="E95" s="159">
        <v>30</v>
      </c>
      <c r="F95" s="160">
        <v>0</v>
      </c>
      <c r="G95" s="159">
        <f>Inputs!G116+Inputs!I116+Inputs!L116+Inputs!X116</f>
        <v>24480</v>
      </c>
      <c r="H95" s="159">
        <v>0</v>
      </c>
      <c r="I95" s="159">
        <f t="shared" si="14"/>
        <v>29735253.700772535</v>
      </c>
      <c r="J95" s="9">
        <f t="shared" si="11"/>
        <v>-1239252.8869644664</v>
      </c>
      <c r="K95" s="168">
        <f t="shared" si="12"/>
        <v>-4.0008801543108173E-2</v>
      </c>
      <c r="L95" s="168">
        <f t="shared" si="15"/>
        <v>4.0008801543108173E-2</v>
      </c>
      <c r="M95" s="169">
        <f t="shared" si="17"/>
        <v>1535747717849.7646</v>
      </c>
      <c r="N95" s="169">
        <f t="shared" si="18"/>
        <v>-995559.14048646763</v>
      </c>
      <c r="O95" s="169">
        <f t="shared" si="16"/>
        <v>991138002206.15417</v>
      </c>
      <c r="P95" s="11"/>
      <c r="Q95" s="147"/>
      <c r="R95"/>
    </row>
    <row r="96" spans="1:18" x14ac:dyDescent="0.25">
      <c r="A96" s="158">
        <v>44500</v>
      </c>
      <c r="B96" s="159">
        <f>Inputs!D117</f>
        <v>28889124.189985599</v>
      </c>
      <c r="C96" s="159">
        <v>142.30000000000001</v>
      </c>
      <c r="D96" s="159">
        <v>10.5</v>
      </c>
      <c r="E96" s="159">
        <v>31</v>
      </c>
      <c r="F96" s="160">
        <v>1</v>
      </c>
      <c r="G96" s="159">
        <f>Inputs!G117+Inputs!I117+Inputs!L117+Inputs!X117</f>
        <v>24539</v>
      </c>
      <c r="H96" s="159">
        <v>0</v>
      </c>
      <c r="I96" s="159">
        <f t="shared" si="14"/>
        <v>29132816.779460073</v>
      </c>
      <c r="J96" s="9">
        <f t="shared" si="11"/>
        <v>243692.58947447315</v>
      </c>
      <c r="K96" s="168">
        <f t="shared" si="12"/>
        <v>8.4354440055662561E-3</v>
      </c>
      <c r="L96" s="168">
        <f t="shared" si="15"/>
        <v>8.4354440055662561E-3</v>
      </c>
      <c r="M96" s="169">
        <f t="shared" si="17"/>
        <v>59386078164.774101</v>
      </c>
      <c r="N96" s="169">
        <f t="shared" si="18"/>
        <v>1482945.4764389396</v>
      </c>
      <c r="O96" s="169">
        <f t="shared" si="16"/>
        <v>2199127286090.7134</v>
      </c>
      <c r="P96" s="11"/>
      <c r="Q96" s="147"/>
      <c r="R96"/>
    </row>
    <row r="97" spans="1:18" x14ac:dyDescent="0.25">
      <c r="A97" s="158">
        <v>44530</v>
      </c>
      <c r="B97" s="159">
        <f>Inputs!D118</f>
        <v>29524971.059174798</v>
      </c>
      <c r="C97" s="159">
        <v>418.6</v>
      </c>
      <c r="D97" s="159">
        <v>0</v>
      </c>
      <c r="E97" s="159">
        <v>30</v>
      </c>
      <c r="F97" s="160">
        <v>1</v>
      </c>
      <c r="G97" s="159">
        <f>Inputs!G118+Inputs!I118+Inputs!L118+Inputs!X118</f>
        <v>24577</v>
      </c>
      <c r="H97" s="159">
        <v>0</v>
      </c>
      <c r="I97" s="159">
        <f t="shared" si="14"/>
        <v>29814249.03298641</v>
      </c>
      <c r="J97" s="9">
        <f t="shared" si="11"/>
        <v>289277.97381161153</v>
      </c>
      <c r="K97" s="168">
        <f t="shared" si="12"/>
        <v>9.7977394535572037E-3</v>
      </c>
      <c r="L97" s="168">
        <f t="shared" si="15"/>
        <v>9.7977394535572037E-3</v>
      </c>
      <c r="M97" s="169">
        <f t="shared" si="17"/>
        <v>83681746132.551407</v>
      </c>
      <c r="N97" s="169">
        <f t="shared" si="18"/>
        <v>45585.384337138385</v>
      </c>
      <c r="O97" s="169">
        <f t="shared" si="16"/>
        <v>2078027265.1646216</v>
      </c>
      <c r="P97" s="11"/>
      <c r="Q97" s="147"/>
      <c r="R97"/>
    </row>
    <row r="98" spans="1:18" x14ac:dyDescent="0.25">
      <c r="A98" s="158">
        <v>44561</v>
      </c>
      <c r="B98" s="159">
        <f>Inputs!D119</f>
        <v>32565823.594668198</v>
      </c>
      <c r="C98" s="159">
        <v>489.69999999999987</v>
      </c>
      <c r="D98" s="159">
        <v>0</v>
      </c>
      <c r="E98" s="159">
        <v>31</v>
      </c>
      <c r="F98" s="160">
        <v>1</v>
      </c>
      <c r="G98" s="159">
        <f>Inputs!G119+Inputs!I119+Inputs!L119+Inputs!X119</f>
        <v>24627</v>
      </c>
      <c r="H98" s="159">
        <v>0</v>
      </c>
      <c r="I98" s="159">
        <f t="shared" si="14"/>
        <v>31842571.727673549</v>
      </c>
      <c r="J98" s="9">
        <f t="shared" si="11"/>
        <v>-723251.86699464917</v>
      </c>
      <c r="K98" s="168">
        <f t="shared" si="12"/>
        <v>-2.2208922949305133E-2</v>
      </c>
      <c r="L98" s="168">
        <f t="shared" si="15"/>
        <v>2.2208922949305133E-2</v>
      </c>
      <c r="M98" s="169">
        <f t="shared" si="17"/>
        <v>523093263111.24567</v>
      </c>
      <c r="N98" s="169">
        <f t="shared" si="18"/>
        <v>-1012529.8408062607</v>
      </c>
      <c r="O98" s="169">
        <f t="shared" si="16"/>
        <v>1025216678523.1516</v>
      </c>
      <c r="P98" s="11"/>
      <c r="Q98" s="147"/>
      <c r="R98"/>
    </row>
    <row r="99" spans="1:18" x14ac:dyDescent="0.25">
      <c r="A99" s="158">
        <v>44592</v>
      </c>
      <c r="B99" s="159">
        <f>Inputs!D120</f>
        <v>35465006.471801899</v>
      </c>
      <c r="C99" s="161">
        <v>792.89999999999964</v>
      </c>
      <c r="D99" s="161">
        <v>0</v>
      </c>
      <c r="E99" s="159">
        <v>31</v>
      </c>
      <c r="F99" s="160">
        <v>0</v>
      </c>
      <c r="G99" s="159">
        <f>Inputs!G120+Inputs!I120+Inputs!L120+Inputs!X120</f>
        <v>24639</v>
      </c>
      <c r="H99" s="159">
        <v>0</v>
      </c>
      <c r="I99" s="159">
        <f t="shared" si="14"/>
        <v>37246885.856094785</v>
      </c>
      <c r="J99" s="9">
        <f t="shared" ref="J99:J130" si="19">I99-B99</f>
        <v>1781879.3842928857</v>
      </c>
      <c r="K99" s="168">
        <f t="shared" ref="K99:K130" si="20">J99/B99</f>
        <v>5.0243311973160121E-2</v>
      </c>
      <c r="L99" s="168">
        <f t="shared" si="15"/>
        <v>5.0243311973160121E-2</v>
      </c>
      <c r="M99" s="169">
        <f t="shared" si="17"/>
        <v>3175094140167.9932</v>
      </c>
      <c r="N99" s="169">
        <f t="shared" si="18"/>
        <v>2505131.2512875348</v>
      </c>
      <c r="O99" s="169">
        <f t="shared" si="16"/>
        <v>6275682586177.4502</v>
      </c>
      <c r="P99" s="11"/>
      <c r="Q99" s="147"/>
      <c r="R99"/>
    </row>
    <row r="100" spans="1:18" x14ac:dyDescent="0.25">
      <c r="A100" s="158">
        <v>44620</v>
      </c>
      <c r="B100" s="159">
        <f>Inputs!D121</f>
        <v>31523310.542636499</v>
      </c>
      <c r="C100" s="161">
        <v>617.19999999999993</v>
      </c>
      <c r="D100" s="161">
        <v>0</v>
      </c>
      <c r="E100" s="159">
        <v>28</v>
      </c>
      <c r="F100" s="160">
        <v>0</v>
      </c>
      <c r="G100" s="159">
        <f>Inputs!G121+Inputs!I121+Inputs!L121+Inputs!X121</f>
        <v>24652</v>
      </c>
      <c r="H100" s="159">
        <v>0</v>
      </c>
      <c r="I100" s="159">
        <f t="shared" si="14"/>
        <v>31674732.101958472</v>
      </c>
      <c r="J100" s="9">
        <f t="shared" si="19"/>
        <v>151421.55932197347</v>
      </c>
      <c r="K100" s="168">
        <f t="shared" si="20"/>
        <v>4.803478972082261E-3</v>
      </c>
      <c r="L100" s="168">
        <f t="shared" si="15"/>
        <v>4.803478972082261E-3</v>
      </c>
      <c r="M100" s="169">
        <f t="shared" si="17"/>
        <v>22928488627.497932</v>
      </c>
      <c r="N100" s="169">
        <f t="shared" si="18"/>
        <v>-1630457.8249709122</v>
      </c>
      <c r="O100" s="169">
        <f t="shared" si="16"/>
        <v>2658392719008.8779</v>
      </c>
      <c r="P100" s="11"/>
      <c r="Q100" s="147"/>
      <c r="R100"/>
    </row>
    <row r="101" spans="1:18" x14ac:dyDescent="0.25">
      <c r="A101" s="158">
        <v>44651</v>
      </c>
      <c r="B101" s="159">
        <f>Inputs!D122</f>
        <v>32353240.0566434</v>
      </c>
      <c r="C101" s="161">
        <v>498.9</v>
      </c>
      <c r="D101" s="161">
        <v>0</v>
      </c>
      <c r="E101" s="159">
        <v>31</v>
      </c>
      <c r="F101" s="160">
        <v>1</v>
      </c>
      <c r="G101" s="159">
        <f>Inputs!G122+Inputs!I122+Inputs!L122+Inputs!X122</f>
        <v>24687</v>
      </c>
      <c r="H101" s="159">
        <v>0</v>
      </c>
      <c r="I101" s="159">
        <f t="shared" si="14"/>
        <v>31982801.917961288</v>
      </c>
      <c r="J101" s="9">
        <f t="shared" si="19"/>
        <v>-370438.1386821121</v>
      </c>
      <c r="K101" s="168">
        <f t="shared" si="20"/>
        <v>-1.144980033015415E-2</v>
      </c>
      <c r="L101" s="168">
        <f t="shared" si="15"/>
        <v>1.144980033015415E-2</v>
      </c>
      <c r="M101" s="169">
        <f t="shared" si="17"/>
        <v>137224414590.26772</v>
      </c>
      <c r="N101" s="169">
        <f t="shared" si="18"/>
        <v>-521859.69800408557</v>
      </c>
      <c r="O101" s="169">
        <f t="shared" si="16"/>
        <v>272337544400.91541</v>
      </c>
      <c r="P101" s="11"/>
      <c r="Q101" s="147"/>
      <c r="R101"/>
    </row>
    <row r="102" spans="1:18" x14ac:dyDescent="0.25">
      <c r="A102" s="158">
        <v>44681</v>
      </c>
      <c r="B102" s="159">
        <f>Inputs!D123</f>
        <v>27915177.2162803</v>
      </c>
      <c r="C102" s="161">
        <v>336.8</v>
      </c>
      <c r="D102" s="161">
        <v>0</v>
      </c>
      <c r="E102" s="159">
        <v>30</v>
      </c>
      <c r="F102" s="160">
        <v>1</v>
      </c>
      <c r="G102" s="159">
        <f>Inputs!G123+Inputs!I123+Inputs!L123+Inputs!X123</f>
        <v>24739</v>
      </c>
      <c r="H102" s="159">
        <v>0</v>
      </c>
      <c r="I102" s="159">
        <f t="shared" si="14"/>
        <v>29077501.473058116</v>
      </c>
      <c r="J102" s="9">
        <f t="shared" si="19"/>
        <v>1162324.2567778155</v>
      </c>
      <c r="K102" s="168">
        <f t="shared" si="20"/>
        <v>4.1637717280904131E-2</v>
      </c>
      <c r="L102" s="168">
        <f t="shared" si="15"/>
        <v>4.1637717280904131E-2</v>
      </c>
      <c r="M102" s="169">
        <f t="shared" si="17"/>
        <v>1350997677894.1013</v>
      </c>
      <c r="N102" s="169">
        <f t="shared" si="18"/>
        <v>1532762.3954599276</v>
      </c>
      <c r="O102" s="169">
        <f t="shared" si="16"/>
        <v>2349360560936.0557</v>
      </c>
      <c r="P102" s="11"/>
      <c r="Q102" s="147"/>
      <c r="R102"/>
    </row>
    <row r="103" spans="1:18" x14ac:dyDescent="0.25">
      <c r="A103" s="158">
        <v>44712</v>
      </c>
      <c r="B103" s="159">
        <f>Inputs!D124</f>
        <v>29942359.493953399</v>
      </c>
      <c r="C103" s="161">
        <v>112.50000000000001</v>
      </c>
      <c r="D103" s="161">
        <v>24.3</v>
      </c>
      <c r="E103" s="159">
        <v>31</v>
      </c>
      <c r="F103" s="160">
        <v>1</v>
      </c>
      <c r="G103" s="159">
        <f>Inputs!G124+Inputs!I124+Inputs!L124+Inputs!X124</f>
        <v>24766</v>
      </c>
      <c r="H103" s="159">
        <v>0</v>
      </c>
      <c r="I103" s="159">
        <f t="shared" si="14"/>
        <v>30286545.373261288</v>
      </c>
      <c r="J103" s="9">
        <f t="shared" si="19"/>
        <v>344185.87930788845</v>
      </c>
      <c r="K103" s="168">
        <f t="shared" si="20"/>
        <v>1.1494948465146636E-2</v>
      </c>
      <c r="L103" s="168">
        <f t="shared" si="15"/>
        <v>1.1494948465146636E-2</v>
      </c>
      <c r="M103" s="169">
        <f t="shared" si="17"/>
        <v>118463919514.94435</v>
      </c>
      <c r="N103" s="169">
        <f t="shared" si="18"/>
        <v>-818138.37746992707</v>
      </c>
      <c r="O103" s="169">
        <f t="shared" si="16"/>
        <v>669350404689.12488</v>
      </c>
      <c r="P103" s="11"/>
      <c r="Q103" s="147"/>
      <c r="R103"/>
    </row>
    <row r="104" spans="1:18" x14ac:dyDescent="0.25">
      <c r="A104" s="158">
        <v>44742</v>
      </c>
      <c r="B104" s="159">
        <f>Inputs!D125</f>
        <v>32984458.022498798</v>
      </c>
      <c r="C104" s="161">
        <v>29.599999999999998</v>
      </c>
      <c r="D104" s="161">
        <v>47.199999999999996</v>
      </c>
      <c r="E104" s="159">
        <v>30</v>
      </c>
      <c r="F104" s="160">
        <v>0</v>
      </c>
      <c r="G104" s="159">
        <f>Inputs!G125+Inputs!I125+Inputs!L125+Inputs!X125</f>
        <v>24790</v>
      </c>
      <c r="H104" s="159">
        <v>0</v>
      </c>
      <c r="I104" s="159">
        <f t="shared" si="14"/>
        <v>32568823.885022439</v>
      </c>
      <c r="J104" s="9">
        <f t="shared" si="19"/>
        <v>-415634.13747635856</v>
      </c>
      <c r="K104" s="168">
        <f t="shared" si="20"/>
        <v>-1.2600908500386858E-2</v>
      </c>
      <c r="L104" s="168">
        <f t="shared" si="15"/>
        <v>1.2600908500386858E-2</v>
      </c>
      <c r="M104" s="169">
        <f t="shared" si="17"/>
        <v>172751736235.71652</v>
      </c>
      <c r="N104" s="169">
        <f t="shared" si="18"/>
        <v>-759820.01678424701</v>
      </c>
      <c r="O104" s="169">
        <f t="shared" si="16"/>
        <v>577326457906.01343</v>
      </c>
      <c r="P104" s="11"/>
      <c r="Q104" s="147"/>
      <c r="R104"/>
    </row>
    <row r="105" spans="1:18" x14ac:dyDescent="0.25">
      <c r="A105" s="158">
        <v>44773</v>
      </c>
      <c r="B105" s="159">
        <f>Inputs!D126</f>
        <v>39133029.9268599</v>
      </c>
      <c r="C105" s="161">
        <v>0.5</v>
      </c>
      <c r="D105" s="161">
        <v>101.89999999999999</v>
      </c>
      <c r="E105" s="159">
        <v>31</v>
      </c>
      <c r="F105" s="160">
        <v>0</v>
      </c>
      <c r="G105" s="159">
        <f>Inputs!G126+Inputs!I126+Inputs!L126+Inputs!X126</f>
        <v>24818</v>
      </c>
      <c r="H105" s="159">
        <v>0</v>
      </c>
      <c r="I105" s="159">
        <f t="shared" si="14"/>
        <v>38681637.200898051</v>
      </c>
      <c r="J105" s="9">
        <f t="shared" si="19"/>
        <v>-451392.72596184909</v>
      </c>
      <c r="K105" s="168">
        <f t="shared" si="20"/>
        <v>-1.1534826891899438E-2</v>
      </c>
      <c r="L105" s="168">
        <f t="shared" si="15"/>
        <v>1.1534826891899438E-2</v>
      </c>
      <c r="M105" s="169">
        <f t="shared" si="17"/>
        <v>203755393051.26898</v>
      </c>
      <c r="N105" s="169">
        <f t="shared" si="18"/>
        <v>-35758.588485490531</v>
      </c>
      <c r="O105" s="169">
        <f t="shared" si="16"/>
        <v>1278676650.4746559</v>
      </c>
      <c r="P105" s="11"/>
      <c r="Q105" s="147"/>
      <c r="R105"/>
    </row>
    <row r="106" spans="1:18" x14ac:dyDescent="0.25">
      <c r="A106" s="158">
        <v>44804</v>
      </c>
      <c r="B106" s="159">
        <f>Inputs!D127</f>
        <v>39821521.175825201</v>
      </c>
      <c r="C106" s="161">
        <v>0.2</v>
      </c>
      <c r="D106" s="161">
        <v>103.60000000000001</v>
      </c>
      <c r="E106" s="159">
        <v>31</v>
      </c>
      <c r="F106" s="160">
        <v>0</v>
      </c>
      <c r="G106" s="159">
        <f>Inputs!G127+Inputs!I127+Inputs!L127+Inputs!X127</f>
        <v>24861</v>
      </c>
      <c r="H106" s="159">
        <v>0</v>
      </c>
      <c r="I106" s="159">
        <f t="shared" si="14"/>
        <v>38870049.262702614</v>
      </c>
      <c r="J106" s="9">
        <f t="shared" si="19"/>
        <v>-951471.91312258691</v>
      </c>
      <c r="K106" s="168">
        <f t="shared" si="20"/>
        <v>-2.3893409518976519E-2</v>
      </c>
      <c r="L106" s="168">
        <f t="shared" si="15"/>
        <v>2.3893409518976519E-2</v>
      </c>
      <c r="M106" s="169">
        <f t="shared" si="17"/>
        <v>905298801461.15552</v>
      </c>
      <c r="N106" s="169">
        <f t="shared" si="18"/>
        <v>-500079.18716073781</v>
      </c>
      <c r="O106" s="169">
        <f t="shared" si="16"/>
        <v>250079193431.34424</v>
      </c>
      <c r="P106" s="11"/>
      <c r="Q106" s="147"/>
      <c r="R106"/>
    </row>
    <row r="107" spans="1:18" x14ac:dyDescent="0.25">
      <c r="A107" s="158">
        <v>44834</v>
      </c>
      <c r="B107" s="159">
        <f>Inputs!D128</f>
        <v>31429525.786972698</v>
      </c>
      <c r="C107" s="161">
        <v>66.000000000000014</v>
      </c>
      <c r="D107" s="161">
        <v>25.3</v>
      </c>
      <c r="E107" s="159">
        <v>30</v>
      </c>
      <c r="F107" s="160">
        <v>0</v>
      </c>
      <c r="G107" s="159">
        <f>Inputs!G128+Inputs!I128+Inputs!L128+Inputs!X128</f>
        <v>24901</v>
      </c>
      <c r="H107" s="159">
        <v>0</v>
      </c>
      <c r="I107" s="159">
        <f t="shared" si="14"/>
        <v>30969611.403681953</v>
      </c>
      <c r="J107" s="9">
        <f t="shared" si="19"/>
        <v>-459914.38329074532</v>
      </c>
      <c r="K107" s="168">
        <f t="shared" si="20"/>
        <v>-1.463319511748333E-2</v>
      </c>
      <c r="L107" s="168">
        <f t="shared" si="15"/>
        <v>1.463319511748333E-2</v>
      </c>
      <c r="M107" s="169">
        <f t="shared" si="17"/>
        <v>211521239957.7066</v>
      </c>
      <c r="N107" s="169">
        <f t="shared" si="18"/>
        <v>491557.52983184159</v>
      </c>
      <c r="O107" s="169">
        <f t="shared" si="16"/>
        <v>241628805134.38184</v>
      </c>
      <c r="P107" s="11"/>
      <c r="Q107" s="147"/>
      <c r="R107"/>
    </row>
    <row r="108" spans="1:18" x14ac:dyDescent="0.25">
      <c r="A108" s="158">
        <v>44865</v>
      </c>
      <c r="B108" s="159">
        <f>Inputs!D129</f>
        <v>28375439.900397301</v>
      </c>
      <c r="C108" s="161">
        <v>260.39999999999998</v>
      </c>
      <c r="D108" s="161">
        <v>0</v>
      </c>
      <c r="E108" s="159">
        <v>31</v>
      </c>
      <c r="F108" s="160">
        <v>1</v>
      </c>
      <c r="G108" s="159">
        <f>Inputs!G129+Inputs!I129+Inputs!L129+Inputs!X129</f>
        <v>24980</v>
      </c>
      <c r="H108" s="159">
        <v>0</v>
      </c>
      <c r="I108" s="159">
        <f t="shared" si="14"/>
        <v>29703176.526525695</v>
      </c>
      <c r="J108" s="9">
        <f t="shared" si="19"/>
        <v>1327736.6261283942</v>
      </c>
      <c r="K108" s="168">
        <f t="shared" si="20"/>
        <v>4.6791754798832345E-2</v>
      </c>
      <c r="L108" s="168">
        <f t="shared" si="15"/>
        <v>4.6791754798832345E-2</v>
      </c>
      <c r="M108" s="169">
        <f t="shared" si="17"/>
        <v>1762884548362.811</v>
      </c>
      <c r="N108" s="169">
        <f t="shared" si="18"/>
        <v>1787651.0094191395</v>
      </c>
      <c r="O108" s="169">
        <f t="shared" si="16"/>
        <v>3195696131477.2681</v>
      </c>
      <c r="P108" s="11"/>
      <c r="Q108" s="147"/>
      <c r="R108"/>
    </row>
    <row r="109" spans="1:18" x14ac:dyDescent="0.25">
      <c r="A109" s="158">
        <v>44895</v>
      </c>
      <c r="B109" s="159">
        <f>Inputs!D130</f>
        <v>29798652.173497498</v>
      </c>
      <c r="C109" s="161">
        <v>378</v>
      </c>
      <c r="D109" s="161">
        <v>2.2999999999999998</v>
      </c>
      <c r="E109" s="159">
        <v>30</v>
      </c>
      <c r="F109" s="160">
        <v>1</v>
      </c>
      <c r="G109" s="159">
        <f>Inputs!G130+Inputs!I130+Inputs!L130+Inputs!X130</f>
        <v>25014</v>
      </c>
      <c r="H109" s="159">
        <v>0</v>
      </c>
      <c r="I109" s="159">
        <f t="shared" si="14"/>
        <v>29926600.131987412</v>
      </c>
      <c r="J109" s="9">
        <f t="shared" si="19"/>
        <v>127947.95848991349</v>
      </c>
      <c r="K109" s="168">
        <f t="shared" si="20"/>
        <v>4.2937498563679535E-3</v>
      </c>
      <c r="L109" s="168">
        <f t="shared" si="15"/>
        <v>4.2937498563679535E-3</v>
      </c>
      <c r="M109" s="169">
        <f t="shared" si="17"/>
        <v>16370680081.736626</v>
      </c>
      <c r="N109" s="169">
        <f t="shared" si="18"/>
        <v>-1199788.6676384807</v>
      </c>
      <c r="O109" s="169">
        <f t="shared" si="16"/>
        <v>1439492846993.7207</v>
      </c>
      <c r="P109" s="11"/>
      <c r="Q109" s="147"/>
      <c r="R109"/>
    </row>
    <row r="110" spans="1:18" x14ac:dyDescent="0.25">
      <c r="A110" s="158">
        <v>44926</v>
      </c>
      <c r="B110" s="159">
        <f>Inputs!D131</f>
        <v>33870515.1064891</v>
      </c>
      <c r="C110" s="161">
        <v>550.09999999999991</v>
      </c>
      <c r="D110" s="161">
        <v>0</v>
      </c>
      <c r="E110" s="159">
        <v>31</v>
      </c>
      <c r="F110" s="160">
        <v>1</v>
      </c>
      <c r="G110" s="159">
        <f>Inputs!G131+Inputs!I131+Inputs!L131+Inputs!X131</f>
        <v>25063</v>
      </c>
      <c r="H110" s="159">
        <v>0</v>
      </c>
      <c r="I110" s="159">
        <f t="shared" si="14"/>
        <v>32794081.073962808</v>
      </c>
      <c r="J110" s="9">
        <f t="shared" si="19"/>
        <v>-1076434.0325262919</v>
      </c>
      <c r="K110" s="168">
        <f t="shared" si="20"/>
        <v>-3.1780858045470435E-2</v>
      </c>
      <c r="L110" s="168">
        <f t="shared" si="15"/>
        <v>3.1780858045470435E-2</v>
      </c>
      <c r="M110" s="169">
        <f t="shared" si="17"/>
        <v>1158710226380.814</v>
      </c>
      <c r="N110" s="169">
        <f t="shared" si="18"/>
        <v>-1204381.9910162054</v>
      </c>
      <c r="O110" s="169">
        <f t="shared" si="16"/>
        <v>1450535980284.1592</v>
      </c>
      <c r="P110" s="11"/>
      <c r="Q110" s="147"/>
      <c r="R110"/>
    </row>
    <row r="111" spans="1:18" x14ac:dyDescent="0.25">
      <c r="A111" s="158">
        <v>44957</v>
      </c>
      <c r="B111" s="159">
        <f>Inputs!D132</f>
        <v>33991812.103445902</v>
      </c>
      <c r="C111" s="159">
        <v>566.30000000000007</v>
      </c>
      <c r="D111" s="159">
        <v>0</v>
      </c>
      <c r="E111" s="159">
        <v>31</v>
      </c>
      <c r="F111" s="160">
        <v>0</v>
      </c>
      <c r="G111" s="159">
        <f>Inputs!G132+Inputs!I132+Inputs!L132+Inputs!X132</f>
        <v>25081</v>
      </c>
      <c r="H111" s="159">
        <v>0</v>
      </c>
      <c r="I111" s="159">
        <f t="shared" si="14"/>
        <v>35201005.396007776</v>
      </c>
      <c r="J111" s="9">
        <f t="shared" si="19"/>
        <v>1209193.2925618738</v>
      </c>
      <c r="K111" s="168">
        <f t="shared" si="20"/>
        <v>3.5573075330081992E-2</v>
      </c>
      <c r="L111" s="168">
        <f t="shared" si="15"/>
        <v>3.5573075330081992E-2</v>
      </c>
      <c r="M111" s="169">
        <f t="shared" si="17"/>
        <v>1462148418776.6252</v>
      </c>
      <c r="N111" s="169">
        <f t="shared" si="18"/>
        <v>2285627.3250881657</v>
      </c>
      <c r="O111" s="169">
        <f t="shared" si="16"/>
        <v>5224092269189.6836</v>
      </c>
      <c r="P111" s="11"/>
      <c r="Q111" s="147"/>
      <c r="R111"/>
    </row>
    <row r="112" spans="1:18" x14ac:dyDescent="0.25">
      <c r="A112" s="158">
        <v>44985</v>
      </c>
      <c r="B112" s="159">
        <f>Inputs!D133</f>
        <v>30665858.379131198</v>
      </c>
      <c r="C112" s="159">
        <v>478.7999999999999</v>
      </c>
      <c r="D112" s="159">
        <v>0</v>
      </c>
      <c r="E112" s="159">
        <v>28</v>
      </c>
      <c r="F112" s="160">
        <v>0</v>
      </c>
      <c r="G112" s="159">
        <f>Inputs!G133+Inputs!I133+Inputs!L133+Inputs!X133</f>
        <v>25093</v>
      </c>
      <c r="H112" s="159">
        <v>0</v>
      </c>
      <c r="I112" s="159">
        <f t="shared" si="14"/>
        <v>30550619.644189782</v>
      </c>
      <c r="J112" s="9">
        <f t="shared" si="19"/>
        <v>-115238.73494141549</v>
      </c>
      <c r="K112" s="168">
        <f t="shared" si="20"/>
        <v>-3.7578838823516523E-3</v>
      </c>
      <c r="L112" s="168">
        <f t="shared" si="15"/>
        <v>3.7578838823516523E-3</v>
      </c>
      <c r="M112" s="169">
        <f t="shared" si="17"/>
        <v>13279966030.897816</v>
      </c>
      <c r="N112" s="169">
        <f t="shared" si="18"/>
        <v>-1324432.0275032893</v>
      </c>
      <c r="O112" s="169">
        <f t="shared" si="16"/>
        <v>1754120195476.4736</v>
      </c>
      <c r="P112" s="11"/>
      <c r="Q112" s="147"/>
      <c r="R112"/>
    </row>
    <row r="113" spans="1:18" x14ac:dyDescent="0.25">
      <c r="A113" s="158">
        <v>45016</v>
      </c>
      <c r="B113" s="159">
        <f>Inputs!D134</f>
        <v>32629381.9263977</v>
      </c>
      <c r="C113" s="159">
        <v>518.90000000000009</v>
      </c>
      <c r="D113" s="159">
        <v>0</v>
      </c>
      <c r="E113" s="159">
        <v>31</v>
      </c>
      <c r="F113" s="160">
        <v>1</v>
      </c>
      <c r="G113" s="159">
        <f>Inputs!G134+Inputs!I134+Inputs!L134+Inputs!X134</f>
        <v>25129</v>
      </c>
      <c r="H113" s="159">
        <v>0</v>
      </c>
      <c r="I113" s="159">
        <f t="shared" si="14"/>
        <v>32516160.144818157</v>
      </c>
      <c r="J113" s="9">
        <f t="shared" si="19"/>
        <v>-113221.78157954291</v>
      </c>
      <c r="K113" s="168">
        <f t="shared" si="20"/>
        <v>-3.4699333819726646E-3</v>
      </c>
      <c r="L113" s="168">
        <f t="shared" si="15"/>
        <v>3.4699333819726646E-3</v>
      </c>
      <c r="M113" s="169">
        <f t="shared" si="17"/>
        <v>12819171824.045721</v>
      </c>
      <c r="N113" s="169">
        <f t="shared" si="18"/>
        <v>2016.9533618725836</v>
      </c>
      <c r="O113" s="169">
        <f t="shared" si="16"/>
        <v>4068100.8639691174</v>
      </c>
      <c r="P113" s="11"/>
      <c r="Q113" s="147"/>
      <c r="R113"/>
    </row>
    <row r="114" spans="1:18" x14ac:dyDescent="0.25">
      <c r="A114" s="158">
        <v>45046</v>
      </c>
      <c r="B114" s="159">
        <f>Inputs!D135</f>
        <v>28070848.797054499</v>
      </c>
      <c r="C114" s="159">
        <v>281.3</v>
      </c>
      <c r="D114" s="159">
        <v>0</v>
      </c>
      <c r="E114" s="159">
        <v>30</v>
      </c>
      <c r="F114" s="160">
        <v>1</v>
      </c>
      <c r="G114" s="159">
        <f>Inputs!G135+Inputs!I135+Inputs!L135+Inputs!X135</f>
        <v>25213</v>
      </c>
      <c r="H114" s="159">
        <v>0</v>
      </c>
      <c r="I114" s="159">
        <f t="shared" si="14"/>
        <v>28844659.737513427</v>
      </c>
      <c r="J114" s="9">
        <f t="shared" si="19"/>
        <v>773810.9404589273</v>
      </c>
      <c r="K114" s="168">
        <f t="shared" si="20"/>
        <v>2.7566353481271434E-2</v>
      </c>
      <c r="L114" s="168">
        <f t="shared" si="15"/>
        <v>2.7566353481271434E-2</v>
      </c>
      <c r="M114" s="169">
        <f t="shared" si="17"/>
        <v>598783371573.92957</v>
      </c>
      <c r="N114" s="169">
        <f t="shared" si="18"/>
        <v>887032.72203847021</v>
      </c>
      <c r="O114" s="169">
        <f t="shared" si="16"/>
        <v>786827049966.97791</v>
      </c>
      <c r="P114" s="11"/>
      <c r="Q114" s="147"/>
      <c r="R114"/>
    </row>
    <row r="115" spans="1:18" x14ac:dyDescent="0.25">
      <c r="A115" s="158">
        <v>45077</v>
      </c>
      <c r="B115" s="159">
        <f>Inputs!D136</f>
        <v>28924411.6335361</v>
      </c>
      <c r="C115" s="159">
        <v>172.1</v>
      </c>
      <c r="D115" s="159">
        <v>5.4</v>
      </c>
      <c r="E115" s="159">
        <v>31</v>
      </c>
      <c r="F115" s="160">
        <v>1</v>
      </c>
      <c r="G115" s="159">
        <f>Inputs!G136+Inputs!I136+Inputs!L136+Inputs!X136</f>
        <v>25301</v>
      </c>
      <c r="H115" s="159">
        <v>0</v>
      </c>
      <c r="I115" s="159">
        <f t="shared" si="14"/>
        <v>29523333.910258863</v>
      </c>
      <c r="J115" s="9">
        <f t="shared" si="19"/>
        <v>598922.27672276273</v>
      </c>
      <c r="K115" s="168">
        <f t="shared" si="20"/>
        <v>2.0706463602818758E-2</v>
      </c>
      <c r="L115" s="168">
        <f t="shared" si="15"/>
        <v>2.0706463602818758E-2</v>
      </c>
      <c r="M115" s="169">
        <f t="shared" si="17"/>
        <v>358707893554.77759</v>
      </c>
      <c r="N115" s="169">
        <f t="shared" si="18"/>
        <v>-174888.66373616457</v>
      </c>
      <c r="O115" s="169">
        <f t="shared" si="16"/>
        <v>30586044703.421246</v>
      </c>
      <c r="P115" s="11"/>
      <c r="Q115" s="147"/>
      <c r="R115"/>
    </row>
    <row r="116" spans="1:18" x14ac:dyDescent="0.25">
      <c r="A116" s="158">
        <v>45107</v>
      </c>
      <c r="B116" s="159">
        <f>Inputs!D137</f>
        <v>32337605.014613099</v>
      </c>
      <c r="C116" s="159">
        <v>33.4</v>
      </c>
      <c r="D116" s="159">
        <v>41.800000000000004</v>
      </c>
      <c r="E116" s="159">
        <v>30</v>
      </c>
      <c r="F116" s="160">
        <v>0</v>
      </c>
      <c r="G116" s="159">
        <f>Inputs!G137+Inputs!I137+Inputs!L137+Inputs!X137</f>
        <v>25386</v>
      </c>
      <c r="H116" s="159">
        <v>0</v>
      </c>
      <c r="I116" s="159">
        <f t="shared" si="14"/>
        <v>32537415.625028461</v>
      </c>
      <c r="J116" s="9">
        <f t="shared" si="19"/>
        <v>199810.61041536182</v>
      </c>
      <c r="K116" s="168">
        <f t="shared" si="20"/>
        <v>6.1788932830699438E-3</v>
      </c>
      <c r="L116" s="168">
        <f t="shared" si="15"/>
        <v>6.1788932830699438E-3</v>
      </c>
      <c r="M116" s="169">
        <f t="shared" si="17"/>
        <v>39924280034.559502</v>
      </c>
      <c r="N116" s="169">
        <f t="shared" si="18"/>
        <v>-399111.66630740091</v>
      </c>
      <c r="O116" s="169">
        <f t="shared" si="16"/>
        <v>159290122182.67014</v>
      </c>
      <c r="P116" s="11"/>
      <c r="Q116" s="147"/>
      <c r="R116"/>
    </row>
    <row r="117" spans="1:18" x14ac:dyDescent="0.25">
      <c r="A117" s="158">
        <v>45138</v>
      </c>
      <c r="B117" s="159">
        <f>Inputs!D138</f>
        <v>39594891.335779101</v>
      </c>
      <c r="C117" s="159">
        <v>0</v>
      </c>
      <c r="D117" s="159">
        <v>103.39999999999996</v>
      </c>
      <c r="E117" s="159">
        <v>31</v>
      </c>
      <c r="F117" s="160">
        <v>0</v>
      </c>
      <c r="G117" s="159">
        <f>Inputs!G138+Inputs!I138+Inputs!L138+Inputs!X138</f>
        <v>25423</v>
      </c>
      <c r="H117" s="159">
        <v>0</v>
      </c>
      <c r="I117" s="159">
        <f t="shared" si="14"/>
        <v>39261317.754151419</v>
      </c>
      <c r="J117" s="9">
        <f t="shared" si="19"/>
        <v>-333573.58162768185</v>
      </c>
      <c r="K117" s="168">
        <f t="shared" si="20"/>
        <v>-8.4246621312546715E-3</v>
      </c>
      <c r="L117" s="168">
        <f t="shared" si="15"/>
        <v>8.4246621312546715E-3</v>
      </c>
      <c r="M117" s="169">
        <f t="shared" si="17"/>
        <v>111271334359.91972</v>
      </c>
      <c r="N117" s="169">
        <f t="shared" si="18"/>
        <v>-533384.19204304367</v>
      </c>
      <c r="O117" s="169">
        <f t="shared" si="16"/>
        <v>284498696321.41052</v>
      </c>
      <c r="P117" s="11"/>
      <c r="Q117" s="147"/>
      <c r="R117"/>
    </row>
    <row r="118" spans="1:18" x14ac:dyDescent="0.25">
      <c r="A118" s="158">
        <v>45169</v>
      </c>
      <c r="B118" s="159">
        <f>Inputs!D139</f>
        <v>35523357.586275995</v>
      </c>
      <c r="C118" s="159">
        <v>13.600000000000001</v>
      </c>
      <c r="D118" s="159">
        <v>49.099999999999994</v>
      </c>
      <c r="E118" s="159">
        <v>31</v>
      </c>
      <c r="F118" s="160">
        <v>0</v>
      </c>
      <c r="G118" s="159">
        <f>Inputs!G139+Inputs!I139+Inputs!L139+Inputs!X139</f>
        <v>25474</v>
      </c>
      <c r="H118" s="159">
        <v>0</v>
      </c>
      <c r="I118" s="159">
        <f t="shared" si="14"/>
        <v>34329979.776788786</v>
      </c>
      <c r="J118" s="9">
        <f t="shared" si="19"/>
        <v>-1193377.8094872087</v>
      </c>
      <c r="K118" s="168">
        <f t="shared" si="20"/>
        <v>-3.3594172695777365E-2</v>
      </c>
      <c r="L118" s="168">
        <f t="shared" si="15"/>
        <v>3.3594172695777365E-2</v>
      </c>
      <c r="M118" s="169">
        <f t="shared" si="17"/>
        <v>1424150596176.4885</v>
      </c>
      <c r="N118" s="169">
        <f t="shared" si="18"/>
        <v>-859804.22785952687</v>
      </c>
      <c r="O118" s="169">
        <f t="shared" si="16"/>
        <v>739263310245.11719</v>
      </c>
      <c r="P118" s="11"/>
      <c r="Q118" s="147"/>
      <c r="R118"/>
    </row>
    <row r="119" spans="1:18" x14ac:dyDescent="0.25">
      <c r="A119" s="158">
        <v>45199</v>
      </c>
      <c r="B119" s="159">
        <f>Inputs!D140</f>
        <v>31570923.270029802</v>
      </c>
      <c r="C119" s="159">
        <v>45.999999999999993</v>
      </c>
      <c r="D119" s="159">
        <v>29.400000000000002</v>
      </c>
      <c r="E119" s="159">
        <v>30</v>
      </c>
      <c r="F119" s="160">
        <v>0</v>
      </c>
      <c r="G119" s="159">
        <f>Inputs!G140+Inputs!I140+Inputs!L140+Inputs!X140</f>
        <v>25548</v>
      </c>
      <c r="H119" s="159">
        <v>0</v>
      </c>
      <c r="I119" s="159">
        <f t="shared" si="14"/>
        <v>31620866.460664835</v>
      </c>
      <c r="J119" s="9">
        <f t="shared" si="19"/>
        <v>49943.190635032952</v>
      </c>
      <c r="K119" s="168">
        <f t="shared" si="20"/>
        <v>1.5819363345146102E-3</v>
      </c>
      <c r="L119" s="168">
        <f t="shared" si="15"/>
        <v>1.5819363345146102E-3</v>
      </c>
      <c r="M119" s="169">
        <f t="shared" si="17"/>
        <v>2494322290.8072433</v>
      </c>
      <c r="N119" s="169">
        <f t="shared" si="18"/>
        <v>1243321.0001222417</v>
      </c>
      <c r="O119" s="169">
        <f t="shared" si="16"/>
        <v>1545847109344.9712</v>
      </c>
      <c r="P119" s="11"/>
      <c r="Q119" s="147"/>
      <c r="R119"/>
    </row>
    <row r="120" spans="1:18" x14ac:dyDescent="0.25">
      <c r="A120" s="158">
        <v>45230</v>
      </c>
      <c r="B120" s="159">
        <f>Inputs!D141</f>
        <v>29609700.8526466</v>
      </c>
      <c r="C120" s="159">
        <v>194.50000000000003</v>
      </c>
      <c r="D120" s="159">
        <v>10.6</v>
      </c>
      <c r="E120" s="159">
        <v>31</v>
      </c>
      <c r="F120" s="160">
        <v>1</v>
      </c>
      <c r="G120" s="159">
        <f>Inputs!G141+Inputs!I141+Inputs!L141+Inputs!X141</f>
        <v>25670</v>
      </c>
      <c r="H120" s="159">
        <v>0</v>
      </c>
      <c r="I120" s="159">
        <f t="shared" si="14"/>
        <v>30517704.159211986</v>
      </c>
      <c r="J120" s="9">
        <f t="shared" si="19"/>
        <v>908003.30656538531</v>
      </c>
      <c r="K120" s="168">
        <f t="shared" si="20"/>
        <v>3.0665737255640844E-2</v>
      </c>
      <c r="L120" s="168">
        <f t="shared" si="15"/>
        <v>3.0665737255640844E-2</v>
      </c>
      <c r="M120" s="169">
        <f t="shared" si="17"/>
        <v>824470004733.6731</v>
      </c>
      <c r="N120" s="169">
        <f t="shared" si="18"/>
        <v>858060.11593035236</v>
      </c>
      <c r="O120" s="169">
        <f t="shared" si="16"/>
        <v>736267162550.40979</v>
      </c>
      <c r="P120" s="11"/>
      <c r="Q120" s="147"/>
      <c r="R120"/>
    </row>
    <row r="121" spans="1:18" x14ac:dyDescent="0.25">
      <c r="A121" s="158">
        <v>45260</v>
      </c>
      <c r="B121" s="159">
        <f>Inputs!D142</f>
        <v>30895716.9335532</v>
      </c>
      <c r="C121" s="159">
        <v>423.09999999999985</v>
      </c>
      <c r="D121" s="159">
        <v>0</v>
      </c>
      <c r="E121" s="159">
        <v>30</v>
      </c>
      <c r="F121" s="160">
        <v>1</v>
      </c>
      <c r="G121" s="159">
        <f>Inputs!G142+Inputs!I142+Inputs!L142+Inputs!X142</f>
        <v>25701</v>
      </c>
      <c r="H121" s="159">
        <v>0</v>
      </c>
      <c r="I121" s="159">
        <f t="shared" si="14"/>
        <v>30685686.097542722</v>
      </c>
      <c r="J121" s="9">
        <f t="shared" si="19"/>
        <v>-210030.83601047844</v>
      </c>
      <c r="K121" s="168">
        <f t="shared" si="20"/>
        <v>-6.798056716475865E-3</v>
      </c>
      <c r="L121" s="168">
        <f t="shared" si="15"/>
        <v>6.798056716475865E-3</v>
      </c>
      <c r="M121" s="169">
        <f t="shared" si="17"/>
        <v>44112952075.260483</v>
      </c>
      <c r="N121" s="169">
        <f t="shared" si="18"/>
        <v>-1118034.1425758637</v>
      </c>
      <c r="O121" s="169">
        <f t="shared" si="16"/>
        <v>1250000343965.3469</v>
      </c>
      <c r="P121" s="11"/>
      <c r="Q121" s="147"/>
      <c r="R121"/>
    </row>
    <row r="122" spans="1:18" x14ac:dyDescent="0.25">
      <c r="A122" s="158">
        <v>45291</v>
      </c>
      <c r="B122" s="159">
        <f>Inputs!D143</f>
        <v>32819279.789655898</v>
      </c>
      <c r="C122" s="159">
        <v>451.80000000000013</v>
      </c>
      <c r="D122" s="159">
        <v>0</v>
      </c>
      <c r="E122" s="159">
        <v>31</v>
      </c>
      <c r="F122" s="160">
        <v>1</v>
      </c>
      <c r="G122" s="159">
        <f>Inputs!G143+Inputs!I143+Inputs!L143+Inputs!X143</f>
        <v>25753</v>
      </c>
      <c r="H122" s="159">
        <v>0</v>
      </c>
      <c r="I122" s="159">
        <f t="shared" si="14"/>
        <v>32272005.56963085</v>
      </c>
      <c r="J122" s="9">
        <f t="shared" si="19"/>
        <v>-547274.22002504766</v>
      </c>
      <c r="K122" s="168">
        <f t="shared" si="20"/>
        <v>-1.6675387867516201E-2</v>
      </c>
      <c r="L122" s="168">
        <f t="shared" si="15"/>
        <v>1.6675387867516201E-2</v>
      </c>
      <c r="M122" s="169">
        <f t="shared" si="17"/>
        <v>299509071904.02429</v>
      </c>
      <c r="N122" s="169">
        <f t="shared" si="18"/>
        <v>-337243.38401456922</v>
      </c>
      <c r="O122" s="169">
        <f t="shared" si="16"/>
        <v>113733100061.59821</v>
      </c>
      <c r="P122" s="11"/>
      <c r="Q122" s="147"/>
      <c r="R122"/>
    </row>
    <row r="123" spans="1:18" x14ac:dyDescent="0.25">
      <c r="A123" s="158">
        <v>45322</v>
      </c>
      <c r="B123" s="172">
        <f>Inputs!D144</f>
        <v>35923142.759999998</v>
      </c>
      <c r="C123" s="172">
        <v>611.19999999999993</v>
      </c>
      <c r="D123" s="172">
        <v>0</v>
      </c>
      <c r="E123" s="159">
        <v>31</v>
      </c>
      <c r="F123" s="160">
        <v>0</v>
      </c>
      <c r="G123" s="172">
        <f>Inputs!G144+Inputs!I144+Inputs!L144+Inputs!X144</f>
        <v>25781</v>
      </c>
      <c r="H123" s="159">
        <v>0</v>
      </c>
      <c r="I123" s="159">
        <f t="shared" si="14"/>
        <v>36184021.571067035</v>
      </c>
      <c r="J123" s="9">
        <f t="shared" si="19"/>
        <v>260878.81106703728</v>
      </c>
      <c r="K123" s="168">
        <f t="shared" si="20"/>
        <v>7.2621377480792913E-3</v>
      </c>
      <c r="L123" s="168">
        <f t="shared" ref="L123:L131" si="21">ABS(K123)</f>
        <v>7.2621377480792913E-3</v>
      </c>
      <c r="M123" s="169">
        <f t="shared" ref="M123:M131" si="22">J123*J123</f>
        <v>68057754063.750938</v>
      </c>
      <c r="N123" s="169">
        <f t="shared" ref="N123:N131" si="23">J123-J122</f>
        <v>808153.03109208494</v>
      </c>
      <c r="O123" s="169">
        <f t="shared" ref="O123:O131" si="24">N123*N123</f>
        <v>653111321663.32446</v>
      </c>
      <c r="P123" s="148"/>
      <c r="Q123" s="147"/>
      <c r="R123"/>
    </row>
    <row r="124" spans="1:18" x14ac:dyDescent="0.25">
      <c r="A124" s="158">
        <v>45351</v>
      </c>
      <c r="B124" s="172">
        <f>Inputs!D145</f>
        <v>31731446.009999998</v>
      </c>
      <c r="C124" s="172">
        <v>509.99999999999994</v>
      </c>
      <c r="D124" s="172">
        <v>0</v>
      </c>
      <c r="E124" s="159">
        <v>29</v>
      </c>
      <c r="F124" s="160">
        <v>0</v>
      </c>
      <c r="G124" s="172">
        <f>Inputs!G145+Inputs!I145+Inputs!L145+Inputs!X145</f>
        <v>25793</v>
      </c>
      <c r="H124" s="159">
        <v>0</v>
      </c>
      <c r="I124" s="159">
        <f t="shared" si="14"/>
        <v>32638347.072369281</v>
      </c>
      <c r="J124" s="9">
        <f t="shared" si="19"/>
        <v>906901.06236928329</v>
      </c>
      <c r="K124" s="168">
        <f t="shared" si="20"/>
        <v>2.8580514801735735E-2</v>
      </c>
      <c r="L124" s="168">
        <f t="shared" si="21"/>
        <v>2.8580514801735735E-2</v>
      </c>
      <c r="M124" s="169">
        <f t="shared" si="22"/>
        <v>822469536926.53467</v>
      </c>
      <c r="N124" s="169">
        <f t="shared" si="23"/>
        <v>646022.251302246</v>
      </c>
      <c r="O124" s="169">
        <f t="shared" si="24"/>
        <v>417344749177.62231</v>
      </c>
      <c r="Q124" s="147"/>
      <c r="R124"/>
    </row>
    <row r="125" spans="1:18" x14ac:dyDescent="0.25">
      <c r="A125" s="158">
        <v>45382</v>
      </c>
      <c r="B125" s="172">
        <f>Inputs!D146</f>
        <v>31839641.859999999</v>
      </c>
      <c r="C125" s="172">
        <v>430.39999999999992</v>
      </c>
      <c r="D125" s="172">
        <v>0</v>
      </c>
      <c r="E125" s="159">
        <v>31</v>
      </c>
      <c r="F125" s="160">
        <v>1</v>
      </c>
      <c r="G125" s="172">
        <f>Inputs!G146+Inputs!I146+Inputs!L146+Inputs!X146</f>
        <v>25791</v>
      </c>
      <c r="H125" s="159">
        <v>0</v>
      </c>
      <c r="I125" s="159">
        <f t="shared" si="14"/>
        <v>32076048.875129409</v>
      </c>
      <c r="J125" s="9">
        <f t="shared" si="19"/>
        <v>236407.01512940973</v>
      </c>
      <c r="K125" s="168">
        <f t="shared" si="20"/>
        <v>7.4249269564305876E-3</v>
      </c>
      <c r="L125" s="168">
        <f t="shared" si="21"/>
        <v>7.4249269564305876E-3</v>
      </c>
      <c r="M125" s="169">
        <f t="shared" si="22"/>
        <v>55888276802.396957</v>
      </c>
      <c r="N125" s="169">
        <f t="shared" si="23"/>
        <v>-670494.04723987356</v>
      </c>
      <c r="O125" s="169">
        <f t="shared" si="24"/>
        <v>449562267384.10577</v>
      </c>
      <c r="Q125" s="147"/>
      <c r="R125" s="40"/>
    </row>
    <row r="126" spans="1:18" x14ac:dyDescent="0.25">
      <c r="A126" s="158">
        <v>45412</v>
      </c>
      <c r="B126" s="172">
        <f>Inputs!D147</f>
        <v>28562458.940000001</v>
      </c>
      <c r="C126" s="172">
        <v>266.3</v>
      </c>
      <c r="D126" s="172">
        <v>0</v>
      </c>
      <c r="E126" s="159">
        <v>30</v>
      </c>
      <c r="F126" s="160">
        <v>1</v>
      </c>
      <c r="G126" s="172">
        <f>Inputs!G147+Inputs!I147+Inputs!L147+Inputs!X147</f>
        <v>25822</v>
      </c>
      <c r="H126" s="159">
        <v>0</v>
      </c>
      <c r="I126" s="159">
        <f t="shared" si="14"/>
        <v>29134428.087461997</v>
      </c>
      <c r="J126" s="9">
        <f t="shared" si="19"/>
        <v>571969.14746199548</v>
      </c>
      <c r="K126" s="168">
        <f t="shared" si="20"/>
        <v>2.002520681652472E-2</v>
      </c>
      <c r="L126" s="168">
        <f t="shared" si="21"/>
        <v>2.002520681652472E-2</v>
      </c>
      <c r="M126" s="169">
        <f t="shared" si="22"/>
        <v>327148705648.40192</v>
      </c>
      <c r="N126" s="169">
        <f t="shared" si="23"/>
        <v>335562.13233258575</v>
      </c>
      <c r="O126" s="169">
        <f t="shared" si="24"/>
        <v>112601944655.5918</v>
      </c>
      <c r="Q126" s="147"/>
      <c r="R126"/>
    </row>
    <row r="127" spans="1:18" x14ac:dyDescent="0.25">
      <c r="A127" s="158">
        <v>45443</v>
      </c>
      <c r="B127" s="172">
        <f>Inputs!D148</f>
        <v>30423026.610000003</v>
      </c>
      <c r="C127" s="172">
        <v>72.699999999999989</v>
      </c>
      <c r="D127" s="172">
        <v>13.4</v>
      </c>
      <c r="E127" s="159">
        <v>31</v>
      </c>
      <c r="F127" s="160">
        <v>1</v>
      </c>
      <c r="G127" s="172">
        <f>Inputs!G148+Inputs!I148+Inputs!L148+Inputs!X148</f>
        <v>25841</v>
      </c>
      <c r="H127" s="159">
        <v>0</v>
      </c>
      <c r="I127" s="159">
        <f t="shared" si="14"/>
        <v>29632739.45358241</v>
      </c>
      <c r="J127" s="9">
        <f t="shared" si="19"/>
        <v>-790287.15641759336</v>
      </c>
      <c r="K127" s="168">
        <f t="shared" si="20"/>
        <v>-2.5976611944251042E-2</v>
      </c>
      <c r="L127" s="168">
        <f t="shared" si="21"/>
        <v>2.5976611944251042E-2</v>
      </c>
      <c r="M127" s="169">
        <f t="shared" si="22"/>
        <v>624553789598.60571</v>
      </c>
      <c r="N127" s="169">
        <f t="shared" si="23"/>
        <v>-1362256.3038795888</v>
      </c>
      <c r="O127" s="169">
        <f t="shared" si="24"/>
        <v>1855742237459.6787</v>
      </c>
      <c r="Q127" s="147"/>
      <c r="R127"/>
    </row>
    <row r="128" spans="1:18" x14ac:dyDescent="0.25">
      <c r="A128" s="158">
        <v>45473</v>
      </c>
      <c r="B128" s="172">
        <f>Inputs!D149</f>
        <v>36158920.950000003</v>
      </c>
      <c r="C128" s="172">
        <v>27.599999999999998</v>
      </c>
      <c r="D128" s="172">
        <v>78.500000000000014</v>
      </c>
      <c r="E128" s="159">
        <v>30</v>
      </c>
      <c r="F128" s="160">
        <v>0</v>
      </c>
      <c r="G128" s="172">
        <f>Inputs!G149+Inputs!I149+Inputs!L149+Inputs!X149</f>
        <v>25867</v>
      </c>
      <c r="H128" s="159">
        <v>0</v>
      </c>
      <c r="I128" s="159">
        <f t="shared" si="14"/>
        <v>36283917.816281736</v>
      </c>
      <c r="J128" s="9">
        <f t="shared" si="19"/>
        <v>124996.86628173292</v>
      </c>
      <c r="K128" s="168">
        <f t="shared" si="20"/>
        <v>3.456874901067337E-3</v>
      </c>
      <c r="L128" s="168">
        <f t="shared" si="21"/>
        <v>3.456874901067337E-3</v>
      </c>
      <c r="M128" s="169">
        <f t="shared" si="22"/>
        <v>15624216580.25342</v>
      </c>
      <c r="N128" s="169">
        <f t="shared" si="23"/>
        <v>915284.02269932628</v>
      </c>
      <c r="O128" s="169">
        <f t="shared" si="24"/>
        <v>837744842208.66077</v>
      </c>
      <c r="Q128" s="147"/>
      <c r="R128"/>
    </row>
    <row r="129" spans="1:18" x14ac:dyDescent="0.25">
      <c r="A129" s="158">
        <v>45504</v>
      </c>
      <c r="B129" s="172">
        <f>Inputs!D150</f>
        <v>42460733.059999995</v>
      </c>
      <c r="C129" s="172">
        <v>1.9000000000000001</v>
      </c>
      <c r="D129" s="172">
        <v>108.80000000000003</v>
      </c>
      <c r="E129" s="159">
        <v>31</v>
      </c>
      <c r="F129" s="160">
        <v>0</v>
      </c>
      <c r="G129" s="172">
        <f>Inputs!G150+Inputs!I150+Inputs!L150+Inputs!X150</f>
        <v>25915</v>
      </c>
      <c r="H129" s="159">
        <v>0</v>
      </c>
      <c r="I129" s="159">
        <f t="shared" si="14"/>
        <v>40150310.787628278</v>
      </c>
      <c r="J129" s="9">
        <f t="shared" si="19"/>
        <v>-2310422.2723717168</v>
      </c>
      <c r="K129" s="168">
        <f t="shared" si="20"/>
        <v>-5.4413150830602192E-2</v>
      </c>
      <c r="L129" s="168">
        <f t="shared" si="21"/>
        <v>5.4413150830602192E-2</v>
      </c>
      <c r="M129" s="169">
        <f t="shared" si="22"/>
        <v>5338051076671.2871</v>
      </c>
      <c r="N129" s="169">
        <f t="shared" si="23"/>
        <v>-2435419.1386534497</v>
      </c>
      <c r="O129" s="169">
        <f t="shared" si="24"/>
        <v>5931266380919.5107</v>
      </c>
      <c r="P129"/>
      <c r="Q129" s="147"/>
      <c r="R129"/>
    </row>
    <row r="130" spans="1:18" x14ac:dyDescent="0.25">
      <c r="A130" s="158">
        <v>45535</v>
      </c>
      <c r="B130" s="172">
        <f>Inputs!D151</f>
        <v>38718871.799999997</v>
      </c>
      <c r="C130" s="172">
        <v>10.600000000000001</v>
      </c>
      <c r="D130" s="172">
        <v>79.599999999999994</v>
      </c>
      <c r="E130" s="159">
        <v>31</v>
      </c>
      <c r="F130" s="160">
        <v>0</v>
      </c>
      <c r="G130" s="172">
        <f>Inputs!G151+Inputs!I151+Inputs!L151+Inputs!X151</f>
        <v>26040</v>
      </c>
      <c r="H130" s="159">
        <v>0</v>
      </c>
      <c r="I130" s="159">
        <f t="shared" si="14"/>
        <v>37584533.889764145</v>
      </c>
      <c r="J130" s="9">
        <f t="shared" si="19"/>
        <v>-1134337.910235852</v>
      </c>
      <c r="K130" s="168">
        <f t="shared" si="20"/>
        <v>-2.9296770734829419E-2</v>
      </c>
      <c r="L130" s="168">
        <f t="shared" si="21"/>
        <v>2.9296770734829419E-2</v>
      </c>
      <c r="M130" s="169">
        <f t="shared" si="22"/>
        <v>1286722494598.2397</v>
      </c>
      <c r="N130" s="169">
        <f t="shared" si="23"/>
        <v>1176084.3621358648</v>
      </c>
      <c r="O130" s="169">
        <f t="shared" si="24"/>
        <v>1383174426860.5239</v>
      </c>
      <c r="P130"/>
      <c r="Q130" s="147"/>
      <c r="R130"/>
    </row>
    <row r="131" spans="1:18" x14ac:dyDescent="0.25">
      <c r="A131" s="158">
        <v>45565</v>
      </c>
      <c r="B131" s="172">
        <f>Inputs!D152</f>
        <v>33712649.810000002</v>
      </c>
      <c r="C131" s="172">
        <v>21.9</v>
      </c>
      <c r="D131" s="172">
        <v>39</v>
      </c>
      <c r="E131" s="159">
        <v>30</v>
      </c>
      <c r="F131" s="160">
        <v>0</v>
      </c>
      <c r="G131" s="172">
        <f>Inputs!G152+Inputs!I152+Inputs!L152+Inputs!X152</f>
        <v>26099</v>
      </c>
      <c r="H131" s="159">
        <v>0</v>
      </c>
      <c r="I131" s="159">
        <f t="shared" si="14"/>
        <v>32676517.447602212</v>
      </c>
      <c r="J131" s="9">
        <f t="shared" ref="J131" si="25">I131-B131</f>
        <v>-1036132.36239779</v>
      </c>
      <c r="K131" s="168">
        <f t="shared" ref="K131" si="26">J131/B131</f>
        <v>-3.0734230866968148E-2</v>
      </c>
      <c r="L131" s="168">
        <f t="shared" si="21"/>
        <v>3.0734230866968148E-2</v>
      </c>
      <c r="M131" s="169">
        <f t="shared" si="22"/>
        <v>1073570272408.0251</v>
      </c>
      <c r="N131" s="169">
        <f t="shared" si="23"/>
        <v>98205.547838062048</v>
      </c>
      <c r="O131" s="169">
        <f t="shared" si="24"/>
        <v>9644329626.173893</v>
      </c>
      <c r="P131"/>
      <c r="Q131" s="147"/>
      <c r="R131"/>
    </row>
    <row r="132" spans="1:18" x14ac:dyDescent="0.25">
      <c r="A132" s="158">
        <v>45596</v>
      </c>
      <c r="B132" s="159"/>
      <c r="C132" s="174">
        <f t="shared" ref="C132:D134" si="27">(C12+C24+C36+C48+C60+C72+C84+C96+C108+C120)/10</f>
        <v>212.45</v>
      </c>
      <c r="D132" s="174">
        <f t="shared" si="27"/>
        <v>5.3</v>
      </c>
      <c r="E132" s="159">
        <v>31</v>
      </c>
      <c r="F132" s="160">
        <v>1</v>
      </c>
      <c r="G132" s="162">
        <f>'Rate Class Customer Model'!P20</f>
        <v>26066.474295718956</v>
      </c>
      <c r="H132" s="162">
        <v>0</v>
      </c>
      <c r="I132" s="159">
        <f t="shared" ref="I132:I146" si="28">$R$18+$R$19*C132+$R$20*D132+$R$21*E132+$R$22*F132+$R$23*G132+$R$24*H132</f>
        <v>30497368.766908493</v>
      </c>
      <c r="J132" s="9"/>
      <c r="K132" s="148" t="s">
        <v>53</v>
      </c>
      <c r="L132" s="168">
        <f>AVERAGE(L3:L131)</f>
        <v>2.5260600487889862E-2</v>
      </c>
      <c r="M132" s="33">
        <f>SUM(M3:M131)</f>
        <v>146487307152341.81</v>
      </c>
      <c r="N132" s="33"/>
      <c r="O132" s="33">
        <f>SUM(O3:O131)</f>
        <v>209258950507874.25</v>
      </c>
      <c r="P132"/>
      <c r="Q132" s="147"/>
      <c r="R132"/>
    </row>
    <row r="133" spans="1:18" x14ac:dyDescent="0.25">
      <c r="A133" s="158">
        <v>45626</v>
      </c>
      <c r="B133" s="159"/>
      <c r="C133" s="174">
        <f t="shared" si="27"/>
        <v>408.5</v>
      </c>
      <c r="D133" s="174">
        <f t="shared" si="27"/>
        <v>0.22999999999999998</v>
      </c>
      <c r="E133" s="159">
        <v>30</v>
      </c>
      <c r="F133" s="160">
        <v>1</v>
      </c>
      <c r="G133" s="162">
        <f>'Rate Class Customer Model'!P21</f>
        <v>26098.030827708426</v>
      </c>
      <c r="H133" s="162">
        <v>0</v>
      </c>
      <c r="I133" s="159">
        <f>$R$18+$R$19*C133+$R$20*D133+$R$21*E133+$R$22*F133+$R$23*G133+$R$24*H133</f>
        <v>30845823.206566859</v>
      </c>
      <c r="J133" s="9"/>
      <c r="K133" s="9"/>
      <c r="L133" s="9"/>
      <c r="M133"/>
      <c r="N133"/>
      <c r="O133"/>
      <c r="P133"/>
      <c r="Q133" s="147"/>
      <c r="R133"/>
    </row>
    <row r="134" spans="1:18" x14ac:dyDescent="0.25">
      <c r="A134" s="158">
        <v>45657</v>
      </c>
      <c r="B134" s="159"/>
      <c r="C134" s="174">
        <f t="shared" si="27"/>
        <v>533.85000000000014</v>
      </c>
      <c r="D134" s="174">
        <f t="shared" si="27"/>
        <v>0</v>
      </c>
      <c r="E134" s="159">
        <v>31</v>
      </c>
      <c r="F134" s="160">
        <v>1</v>
      </c>
      <c r="G134" s="162">
        <f>'Rate Class Customer Model'!P22</f>
        <v>26129.625562590238</v>
      </c>
      <c r="H134" s="162">
        <v>0</v>
      </c>
      <c r="I134" s="159">
        <f t="shared" si="28"/>
        <v>33406409.845276907</v>
      </c>
      <c r="J134" s="9"/>
      <c r="K134" s="9"/>
      <c r="L134" s="9"/>
      <c r="M134"/>
      <c r="N134"/>
      <c r="O134"/>
      <c r="P134"/>
      <c r="Q134" s="147"/>
      <c r="R134"/>
    </row>
    <row r="135" spans="1:18" x14ac:dyDescent="0.25">
      <c r="A135" s="158">
        <v>45688</v>
      </c>
      <c r="B135" s="159"/>
      <c r="C135" s="174">
        <f>(C3+C15+C27+C39+C51+C63+C75+C87+C99+C111+C123)/11</f>
        <v>672.12727272727273</v>
      </c>
      <c r="D135" s="174">
        <f>(D3+D15+D27+D39+D51+D63+D75+D87+D99+D111+D123)/11</f>
        <v>0</v>
      </c>
      <c r="E135" s="159">
        <v>31</v>
      </c>
      <c r="F135" s="160">
        <v>0</v>
      </c>
      <c r="G135" s="162">
        <f>'Rate Class Customer Model'!Q11</f>
        <v>26159.618734759606</v>
      </c>
      <c r="H135" s="162">
        <v>0</v>
      </c>
      <c r="I135" s="159">
        <f t="shared" si="28"/>
        <v>37098960.864463463</v>
      </c>
      <c r="J135" s="9"/>
      <c r="K135" s="9"/>
      <c r="L135" s="9"/>
      <c r="M135"/>
      <c r="N135"/>
      <c r="O135"/>
      <c r="P135"/>
      <c r="Q135" s="147"/>
      <c r="R135"/>
    </row>
    <row r="136" spans="1:18" x14ac:dyDescent="0.25">
      <c r="A136" s="158">
        <v>45716</v>
      </c>
      <c r="B136" s="159"/>
      <c r="C136" s="174">
        <f t="shared" ref="C136:D142" si="29">(C4+C16+C28+C40+C52+C64+C76+C88+C100+C112+C124)/11</f>
        <v>607.14545454545453</v>
      </c>
      <c r="D136" s="174">
        <f t="shared" si="29"/>
        <v>0</v>
      </c>
      <c r="E136" s="159">
        <v>28</v>
      </c>
      <c r="F136" s="160">
        <v>0</v>
      </c>
      <c r="G136" s="162">
        <f>'Rate Class Customer Model'!Q12</f>
        <v>26189.646334914734</v>
      </c>
      <c r="H136" s="162">
        <v>0</v>
      </c>
      <c r="I136" s="159">
        <f t="shared" si="28"/>
        <v>32697319.185023461</v>
      </c>
      <c r="J136" s="9"/>
      <c r="K136" s="9"/>
      <c r="L136" s="9"/>
      <c r="M136"/>
      <c r="N136"/>
      <c r="O136"/>
      <c r="P136"/>
      <c r="Q136" s="147"/>
      <c r="R136"/>
    </row>
    <row r="137" spans="1:18" x14ac:dyDescent="0.25">
      <c r="A137" s="158">
        <v>45747</v>
      </c>
      <c r="B137" s="159"/>
      <c r="C137" s="174">
        <f t="shared" si="29"/>
        <v>529.88181818181829</v>
      </c>
      <c r="D137" s="174">
        <f t="shared" si="29"/>
        <v>0</v>
      </c>
      <c r="E137" s="159">
        <v>31</v>
      </c>
      <c r="F137" s="160">
        <v>1</v>
      </c>
      <c r="G137" s="162">
        <f>'Rate Class Customer Model'!Q13</f>
        <v>26219.708402574157</v>
      </c>
      <c r="H137" s="162">
        <v>0</v>
      </c>
      <c r="I137" s="159">
        <f t="shared" si="28"/>
        <v>33430974.922803905</v>
      </c>
      <c r="J137" s="9"/>
      <c r="K137" s="9"/>
      <c r="L137" s="9"/>
      <c r="M137"/>
      <c r="N137"/>
      <c r="O137"/>
      <c r="P137"/>
      <c r="Q137" s="147"/>
      <c r="R137"/>
    </row>
    <row r="138" spans="1:18" x14ac:dyDescent="0.25">
      <c r="A138" s="158">
        <v>45777</v>
      </c>
      <c r="B138" s="159"/>
      <c r="C138" s="174">
        <f t="shared" si="29"/>
        <v>327.50000000000006</v>
      </c>
      <c r="D138" s="174">
        <f t="shared" si="29"/>
        <v>4.5454545454545456E-2</v>
      </c>
      <c r="E138" s="159">
        <v>30</v>
      </c>
      <c r="F138" s="160">
        <v>1</v>
      </c>
      <c r="G138" s="162">
        <f>'Rate Class Customer Model'!Q14</f>
        <v>26249.80497730177</v>
      </c>
      <c r="H138" s="162">
        <v>0</v>
      </c>
      <c r="I138" s="159">
        <f t="shared" si="28"/>
        <v>30092572.761438679</v>
      </c>
      <c r="J138" s="9"/>
      <c r="K138" s="9"/>
      <c r="L138" s="9"/>
      <c r="M138"/>
      <c r="N138"/>
      <c r="O138"/>
      <c r="P138"/>
      <c r="Q138" s="147"/>
      <c r="R138"/>
    </row>
    <row r="139" spans="1:18" x14ac:dyDescent="0.25">
      <c r="A139" s="158">
        <v>45808</v>
      </c>
      <c r="B139" s="159"/>
      <c r="C139" s="174">
        <f t="shared" si="29"/>
        <v>141.14545454545456</v>
      </c>
      <c r="D139" s="174">
        <f t="shared" si="29"/>
        <v>16.963636363636365</v>
      </c>
      <c r="E139" s="159">
        <v>31</v>
      </c>
      <c r="F139" s="160">
        <v>1</v>
      </c>
      <c r="G139" s="162">
        <f>'Rate Class Customer Model'!Q15</f>
        <v>26279.936098706883</v>
      </c>
      <c r="H139" s="162">
        <v>0</v>
      </c>
      <c r="I139" s="159">
        <f t="shared" si="28"/>
        <v>31005978.521046773</v>
      </c>
      <c r="J139" s="9"/>
      <c r="K139" s="9"/>
      <c r="L139" s="9"/>
      <c r="M139"/>
      <c r="N139"/>
      <c r="O139"/>
      <c r="P139"/>
      <c r="Q139" s="147"/>
      <c r="R139"/>
    </row>
    <row r="140" spans="1:18" x14ac:dyDescent="0.25">
      <c r="A140" s="158">
        <v>45838</v>
      </c>
      <c r="B140" s="159"/>
      <c r="C140" s="174">
        <f t="shared" si="29"/>
        <v>28.127272727272725</v>
      </c>
      <c r="D140" s="174">
        <f t="shared" si="29"/>
        <v>55.209090909090904</v>
      </c>
      <c r="E140" s="159">
        <v>30</v>
      </c>
      <c r="F140" s="160">
        <v>0</v>
      </c>
      <c r="G140" s="162">
        <f>'Rate Class Customer Model'!Q16</f>
        <v>26310.101806444272</v>
      </c>
      <c r="H140" s="162">
        <v>0</v>
      </c>
      <c r="I140" s="159">
        <f t="shared" si="28"/>
        <v>34422158.036986992</v>
      </c>
      <c r="J140" s="9"/>
      <c r="K140" s="9"/>
      <c r="L140" s="9"/>
      <c r="M140"/>
      <c r="N140"/>
      <c r="O140"/>
      <c r="P140"/>
      <c r="Q140" s="147"/>
      <c r="R140"/>
    </row>
    <row r="141" spans="1:18" x14ac:dyDescent="0.25">
      <c r="A141" s="158">
        <v>45869</v>
      </c>
      <c r="B141" s="159"/>
      <c r="C141" s="174">
        <f t="shared" si="29"/>
        <v>2.9545454545454546</v>
      </c>
      <c r="D141" s="174">
        <f t="shared" si="29"/>
        <v>105.68181818181816</v>
      </c>
      <c r="E141" s="159">
        <v>31</v>
      </c>
      <c r="F141" s="160">
        <v>0</v>
      </c>
      <c r="G141" s="162">
        <f>'Rate Class Customer Model'!Q17</f>
        <v>26340.302140214233</v>
      </c>
      <c r="H141" s="162">
        <v>0</v>
      </c>
      <c r="I141" s="159">
        <f t="shared" si="28"/>
        <v>40179769.195004448</v>
      </c>
      <c r="J141" s="9"/>
      <c r="K141" s="9"/>
      <c r="L141" s="9"/>
      <c r="M141"/>
      <c r="N141"/>
      <c r="O141"/>
      <c r="P141"/>
      <c r="Q141" s="147"/>
      <c r="R141"/>
    </row>
    <row r="142" spans="1:18" x14ac:dyDescent="0.25">
      <c r="A142" s="158">
        <v>45900</v>
      </c>
      <c r="B142" s="159"/>
      <c r="C142" s="174">
        <f t="shared" si="29"/>
        <v>7.0272727272727282</v>
      </c>
      <c r="D142" s="174">
        <f t="shared" si="29"/>
        <v>87.863636363636374</v>
      </c>
      <c r="E142" s="159">
        <v>31</v>
      </c>
      <c r="F142" s="160">
        <v>0</v>
      </c>
      <c r="G142" s="162">
        <f>'Rate Class Customer Model'!Q18</f>
        <v>26370.537139762626</v>
      </c>
      <c r="H142" s="162">
        <v>0</v>
      </c>
      <c r="I142" s="159">
        <f t="shared" si="28"/>
        <v>38567405.327273041</v>
      </c>
      <c r="J142" s="9"/>
      <c r="K142" s="9"/>
      <c r="L142" s="9"/>
      <c r="M142"/>
      <c r="N142"/>
      <c r="O142"/>
      <c r="P142"/>
      <c r="Q142" s="147"/>
      <c r="R142"/>
    </row>
    <row r="143" spans="1:18" x14ac:dyDescent="0.25">
      <c r="A143" s="158">
        <v>45930</v>
      </c>
      <c r="B143" s="159"/>
      <c r="C143" s="174">
        <f>(C11+C23+C35+C47+C59+C71+C83+C95+C107+C119+C131)/11</f>
        <v>51.009090909090908</v>
      </c>
      <c r="D143" s="174">
        <f>(D11+D23+D35+D47+D59+D71+D83+D95+D107+D119+D131)/11</f>
        <v>34.68181818181818</v>
      </c>
      <c r="E143" s="159">
        <v>30</v>
      </c>
      <c r="F143" s="160">
        <v>0</v>
      </c>
      <c r="G143" s="162">
        <f>'Rate Class Customer Model'!Q19</f>
        <v>26400.806844880943</v>
      </c>
      <c r="H143" s="162">
        <v>0</v>
      </c>
      <c r="I143" s="159">
        <f t="shared" si="28"/>
        <v>32795879.303066242</v>
      </c>
      <c r="J143" s="9"/>
      <c r="K143" s="9"/>
      <c r="L143" s="9"/>
      <c r="M143"/>
      <c r="N143"/>
      <c r="O143"/>
      <c r="P143"/>
      <c r="Q143" s="147"/>
      <c r="R143"/>
    </row>
    <row r="144" spans="1:18" x14ac:dyDescent="0.25">
      <c r="A144" s="158">
        <v>45961</v>
      </c>
      <c r="B144" s="159"/>
      <c r="C144" s="174">
        <f>(C12+C24+C36+C48+C60+C72+C84+C96+C108+C120)/10</f>
        <v>212.45</v>
      </c>
      <c r="D144" s="174">
        <f>(D12+D24+D36+D48+D60+D72+D84+D96+D108+D120)/10</f>
        <v>5.3</v>
      </c>
      <c r="E144" s="159">
        <v>31</v>
      </c>
      <c r="F144" s="160">
        <v>1</v>
      </c>
      <c r="G144" s="162">
        <f>'Rate Class Customer Model'!Q20</f>
        <v>26431.111295406343</v>
      </c>
      <c r="H144" s="162">
        <v>0</v>
      </c>
      <c r="I144" s="159">
        <f>$R$18+$R$19*C144+$R$20*D144+$R$21*E144+$R$22*F144+$R$23*G144+$R$24*H144</f>
        <v>30764802.971511755</v>
      </c>
      <c r="J144" s="9"/>
      <c r="K144" s="9"/>
      <c r="L144" s="9"/>
      <c r="M144"/>
      <c r="N144"/>
      <c r="O144"/>
      <c r="P144"/>
      <c r="Q144" s="147"/>
      <c r="R144"/>
    </row>
    <row r="145" spans="1:19" x14ac:dyDescent="0.25">
      <c r="A145" s="158">
        <v>45991</v>
      </c>
      <c r="B145" s="159"/>
      <c r="C145" s="174">
        <f t="shared" ref="C145:D146" si="30">(C13+C25+C37+C49+C61+C73+C85+C97+C109+C121)/10</f>
        <v>408.5</v>
      </c>
      <c r="D145" s="174">
        <f t="shared" si="30"/>
        <v>0.22999999999999998</v>
      </c>
      <c r="E145" s="159">
        <v>30</v>
      </c>
      <c r="F145" s="160">
        <v>1</v>
      </c>
      <c r="G145" s="162">
        <f>'Rate Class Customer Model'!Q21</f>
        <v>26461.450531221715</v>
      </c>
      <c r="H145" s="162">
        <v>0</v>
      </c>
      <c r="I145" s="159">
        <f t="shared" si="28"/>
        <v>31112364.614678361</v>
      </c>
      <c r="J145" s="9"/>
      <c r="K145" s="9"/>
      <c r="L145" s="9"/>
      <c r="Q145" s="147"/>
      <c r="R145"/>
    </row>
    <row r="146" spans="1:19" x14ac:dyDescent="0.25">
      <c r="A146" s="158">
        <v>46022</v>
      </c>
      <c r="B146" s="159"/>
      <c r="C146" s="174">
        <f t="shared" si="30"/>
        <v>533.85000000000014</v>
      </c>
      <c r="D146" s="174">
        <f t="shared" si="30"/>
        <v>0</v>
      </c>
      <c r="E146" s="159">
        <v>31</v>
      </c>
      <c r="F146" s="160">
        <v>1</v>
      </c>
      <c r="G146" s="162">
        <f>'Rate Class Customer Model'!Q22</f>
        <v>26491.824592255733</v>
      </c>
      <c r="H146" s="162">
        <v>0</v>
      </c>
      <c r="I146" s="159">
        <f t="shared" si="28"/>
        <v>33672055.979623422</v>
      </c>
      <c r="J146" s="9"/>
      <c r="K146" s="9"/>
      <c r="L146" s="9"/>
      <c r="Q146" s="147"/>
      <c r="R146"/>
    </row>
    <row r="147" spans="1:19" x14ac:dyDescent="0.25">
      <c r="A147" s="31"/>
      <c r="E147" s="9"/>
      <c r="F147" s="51"/>
      <c r="R147"/>
    </row>
    <row r="148" spans="1:19" x14ac:dyDescent="0.25">
      <c r="A148" s="31"/>
      <c r="E148" s="9"/>
      <c r="F148" s="51"/>
      <c r="R148"/>
    </row>
    <row r="149" spans="1:19" x14ac:dyDescent="0.25">
      <c r="A149" s="31"/>
      <c r="C149" s="107" t="s">
        <v>89</v>
      </c>
      <c r="D149" s="105"/>
      <c r="E149" s="9"/>
      <c r="F149" s="51"/>
      <c r="R149"/>
    </row>
    <row r="150" spans="1:19" x14ac:dyDescent="0.25">
      <c r="A150" s="31"/>
      <c r="C150" s="108" t="s">
        <v>90</v>
      </c>
      <c r="D150" s="106"/>
      <c r="E150" s="9"/>
      <c r="F150" s="51"/>
      <c r="I150" s="30">
        <f>SUM(I2:I146)</f>
        <v>4624320331.5276432</v>
      </c>
      <c r="J150" s="30"/>
      <c r="K150" s="30"/>
      <c r="L150" s="30"/>
      <c r="R150"/>
    </row>
    <row r="151" spans="1:19" x14ac:dyDescent="0.25">
      <c r="A151" s="31"/>
      <c r="E151" s="9"/>
      <c r="F151" s="51"/>
      <c r="Q151" s="39"/>
      <c r="R151" s="25"/>
    </row>
    <row r="152" spans="1:19" x14ac:dyDescent="0.25">
      <c r="A152" s="25">
        <v>2014</v>
      </c>
      <c r="B152" s="6">
        <f>SUM(B3:B14)</f>
        <v>371282805.30290043</v>
      </c>
      <c r="C152" s="164"/>
      <c r="I152" s="6">
        <f>SUM(I3:I14)</f>
        <v>367760519.61482519</v>
      </c>
      <c r="J152" s="6"/>
      <c r="K152" s="6"/>
      <c r="L152" s="6"/>
      <c r="M152" s="5"/>
      <c r="N152" s="5"/>
      <c r="O152" s="5"/>
      <c r="P152" s="32"/>
      <c r="Q152" s="151"/>
      <c r="R152"/>
      <c r="S152" s="152"/>
    </row>
    <row r="153" spans="1:19" x14ac:dyDescent="0.25">
      <c r="A153" s="25">
        <v>2015</v>
      </c>
      <c r="B153" s="6">
        <f>SUM(B15:B26)</f>
        <v>372381250.86169994</v>
      </c>
      <c r="C153" s="164"/>
      <c r="I153" s="6">
        <f>SUM(I15:I26)</f>
        <v>370630784.63269252</v>
      </c>
      <c r="J153" s="6"/>
      <c r="K153" s="6"/>
      <c r="L153" s="6"/>
      <c r="M153" s="5"/>
      <c r="N153" s="5"/>
      <c r="O153" s="5"/>
      <c r="P153" s="32"/>
      <c r="Q153" s="151"/>
      <c r="R153"/>
      <c r="S153" s="152"/>
    </row>
    <row r="154" spans="1:19" x14ac:dyDescent="0.25">
      <c r="A154" s="25">
        <v>2016</v>
      </c>
      <c r="B154" s="6">
        <f>SUM(B27:B38)</f>
        <v>380022205.18436003</v>
      </c>
      <c r="C154" s="164"/>
      <c r="I154" s="6">
        <f>SUM(I27:I38)</f>
        <v>385511612.33985615</v>
      </c>
      <c r="J154" s="6"/>
      <c r="K154" s="6"/>
      <c r="L154" s="6"/>
      <c r="M154" s="5"/>
      <c r="N154" s="5"/>
      <c r="O154" s="5"/>
      <c r="P154" s="32"/>
      <c r="Q154" s="151"/>
      <c r="R154"/>
      <c r="S154" s="152"/>
    </row>
    <row r="155" spans="1:19" x14ac:dyDescent="0.25">
      <c r="A155" s="25">
        <v>2017</v>
      </c>
      <c r="B155" s="6">
        <f>SUM(B39:B50)</f>
        <v>368596644.64483672</v>
      </c>
      <c r="C155" s="164"/>
      <c r="I155" s="6">
        <f>SUM(I39:I50)</f>
        <v>370710251.6875124</v>
      </c>
      <c r="J155" s="6"/>
      <c r="K155" s="6"/>
      <c r="L155" s="6"/>
      <c r="M155" s="5"/>
      <c r="N155" s="5"/>
      <c r="O155" s="5"/>
      <c r="P155" s="32"/>
      <c r="Q155" s="151"/>
      <c r="R155"/>
      <c r="S155" s="152"/>
    </row>
    <row r="156" spans="1:19" x14ac:dyDescent="0.25">
      <c r="A156" s="25">
        <v>2018</v>
      </c>
      <c r="B156" s="6">
        <f>SUM(B51:B62)</f>
        <v>393889926.42846549</v>
      </c>
      <c r="C156" s="164"/>
      <c r="I156" s="6">
        <f>SUM(I51:I62)</f>
        <v>388357252.7349661</v>
      </c>
      <c r="J156" s="6"/>
      <c r="K156" s="6"/>
      <c r="L156" s="6"/>
      <c r="M156" s="5"/>
      <c r="N156" s="5"/>
      <c r="O156" s="5"/>
      <c r="P156" s="32"/>
      <c r="Q156" s="151"/>
      <c r="R156"/>
      <c r="S156" s="152"/>
    </row>
    <row r="157" spans="1:19" x14ac:dyDescent="0.25">
      <c r="A157" s="25">
        <v>2019</v>
      </c>
      <c r="B157" s="6">
        <f>SUM(B63:B74)</f>
        <v>384791777.21642524</v>
      </c>
      <c r="C157" s="164"/>
      <c r="I157" s="6">
        <f>SUM(I63:I74)</f>
        <v>380286738.37229729</v>
      </c>
      <c r="J157" s="6"/>
      <c r="K157" s="6"/>
      <c r="L157" s="6"/>
      <c r="M157" s="5"/>
      <c r="N157" s="5"/>
      <c r="O157" s="5"/>
      <c r="P157" s="32"/>
      <c r="Q157" s="151"/>
      <c r="R157"/>
      <c r="S157" s="152"/>
    </row>
    <row r="158" spans="1:19" x14ac:dyDescent="0.25">
      <c r="A158" s="25">
        <v>2020</v>
      </c>
      <c r="B158" s="6">
        <f>SUM(B75:B86)</f>
        <v>380093690.36809278</v>
      </c>
      <c r="C158" s="164"/>
      <c r="I158" s="6">
        <f>SUM(I75:I86)</f>
        <v>382550263.53179228</v>
      </c>
      <c r="J158" s="6"/>
      <c r="K158" s="6"/>
      <c r="L158" s="6"/>
      <c r="M158" s="5"/>
      <c r="N158" s="5"/>
      <c r="O158" s="5"/>
      <c r="P158" s="32"/>
      <c r="Q158" s="151"/>
      <c r="R158"/>
      <c r="S158" s="152"/>
    </row>
    <row r="159" spans="1:19" x14ac:dyDescent="0.25">
      <c r="A159" s="25">
        <v>2021</v>
      </c>
      <c r="B159" s="6">
        <f>SUM(B87:B98)</f>
        <v>383895272.72321349</v>
      </c>
      <c r="C159" s="164"/>
      <c r="I159" s="6">
        <f>SUM(I87:I98)</f>
        <v>389918999.62822038</v>
      </c>
      <c r="J159" s="6"/>
      <c r="K159" s="6"/>
      <c r="L159" s="6"/>
      <c r="M159" s="5"/>
      <c r="N159" s="5"/>
      <c r="O159" s="5"/>
      <c r="P159" s="32"/>
      <c r="Q159" s="151"/>
      <c r="R159"/>
      <c r="S159" s="152"/>
    </row>
    <row r="160" spans="1:19" x14ac:dyDescent="0.25">
      <c r="A160" s="25">
        <v>2022</v>
      </c>
      <c r="B160" s="6">
        <f>SUM(B99:B110)</f>
        <v>392612235.87385601</v>
      </c>
      <c r="C160" s="164"/>
      <c r="I160" s="6">
        <f>SUM(I99:I110)</f>
        <v>393782446.20711488</v>
      </c>
      <c r="J160" s="6"/>
      <c r="K160" s="6"/>
      <c r="L160" s="6"/>
      <c r="M160" s="5"/>
      <c r="N160" s="5"/>
      <c r="O160" s="5"/>
      <c r="P160" s="32"/>
      <c r="Q160" s="151"/>
      <c r="R160"/>
      <c r="S160" s="152"/>
    </row>
    <row r="161" spans="1:20" x14ac:dyDescent="0.25">
      <c r="A161" s="25">
        <v>2023</v>
      </c>
      <c r="B161" s="6">
        <f>SUM(B111:B122)</f>
        <v>386633787.62211913</v>
      </c>
      <c r="C161" s="164"/>
      <c r="I161" s="6">
        <f>SUM(I111:I122)</f>
        <v>387860754.27580702</v>
      </c>
      <c r="J161" s="6"/>
      <c r="K161" s="6"/>
      <c r="L161" s="6"/>
      <c r="M161" s="5"/>
      <c r="N161" s="5"/>
      <c r="O161" s="5"/>
      <c r="P161" s="32"/>
      <c r="Q161" s="151"/>
      <c r="R161"/>
      <c r="S161" s="152"/>
    </row>
    <row r="162" spans="1:20" x14ac:dyDescent="0.25">
      <c r="A162" s="25">
        <v>2024</v>
      </c>
      <c r="B162" s="6">
        <f>SUM(B123:B131,I132:I134)</f>
        <v>404280493.61875224</v>
      </c>
      <c r="I162" s="14">
        <f>SUM(I123:I134)</f>
        <v>401110466.81963873</v>
      </c>
      <c r="J162" s="6"/>
      <c r="K162" s="6"/>
      <c r="L162" s="6"/>
      <c r="M162" s="5"/>
      <c r="N162" s="5"/>
      <c r="O162" s="5"/>
      <c r="P162" s="32"/>
      <c r="Q162" s="151"/>
      <c r="R162"/>
      <c r="S162" s="152"/>
    </row>
    <row r="163" spans="1:20" x14ac:dyDescent="0.25">
      <c r="A163" s="25">
        <v>2025</v>
      </c>
      <c r="I163" s="14">
        <f>SUM(I135:I146)</f>
        <v>405840241.68292063</v>
      </c>
      <c r="J163" s="6"/>
      <c r="K163" s="6"/>
      <c r="L163" s="6"/>
      <c r="M163" s="5"/>
      <c r="N163" s="5"/>
      <c r="O163" s="5"/>
      <c r="P163" s="32"/>
      <c r="Q163" s="151"/>
      <c r="R163"/>
      <c r="S163" s="152"/>
      <c r="T163" s="34"/>
    </row>
    <row r="164" spans="1:20" x14ac:dyDescent="0.25">
      <c r="I164" s="6"/>
      <c r="J164" s="6"/>
      <c r="K164" s="6"/>
      <c r="L164" s="6"/>
      <c r="R164"/>
      <c r="S164" s="152"/>
      <c r="T164" s="34"/>
    </row>
    <row r="165" spans="1:20" x14ac:dyDescent="0.25">
      <c r="A165" s="39" t="s">
        <v>7</v>
      </c>
      <c r="B165" s="6">
        <f>SUM(B152:B162)</f>
        <v>4218480089.8447218</v>
      </c>
      <c r="I165" s="6">
        <f>SUM(I152:I162)</f>
        <v>4218480089.8447227</v>
      </c>
      <c r="J165" s="6">
        <f>I165-B165</f>
        <v>0</v>
      </c>
      <c r="K165" s="6"/>
      <c r="L165" s="6"/>
      <c r="R165" s="5"/>
      <c r="S165" s="6"/>
      <c r="T165" s="34"/>
    </row>
    <row r="166" spans="1:20" x14ac:dyDescent="0.25">
      <c r="Q166" s="6"/>
      <c r="R166" s="5"/>
      <c r="S166" s="6"/>
      <c r="T166" s="34"/>
    </row>
    <row r="167" spans="1:20" x14ac:dyDescent="0.25">
      <c r="I167" s="6">
        <f>SUM(I152:I163)</f>
        <v>4624320331.5276432</v>
      </c>
      <c r="J167" s="6"/>
      <c r="K167" s="6"/>
      <c r="L167" s="6"/>
      <c r="R167" s="5"/>
      <c r="S167" s="6"/>
      <c r="T167" s="34"/>
    </row>
    <row r="168" spans="1:20" x14ac:dyDescent="0.25">
      <c r="I168" s="196"/>
      <c r="J168" s="196"/>
      <c r="K168" s="196"/>
      <c r="L168" s="196"/>
      <c r="M168"/>
      <c r="N168"/>
      <c r="O168"/>
      <c r="P168"/>
      <c r="Q168"/>
      <c r="R168" s="5"/>
      <c r="S168" s="6"/>
      <c r="T168" s="34"/>
    </row>
    <row r="169" spans="1:20" x14ac:dyDescent="0.25">
      <c r="R169" s="6"/>
      <c r="S169" s="6"/>
      <c r="T169" s="34"/>
    </row>
    <row r="170" spans="1:20" x14ac:dyDescent="0.25">
      <c r="R170" s="6"/>
      <c r="S170" s="6"/>
      <c r="T170" s="34"/>
    </row>
    <row r="171" spans="1:20" x14ac:dyDescent="0.25">
      <c r="A171"/>
      <c r="B171"/>
      <c r="C171"/>
      <c r="D171"/>
      <c r="E171"/>
      <c r="G171"/>
      <c r="H171"/>
      <c r="I171"/>
      <c r="J171"/>
      <c r="K171"/>
      <c r="L171"/>
    </row>
    <row r="172" spans="1:20" x14ac:dyDescent="0.25">
      <c r="A172"/>
      <c r="B172"/>
      <c r="C172"/>
      <c r="D172"/>
      <c r="E172"/>
      <c r="G172"/>
      <c r="H172"/>
      <c r="I172"/>
      <c r="J172"/>
      <c r="K172"/>
      <c r="L172"/>
    </row>
    <row r="173" spans="1:20" x14ac:dyDescent="0.25">
      <c r="A173"/>
      <c r="B173"/>
      <c r="C173"/>
      <c r="D173"/>
      <c r="E173"/>
      <c r="G173"/>
      <c r="H173"/>
      <c r="I173"/>
      <c r="J173"/>
      <c r="K173"/>
      <c r="L173"/>
    </row>
    <row r="174" spans="1:20" x14ac:dyDescent="0.25">
      <c r="A174"/>
      <c r="C174" s="153"/>
      <c r="D174" s="153"/>
      <c r="F174" s="153"/>
      <c r="M174"/>
      <c r="N174"/>
      <c r="O174"/>
      <c r="P174"/>
      <c r="Q174"/>
      <c r="R174"/>
    </row>
  </sheetData>
  <mergeCells count="1">
    <mergeCell ref="I168:L168"/>
  </mergeCells>
  <phoneticPr fontId="17" type="noConversion"/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0365-32A9-4723-894D-B9ECEA62FC28}">
  <sheetPr>
    <tabColor rgb="FF00B0F0"/>
  </sheetPr>
  <dimension ref="A2:Y174"/>
  <sheetViews>
    <sheetView tabSelected="1" topLeftCell="A127" zoomScale="70" zoomScaleNormal="70" workbookViewId="0">
      <selection activeCell="H166" sqref="H166"/>
    </sheetView>
    <sheetView workbookViewId="1"/>
  </sheetViews>
  <sheetFormatPr defaultRowHeight="13.2" x14ac:dyDescent="0.25"/>
  <cols>
    <col min="1" max="1" width="11.88671875" style="25" customWidth="1"/>
    <col min="2" max="2" width="16.88671875" style="6" customWidth="1"/>
    <col min="3" max="3" width="11.5546875" style="1" customWidth="1"/>
    <col min="4" max="4" width="13.44140625" style="1" customWidth="1"/>
    <col min="5" max="5" width="10.109375" style="1" customWidth="1"/>
    <col min="6" max="6" width="10.33203125" style="50" customWidth="1"/>
    <col min="7" max="8" width="13" style="1" customWidth="1"/>
    <col min="9" max="9" width="16.33203125" style="1" bestFit="1" customWidth="1"/>
    <col min="10" max="12" width="16.33203125" style="1" customWidth="1"/>
    <col min="13" max="13" width="22.44140625" style="1" bestFit="1" customWidth="1"/>
    <col min="14" max="14" width="13" style="1" customWidth="1"/>
    <col min="15" max="15" width="21" style="1" customWidth="1"/>
    <col min="16" max="16" width="15.6640625" style="1" customWidth="1"/>
    <col min="17" max="17" width="35.33203125" style="1" bestFit="1" customWidth="1"/>
    <col min="18" max="18" width="21.21875" style="1" bestFit="1" customWidth="1"/>
    <col min="19" max="19" width="31.6640625" customWidth="1"/>
    <col min="20" max="20" width="18.44140625" customWidth="1"/>
    <col min="21" max="25" width="12.5546875" customWidth="1"/>
  </cols>
  <sheetData>
    <row r="2" spans="1:22" ht="39.6" x14ac:dyDescent="0.25">
      <c r="A2" s="154"/>
      <c r="B2" s="155" t="s">
        <v>52</v>
      </c>
      <c r="C2" s="156" t="s">
        <v>2</v>
      </c>
      <c r="D2" s="156" t="s">
        <v>3</v>
      </c>
      <c r="E2" s="156" t="s">
        <v>91</v>
      </c>
      <c r="F2" s="157" t="s">
        <v>13</v>
      </c>
      <c r="G2" s="156" t="s">
        <v>105</v>
      </c>
      <c r="H2" s="156" t="s">
        <v>138</v>
      </c>
      <c r="I2" s="156" t="s">
        <v>8</v>
      </c>
      <c r="J2" s="146" t="s">
        <v>129</v>
      </c>
      <c r="K2" s="146" t="s">
        <v>130</v>
      </c>
      <c r="L2" s="146" t="s">
        <v>131</v>
      </c>
      <c r="M2" s="146" t="s">
        <v>126</v>
      </c>
      <c r="N2" s="146" t="s">
        <v>127</v>
      </c>
      <c r="O2" s="146" t="s">
        <v>128</v>
      </c>
      <c r="P2" s="146"/>
      <c r="Q2" t="s">
        <v>14</v>
      </c>
      <c r="R2"/>
    </row>
    <row r="3" spans="1:22" ht="13.8" thickBot="1" x14ac:dyDescent="0.3">
      <c r="A3" s="158">
        <v>41670</v>
      </c>
      <c r="B3" s="159">
        <f>Inputs!D24</f>
        <v>38467367.798308365</v>
      </c>
      <c r="C3" s="159">
        <v>672.12727272727273</v>
      </c>
      <c r="D3" s="159">
        <v>0</v>
      </c>
      <c r="E3" s="159">
        <v>31</v>
      </c>
      <c r="F3" s="160">
        <v>0</v>
      </c>
      <c r="G3" s="159">
        <f>Inputs!G24+Inputs!I24+Inputs!L24+Inputs!X24</f>
        <v>22328</v>
      </c>
      <c r="H3" s="159">
        <v>0</v>
      </c>
      <c r="I3" s="159">
        <f>$R$18+$R$19*C3+$R$20*D3+$R$21*E3+$R$22*F3+$R$23*G3+$R$24*H3</f>
        <v>34288752.603777081</v>
      </c>
      <c r="J3" s="9">
        <f t="shared" ref="J3:J66" si="0">I3-B3</f>
        <v>-4178615.1945312843</v>
      </c>
      <c r="K3" s="168">
        <f t="shared" ref="K3:K66" si="1">J3/B3</f>
        <v>-0.10862753116980992</v>
      </c>
      <c r="L3" s="168">
        <f>ABS(K3)</f>
        <v>0.10862753116980992</v>
      </c>
      <c r="M3" s="169">
        <f t="shared" ref="M3:M66" si="2">J3*J3</f>
        <v>17460824943967.723</v>
      </c>
      <c r="N3" s="11"/>
      <c r="O3" s="11"/>
      <c r="P3" s="11"/>
      <c r="Q3"/>
      <c r="R3"/>
    </row>
    <row r="4" spans="1:22" x14ac:dyDescent="0.25">
      <c r="A4" s="158">
        <v>41698</v>
      </c>
      <c r="B4" s="159">
        <f>Inputs!D25</f>
        <v>34199178.581508368</v>
      </c>
      <c r="C4" s="159">
        <v>607.14545454545453</v>
      </c>
      <c r="D4" s="159">
        <v>0</v>
      </c>
      <c r="E4" s="159">
        <v>28</v>
      </c>
      <c r="F4" s="160">
        <v>0</v>
      </c>
      <c r="G4" s="159">
        <f>Inputs!G25+Inputs!I25+Inputs!L25+Inputs!X25</f>
        <v>22325</v>
      </c>
      <c r="H4" s="159">
        <v>0</v>
      </c>
      <c r="I4" s="159">
        <f t="shared" ref="I4:I67" si="3">$R$18+$R$19*C4+$R$20*D4+$R$21*E4+$R$22*F4+$R$23*G4+$R$24*H4</f>
        <v>29862887.628333077</v>
      </c>
      <c r="J4" s="9">
        <f t="shared" si="0"/>
        <v>-4336290.9531752914</v>
      </c>
      <c r="K4" s="168">
        <f t="shared" si="1"/>
        <v>-0.12679517851109853</v>
      </c>
      <c r="L4" s="168">
        <f t="shared" ref="L4:L67" si="4">ABS(K4)</f>
        <v>0.12679517851109853</v>
      </c>
      <c r="M4" s="169">
        <f t="shared" si="2"/>
        <v>18803419230589.879</v>
      </c>
      <c r="N4" s="169">
        <f t="shared" ref="N4:N67" si="5">J4-J3</f>
        <v>-157675.75864400715</v>
      </c>
      <c r="O4" s="169">
        <f>N4*N4</f>
        <v>24861644863.963196</v>
      </c>
      <c r="P4" s="11"/>
      <c r="Q4" s="203" t="s">
        <v>15</v>
      </c>
      <c r="R4" s="203"/>
    </row>
    <row r="5" spans="1:22" x14ac:dyDescent="0.25">
      <c r="A5" s="158">
        <v>41729</v>
      </c>
      <c r="B5" s="159">
        <f>Inputs!D26</f>
        <v>35654944.074708365</v>
      </c>
      <c r="C5" s="159">
        <v>529.88181818181829</v>
      </c>
      <c r="D5" s="159">
        <v>0</v>
      </c>
      <c r="E5" s="159">
        <v>31</v>
      </c>
      <c r="F5" s="160">
        <v>1</v>
      </c>
      <c r="G5" s="159">
        <f>Inputs!G26+Inputs!I26+Inputs!L26+Inputs!X26</f>
        <v>22339</v>
      </c>
      <c r="H5" s="159">
        <v>0</v>
      </c>
      <c r="I5" s="159">
        <f t="shared" si="3"/>
        <v>30584763.030348182</v>
      </c>
      <c r="J5" s="9">
        <f t="shared" si="0"/>
        <v>-5070181.0443601832</v>
      </c>
      <c r="K5" s="168">
        <f t="shared" si="1"/>
        <v>-0.14220134615094482</v>
      </c>
      <c r="L5" s="168">
        <f t="shared" si="4"/>
        <v>0.14220134615094482</v>
      </c>
      <c r="M5" s="169">
        <f t="shared" si="2"/>
        <v>25706735822589.316</v>
      </c>
      <c r="N5" s="169">
        <f t="shared" si="5"/>
        <v>-733890.09118489176</v>
      </c>
      <c r="O5" s="169">
        <f t="shared" ref="O5:O68" si="6">N5*N5</f>
        <v>538594665939.36871</v>
      </c>
      <c r="P5" s="11"/>
      <c r="Q5" s="200" t="s">
        <v>16</v>
      </c>
      <c r="R5" s="200">
        <v>0.95909433197784399</v>
      </c>
    </row>
    <row r="6" spans="1:22" x14ac:dyDescent="0.25">
      <c r="A6" s="158">
        <v>41759</v>
      </c>
      <c r="B6" s="159">
        <f>Inputs!D27</f>
        <v>28165972.897108365</v>
      </c>
      <c r="C6" s="159">
        <v>327.50000000000006</v>
      </c>
      <c r="D6" s="159">
        <v>4.5454545454545456E-2</v>
      </c>
      <c r="E6" s="159">
        <v>30</v>
      </c>
      <c r="F6" s="160">
        <v>1</v>
      </c>
      <c r="G6" s="159">
        <f>Inputs!G27+Inputs!I27+Inputs!L27+Inputs!X27</f>
        <v>22333</v>
      </c>
      <c r="H6" s="159">
        <v>0</v>
      </c>
      <c r="I6" s="159">
        <f t="shared" si="3"/>
        <v>27219886.70766785</v>
      </c>
      <c r="J6" s="9">
        <f t="shared" si="0"/>
        <v>-946086.18944051489</v>
      </c>
      <c r="K6" s="168">
        <f t="shared" si="1"/>
        <v>-3.3589686139960891E-2</v>
      </c>
      <c r="L6" s="168">
        <f t="shared" si="4"/>
        <v>3.3589686139960891E-2</v>
      </c>
      <c r="M6" s="169">
        <f t="shared" si="2"/>
        <v>895079077850.07385</v>
      </c>
      <c r="N6" s="169">
        <f t="shared" si="5"/>
        <v>4124094.8549196683</v>
      </c>
      <c r="O6" s="169">
        <f t="shared" si="6"/>
        <v>17008158372374.879</v>
      </c>
      <c r="P6" s="11"/>
      <c r="Q6" s="200" t="s">
        <v>17</v>
      </c>
      <c r="R6" s="200">
        <v>0.91986193763202684</v>
      </c>
    </row>
    <row r="7" spans="1:22" x14ac:dyDescent="0.25">
      <c r="A7" s="158">
        <v>41790</v>
      </c>
      <c r="B7" s="159">
        <f>Inputs!D28</f>
        <v>25902426.925908364</v>
      </c>
      <c r="C7" s="159">
        <v>141.14545454545456</v>
      </c>
      <c r="D7" s="159">
        <v>16.963636363636365</v>
      </c>
      <c r="E7" s="159">
        <v>31</v>
      </c>
      <c r="F7" s="160">
        <v>1</v>
      </c>
      <c r="G7" s="159">
        <f>Inputs!G28+Inputs!I28+Inputs!L28+Inputs!X28</f>
        <v>22335</v>
      </c>
      <c r="H7" s="159">
        <v>0</v>
      </c>
      <c r="I7" s="159">
        <f t="shared" si="3"/>
        <v>28112660.375403687</v>
      </c>
      <c r="J7" s="9">
        <f t="shared" si="0"/>
        <v>2210233.449495323</v>
      </c>
      <c r="K7" s="168">
        <f t="shared" si="1"/>
        <v>8.5329203159900932E-2</v>
      </c>
      <c r="L7" s="168">
        <f t="shared" si="4"/>
        <v>8.5329203159900932E-2</v>
      </c>
      <c r="M7" s="169">
        <f t="shared" si="2"/>
        <v>4885131901267.9941</v>
      </c>
      <c r="N7" s="169">
        <f t="shared" si="5"/>
        <v>3156319.6389358379</v>
      </c>
      <c r="O7" s="169">
        <f t="shared" si="6"/>
        <v>9962353663132.0586</v>
      </c>
      <c r="P7" s="11"/>
      <c r="Q7" s="200" t="s">
        <v>18</v>
      </c>
      <c r="R7" s="200">
        <v>0.91592072144999537</v>
      </c>
    </row>
    <row r="8" spans="1:22" x14ac:dyDescent="0.25">
      <c r="A8" s="158">
        <v>41820</v>
      </c>
      <c r="B8" s="159">
        <f>Inputs!D29</f>
        <v>30464660.981508367</v>
      </c>
      <c r="C8" s="159">
        <v>28.127272727272725</v>
      </c>
      <c r="D8" s="159">
        <v>55.209090909090904</v>
      </c>
      <c r="E8" s="159">
        <v>30</v>
      </c>
      <c r="F8" s="160">
        <v>0</v>
      </c>
      <c r="G8" s="159">
        <f>Inputs!G29+Inputs!I29+Inputs!L29+Inputs!X29</f>
        <v>22350</v>
      </c>
      <c r="H8" s="159">
        <v>0</v>
      </c>
      <c r="I8" s="159">
        <f t="shared" si="3"/>
        <v>31517716.969124071</v>
      </c>
      <c r="J8" s="9">
        <f t="shared" si="0"/>
        <v>1053055.9876157045</v>
      </c>
      <c r="K8" s="168">
        <f t="shared" si="1"/>
        <v>3.456647649074103E-2</v>
      </c>
      <c r="L8" s="168">
        <f t="shared" si="4"/>
        <v>3.456647649074103E-2</v>
      </c>
      <c r="M8" s="169">
        <f t="shared" si="2"/>
        <v>1108926913053.2869</v>
      </c>
      <c r="N8" s="169">
        <f t="shared" si="5"/>
        <v>-1157177.4618796185</v>
      </c>
      <c r="O8" s="169">
        <f t="shared" si="6"/>
        <v>1339059678282.1558</v>
      </c>
      <c r="P8" s="11"/>
      <c r="Q8" s="200" t="s">
        <v>19</v>
      </c>
      <c r="R8" s="200">
        <v>1095771.7063313161</v>
      </c>
    </row>
    <row r="9" spans="1:22" ht="13.8" thickBot="1" x14ac:dyDescent="0.3">
      <c r="A9" s="158">
        <v>41851</v>
      </c>
      <c r="B9" s="159">
        <f>Inputs!D30</f>
        <v>32211915.350708365</v>
      </c>
      <c r="C9" s="159">
        <v>2.9545454545454546</v>
      </c>
      <c r="D9" s="159">
        <v>105.68181818181816</v>
      </c>
      <c r="E9" s="159">
        <v>31</v>
      </c>
      <c r="F9" s="160">
        <v>0</v>
      </c>
      <c r="G9" s="159">
        <f>Inputs!G30+Inputs!I30+Inputs!L30+Inputs!X30</f>
        <v>22374</v>
      </c>
      <c r="H9" s="159">
        <v>0</v>
      </c>
      <c r="I9" s="159">
        <f t="shared" si="3"/>
        <v>37270780.642022178</v>
      </c>
      <c r="J9" s="9">
        <f t="shared" si="0"/>
        <v>5058865.2913138121</v>
      </c>
      <c r="K9" s="168">
        <f t="shared" si="1"/>
        <v>0.15704950283878613</v>
      </c>
      <c r="L9" s="168">
        <f t="shared" si="4"/>
        <v>0.15704950283878613</v>
      </c>
      <c r="M9" s="169">
        <f t="shared" si="2"/>
        <v>25592118035659.582</v>
      </c>
      <c r="N9" s="169">
        <f t="shared" si="5"/>
        <v>4005809.3036981076</v>
      </c>
      <c r="O9" s="169">
        <f t="shared" si="6"/>
        <v>16046508177594.318</v>
      </c>
      <c r="P9" s="11"/>
      <c r="Q9" s="201" t="s">
        <v>20</v>
      </c>
      <c r="R9" s="201">
        <v>129</v>
      </c>
    </row>
    <row r="10" spans="1:22" x14ac:dyDescent="0.25">
      <c r="A10" s="158">
        <v>41882</v>
      </c>
      <c r="B10" s="159">
        <f>Inputs!D31</f>
        <v>31548682.743508365</v>
      </c>
      <c r="C10" s="159">
        <v>7.0272727272727282</v>
      </c>
      <c r="D10" s="159">
        <v>87.863636363636374</v>
      </c>
      <c r="E10" s="159">
        <v>31</v>
      </c>
      <c r="F10" s="160">
        <v>0</v>
      </c>
      <c r="G10" s="159">
        <f>Inputs!G31+Inputs!I31+Inputs!L31+Inputs!X31</f>
        <v>22385</v>
      </c>
      <c r="H10" s="159">
        <v>0</v>
      </c>
      <c r="I10" s="159">
        <f t="shared" si="3"/>
        <v>35644309.328230225</v>
      </c>
      <c r="J10" s="9">
        <f t="shared" si="0"/>
        <v>4095626.5847218595</v>
      </c>
      <c r="K10" s="168">
        <f t="shared" si="1"/>
        <v>0.12981925800260546</v>
      </c>
      <c r="L10" s="168">
        <f t="shared" si="4"/>
        <v>0.12981925800260546</v>
      </c>
      <c r="M10" s="169">
        <f t="shared" si="2"/>
        <v>16774157121480.443</v>
      </c>
      <c r="N10" s="169">
        <f t="shared" si="5"/>
        <v>-963238.70659195259</v>
      </c>
      <c r="O10" s="169">
        <f t="shared" si="6"/>
        <v>927828805876.93774</v>
      </c>
      <c r="P10" s="11"/>
      <c r="Q10"/>
      <c r="R10"/>
    </row>
    <row r="11" spans="1:22" ht="13.8" thickBot="1" x14ac:dyDescent="0.3">
      <c r="A11" s="158">
        <v>41912</v>
      </c>
      <c r="B11" s="159">
        <f>Inputs!D32</f>
        <v>27000977.735508364</v>
      </c>
      <c r="C11" s="159">
        <v>51.009090909090908</v>
      </c>
      <c r="D11" s="159">
        <v>34.68181818181818</v>
      </c>
      <c r="E11" s="159">
        <v>30</v>
      </c>
      <c r="F11" s="160">
        <v>0</v>
      </c>
      <c r="G11" s="159">
        <f>Inputs!G32+Inputs!I32+Inputs!L32+Inputs!X32</f>
        <v>22410</v>
      </c>
      <c r="H11" s="159">
        <v>0</v>
      </c>
      <c r="I11" s="159">
        <f t="shared" si="3"/>
        <v>29868918.366022024</v>
      </c>
      <c r="J11" s="9">
        <f t="shared" si="0"/>
        <v>2867940.6305136606</v>
      </c>
      <c r="K11" s="168">
        <f t="shared" si="1"/>
        <v>0.10621617700688291</v>
      </c>
      <c r="L11" s="168">
        <f t="shared" si="4"/>
        <v>0.10621617700688291</v>
      </c>
      <c r="M11" s="169">
        <f t="shared" si="2"/>
        <v>8225083460151.0928</v>
      </c>
      <c r="N11" s="169">
        <f t="shared" si="5"/>
        <v>-1227685.9542081989</v>
      </c>
      <c r="O11" s="169">
        <f t="shared" si="6"/>
        <v>1507212802160.0959</v>
      </c>
      <c r="P11" s="11"/>
      <c r="Q11" t="s">
        <v>21</v>
      </c>
      <c r="R11"/>
    </row>
    <row r="12" spans="1:22" x14ac:dyDescent="0.25">
      <c r="A12" s="158">
        <v>41943</v>
      </c>
      <c r="B12" s="159">
        <f>Inputs!D33</f>
        <v>27855559.415108364</v>
      </c>
      <c r="C12" s="159">
        <v>212.45</v>
      </c>
      <c r="D12" s="159">
        <v>5.3</v>
      </c>
      <c r="E12" s="159">
        <v>31</v>
      </c>
      <c r="F12" s="160">
        <v>1</v>
      </c>
      <c r="G12" s="159">
        <f>Inputs!G33+Inputs!I33+Inputs!L33+Inputs!X33</f>
        <v>22459</v>
      </c>
      <c r="H12" s="159">
        <v>0</v>
      </c>
      <c r="I12" s="159">
        <f t="shared" si="3"/>
        <v>27851553.833894491</v>
      </c>
      <c r="J12" s="9">
        <f t="shared" si="0"/>
        <v>-4005.5812138728797</v>
      </c>
      <c r="K12" s="168">
        <f t="shared" si="1"/>
        <v>-1.4379826856754214E-4</v>
      </c>
      <c r="L12" s="168">
        <f t="shared" si="4"/>
        <v>1.4379826856754214E-4</v>
      </c>
      <c r="M12" s="169">
        <f t="shared" si="2"/>
        <v>16044680.860931333</v>
      </c>
      <c r="N12" s="169">
        <f t="shared" si="5"/>
        <v>-2871946.2117275335</v>
      </c>
      <c r="O12" s="169">
        <f t="shared" si="6"/>
        <v>8248075043056.1309</v>
      </c>
      <c r="P12" s="11"/>
      <c r="Q12" s="202"/>
      <c r="R12" s="202" t="s">
        <v>25</v>
      </c>
      <c r="S12" s="202" t="s">
        <v>26</v>
      </c>
      <c r="T12" s="202" t="s">
        <v>27</v>
      </c>
      <c r="U12" s="202" t="s">
        <v>28</v>
      </c>
      <c r="V12" s="202" t="s">
        <v>29</v>
      </c>
    </row>
    <row r="13" spans="1:22" x14ac:dyDescent="0.25">
      <c r="A13" s="158">
        <v>41973</v>
      </c>
      <c r="B13" s="159">
        <f>Inputs!D34</f>
        <v>28807438.079908364</v>
      </c>
      <c r="C13" s="159">
        <v>408.5</v>
      </c>
      <c r="D13" s="159">
        <v>0.22999999999999998</v>
      </c>
      <c r="E13" s="159">
        <v>30</v>
      </c>
      <c r="F13" s="160">
        <v>1</v>
      </c>
      <c r="G13" s="159">
        <f>Inputs!G34+Inputs!I34+Inputs!L34+Inputs!X34</f>
        <v>22457</v>
      </c>
      <c r="H13" s="159">
        <v>0</v>
      </c>
      <c r="I13" s="159">
        <f t="shared" si="3"/>
        <v>28175397.045264062</v>
      </c>
      <c r="J13" s="9">
        <f t="shared" si="0"/>
        <v>-632041.03464430198</v>
      </c>
      <c r="K13" s="168">
        <f t="shared" si="1"/>
        <v>-2.1940202835500203E-2</v>
      </c>
      <c r="L13" s="168">
        <f t="shared" si="4"/>
        <v>2.1940202835500203E-2</v>
      </c>
      <c r="M13" s="169">
        <f t="shared" si="2"/>
        <v>399475869474.23975</v>
      </c>
      <c r="N13" s="169">
        <f t="shared" si="5"/>
        <v>-628035.4534304291</v>
      </c>
      <c r="O13" s="169">
        <f t="shared" si="6"/>
        <v>394428530765.5647</v>
      </c>
      <c r="P13" s="11"/>
      <c r="Q13" s="200" t="s">
        <v>22</v>
      </c>
      <c r="R13" s="200">
        <v>6</v>
      </c>
      <c r="S13" s="200">
        <v>1681449416345040.5</v>
      </c>
      <c r="T13" s="200">
        <v>280241569390840.09</v>
      </c>
      <c r="U13" s="200">
        <v>233.39545336939406</v>
      </c>
      <c r="V13" s="200">
        <v>2.2570288282589088E-64</v>
      </c>
    </row>
    <row r="14" spans="1:22" x14ac:dyDescent="0.25">
      <c r="A14" s="158">
        <v>42004</v>
      </c>
      <c r="B14" s="159">
        <f>Inputs!D35</f>
        <v>31003680.719108365</v>
      </c>
      <c r="C14" s="159">
        <v>533.85000000000014</v>
      </c>
      <c r="D14" s="159">
        <v>0</v>
      </c>
      <c r="E14" s="159">
        <v>31</v>
      </c>
      <c r="F14" s="160">
        <v>1</v>
      </c>
      <c r="G14" s="159">
        <f>Inputs!G35+Inputs!I35+Inputs!L35+Inputs!X35</f>
        <v>22469</v>
      </c>
      <c r="H14" s="159">
        <v>0</v>
      </c>
      <c r="I14" s="159">
        <f t="shared" si="3"/>
        <v>30721612.398717754</v>
      </c>
      <c r="J14" s="9">
        <f t="shared" si="0"/>
        <v>-282068.32039061189</v>
      </c>
      <c r="K14" s="168">
        <f t="shared" si="1"/>
        <v>-9.097897857552311E-3</v>
      </c>
      <c r="L14" s="168">
        <f t="shared" si="4"/>
        <v>9.097897857552311E-3</v>
      </c>
      <c r="M14" s="169">
        <f t="shared" si="2"/>
        <v>79562537367.980881</v>
      </c>
      <c r="N14" s="169">
        <f t="shared" si="5"/>
        <v>349972.71425369009</v>
      </c>
      <c r="O14" s="169">
        <f t="shared" si="6"/>
        <v>122480900722.09502</v>
      </c>
      <c r="P14" s="11"/>
      <c r="Q14" s="200" t="s">
        <v>23</v>
      </c>
      <c r="R14" s="200">
        <v>122</v>
      </c>
      <c r="S14" s="200">
        <v>146487307152341.78</v>
      </c>
      <c r="T14" s="200">
        <v>1200715632396.2441</v>
      </c>
      <c r="U14" s="200"/>
      <c r="V14" s="200"/>
    </row>
    <row r="15" spans="1:22" ht="13.8" thickBot="1" x14ac:dyDescent="0.3">
      <c r="A15" s="158">
        <v>42035</v>
      </c>
      <c r="B15" s="159">
        <f>Inputs!D36</f>
        <v>34986676.1710333</v>
      </c>
      <c r="C15" s="159">
        <v>672.12727272727273</v>
      </c>
      <c r="D15" s="159">
        <v>0</v>
      </c>
      <c r="E15" s="159">
        <v>31</v>
      </c>
      <c r="F15" s="160">
        <v>0</v>
      </c>
      <c r="G15" s="159">
        <f>Inputs!G36+Inputs!I36+Inputs!L36+Inputs!X36</f>
        <v>22484</v>
      </c>
      <c r="H15" s="159">
        <v>0</v>
      </c>
      <c r="I15" s="159">
        <f t="shared" si="3"/>
        <v>34403167.03773161</v>
      </c>
      <c r="J15" s="9">
        <f t="shared" si="0"/>
        <v>-583509.13330169022</v>
      </c>
      <c r="K15" s="168">
        <f t="shared" si="1"/>
        <v>-1.6678038532417033E-2</v>
      </c>
      <c r="L15" s="168">
        <f t="shared" si="4"/>
        <v>1.6678038532417033E-2</v>
      </c>
      <c r="M15" s="169">
        <f t="shared" si="2"/>
        <v>340482908646.48969</v>
      </c>
      <c r="N15" s="169">
        <f t="shared" si="5"/>
        <v>-301440.81291107833</v>
      </c>
      <c r="O15" s="169">
        <f t="shared" si="6"/>
        <v>90866563688.49173</v>
      </c>
      <c r="P15" s="11"/>
      <c r="Q15" s="201" t="s">
        <v>7</v>
      </c>
      <c r="R15" s="201">
        <v>128</v>
      </c>
      <c r="S15" s="201">
        <v>1827936723497382.3</v>
      </c>
      <c r="T15" s="201"/>
      <c r="U15" s="201"/>
      <c r="V15" s="201"/>
    </row>
    <row r="16" spans="1:22" ht="13.8" thickBot="1" x14ac:dyDescent="0.3">
      <c r="A16" s="158">
        <v>42063</v>
      </c>
      <c r="B16" s="159">
        <f>Inputs!D37</f>
        <v>32520528.185333334</v>
      </c>
      <c r="C16" s="159">
        <v>607.14545454545453</v>
      </c>
      <c r="D16" s="159">
        <v>0</v>
      </c>
      <c r="E16" s="159">
        <v>28</v>
      </c>
      <c r="F16" s="160">
        <v>0</v>
      </c>
      <c r="G16" s="159">
        <f>Inputs!G37+Inputs!I37+Inputs!L37+Inputs!X37</f>
        <v>22480</v>
      </c>
      <c r="H16" s="159">
        <v>0</v>
      </c>
      <c r="I16" s="159">
        <f t="shared" si="3"/>
        <v>29976568.636428915</v>
      </c>
      <c r="J16" s="9">
        <f t="shared" si="0"/>
        <v>-2543959.5489044189</v>
      </c>
      <c r="K16" s="168">
        <f t="shared" si="1"/>
        <v>-7.8226267863992976E-2</v>
      </c>
      <c r="L16" s="168">
        <f t="shared" si="4"/>
        <v>7.8226267863992976E-2</v>
      </c>
      <c r="M16" s="169">
        <f t="shared" si="2"/>
        <v>6471730186461.9746</v>
      </c>
      <c r="N16" s="169">
        <f t="shared" si="5"/>
        <v>-1960450.4156027287</v>
      </c>
      <c r="O16" s="169">
        <f t="shared" si="6"/>
        <v>3843365832036.9116</v>
      </c>
      <c r="P16" s="11"/>
      <c r="Q16"/>
      <c r="R16"/>
    </row>
    <row r="17" spans="1:25" x14ac:dyDescent="0.25">
      <c r="A17" s="158">
        <v>42094</v>
      </c>
      <c r="B17" s="159">
        <f>Inputs!D38</f>
        <v>32214658.640933331</v>
      </c>
      <c r="C17" s="159">
        <v>529.88181818181829</v>
      </c>
      <c r="D17" s="159">
        <v>0</v>
      </c>
      <c r="E17" s="159">
        <v>31</v>
      </c>
      <c r="F17" s="160">
        <v>1</v>
      </c>
      <c r="G17" s="159">
        <f>Inputs!G38+Inputs!I38+Inputs!L38+Inputs!X38</f>
        <v>22502</v>
      </c>
      <c r="H17" s="159">
        <v>0</v>
      </c>
      <c r="I17" s="159">
        <f t="shared" si="3"/>
        <v>30704311.445313491</v>
      </c>
      <c r="J17" s="9">
        <f t="shared" si="0"/>
        <v>-1510347.1956198402</v>
      </c>
      <c r="K17" s="168">
        <f t="shared" si="1"/>
        <v>-4.6883849133845176E-2</v>
      </c>
      <c r="L17" s="168">
        <f t="shared" si="4"/>
        <v>4.6883849133845176E-2</v>
      </c>
      <c r="M17" s="169">
        <f t="shared" si="2"/>
        <v>2281148651316.7158</v>
      </c>
      <c r="N17" s="169">
        <f t="shared" si="5"/>
        <v>1033612.3532845788</v>
      </c>
      <c r="O17" s="169">
        <f t="shared" si="6"/>
        <v>1068354496862.4849</v>
      </c>
      <c r="P17" s="11"/>
      <c r="Q17" s="202"/>
      <c r="R17" s="202" t="s">
        <v>117</v>
      </c>
      <c r="S17" s="202" t="s">
        <v>19</v>
      </c>
      <c r="T17" s="202" t="s">
        <v>118</v>
      </c>
      <c r="U17" s="202" t="s">
        <v>119</v>
      </c>
      <c r="V17" s="202" t="s">
        <v>120</v>
      </c>
      <c r="W17" s="202" t="s">
        <v>121</v>
      </c>
      <c r="X17" s="202" t="s">
        <v>122</v>
      </c>
      <c r="Y17" s="202" t="s">
        <v>123</v>
      </c>
    </row>
    <row r="18" spans="1:25" x14ac:dyDescent="0.25">
      <c r="A18" s="158">
        <v>42124</v>
      </c>
      <c r="B18" s="159">
        <f>Inputs!D39</f>
        <v>27411226.508933332</v>
      </c>
      <c r="C18" s="159">
        <v>327.50000000000006</v>
      </c>
      <c r="D18" s="159">
        <v>4.5454545454545456E-2</v>
      </c>
      <c r="E18" s="159">
        <v>30</v>
      </c>
      <c r="F18" s="160">
        <v>1</v>
      </c>
      <c r="G18" s="159">
        <f>Inputs!G39+Inputs!I39+Inputs!L39+Inputs!X39</f>
        <v>22537</v>
      </c>
      <c r="H18" s="159">
        <v>0</v>
      </c>
      <c r="I18" s="159">
        <f t="shared" si="3"/>
        <v>27369505.582839154</v>
      </c>
      <c r="J18" s="9">
        <f t="shared" si="0"/>
        <v>-41720.92609417811</v>
      </c>
      <c r="K18" s="168">
        <f t="shared" si="1"/>
        <v>-1.5220379168579428E-3</v>
      </c>
      <c r="L18" s="168">
        <f t="shared" si="4"/>
        <v>1.5220379168579428E-3</v>
      </c>
      <c r="M18" s="169">
        <f t="shared" si="2"/>
        <v>1740635674.1558719</v>
      </c>
      <c r="N18" s="169">
        <f t="shared" si="5"/>
        <v>1468626.2695256621</v>
      </c>
      <c r="O18" s="169">
        <f t="shared" si="6"/>
        <v>2156863119540.8625</v>
      </c>
      <c r="P18" s="11"/>
      <c r="Q18" s="200" t="s">
        <v>24</v>
      </c>
      <c r="R18" s="200">
        <v>-27805164.479502928</v>
      </c>
      <c r="S18" s="200">
        <v>4615798.8185493005</v>
      </c>
      <c r="T18" s="200">
        <v>-6.0239116938467028</v>
      </c>
      <c r="U18" s="200">
        <v>1.8549862872094197E-8</v>
      </c>
      <c r="V18" s="200">
        <v>-36942599.259821899</v>
      </c>
      <c r="W18" s="200">
        <v>-18667729.699183956</v>
      </c>
      <c r="X18" s="200">
        <v>-36942599.259821899</v>
      </c>
      <c r="Y18" s="200">
        <v>-18667729.699183956</v>
      </c>
    </row>
    <row r="19" spans="1:25" x14ac:dyDescent="0.25">
      <c r="A19" s="158">
        <v>42155</v>
      </c>
      <c r="B19" s="159">
        <f>Inputs!D40</f>
        <v>28734001.131733332</v>
      </c>
      <c r="C19" s="159">
        <v>141.14545454545456</v>
      </c>
      <c r="D19" s="159">
        <v>16.963636363636365</v>
      </c>
      <c r="E19" s="159">
        <v>31</v>
      </c>
      <c r="F19" s="160">
        <v>1</v>
      </c>
      <c r="G19" s="159">
        <f>Inputs!G40+Inputs!I40+Inputs!L40+Inputs!X40</f>
        <v>22526</v>
      </c>
      <c r="H19" s="159">
        <v>0</v>
      </c>
      <c r="I19" s="159">
        <f t="shared" si="3"/>
        <v>28252744.714412112</v>
      </c>
      <c r="J19" s="9">
        <f t="shared" si="0"/>
        <v>-481256.41732122004</v>
      </c>
      <c r="K19" s="168">
        <f t="shared" si="1"/>
        <v>-1.674867398782583E-2</v>
      </c>
      <c r="L19" s="168">
        <f t="shared" si="4"/>
        <v>1.674867398782583E-2</v>
      </c>
      <c r="M19" s="169">
        <f t="shared" si="2"/>
        <v>231607739212.85629</v>
      </c>
      <c r="N19" s="169">
        <f t="shared" si="5"/>
        <v>-439535.49122704193</v>
      </c>
      <c r="O19" s="169">
        <f t="shared" si="6"/>
        <v>193191448048.19705</v>
      </c>
      <c r="P19" s="11"/>
      <c r="Q19" s="200" t="s">
        <v>2</v>
      </c>
      <c r="R19" s="200">
        <v>10459.199865952494</v>
      </c>
      <c r="S19" s="200">
        <v>560.45132822277731</v>
      </c>
      <c r="T19" s="200">
        <v>18.662102022523893</v>
      </c>
      <c r="U19" s="200">
        <v>1.5010816969456676E-37</v>
      </c>
      <c r="V19" s="200">
        <v>9349.7304847050073</v>
      </c>
      <c r="W19" s="200">
        <v>11568.669247199981</v>
      </c>
      <c r="X19" s="200">
        <v>9349.7304847050073</v>
      </c>
      <c r="Y19" s="200">
        <v>11568.669247199981</v>
      </c>
    </row>
    <row r="20" spans="1:25" x14ac:dyDescent="0.25">
      <c r="A20" s="158">
        <v>42185</v>
      </c>
      <c r="B20" s="159">
        <f>Inputs!D41</f>
        <v>29750992.611733332</v>
      </c>
      <c r="C20" s="159">
        <v>28.127272727272725</v>
      </c>
      <c r="D20" s="159">
        <v>55.209090909090904</v>
      </c>
      <c r="E20" s="159">
        <v>30</v>
      </c>
      <c r="F20" s="160">
        <v>0</v>
      </c>
      <c r="G20" s="159">
        <f>Inputs!G41+Inputs!I41+Inputs!L41+Inputs!X41</f>
        <v>22535</v>
      </c>
      <c r="H20" s="159">
        <v>0</v>
      </c>
      <c r="I20" s="159">
        <f t="shared" si="3"/>
        <v>31653400.752980404</v>
      </c>
      <c r="J20" s="9">
        <f t="shared" si="0"/>
        <v>1902408.1412470713</v>
      </c>
      <c r="K20" s="168">
        <f t="shared" si="1"/>
        <v>6.3944358632820567E-2</v>
      </c>
      <c r="L20" s="168">
        <f t="shared" si="4"/>
        <v>6.3944358632820567E-2</v>
      </c>
      <c r="M20" s="169">
        <f t="shared" si="2"/>
        <v>3619156735883.1367</v>
      </c>
      <c r="N20" s="169">
        <f t="shared" si="5"/>
        <v>2383664.5585682914</v>
      </c>
      <c r="O20" s="169">
        <f t="shared" si="6"/>
        <v>5681856727774.5674</v>
      </c>
      <c r="P20" s="11"/>
      <c r="Q20" s="200" t="s">
        <v>3</v>
      </c>
      <c r="R20" s="200">
        <v>94125.005788810566</v>
      </c>
      <c r="S20" s="200">
        <v>4288.0375183923361</v>
      </c>
      <c r="T20" s="200">
        <v>21.950602200910723</v>
      </c>
      <c r="U20" s="200">
        <v>3.4530174277728261E-44</v>
      </c>
      <c r="V20" s="200">
        <v>85636.407238454936</v>
      </c>
      <c r="W20" s="200">
        <v>102613.6043391662</v>
      </c>
      <c r="X20" s="200">
        <v>85636.407238454936</v>
      </c>
      <c r="Y20" s="200">
        <v>102613.6043391662</v>
      </c>
    </row>
    <row r="21" spans="1:25" x14ac:dyDescent="0.25">
      <c r="A21" s="158">
        <v>42216</v>
      </c>
      <c r="B21" s="159">
        <f>Inputs!D42</f>
        <v>35319999.557733327</v>
      </c>
      <c r="C21" s="159">
        <v>2.9545454545454546</v>
      </c>
      <c r="D21" s="159">
        <v>105.68181818181816</v>
      </c>
      <c r="E21" s="159">
        <v>31</v>
      </c>
      <c r="F21" s="160">
        <v>0</v>
      </c>
      <c r="G21" s="159">
        <f>Inputs!G42+Inputs!I42+Inputs!L42+Inputs!X42</f>
        <v>22560</v>
      </c>
      <c r="H21" s="159">
        <v>0</v>
      </c>
      <c r="I21" s="159">
        <f t="shared" si="3"/>
        <v>37407197.851737194</v>
      </c>
      <c r="J21" s="9">
        <f t="shared" si="0"/>
        <v>2087198.2940038666</v>
      </c>
      <c r="K21" s="168">
        <f t="shared" si="1"/>
        <v>5.9093950173815156E-2</v>
      </c>
      <c r="L21" s="168">
        <f t="shared" si="4"/>
        <v>5.9093950173815156E-2</v>
      </c>
      <c r="M21" s="169">
        <f t="shared" si="2"/>
        <v>4356396718492.6514</v>
      </c>
      <c r="N21" s="169">
        <f t="shared" si="5"/>
        <v>184790.15275679529</v>
      </c>
      <c r="O21" s="169">
        <f t="shared" si="6"/>
        <v>34147400555.879738</v>
      </c>
      <c r="P21" s="11"/>
      <c r="Q21" s="200" t="s">
        <v>91</v>
      </c>
      <c r="R21" s="200">
        <v>1248002.2912837784</v>
      </c>
      <c r="S21" s="200">
        <v>138657.78886745253</v>
      </c>
      <c r="T21" s="200">
        <v>9.0005927649458197</v>
      </c>
      <c r="U21" s="200">
        <v>3.6436080248934687E-15</v>
      </c>
      <c r="V21" s="200">
        <v>973515.34929054312</v>
      </c>
      <c r="W21" s="200">
        <v>1522489.2332770135</v>
      </c>
      <c r="X21" s="200">
        <v>973515.34929054312</v>
      </c>
      <c r="Y21" s="200">
        <v>1522489.2332770135</v>
      </c>
    </row>
    <row r="22" spans="1:25" x14ac:dyDescent="0.25">
      <c r="A22" s="158">
        <v>42247</v>
      </c>
      <c r="B22" s="159">
        <f>Inputs!D43</f>
        <v>33778593.432533331</v>
      </c>
      <c r="C22" s="159">
        <v>7.0272727272727282</v>
      </c>
      <c r="D22" s="159">
        <v>87.863636363636374</v>
      </c>
      <c r="E22" s="159">
        <v>31</v>
      </c>
      <c r="F22" s="160">
        <v>0</v>
      </c>
      <c r="G22" s="159">
        <f>Inputs!G43+Inputs!I43+Inputs!L43+Inputs!X43</f>
        <v>22588</v>
      </c>
      <c r="H22" s="159">
        <v>0</v>
      </c>
      <c r="I22" s="159">
        <f t="shared" si="3"/>
        <v>35793194.777542844</v>
      </c>
      <c r="J22" s="9">
        <f t="shared" si="0"/>
        <v>2014601.3450095132</v>
      </c>
      <c r="K22" s="168">
        <f t="shared" si="1"/>
        <v>5.9641362777088903E-2</v>
      </c>
      <c r="L22" s="168">
        <f t="shared" si="4"/>
        <v>5.9641362777088903E-2</v>
      </c>
      <c r="M22" s="169">
        <f t="shared" si="2"/>
        <v>4058618579314.1396</v>
      </c>
      <c r="N22" s="169">
        <f t="shared" si="5"/>
        <v>-72596.948994353414</v>
      </c>
      <c r="O22" s="169">
        <f t="shared" si="6"/>
        <v>5270317003.2887506</v>
      </c>
      <c r="P22" s="11"/>
      <c r="Q22" s="200" t="s">
        <v>13</v>
      </c>
      <c r="R22" s="200">
        <v>-2224283.6187602435</v>
      </c>
      <c r="S22" s="200">
        <v>269915.49251433427</v>
      </c>
      <c r="T22" s="200">
        <v>-8.2406667288359507</v>
      </c>
      <c r="U22" s="200">
        <v>2.2481551605963849E-13</v>
      </c>
      <c r="V22" s="200">
        <v>-2758608.2949432814</v>
      </c>
      <c r="W22" s="200">
        <v>-1689958.9425772056</v>
      </c>
      <c r="X22" s="200">
        <v>-2758608.2949432814</v>
      </c>
      <c r="Y22" s="200">
        <v>-1689958.9425772056</v>
      </c>
    </row>
    <row r="23" spans="1:25" x14ac:dyDescent="0.25">
      <c r="A23" s="158">
        <v>42277</v>
      </c>
      <c r="B23" s="159">
        <f>Inputs!D44</f>
        <v>32399240.260533333</v>
      </c>
      <c r="C23" s="159">
        <v>51.009090909090908</v>
      </c>
      <c r="D23" s="159">
        <v>34.68181818181818</v>
      </c>
      <c r="E23" s="159">
        <v>30</v>
      </c>
      <c r="F23" s="160">
        <v>0</v>
      </c>
      <c r="G23" s="159">
        <f>Inputs!G44+Inputs!I44+Inputs!L44+Inputs!X44</f>
        <v>22606</v>
      </c>
      <c r="H23" s="159">
        <v>0</v>
      </c>
      <c r="I23" s="159">
        <f t="shared" si="3"/>
        <v>30012669.834323864</v>
      </c>
      <c r="J23" s="9">
        <f t="shared" si="0"/>
        <v>-2386570.4262094684</v>
      </c>
      <c r="K23" s="168">
        <f t="shared" si="1"/>
        <v>-7.3661308321375504E-2</v>
      </c>
      <c r="L23" s="168">
        <f t="shared" si="4"/>
        <v>7.3661308321375504E-2</v>
      </c>
      <c r="M23" s="169">
        <f t="shared" si="2"/>
        <v>5695718399257.6436</v>
      </c>
      <c r="N23" s="169">
        <f t="shared" si="5"/>
        <v>-4401171.7712189816</v>
      </c>
      <c r="O23" s="169">
        <f t="shared" si="6"/>
        <v>19370312959774.828</v>
      </c>
      <c r="P23" s="11"/>
      <c r="Q23" s="200" t="s">
        <v>105</v>
      </c>
      <c r="R23" s="200">
        <v>733.42585868285448</v>
      </c>
      <c r="S23" s="200">
        <v>88.077071670790801</v>
      </c>
      <c r="T23" s="200">
        <v>8.3270917705371694</v>
      </c>
      <c r="U23" s="200">
        <v>1.4127120342816177E-13</v>
      </c>
      <c r="V23" s="200">
        <v>559.06849830589795</v>
      </c>
      <c r="W23" s="200">
        <v>907.78321905981102</v>
      </c>
      <c r="X23" s="200">
        <v>559.06849830589795</v>
      </c>
      <c r="Y23" s="200">
        <v>907.78321905981102</v>
      </c>
    </row>
    <row r="24" spans="1:25" ht="13.8" thickBot="1" x14ac:dyDescent="0.3">
      <c r="A24" s="158">
        <v>42308</v>
      </c>
      <c r="B24" s="159">
        <f>Inputs!D45</f>
        <v>27207724.193333331</v>
      </c>
      <c r="C24" s="159">
        <v>212.45</v>
      </c>
      <c r="D24" s="159">
        <v>5.3</v>
      </c>
      <c r="E24" s="159">
        <v>31</v>
      </c>
      <c r="F24" s="160">
        <v>1</v>
      </c>
      <c r="G24" s="159">
        <f>Inputs!G45+Inputs!I45+Inputs!L45+Inputs!X45</f>
        <v>22626</v>
      </c>
      <c r="H24" s="159">
        <v>0</v>
      </c>
      <c r="I24" s="159">
        <f t="shared" si="3"/>
        <v>27974035.952294528</v>
      </c>
      <c r="J24" s="9">
        <f t="shared" si="0"/>
        <v>766311.75896119699</v>
      </c>
      <c r="K24" s="168">
        <f t="shared" si="1"/>
        <v>2.8165228135801423E-2</v>
      </c>
      <c r="L24" s="168">
        <f t="shared" si="4"/>
        <v>2.8165228135801423E-2</v>
      </c>
      <c r="M24" s="169">
        <f t="shared" si="2"/>
        <v>587233711922.20361</v>
      </c>
      <c r="N24" s="169">
        <f t="shared" si="5"/>
        <v>3152882.1851706654</v>
      </c>
      <c r="O24" s="169">
        <f t="shared" si="6"/>
        <v>9940666073566.5508</v>
      </c>
      <c r="P24" s="11"/>
      <c r="Q24" s="201" t="s">
        <v>138</v>
      </c>
      <c r="R24" s="201">
        <v>-1639478.081051036</v>
      </c>
      <c r="S24" s="201">
        <v>648431.44949550531</v>
      </c>
      <c r="T24" s="201">
        <v>-2.5283753314657824</v>
      </c>
      <c r="U24" s="201">
        <v>1.2735744498424137E-2</v>
      </c>
      <c r="V24" s="201">
        <v>-2923112.8996792543</v>
      </c>
      <c r="W24" s="201">
        <v>-355843.26242281776</v>
      </c>
      <c r="X24" s="201">
        <v>-2923112.8996792543</v>
      </c>
      <c r="Y24" s="201">
        <v>-355843.26242281776</v>
      </c>
    </row>
    <row r="25" spans="1:25" x14ac:dyDescent="0.25">
      <c r="A25" s="158">
        <v>42338</v>
      </c>
      <c r="B25" s="159">
        <f>Inputs!D46</f>
        <v>27907416.640533332</v>
      </c>
      <c r="C25" s="159">
        <v>408.5</v>
      </c>
      <c r="D25" s="159">
        <v>0.22999999999999998</v>
      </c>
      <c r="E25" s="159">
        <v>30</v>
      </c>
      <c r="F25" s="160">
        <v>1</v>
      </c>
      <c r="G25" s="159">
        <f>Inputs!G46+Inputs!I46+Inputs!L46+Inputs!X46</f>
        <v>22650</v>
      </c>
      <c r="H25" s="159">
        <v>0</v>
      </c>
      <c r="I25" s="159">
        <f t="shared" si="3"/>
        <v>28316948.235989854</v>
      </c>
      <c r="J25" s="9">
        <f t="shared" si="0"/>
        <v>409531.59545652196</v>
      </c>
      <c r="K25" s="168">
        <f t="shared" si="1"/>
        <v>1.467465085470181E-2</v>
      </c>
      <c r="L25" s="168">
        <f t="shared" si="4"/>
        <v>1.467465085470181E-2</v>
      </c>
      <c r="M25" s="169">
        <f t="shared" si="2"/>
        <v>167716127677.16437</v>
      </c>
      <c r="N25" s="169">
        <f t="shared" si="5"/>
        <v>-356780.16350467503</v>
      </c>
      <c r="O25" s="169">
        <f t="shared" si="6"/>
        <v>127292085070.42265</v>
      </c>
      <c r="P25" s="11"/>
      <c r="Q25"/>
      <c r="R25"/>
    </row>
    <row r="26" spans="1:25" x14ac:dyDescent="0.25">
      <c r="A26" s="158">
        <v>42369</v>
      </c>
      <c r="B26" s="159">
        <f>Inputs!D47</f>
        <v>30150193.52733333</v>
      </c>
      <c r="C26" s="159">
        <v>533.85000000000014</v>
      </c>
      <c r="D26" s="159">
        <v>0</v>
      </c>
      <c r="E26" s="159">
        <v>31</v>
      </c>
      <c r="F26" s="160">
        <v>1</v>
      </c>
      <c r="G26" s="159">
        <f>Inputs!G47+Inputs!I47+Inputs!L47+Inputs!X47</f>
        <v>22667</v>
      </c>
      <c r="H26" s="159">
        <v>0</v>
      </c>
      <c r="I26" s="159">
        <f t="shared" si="3"/>
        <v>30866830.718736961</v>
      </c>
      <c r="J26" s="9">
        <f t="shared" si="0"/>
        <v>716637.19140363112</v>
      </c>
      <c r="K26" s="168">
        <f t="shared" si="1"/>
        <v>2.3768908506472692E-2</v>
      </c>
      <c r="L26" s="168">
        <f t="shared" si="4"/>
        <v>2.3768908506472692E-2</v>
      </c>
      <c r="M26" s="169">
        <f t="shared" si="2"/>
        <v>513568864102.88464</v>
      </c>
      <c r="N26" s="169">
        <f t="shared" si="5"/>
        <v>307105.59594710916</v>
      </c>
      <c r="O26" s="169">
        <f t="shared" si="6"/>
        <v>94313847062.029068</v>
      </c>
      <c r="P26" s="11"/>
      <c r="Q26"/>
      <c r="R26"/>
    </row>
    <row r="27" spans="1:25" x14ac:dyDescent="0.25">
      <c r="A27" s="158">
        <v>42400</v>
      </c>
      <c r="B27" s="159">
        <f>Inputs!D48</f>
        <v>33030100.046666667</v>
      </c>
      <c r="C27" s="159">
        <v>672.12727272727273</v>
      </c>
      <c r="D27" s="159">
        <v>0</v>
      </c>
      <c r="E27" s="159">
        <v>31</v>
      </c>
      <c r="F27" s="160">
        <v>0</v>
      </c>
      <c r="G27" s="159">
        <f>Inputs!G48+Inputs!I48+Inputs!L48+Inputs!X48</f>
        <v>22670</v>
      </c>
      <c r="H27" s="159">
        <v>0</v>
      </c>
      <c r="I27" s="159">
        <f t="shared" si="3"/>
        <v>34539584.247446619</v>
      </c>
      <c r="J27" s="9">
        <f t="shared" si="0"/>
        <v>1509484.2007799521</v>
      </c>
      <c r="K27" s="168">
        <f t="shared" si="1"/>
        <v>4.5700261235881008E-2</v>
      </c>
      <c r="L27" s="168">
        <f t="shared" si="4"/>
        <v>4.5700261235881008E-2</v>
      </c>
      <c r="M27" s="169">
        <f t="shared" si="2"/>
        <v>2278542552404.2905</v>
      </c>
      <c r="N27" s="169">
        <f t="shared" si="5"/>
        <v>792847.00937632099</v>
      </c>
      <c r="O27" s="169">
        <f t="shared" si="6"/>
        <v>628606380276.97607</v>
      </c>
      <c r="P27" s="11"/>
      <c r="Q27"/>
      <c r="R27"/>
    </row>
    <row r="28" spans="1:25" x14ac:dyDescent="0.25">
      <c r="A28" s="158">
        <v>42429</v>
      </c>
      <c r="B28" s="159">
        <f>Inputs!D49</f>
        <v>30335368.476666667</v>
      </c>
      <c r="C28" s="159">
        <v>607.14545454545453</v>
      </c>
      <c r="D28" s="159">
        <v>0</v>
      </c>
      <c r="E28" s="159">
        <v>29</v>
      </c>
      <c r="F28" s="160">
        <v>0</v>
      </c>
      <c r="G28" s="159">
        <f>Inputs!G49+Inputs!I49+Inputs!L49+Inputs!X49</f>
        <v>22695</v>
      </c>
      <c r="H28" s="159">
        <v>0</v>
      </c>
      <c r="I28" s="159">
        <f t="shared" si="3"/>
        <v>31382257.487329509</v>
      </c>
      <c r="J28" s="9">
        <f t="shared" si="0"/>
        <v>1046889.0106628425</v>
      </c>
      <c r="K28" s="168">
        <f t="shared" si="1"/>
        <v>3.4510509126272446E-2</v>
      </c>
      <c r="L28" s="168">
        <f t="shared" si="4"/>
        <v>3.4510509126272446E-2</v>
      </c>
      <c r="M28" s="169">
        <f t="shared" si="2"/>
        <v>1095976600646.6252</v>
      </c>
      <c r="N28" s="169">
        <f t="shared" si="5"/>
        <v>-462595.19011710957</v>
      </c>
      <c r="O28" s="169">
        <f t="shared" si="6"/>
        <v>213994309919.48474</v>
      </c>
      <c r="P28" s="11"/>
      <c r="Q28" t="s">
        <v>132</v>
      </c>
      <c r="R28" s="132">
        <f>M132</f>
        <v>400161184647572.06</v>
      </c>
    </row>
    <row r="29" spans="1:25" x14ac:dyDescent="0.25">
      <c r="A29" s="158">
        <v>42460</v>
      </c>
      <c r="B29" s="159">
        <f>Inputs!D50</f>
        <v>29470505.726666667</v>
      </c>
      <c r="C29" s="159">
        <v>529.88181818181829</v>
      </c>
      <c r="D29" s="159">
        <v>0</v>
      </c>
      <c r="E29" s="159">
        <v>31</v>
      </c>
      <c r="F29" s="160">
        <v>1</v>
      </c>
      <c r="G29" s="159">
        <f>Inputs!G50+Inputs!I50+Inputs!L50+Inputs!X50</f>
        <v>22699</v>
      </c>
      <c r="H29" s="159">
        <v>0</v>
      </c>
      <c r="I29" s="159">
        <f t="shared" si="3"/>
        <v>30848796.339474011</v>
      </c>
      <c r="J29" s="9">
        <f t="shared" si="0"/>
        <v>1378290.6128073446</v>
      </c>
      <c r="K29" s="168">
        <f t="shared" si="1"/>
        <v>4.6768475084571937E-2</v>
      </c>
      <c r="L29" s="168">
        <f t="shared" si="4"/>
        <v>4.6768475084571937E-2</v>
      </c>
      <c r="M29" s="169">
        <f t="shared" si="2"/>
        <v>1899685013352.8457</v>
      </c>
      <c r="N29" s="169">
        <f t="shared" si="5"/>
        <v>331401.6021445021</v>
      </c>
      <c r="O29" s="169">
        <f t="shared" si="6"/>
        <v>109827021903.94286</v>
      </c>
      <c r="P29" s="11"/>
      <c r="Q29"/>
      <c r="R29"/>
    </row>
    <row r="30" spans="1:25" x14ac:dyDescent="0.25">
      <c r="A30" s="158">
        <v>42490</v>
      </c>
      <c r="B30" s="159">
        <f>Inputs!D51</f>
        <v>27500006.806666669</v>
      </c>
      <c r="C30" s="159">
        <v>327.50000000000006</v>
      </c>
      <c r="D30" s="159">
        <v>4.5454545454545456E-2</v>
      </c>
      <c r="E30" s="159">
        <v>30</v>
      </c>
      <c r="F30" s="160">
        <v>1</v>
      </c>
      <c r="G30" s="159">
        <f>Inputs!G51+Inputs!I51+Inputs!L51+Inputs!X51</f>
        <v>22717</v>
      </c>
      <c r="H30" s="159">
        <v>0</v>
      </c>
      <c r="I30" s="159">
        <f t="shared" si="3"/>
        <v>27501522.237402067</v>
      </c>
      <c r="J30" s="9">
        <f t="shared" si="0"/>
        <v>1515.4307353980839</v>
      </c>
      <c r="K30" s="168">
        <f t="shared" si="1"/>
        <v>5.5106558556585767E-5</v>
      </c>
      <c r="L30" s="168">
        <f t="shared" si="4"/>
        <v>5.5106558556585767E-5</v>
      </c>
      <c r="M30" s="169">
        <f t="shared" si="2"/>
        <v>2296530.3137891777</v>
      </c>
      <c r="N30" s="169">
        <f t="shared" si="5"/>
        <v>-1376775.1820719466</v>
      </c>
      <c r="O30" s="169">
        <f t="shared" si="6"/>
        <v>1895509901969.2417</v>
      </c>
      <c r="P30" s="11"/>
      <c r="Q30" s="147" t="s">
        <v>133</v>
      </c>
      <c r="R30" s="170">
        <f>R27/R28</f>
        <v>0</v>
      </c>
    </row>
    <row r="31" spans="1:25" x14ac:dyDescent="0.25">
      <c r="A31" s="158">
        <v>42521</v>
      </c>
      <c r="B31" s="159">
        <f>Inputs!D52</f>
        <v>28052824.666666668</v>
      </c>
      <c r="C31" s="159">
        <v>141.14545454545456</v>
      </c>
      <c r="D31" s="159">
        <v>16.963636363636365</v>
      </c>
      <c r="E31" s="159">
        <v>31</v>
      </c>
      <c r="F31" s="160">
        <v>1</v>
      </c>
      <c r="G31" s="159">
        <f>Inputs!G52+Inputs!I52+Inputs!L52+Inputs!X52</f>
        <v>22722</v>
      </c>
      <c r="H31" s="159">
        <v>0</v>
      </c>
      <c r="I31" s="159">
        <f t="shared" si="3"/>
        <v>28396496.182713948</v>
      </c>
      <c r="J31" s="9">
        <f t="shared" si="0"/>
        <v>343671.51604728028</v>
      </c>
      <c r="K31" s="168">
        <f t="shared" si="1"/>
        <v>1.2250870282436927E-2</v>
      </c>
      <c r="L31" s="168">
        <f t="shared" si="4"/>
        <v>1.2250870282436927E-2</v>
      </c>
      <c r="M31" s="169">
        <f t="shared" si="2"/>
        <v>118110110942.23602</v>
      </c>
      <c r="N31" s="169">
        <f t="shared" si="5"/>
        <v>342156.0853118822</v>
      </c>
      <c r="O31" s="169">
        <f t="shared" si="6"/>
        <v>117070786715.95201</v>
      </c>
      <c r="P31" s="11"/>
      <c r="Q31" s="147"/>
      <c r="T31" s="40"/>
    </row>
    <row r="32" spans="1:25" x14ac:dyDescent="0.25">
      <c r="A32" s="158">
        <v>42551</v>
      </c>
      <c r="B32" s="159">
        <f>Inputs!D53</f>
        <v>31979033.996666666</v>
      </c>
      <c r="C32" s="159">
        <v>28.127272727272725</v>
      </c>
      <c r="D32" s="159">
        <v>55.209090909090904</v>
      </c>
      <c r="E32" s="159">
        <v>30</v>
      </c>
      <c r="F32" s="160">
        <v>0</v>
      </c>
      <c r="G32" s="159">
        <f>Inputs!G53+Inputs!I53+Inputs!L53+Inputs!X53</f>
        <v>22733</v>
      </c>
      <c r="H32" s="159">
        <v>0</v>
      </c>
      <c r="I32" s="159">
        <f t="shared" si="3"/>
        <v>31798619.072999604</v>
      </c>
      <c r="J32" s="9">
        <f t="shared" si="0"/>
        <v>-180414.92366706207</v>
      </c>
      <c r="K32" s="168">
        <f t="shared" si="1"/>
        <v>-5.6416627120715289E-3</v>
      </c>
      <c r="L32" s="168">
        <f t="shared" si="4"/>
        <v>5.6416627120715289E-3</v>
      </c>
      <c r="M32" s="169">
        <f t="shared" si="2"/>
        <v>32549544681.791836</v>
      </c>
      <c r="N32" s="169">
        <f t="shared" si="5"/>
        <v>-524086.43971434236</v>
      </c>
      <c r="O32" s="169">
        <f t="shared" si="6"/>
        <v>274666596292.45502</v>
      </c>
      <c r="P32" s="11"/>
      <c r="Q32" s="147"/>
      <c r="T32" s="40"/>
    </row>
    <row r="33" spans="1:20" x14ac:dyDescent="0.25">
      <c r="A33" s="158">
        <v>42582</v>
      </c>
      <c r="B33" s="159">
        <f>Inputs!D54</f>
        <v>38582728.506666668</v>
      </c>
      <c r="C33" s="159">
        <v>2.9545454545454546</v>
      </c>
      <c r="D33" s="159">
        <v>105.68181818181816</v>
      </c>
      <c r="E33" s="159">
        <v>31</v>
      </c>
      <c r="F33" s="160">
        <v>0</v>
      </c>
      <c r="G33" s="159">
        <f>Inputs!G54+Inputs!I54+Inputs!L54+Inputs!X54</f>
        <v>22761</v>
      </c>
      <c r="H33" s="159">
        <v>0</v>
      </c>
      <c r="I33" s="159">
        <f t="shared" si="3"/>
        <v>37554616.449332446</v>
      </c>
      <c r="J33" s="9">
        <f t="shared" si="0"/>
        <v>-1028112.0573342219</v>
      </c>
      <c r="K33" s="168">
        <f t="shared" si="1"/>
        <v>-2.6646950517161469E-2</v>
      </c>
      <c r="L33" s="168">
        <f t="shared" si="4"/>
        <v>2.6646950517161469E-2</v>
      </c>
      <c r="M33" s="169">
        <f t="shared" si="2"/>
        <v>1057014402436.0063</v>
      </c>
      <c r="N33" s="169">
        <f t="shared" si="5"/>
        <v>-847697.13366715983</v>
      </c>
      <c r="O33" s="169">
        <f t="shared" si="6"/>
        <v>718590430427.51868</v>
      </c>
      <c r="P33" s="11"/>
      <c r="Q33" s="147"/>
      <c r="R33"/>
      <c r="T33" s="40"/>
    </row>
    <row r="34" spans="1:20" x14ac:dyDescent="0.25">
      <c r="A34" s="158">
        <v>42613</v>
      </c>
      <c r="B34" s="159">
        <f>Inputs!D55</f>
        <v>41437079.986666664</v>
      </c>
      <c r="C34" s="159">
        <v>7.0272727272727282</v>
      </c>
      <c r="D34" s="159">
        <v>87.863636363636374</v>
      </c>
      <c r="E34" s="159">
        <v>31</v>
      </c>
      <c r="F34" s="160">
        <v>0</v>
      </c>
      <c r="G34" s="159">
        <f>Inputs!G55+Inputs!I55+Inputs!L55+Inputs!X55</f>
        <v>22775</v>
      </c>
      <c r="H34" s="159">
        <v>0</v>
      </c>
      <c r="I34" s="159">
        <f t="shared" si="3"/>
        <v>35930345.413116537</v>
      </c>
      <c r="J34" s="9">
        <f t="shared" si="0"/>
        <v>-5506734.5735501274</v>
      </c>
      <c r="K34" s="168">
        <f t="shared" si="1"/>
        <v>-0.13289388574972094</v>
      </c>
      <c r="L34" s="168">
        <f t="shared" si="4"/>
        <v>0.13289388574972094</v>
      </c>
      <c r="M34" s="169">
        <f t="shared" si="2"/>
        <v>30324125663532.305</v>
      </c>
      <c r="N34" s="169">
        <f t="shared" si="5"/>
        <v>-4478622.5162159055</v>
      </c>
      <c r="O34" s="169">
        <f t="shared" si="6"/>
        <v>20058059642756.09</v>
      </c>
      <c r="P34" s="11"/>
      <c r="Q34" s="147"/>
      <c r="R34"/>
      <c r="T34" s="40"/>
    </row>
    <row r="35" spans="1:20" x14ac:dyDescent="0.25">
      <c r="A35" s="158">
        <v>42643</v>
      </c>
      <c r="B35" s="159">
        <f>Inputs!D56</f>
        <v>31887811.926666666</v>
      </c>
      <c r="C35" s="159">
        <v>51.009090909090908</v>
      </c>
      <c r="D35" s="159">
        <v>34.68181818181818</v>
      </c>
      <c r="E35" s="159">
        <v>30</v>
      </c>
      <c r="F35" s="160">
        <v>0</v>
      </c>
      <c r="G35" s="159">
        <f>Inputs!G56+Inputs!I56+Inputs!L56+Inputs!X56</f>
        <v>22784</v>
      </c>
      <c r="H35" s="159">
        <v>0</v>
      </c>
      <c r="I35" s="159">
        <f t="shared" si="3"/>
        <v>30143219.637169413</v>
      </c>
      <c r="J35" s="9">
        <f t="shared" si="0"/>
        <v>-1744592.2894972526</v>
      </c>
      <c r="K35" s="168">
        <f t="shared" si="1"/>
        <v>-5.4710316703740679E-2</v>
      </c>
      <c r="L35" s="168">
        <f t="shared" si="4"/>
        <v>5.4710316703740679E-2</v>
      </c>
      <c r="M35" s="169">
        <f t="shared" si="2"/>
        <v>3043602256573.2656</v>
      </c>
      <c r="N35" s="169">
        <f t="shared" si="5"/>
        <v>3762142.2840528749</v>
      </c>
      <c r="O35" s="169">
        <f t="shared" si="6"/>
        <v>14153714565458.582</v>
      </c>
      <c r="P35" s="11"/>
      <c r="Q35" s="147"/>
      <c r="R35"/>
      <c r="T35" s="40"/>
    </row>
    <row r="36" spans="1:20" x14ac:dyDescent="0.25">
      <c r="A36" s="158">
        <v>42674</v>
      </c>
      <c r="B36" s="159">
        <f>Inputs!D57</f>
        <v>27632019.866666667</v>
      </c>
      <c r="C36" s="159">
        <v>212.45</v>
      </c>
      <c r="D36" s="159">
        <v>5.3</v>
      </c>
      <c r="E36" s="159">
        <v>31</v>
      </c>
      <c r="F36" s="160">
        <v>1</v>
      </c>
      <c r="G36" s="159">
        <f>Inputs!G57+Inputs!I57+Inputs!L57+Inputs!X57</f>
        <v>22793</v>
      </c>
      <c r="H36" s="159">
        <v>0</v>
      </c>
      <c r="I36" s="159">
        <f t="shared" si="3"/>
        <v>28096518.070694566</v>
      </c>
      <c r="J36" s="9">
        <f t="shared" si="0"/>
        <v>464498.20402789861</v>
      </c>
      <c r="K36" s="168">
        <f t="shared" si="1"/>
        <v>1.6810142952605384E-2</v>
      </c>
      <c r="L36" s="168">
        <f t="shared" si="4"/>
        <v>1.6810142952605384E-2</v>
      </c>
      <c r="M36" s="169">
        <f t="shared" si="2"/>
        <v>215758581545.14331</v>
      </c>
      <c r="N36" s="169">
        <f t="shared" si="5"/>
        <v>2209090.4935251512</v>
      </c>
      <c r="O36" s="169">
        <f t="shared" si="6"/>
        <v>4880080808583.1963</v>
      </c>
      <c r="P36" s="11"/>
      <c r="Q36" s="147"/>
      <c r="R36"/>
      <c r="T36" s="40"/>
    </row>
    <row r="37" spans="1:20" x14ac:dyDescent="0.25">
      <c r="A37" s="158">
        <v>42704</v>
      </c>
      <c r="B37" s="159">
        <f>Inputs!D58</f>
        <v>28072689.79275357</v>
      </c>
      <c r="C37" s="159">
        <v>408.5</v>
      </c>
      <c r="D37" s="159">
        <v>0.22999999999999998</v>
      </c>
      <c r="E37" s="159">
        <v>30</v>
      </c>
      <c r="F37" s="160">
        <v>1</v>
      </c>
      <c r="G37" s="159">
        <f>Inputs!G58+Inputs!I58+Inputs!L58+Inputs!X58</f>
        <v>22824</v>
      </c>
      <c r="H37" s="159">
        <v>0</v>
      </c>
      <c r="I37" s="159">
        <f t="shared" si="3"/>
        <v>28444564.335400671</v>
      </c>
      <c r="J37" s="9">
        <f t="shared" si="0"/>
        <v>371874.54264710099</v>
      </c>
      <c r="K37" s="168">
        <f t="shared" si="1"/>
        <v>1.3246844010761424E-2</v>
      </c>
      <c r="L37" s="168">
        <f t="shared" si="4"/>
        <v>1.3246844010761424E-2</v>
      </c>
      <c r="M37" s="169">
        <f t="shared" si="2"/>
        <v>138290675468.99054</v>
      </c>
      <c r="N37" s="169">
        <f t="shared" si="5"/>
        <v>-92623.661380797625</v>
      </c>
      <c r="O37" s="169">
        <f t="shared" si="6"/>
        <v>8579142647.5846615</v>
      </c>
      <c r="P37" s="11"/>
      <c r="Q37" s="147"/>
      <c r="R37"/>
      <c r="T37" s="40"/>
    </row>
    <row r="38" spans="1:20" x14ac:dyDescent="0.25">
      <c r="A38" s="158">
        <v>42735</v>
      </c>
      <c r="B38" s="159">
        <f>Inputs!D59</f>
        <v>32042035.384939767</v>
      </c>
      <c r="C38" s="159">
        <v>533.85000000000014</v>
      </c>
      <c r="D38" s="159">
        <v>0</v>
      </c>
      <c r="E38" s="159">
        <v>31</v>
      </c>
      <c r="F38" s="160">
        <v>1</v>
      </c>
      <c r="G38" s="159">
        <f>Inputs!G59+Inputs!I59+Inputs!L59+Inputs!X59</f>
        <v>22852</v>
      </c>
      <c r="H38" s="159">
        <v>0</v>
      </c>
      <c r="I38" s="159">
        <f t="shared" si="3"/>
        <v>31002514.50259329</v>
      </c>
      <c r="J38" s="9">
        <f t="shared" si="0"/>
        <v>-1039520.8823464774</v>
      </c>
      <c r="K38" s="168">
        <f t="shared" si="1"/>
        <v>-3.2442411034695619E-2</v>
      </c>
      <c r="L38" s="168">
        <f t="shared" si="4"/>
        <v>3.2442411034695619E-2</v>
      </c>
      <c r="M38" s="169">
        <f t="shared" si="2"/>
        <v>1080603664834.3988</v>
      </c>
      <c r="N38" s="169">
        <f t="shared" si="5"/>
        <v>-1411395.4249935783</v>
      </c>
      <c r="O38" s="169">
        <f t="shared" si="6"/>
        <v>1992037045692.8037</v>
      </c>
      <c r="P38" s="11"/>
      <c r="Q38" s="147"/>
      <c r="R38"/>
      <c r="T38" s="40"/>
    </row>
    <row r="39" spans="1:20" x14ac:dyDescent="0.25">
      <c r="A39" s="158">
        <v>42766</v>
      </c>
      <c r="B39" s="159">
        <f>Inputs!D60</f>
        <v>32603243.687800001</v>
      </c>
      <c r="C39" s="159">
        <v>672.12727272727273</v>
      </c>
      <c r="D39" s="159">
        <v>0</v>
      </c>
      <c r="E39" s="159">
        <v>31</v>
      </c>
      <c r="F39" s="160">
        <v>0</v>
      </c>
      <c r="G39" s="159">
        <f>Inputs!G60+Inputs!I60+Inputs!L60+Inputs!X60</f>
        <v>22862</v>
      </c>
      <c r="H39" s="159">
        <v>0</v>
      </c>
      <c r="I39" s="159">
        <f t="shared" si="3"/>
        <v>34680402.012313724</v>
      </c>
      <c r="J39" s="9">
        <f t="shared" si="0"/>
        <v>2077158.3245137222</v>
      </c>
      <c r="K39" s="168">
        <f t="shared" si="1"/>
        <v>6.3710173883434376E-2</v>
      </c>
      <c r="L39" s="168">
        <f t="shared" si="4"/>
        <v>6.3710173883434376E-2</v>
      </c>
      <c r="M39" s="169">
        <f t="shared" si="2"/>
        <v>4314586705096.6538</v>
      </c>
      <c r="N39" s="169">
        <f t="shared" si="5"/>
        <v>3116679.2068601996</v>
      </c>
      <c r="O39" s="169">
        <f t="shared" si="6"/>
        <v>9713689278474.7227</v>
      </c>
      <c r="P39" s="11"/>
      <c r="Q39" s="147"/>
      <c r="R39"/>
      <c r="T39" s="40"/>
    </row>
    <row r="40" spans="1:20" x14ac:dyDescent="0.25">
      <c r="A40" s="158">
        <v>42794</v>
      </c>
      <c r="B40" s="159">
        <f>Inputs!D61</f>
        <v>28442344.894508798</v>
      </c>
      <c r="C40" s="159">
        <v>607.14545454545453</v>
      </c>
      <c r="D40" s="159">
        <v>0</v>
      </c>
      <c r="E40" s="159">
        <v>28</v>
      </c>
      <c r="F40" s="160">
        <v>0</v>
      </c>
      <c r="G40" s="159">
        <f>Inputs!G61+Inputs!I61+Inputs!L61+Inputs!X61</f>
        <v>22870</v>
      </c>
      <c r="H40" s="159">
        <v>0</v>
      </c>
      <c r="I40" s="159">
        <f t="shared" si="3"/>
        <v>30262604.721315231</v>
      </c>
      <c r="J40" s="9">
        <f t="shared" si="0"/>
        <v>1820259.8268064335</v>
      </c>
      <c r="K40" s="168">
        <f t="shared" si="1"/>
        <v>6.3998233393121565E-2</v>
      </c>
      <c r="L40" s="168">
        <f t="shared" si="4"/>
        <v>6.3998233393121565E-2</v>
      </c>
      <c r="M40" s="169">
        <f t="shared" si="2"/>
        <v>3313345837085.3872</v>
      </c>
      <c r="N40" s="169">
        <f t="shared" si="5"/>
        <v>-256898.49770728871</v>
      </c>
      <c r="O40" s="169">
        <f t="shared" si="6"/>
        <v>65996838124.261826</v>
      </c>
      <c r="P40" s="11"/>
      <c r="Q40" s="147"/>
      <c r="R40"/>
    </row>
    <row r="41" spans="1:20" x14ac:dyDescent="0.25">
      <c r="A41" s="158">
        <v>42825</v>
      </c>
      <c r="B41" s="159">
        <f>Inputs!D62</f>
        <v>31091148.4114093</v>
      </c>
      <c r="C41" s="159">
        <v>529.88181818181829</v>
      </c>
      <c r="D41" s="159">
        <v>0</v>
      </c>
      <c r="E41" s="159">
        <v>31</v>
      </c>
      <c r="F41" s="160">
        <v>1</v>
      </c>
      <c r="G41" s="159">
        <f>Inputs!G62+Inputs!I62+Inputs!L62+Inputs!X62</f>
        <v>22881</v>
      </c>
      <c r="H41" s="159">
        <v>0</v>
      </c>
      <c r="I41" s="159">
        <f t="shared" si="3"/>
        <v>30982279.845754292</v>
      </c>
      <c r="J41" s="9">
        <f t="shared" si="0"/>
        <v>-108868.56565500796</v>
      </c>
      <c r="K41" s="168">
        <f t="shared" si="1"/>
        <v>-3.5015935794464647E-3</v>
      </c>
      <c r="L41" s="168">
        <f t="shared" si="4"/>
        <v>3.5015935794464647E-3</v>
      </c>
      <c r="M41" s="169">
        <f t="shared" si="2"/>
        <v>11852364587.778778</v>
      </c>
      <c r="N41" s="169">
        <f t="shared" si="5"/>
        <v>-1929128.3924614415</v>
      </c>
      <c r="O41" s="169">
        <f t="shared" si="6"/>
        <v>3721536354600.8652</v>
      </c>
      <c r="P41" s="11"/>
      <c r="Q41" s="147"/>
      <c r="R41"/>
    </row>
    <row r="42" spans="1:20" x14ac:dyDescent="0.25">
      <c r="A42" s="158">
        <v>42855</v>
      </c>
      <c r="B42" s="159">
        <f>Inputs!D63</f>
        <v>26726381.985407598</v>
      </c>
      <c r="C42" s="159">
        <v>327.50000000000006</v>
      </c>
      <c r="D42" s="159">
        <v>4.5454545454545456E-2</v>
      </c>
      <c r="E42" s="159">
        <v>30</v>
      </c>
      <c r="F42" s="160">
        <v>1</v>
      </c>
      <c r="G42" s="159">
        <f>Inputs!G63+Inputs!I63+Inputs!L63+Inputs!X63</f>
        <v>22886</v>
      </c>
      <c r="H42" s="159">
        <v>0</v>
      </c>
      <c r="I42" s="159">
        <f t="shared" si="3"/>
        <v>27625471.207519468</v>
      </c>
      <c r="J42" s="9">
        <f t="shared" si="0"/>
        <v>899089.2221118696</v>
      </c>
      <c r="K42" s="168">
        <f t="shared" si="1"/>
        <v>3.36405138040295E-2</v>
      </c>
      <c r="L42" s="168">
        <f t="shared" si="4"/>
        <v>3.36405138040295E-2</v>
      </c>
      <c r="M42" s="169">
        <f t="shared" si="2"/>
        <v>808361429317.72681</v>
      </c>
      <c r="N42" s="169">
        <f t="shared" si="5"/>
        <v>1007957.7877668776</v>
      </c>
      <c r="O42" s="169">
        <f t="shared" si="6"/>
        <v>1015978901919.8978</v>
      </c>
      <c r="P42" s="11"/>
      <c r="Q42" s="147"/>
      <c r="R42"/>
    </row>
    <row r="43" spans="1:20" x14ac:dyDescent="0.25">
      <c r="A43" s="158">
        <v>42886</v>
      </c>
      <c r="B43" s="159">
        <f>Inputs!D64</f>
        <v>27100631.439999998</v>
      </c>
      <c r="C43" s="159">
        <v>141.14545454545456</v>
      </c>
      <c r="D43" s="159">
        <v>16.963636363636365</v>
      </c>
      <c r="E43" s="159">
        <v>31</v>
      </c>
      <c r="F43" s="160">
        <v>1</v>
      </c>
      <c r="G43" s="159">
        <f>Inputs!G64+Inputs!I64+Inputs!L64+Inputs!X64</f>
        <v>22907</v>
      </c>
      <c r="H43" s="159">
        <v>0</v>
      </c>
      <c r="I43" s="159">
        <f t="shared" si="3"/>
        <v>28532179.96657028</v>
      </c>
      <c r="J43" s="9">
        <f t="shared" si="0"/>
        <v>1431548.5265702829</v>
      </c>
      <c r="K43" s="168">
        <f t="shared" si="1"/>
        <v>5.2823438071533106E-2</v>
      </c>
      <c r="L43" s="168">
        <f t="shared" si="4"/>
        <v>5.2823438071533106E-2</v>
      </c>
      <c r="M43" s="169">
        <f t="shared" si="2"/>
        <v>2049331183925.5479</v>
      </c>
      <c r="N43" s="169">
        <f t="shared" si="5"/>
        <v>532459.30445841327</v>
      </c>
      <c r="O43" s="169">
        <f t="shared" si="6"/>
        <v>283512910904.33722</v>
      </c>
      <c r="P43" s="11"/>
      <c r="Q43" s="147"/>
      <c r="R43"/>
    </row>
    <row r="44" spans="1:20" x14ac:dyDescent="0.25">
      <c r="A44" s="158">
        <v>42916</v>
      </c>
      <c r="B44" s="159">
        <f>Inputs!D65</f>
        <v>31069771.245993197</v>
      </c>
      <c r="C44" s="159">
        <v>28.127272727272725</v>
      </c>
      <c r="D44" s="159">
        <v>55.209090909090904</v>
      </c>
      <c r="E44" s="159">
        <v>30</v>
      </c>
      <c r="F44" s="160">
        <v>0</v>
      </c>
      <c r="G44" s="159">
        <f>Inputs!G65+Inputs!I65+Inputs!L65+Inputs!X65</f>
        <v>22911</v>
      </c>
      <c r="H44" s="159">
        <v>0</v>
      </c>
      <c r="I44" s="159">
        <f t="shared" si="3"/>
        <v>31929168.875845153</v>
      </c>
      <c r="J44" s="9">
        <f t="shared" si="0"/>
        <v>859397.62985195592</v>
      </c>
      <c r="K44" s="168">
        <f t="shared" si="1"/>
        <v>2.7660249669935535E-2</v>
      </c>
      <c r="L44" s="168">
        <f t="shared" si="4"/>
        <v>2.7660249669935535E-2</v>
      </c>
      <c r="M44" s="169">
        <f t="shared" si="2"/>
        <v>738564286195.15942</v>
      </c>
      <c r="N44" s="169">
        <f t="shared" si="5"/>
        <v>-572150.89671832696</v>
      </c>
      <c r="O44" s="169">
        <f t="shared" si="6"/>
        <v>327356648615.58563</v>
      </c>
      <c r="P44" s="11"/>
      <c r="Q44" s="147"/>
      <c r="R44"/>
    </row>
    <row r="45" spans="1:20" x14ac:dyDescent="0.25">
      <c r="A45" s="158">
        <v>42947</v>
      </c>
      <c r="B45" s="159">
        <f>Inputs!D66</f>
        <v>35551342.793448403</v>
      </c>
      <c r="C45" s="159">
        <v>2.9545454545454546</v>
      </c>
      <c r="D45" s="159">
        <v>105.68181818181816</v>
      </c>
      <c r="E45" s="159">
        <v>31</v>
      </c>
      <c r="F45" s="160">
        <v>0</v>
      </c>
      <c r="G45" s="159">
        <f>Inputs!G66+Inputs!I66+Inputs!L66+Inputs!X66</f>
        <v>22937</v>
      </c>
      <c r="H45" s="159">
        <v>0</v>
      </c>
      <c r="I45" s="159">
        <f t="shared" si="3"/>
        <v>37683699.400460631</v>
      </c>
      <c r="J45" s="9">
        <f t="shared" si="0"/>
        <v>2132356.6070122272</v>
      </c>
      <c r="K45" s="168">
        <f t="shared" si="1"/>
        <v>5.9979636195491036E-2</v>
      </c>
      <c r="L45" s="168">
        <f t="shared" si="4"/>
        <v>5.9979636195491036E-2</v>
      </c>
      <c r="M45" s="169">
        <f t="shared" si="2"/>
        <v>4546944699468.6982</v>
      </c>
      <c r="N45" s="169">
        <f t="shared" si="5"/>
        <v>1272958.9771602713</v>
      </c>
      <c r="O45" s="169">
        <f t="shared" si="6"/>
        <v>1620424557532.9241</v>
      </c>
      <c r="P45" s="11"/>
      <c r="Q45" s="147"/>
      <c r="R45"/>
    </row>
    <row r="46" spans="1:20" x14ac:dyDescent="0.25">
      <c r="A46" s="158">
        <v>42978</v>
      </c>
      <c r="B46" s="159">
        <f>Inputs!D67</f>
        <v>34125261.1615927</v>
      </c>
      <c r="C46" s="159">
        <v>7.0272727272727282</v>
      </c>
      <c r="D46" s="159">
        <v>87.863636363636374</v>
      </c>
      <c r="E46" s="159">
        <v>31</v>
      </c>
      <c r="F46" s="160">
        <v>0</v>
      </c>
      <c r="G46" s="159">
        <f>Inputs!G67+Inputs!I67+Inputs!L67+Inputs!X67</f>
        <v>22952</v>
      </c>
      <c r="H46" s="159">
        <v>0</v>
      </c>
      <c r="I46" s="159">
        <f t="shared" si="3"/>
        <v>36060161.790103406</v>
      </c>
      <c r="J46" s="9">
        <f t="shared" si="0"/>
        <v>1934900.6285107061</v>
      </c>
      <c r="K46" s="168">
        <f t="shared" si="1"/>
        <v>5.6699950788608122E-2</v>
      </c>
      <c r="L46" s="168">
        <f t="shared" si="4"/>
        <v>5.6699950788608122E-2</v>
      </c>
      <c r="M46" s="169">
        <f t="shared" si="2"/>
        <v>3743840442211.1255</v>
      </c>
      <c r="N46" s="169">
        <f t="shared" si="5"/>
        <v>-197455.97850152105</v>
      </c>
      <c r="O46" s="169">
        <f t="shared" si="6"/>
        <v>38988863445.993141</v>
      </c>
      <c r="P46" s="11"/>
      <c r="Q46" s="147"/>
      <c r="R46"/>
    </row>
    <row r="47" spans="1:20" x14ac:dyDescent="0.25">
      <c r="A47" s="158">
        <v>43008</v>
      </c>
      <c r="B47" s="159">
        <f>Inputs!D68</f>
        <v>31037006.541170798</v>
      </c>
      <c r="C47" s="159">
        <v>51.009090909090908</v>
      </c>
      <c r="D47" s="159">
        <v>34.68181818181818</v>
      </c>
      <c r="E47" s="159">
        <v>30</v>
      </c>
      <c r="F47" s="160">
        <v>0</v>
      </c>
      <c r="G47" s="159">
        <f>Inputs!G68+Inputs!I68+Inputs!L68+Inputs!X68</f>
        <v>22968</v>
      </c>
      <c r="H47" s="159">
        <v>0</v>
      </c>
      <c r="I47" s="159">
        <f t="shared" si="3"/>
        <v>30278169.995167058</v>
      </c>
      <c r="J47" s="9">
        <f t="shared" si="0"/>
        <v>-758836.54600374028</v>
      </c>
      <c r="K47" s="168">
        <f t="shared" si="1"/>
        <v>-2.4449411543511403E-2</v>
      </c>
      <c r="L47" s="168">
        <f t="shared" si="4"/>
        <v>2.4449411543511403E-2</v>
      </c>
      <c r="M47" s="169">
        <f t="shared" si="2"/>
        <v>575832903550.8866</v>
      </c>
      <c r="N47" s="169">
        <f t="shared" si="5"/>
        <v>-2693737.1745144464</v>
      </c>
      <c r="O47" s="169">
        <f t="shared" si="6"/>
        <v>7256219965361.0732</v>
      </c>
      <c r="P47" s="11"/>
      <c r="Q47" s="147"/>
      <c r="R47"/>
    </row>
    <row r="48" spans="1:20" x14ac:dyDescent="0.25">
      <c r="A48" s="158">
        <v>43039</v>
      </c>
      <c r="B48" s="159">
        <f>Inputs!D69</f>
        <v>28262231.379913501</v>
      </c>
      <c r="C48" s="159">
        <v>212.45</v>
      </c>
      <c r="D48" s="159">
        <v>5.3</v>
      </c>
      <c r="E48" s="159">
        <v>31</v>
      </c>
      <c r="F48" s="160">
        <v>1</v>
      </c>
      <c r="G48" s="159">
        <f>Inputs!G69+Inputs!I69+Inputs!L69+Inputs!X69</f>
        <v>22997</v>
      </c>
      <c r="H48" s="159">
        <v>0</v>
      </c>
      <c r="I48" s="159">
        <f t="shared" si="3"/>
        <v>28246136.94586587</v>
      </c>
      <c r="J48" s="9">
        <f t="shared" si="0"/>
        <v>-16094.434047631919</v>
      </c>
      <c r="K48" s="168">
        <f t="shared" si="1"/>
        <v>-5.6946791749325697E-4</v>
      </c>
      <c r="L48" s="168">
        <f t="shared" si="4"/>
        <v>5.6946791749325697E-4</v>
      </c>
      <c r="M48" s="169">
        <f t="shared" si="2"/>
        <v>259030807.31357357</v>
      </c>
      <c r="N48" s="169">
        <f t="shared" si="5"/>
        <v>742742.11195610836</v>
      </c>
      <c r="O48" s="169">
        <f t="shared" si="6"/>
        <v>551665844873.02026</v>
      </c>
      <c r="P48" s="11"/>
      <c r="Q48" s="147"/>
      <c r="R48"/>
    </row>
    <row r="49" spans="1:18" x14ac:dyDescent="0.25">
      <c r="A49" s="158">
        <v>43069</v>
      </c>
      <c r="B49" s="159">
        <f>Inputs!D70</f>
        <v>29451606.664241601</v>
      </c>
      <c r="C49" s="159">
        <v>408.5</v>
      </c>
      <c r="D49" s="159">
        <v>0.22999999999999998</v>
      </c>
      <c r="E49" s="159">
        <v>30</v>
      </c>
      <c r="F49" s="160">
        <v>1</v>
      </c>
      <c r="G49" s="159">
        <f>Inputs!G70+Inputs!I70+Inputs!L70+Inputs!X70</f>
        <v>23027</v>
      </c>
      <c r="H49" s="159">
        <v>0</v>
      </c>
      <c r="I49" s="159">
        <f t="shared" si="3"/>
        <v>28593449.784713287</v>
      </c>
      <c r="J49" s="9">
        <f t="shared" si="0"/>
        <v>-858156.87952831388</v>
      </c>
      <c r="K49" s="168">
        <f t="shared" si="1"/>
        <v>-2.9137862980162545E-2</v>
      </c>
      <c r="L49" s="168">
        <f t="shared" si="4"/>
        <v>2.9137862980162545E-2</v>
      </c>
      <c r="M49" s="169">
        <f t="shared" si="2"/>
        <v>736433229881.77307</v>
      </c>
      <c r="N49" s="169">
        <f t="shared" si="5"/>
        <v>-842062.44548068196</v>
      </c>
      <c r="O49" s="169">
        <f t="shared" si="6"/>
        <v>709069162088.90649</v>
      </c>
      <c r="P49" s="11"/>
      <c r="Q49" s="147"/>
      <c r="R49"/>
    </row>
    <row r="50" spans="1:18" x14ac:dyDescent="0.25">
      <c r="A50" s="158">
        <v>43100</v>
      </c>
      <c r="B50" s="159">
        <f>Inputs!D71</f>
        <v>33135674.439350799</v>
      </c>
      <c r="C50" s="159">
        <v>533.85000000000014</v>
      </c>
      <c r="D50" s="159">
        <v>0</v>
      </c>
      <c r="E50" s="159">
        <v>31</v>
      </c>
      <c r="F50" s="160">
        <v>1</v>
      </c>
      <c r="G50" s="159">
        <f>Inputs!G71+Inputs!I71+Inputs!L71+Inputs!X71</f>
        <v>23048</v>
      </c>
      <c r="H50" s="159">
        <v>0</v>
      </c>
      <c r="I50" s="159">
        <f t="shared" si="3"/>
        <v>31146265.97089513</v>
      </c>
      <c r="J50" s="9">
        <f t="shared" si="0"/>
        <v>-1989408.4684556685</v>
      </c>
      <c r="K50" s="168">
        <f t="shared" si="1"/>
        <v>-6.0038266977089645E-2</v>
      </c>
      <c r="L50" s="168">
        <f t="shared" si="4"/>
        <v>6.0038266977089645E-2</v>
      </c>
      <c r="M50" s="169">
        <f t="shared" si="2"/>
        <v>3957746054363.1289</v>
      </c>
      <c r="N50" s="169">
        <f t="shared" si="5"/>
        <v>-1131251.5889273547</v>
      </c>
      <c r="O50" s="169">
        <f t="shared" si="6"/>
        <v>1279730157450.6646</v>
      </c>
      <c r="P50" s="11"/>
      <c r="Q50" s="147"/>
      <c r="R50"/>
    </row>
    <row r="51" spans="1:18" x14ac:dyDescent="0.25">
      <c r="A51" s="158">
        <v>43131</v>
      </c>
      <c r="B51" s="159">
        <f>Inputs!D72</f>
        <v>34633272.560236096</v>
      </c>
      <c r="C51" s="159">
        <v>672.12727272727273</v>
      </c>
      <c r="D51" s="159">
        <v>0</v>
      </c>
      <c r="E51" s="159">
        <v>31</v>
      </c>
      <c r="F51" s="160">
        <v>0</v>
      </c>
      <c r="G51" s="159">
        <f>Inputs!G72+Inputs!I72+Inputs!L72+Inputs!X72</f>
        <v>23089</v>
      </c>
      <c r="H51" s="159">
        <v>0</v>
      </c>
      <c r="I51" s="159">
        <f t="shared" si="3"/>
        <v>34846889.682234734</v>
      </c>
      <c r="J51" s="9">
        <f t="shared" si="0"/>
        <v>213617.12199863791</v>
      </c>
      <c r="K51" s="168">
        <f t="shared" si="1"/>
        <v>6.1679739223922097E-3</v>
      </c>
      <c r="L51" s="168">
        <f t="shared" si="4"/>
        <v>6.1679739223922097E-3</v>
      </c>
      <c r="M51" s="169">
        <f t="shared" si="2"/>
        <v>45632274810.980957</v>
      </c>
      <c r="N51" s="169">
        <f t="shared" si="5"/>
        <v>2203025.5904543065</v>
      </c>
      <c r="O51" s="169">
        <f t="shared" si="6"/>
        <v>4853321752196.5459</v>
      </c>
      <c r="P51" s="11"/>
      <c r="Q51" s="147"/>
      <c r="R51"/>
    </row>
    <row r="52" spans="1:18" x14ac:dyDescent="0.25">
      <c r="A52" s="158">
        <v>43159</v>
      </c>
      <c r="B52" s="159">
        <f>Inputs!D73</f>
        <v>29707123.119004901</v>
      </c>
      <c r="C52" s="159">
        <v>607.14545454545453</v>
      </c>
      <c r="D52" s="159">
        <v>0</v>
      </c>
      <c r="E52" s="159">
        <v>28</v>
      </c>
      <c r="F52" s="160">
        <v>0</v>
      </c>
      <c r="G52" s="159">
        <f>Inputs!G73+Inputs!I73+Inputs!L73+Inputs!X73</f>
        <v>23082</v>
      </c>
      <c r="H52" s="159">
        <v>0</v>
      </c>
      <c r="I52" s="159">
        <f t="shared" si="3"/>
        <v>30418091.003355995</v>
      </c>
      <c r="J52" s="9">
        <f t="shared" si="0"/>
        <v>710967.88435109332</v>
      </c>
      <c r="K52" s="168">
        <f t="shared" si="1"/>
        <v>2.3932572720118332E-2</v>
      </c>
      <c r="L52" s="168">
        <f t="shared" si="4"/>
        <v>2.3932572720118332E-2</v>
      </c>
      <c r="M52" s="169">
        <f t="shared" si="2"/>
        <v>505475332578.66962</v>
      </c>
      <c r="N52" s="169">
        <f t="shared" si="5"/>
        <v>497350.76235245541</v>
      </c>
      <c r="O52" s="169">
        <f t="shared" si="6"/>
        <v>247357780812.56857</v>
      </c>
      <c r="P52" s="11"/>
      <c r="Q52" s="147"/>
      <c r="R52"/>
    </row>
    <row r="53" spans="1:18" x14ac:dyDescent="0.25">
      <c r="A53" s="158">
        <v>43190</v>
      </c>
      <c r="B53" s="159">
        <f>Inputs!D74</f>
        <v>31571358.704649799</v>
      </c>
      <c r="C53" s="159">
        <v>529.88181818181829</v>
      </c>
      <c r="D53" s="159">
        <v>0</v>
      </c>
      <c r="E53" s="159">
        <v>31</v>
      </c>
      <c r="F53" s="160">
        <v>1</v>
      </c>
      <c r="G53" s="159">
        <f>Inputs!G74+Inputs!I74+Inputs!L74+Inputs!X74</f>
        <v>23104</v>
      </c>
      <c r="H53" s="159">
        <v>0</v>
      </c>
      <c r="I53" s="159">
        <f t="shared" si="3"/>
        <v>31145833.812240567</v>
      </c>
      <c r="J53" s="9">
        <f t="shared" si="0"/>
        <v>-425524.89240923151</v>
      </c>
      <c r="K53" s="168">
        <f t="shared" si="1"/>
        <v>-1.3478193839866658E-2</v>
      </c>
      <c r="L53" s="168">
        <f t="shared" si="4"/>
        <v>1.3478193839866658E-2</v>
      </c>
      <c r="M53" s="169">
        <f t="shared" si="2"/>
        <v>181071434059.88806</v>
      </c>
      <c r="N53" s="169">
        <f t="shared" si="5"/>
        <v>-1136492.7767603248</v>
      </c>
      <c r="O53" s="169">
        <f t="shared" si="6"/>
        <v>1291615831628.3936</v>
      </c>
      <c r="P53" s="11"/>
      <c r="Q53" s="147"/>
      <c r="R53"/>
    </row>
    <row r="54" spans="1:18" x14ac:dyDescent="0.25">
      <c r="A54" s="158">
        <v>43220</v>
      </c>
      <c r="B54" s="159">
        <f>Inputs!D75</f>
        <v>29502213.161825802</v>
      </c>
      <c r="C54" s="159">
        <v>327.50000000000006</v>
      </c>
      <c r="D54" s="159">
        <v>4.5454545454545456E-2</v>
      </c>
      <c r="E54" s="159">
        <v>30</v>
      </c>
      <c r="F54" s="160">
        <v>1</v>
      </c>
      <c r="G54" s="159">
        <f>Inputs!G75+Inputs!I75+Inputs!L75+Inputs!X75</f>
        <v>23133</v>
      </c>
      <c r="H54" s="159">
        <v>0</v>
      </c>
      <c r="I54" s="159">
        <f t="shared" si="3"/>
        <v>27806627.394614134</v>
      </c>
      <c r="J54" s="9">
        <f t="shared" si="0"/>
        <v>-1695585.7672116682</v>
      </c>
      <c r="K54" s="168">
        <f t="shared" si="1"/>
        <v>-5.7473171857006997E-2</v>
      </c>
      <c r="L54" s="168">
        <f t="shared" si="4"/>
        <v>5.7473171857006997E-2</v>
      </c>
      <c r="M54" s="169">
        <f t="shared" si="2"/>
        <v>2875011093970.7813</v>
      </c>
      <c r="N54" s="169">
        <f t="shared" si="5"/>
        <v>-1270060.8748024367</v>
      </c>
      <c r="O54" s="169">
        <f t="shared" si="6"/>
        <v>1613054625703.9307</v>
      </c>
      <c r="P54" s="11"/>
      <c r="Q54" s="147"/>
      <c r="R54"/>
    </row>
    <row r="55" spans="1:18" x14ac:dyDescent="0.25">
      <c r="A55" s="158">
        <v>43251</v>
      </c>
      <c r="B55" s="159">
        <f>Inputs!D76</f>
        <v>29818036.360710699</v>
      </c>
      <c r="C55" s="159">
        <v>141.14545454545456</v>
      </c>
      <c r="D55" s="159">
        <v>16.963636363636365</v>
      </c>
      <c r="E55" s="159">
        <v>31</v>
      </c>
      <c r="F55" s="160">
        <v>1</v>
      </c>
      <c r="G55" s="159">
        <f>Inputs!G76+Inputs!I76+Inputs!L76+Inputs!X76</f>
        <v>23168</v>
      </c>
      <c r="H55" s="159">
        <v>0</v>
      </c>
      <c r="I55" s="159">
        <f t="shared" si="3"/>
        <v>28723604.115686502</v>
      </c>
      <c r="J55" s="9">
        <f t="shared" si="0"/>
        <v>-1094432.2450241968</v>
      </c>
      <c r="K55" s="168">
        <f t="shared" si="1"/>
        <v>-3.6703699458434477E-2</v>
      </c>
      <c r="L55" s="168">
        <f t="shared" si="4"/>
        <v>3.6703699458434477E-2</v>
      </c>
      <c r="M55" s="169">
        <f t="shared" si="2"/>
        <v>1197781938948.7036</v>
      </c>
      <c r="N55" s="169">
        <f t="shared" si="5"/>
        <v>601153.52218747139</v>
      </c>
      <c r="O55" s="169">
        <f t="shared" si="6"/>
        <v>361385557238.40265</v>
      </c>
      <c r="P55" s="11"/>
      <c r="Q55" s="147"/>
      <c r="R55"/>
    </row>
    <row r="56" spans="1:18" x14ac:dyDescent="0.25">
      <c r="A56" s="158">
        <v>43281</v>
      </c>
      <c r="B56" s="159">
        <f>Inputs!D77</f>
        <v>32564167.646594502</v>
      </c>
      <c r="C56" s="159">
        <v>28.127272727272725</v>
      </c>
      <c r="D56" s="159">
        <v>55.209090909090904</v>
      </c>
      <c r="E56" s="159">
        <v>30</v>
      </c>
      <c r="F56" s="160">
        <v>0</v>
      </c>
      <c r="G56" s="159">
        <f>Inputs!G77+Inputs!I77+Inputs!L77+Inputs!X77</f>
        <v>23182</v>
      </c>
      <c r="H56" s="159">
        <v>0</v>
      </c>
      <c r="I56" s="159">
        <f t="shared" si="3"/>
        <v>32127927.28354821</v>
      </c>
      <c r="J56" s="9">
        <f t="shared" si="0"/>
        <v>-436240.36304629222</v>
      </c>
      <c r="K56" s="168">
        <f t="shared" si="1"/>
        <v>-1.3396330831502564E-2</v>
      </c>
      <c r="L56" s="168">
        <f t="shared" si="4"/>
        <v>1.3396330831502564E-2</v>
      </c>
      <c r="M56" s="169">
        <f t="shared" si="2"/>
        <v>190305654350.76083</v>
      </c>
      <c r="N56" s="169">
        <f t="shared" si="5"/>
        <v>658191.88197790459</v>
      </c>
      <c r="O56" s="169">
        <f t="shared" si="6"/>
        <v>433216553501.61591</v>
      </c>
      <c r="P56" s="11"/>
      <c r="Q56" s="147"/>
      <c r="R56"/>
    </row>
    <row r="57" spans="1:18" x14ac:dyDescent="0.25">
      <c r="A57" s="158">
        <v>43312</v>
      </c>
      <c r="B57" s="159">
        <f>Inputs!D78</f>
        <v>41016276.892574996</v>
      </c>
      <c r="C57" s="159">
        <v>2.9545454545454546</v>
      </c>
      <c r="D57" s="159">
        <v>105.68181818181816</v>
      </c>
      <c r="E57" s="159">
        <v>31</v>
      </c>
      <c r="F57" s="160">
        <v>0</v>
      </c>
      <c r="G57" s="159">
        <f>Inputs!G78+Inputs!I78+Inputs!L78+Inputs!X78</f>
        <v>23194</v>
      </c>
      <c r="H57" s="159">
        <v>0</v>
      </c>
      <c r="I57" s="159">
        <f t="shared" si="3"/>
        <v>37872189.846142121</v>
      </c>
      <c r="J57" s="9">
        <f t="shared" si="0"/>
        <v>-3144087.0464328751</v>
      </c>
      <c r="K57" s="168">
        <f t="shared" si="1"/>
        <v>-7.665461823040394E-2</v>
      </c>
      <c r="L57" s="168">
        <f t="shared" si="4"/>
        <v>7.665461823040394E-2</v>
      </c>
      <c r="M57" s="169">
        <f t="shared" si="2"/>
        <v>9885283355547</v>
      </c>
      <c r="N57" s="169">
        <f t="shared" si="5"/>
        <v>-2707846.6833865829</v>
      </c>
      <c r="O57" s="169">
        <f t="shared" si="6"/>
        <v>7332433660727.7168</v>
      </c>
      <c r="P57" s="11"/>
      <c r="Q57" s="147"/>
      <c r="R57"/>
    </row>
    <row r="58" spans="1:18" x14ac:dyDescent="0.25">
      <c r="A58" s="158">
        <v>43343</v>
      </c>
      <c r="B58" s="159">
        <f>Inputs!D79</f>
        <v>39071849.328965105</v>
      </c>
      <c r="C58" s="159">
        <v>7.0272727272727282</v>
      </c>
      <c r="D58" s="159">
        <v>87.863636363636374</v>
      </c>
      <c r="E58" s="159">
        <v>31</v>
      </c>
      <c r="F58" s="160">
        <v>0</v>
      </c>
      <c r="G58" s="159">
        <f>Inputs!G79+Inputs!I79+Inputs!L79+Inputs!X79</f>
        <v>23239</v>
      </c>
      <c r="H58" s="159">
        <v>0</v>
      </c>
      <c r="I58" s="159">
        <f t="shared" si="3"/>
        <v>36270655.011545382</v>
      </c>
      <c r="J58" s="9">
        <f t="shared" si="0"/>
        <v>-2801194.3174197227</v>
      </c>
      <c r="K58" s="168">
        <f t="shared" si="1"/>
        <v>-7.1693415221662296E-2</v>
      </c>
      <c r="L58" s="168">
        <f t="shared" si="4"/>
        <v>7.1693415221662296E-2</v>
      </c>
      <c r="M58" s="169">
        <f t="shared" si="2"/>
        <v>7846689603944.5459</v>
      </c>
      <c r="N58" s="169">
        <f t="shared" si="5"/>
        <v>342892.72901315242</v>
      </c>
      <c r="O58" s="169">
        <f t="shared" si="6"/>
        <v>117575423610.08717</v>
      </c>
      <c r="P58" s="11"/>
      <c r="Q58" s="147"/>
      <c r="R58"/>
    </row>
    <row r="59" spans="1:18" x14ac:dyDescent="0.25">
      <c r="A59" s="158">
        <v>43373</v>
      </c>
      <c r="B59" s="159">
        <f>Inputs!D80</f>
        <v>33330014.256383102</v>
      </c>
      <c r="C59" s="159">
        <v>51.009090909090908</v>
      </c>
      <c r="D59" s="159">
        <v>34.68181818181818</v>
      </c>
      <c r="E59" s="159">
        <v>30</v>
      </c>
      <c r="F59" s="160">
        <v>0</v>
      </c>
      <c r="G59" s="159">
        <f>Inputs!G80+Inputs!I80+Inputs!L80+Inputs!X80</f>
        <v>23272</v>
      </c>
      <c r="H59" s="159">
        <v>0</v>
      </c>
      <c r="I59" s="159">
        <f t="shared" si="3"/>
        <v>30501131.456206646</v>
      </c>
      <c r="J59" s="9">
        <f t="shared" si="0"/>
        <v>-2828882.8001764566</v>
      </c>
      <c r="K59" s="168">
        <f t="shared" si="1"/>
        <v>-8.4874935198525792E-2</v>
      </c>
      <c r="L59" s="168">
        <f t="shared" si="4"/>
        <v>8.4874935198525792E-2</v>
      </c>
      <c r="M59" s="169">
        <f t="shared" si="2"/>
        <v>8002577897134.1895</v>
      </c>
      <c r="N59" s="169">
        <f t="shared" si="5"/>
        <v>-27688.482756733894</v>
      </c>
      <c r="O59" s="169">
        <f t="shared" si="6"/>
        <v>766652077.36995018</v>
      </c>
      <c r="P59" s="11"/>
      <c r="Q59" s="147"/>
      <c r="R59"/>
    </row>
    <row r="60" spans="1:18" x14ac:dyDescent="0.25">
      <c r="A60" s="158">
        <v>43404</v>
      </c>
      <c r="B60" s="159">
        <f>Inputs!D81</f>
        <v>29522757.314444497</v>
      </c>
      <c r="C60" s="159">
        <v>212.45</v>
      </c>
      <c r="D60" s="159">
        <v>5.3</v>
      </c>
      <c r="E60" s="159">
        <v>31</v>
      </c>
      <c r="F60" s="160">
        <v>1</v>
      </c>
      <c r="G60" s="159">
        <f>Inputs!G81+Inputs!I81+Inputs!L81+Inputs!X81</f>
        <v>23305</v>
      </c>
      <c r="H60" s="159">
        <v>0</v>
      </c>
      <c r="I60" s="159">
        <f t="shared" si="3"/>
        <v>28472032.110340189</v>
      </c>
      <c r="J60" s="9">
        <f t="shared" si="0"/>
        <v>-1050725.204104308</v>
      </c>
      <c r="K60" s="168">
        <f t="shared" si="1"/>
        <v>-3.5590347910702209E-2</v>
      </c>
      <c r="L60" s="168">
        <f t="shared" si="4"/>
        <v>3.5590347910702209E-2</v>
      </c>
      <c r="M60" s="169">
        <f t="shared" si="2"/>
        <v>1104023454540.0398</v>
      </c>
      <c r="N60" s="169">
        <f t="shared" si="5"/>
        <v>1778157.5960721485</v>
      </c>
      <c r="O60" s="169">
        <f t="shared" si="6"/>
        <v>3161844436469.082</v>
      </c>
      <c r="P60" s="11"/>
      <c r="Q60" s="147"/>
      <c r="R60"/>
    </row>
    <row r="61" spans="1:18" x14ac:dyDescent="0.25">
      <c r="A61" s="158">
        <v>43434</v>
      </c>
      <c r="B61" s="159">
        <f>Inputs!D82</f>
        <v>30788860.462713901</v>
      </c>
      <c r="C61" s="159">
        <v>408.5</v>
      </c>
      <c r="D61" s="159">
        <v>0.22999999999999998</v>
      </c>
      <c r="E61" s="159">
        <v>30</v>
      </c>
      <c r="F61" s="160">
        <v>1</v>
      </c>
      <c r="G61" s="159">
        <f>Inputs!G82+Inputs!I82+Inputs!L82+Inputs!X82</f>
        <v>23321</v>
      </c>
      <c r="H61" s="159">
        <v>0</v>
      </c>
      <c r="I61" s="159">
        <f t="shared" si="3"/>
        <v>28809076.987166047</v>
      </c>
      <c r="J61" s="9">
        <f t="shared" si="0"/>
        <v>-1979783.4755478539</v>
      </c>
      <c r="K61" s="168">
        <f t="shared" si="1"/>
        <v>-6.4301940565336044E-2</v>
      </c>
      <c r="L61" s="168">
        <f t="shared" si="4"/>
        <v>6.4301940565336044E-2</v>
      </c>
      <c r="M61" s="169">
        <f t="shared" si="2"/>
        <v>3919542610052.3398</v>
      </c>
      <c r="N61" s="169">
        <f t="shared" si="5"/>
        <v>-929058.27144354582</v>
      </c>
      <c r="O61" s="169">
        <f t="shared" si="6"/>
        <v>863149271737.66931</v>
      </c>
      <c r="P61" s="11"/>
      <c r="Q61" s="147"/>
      <c r="R61"/>
    </row>
    <row r="62" spans="1:18" x14ac:dyDescent="0.25">
      <c r="A62" s="158">
        <v>43465</v>
      </c>
      <c r="B62" s="159">
        <f>Inputs!D83</f>
        <v>32363996.620362099</v>
      </c>
      <c r="C62" s="159">
        <v>533.85000000000014</v>
      </c>
      <c r="D62" s="159">
        <v>0</v>
      </c>
      <c r="E62" s="159">
        <v>31</v>
      </c>
      <c r="F62" s="160">
        <v>1</v>
      </c>
      <c r="G62" s="159">
        <f>Inputs!G83+Inputs!I83+Inputs!L83+Inputs!X83</f>
        <v>23366</v>
      </c>
      <c r="H62" s="159">
        <v>0</v>
      </c>
      <c r="I62" s="159">
        <f t="shared" si="3"/>
        <v>31379495.393956278</v>
      </c>
      <c r="J62" s="9">
        <f t="shared" si="0"/>
        <v>-984501.22640582174</v>
      </c>
      <c r="K62" s="168">
        <f t="shared" si="1"/>
        <v>-3.0419643097676446E-2</v>
      </c>
      <c r="L62" s="168">
        <f t="shared" si="4"/>
        <v>3.0419643097676446E-2</v>
      </c>
      <c r="M62" s="169">
        <f t="shared" si="2"/>
        <v>969242664794.56714</v>
      </c>
      <c r="N62" s="169">
        <f t="shared" si="5"/>
        <v>995282.24914203212</v>
      </c>
      <c r="O62" s="169">
        <f t="shared" si="6"/>
        <v>990586755457.22205</v>
      </c>
      <c r="P62" s="11"/>
      <c r="Q62" s="147"/>
      <c r="R62"/>
    </row>
    <row r="63" spans="1:18" x14ac:dyDescent="0.25">
      <c r="A63" s="158">
        <v>43496</v>
      </c>
      <c r="B63" s="159">
        <f>Inputs!D84</f>
        <v>35287777.216221102</v>
      </c>
      <c r="C63" s="159">
        <v>672.12727272727273</v>
      </c>
      <c r="D63" s="159">
        <v>0</v>
      </c>
      <c r="E63" s="159">
        <v>31</v>
      </c>
      <c r="F63" s="160">
        <v>0</v>
      </c>
      <c r="G63" s="159">
        <f>Inputs!G84+Inputs!I84+Inputs!L84+Inputs!X84</f>
        <v>23414</v>
      </c>
      <c r="H63" s="159">
        <v>0</v>
      </c>
      <c r="I63" s="159">
        <f t="shared" si="3"/>
        <v>35085253.086306661</v>
      </c>
      <c r="J63" s="9">
        <f t="shared" si="0"/>
        <v>-202524.12991444021</v>
      </c>
      <c r="K63" s="168">
        <f t="shared" si="1"/>
        <v>-5.7392147052363453E-3</v>
      </c>
      <c r="L63" s="168">
        <f t="shared" si="4"/>
        <v>5.7392147052363453E-3</v>
      </c>
      <c r="M63" s="169">
        <f t="shared" si="2"/>
        <v>41016023197.601059</v>
      </c>
      <c r="N63" s="169">
        <f t="shared" si="5"/>
        <v>781977.09649138153</v>
      </c>
      <c r="O63" s="169">
        <f t="shared" si="6"/>
        <v>611488179437.09143</v>
      </c>
      <c r="P63" s="11"/>
      <c r="Q63" s="147"/>
      <c r="R63"/>
    </row>
    <row r="64" spans="1:18" x14ac:dyDescent="0.25">
      <c r="A64" s="158">
        <v>43524</v>
      </c>
      <c r="B64" s="159">
        <f>Inputs!D85</f>
        <v>31413450.428820997</v>
      </c>
      <c r="C64" s="159">
        <v>607.14545454545453</v>
      </c>
      <c r="D64" s="159">
        <v>0</v>
      </c>
      <c r="E64" s="159">
        <v>28</v>
      </c>
      <c r="F64" s="160">
        <v>0</v>
      </c>
      <c r="G64" s="159">
        <f>Inputs!G85+Inputs!I85+Inputs!L85+Inputs!X85</f>
        <v>23414</v>
      </c>
      <c r="H64" s="159">
        <v>0</v>
      </c>
      <c r="I64" s="159">
        <f t="shared" si="3"/>
        <v>30661588.388438702</v>
      </c>
      <c r="J64" s="9">
        <f t="shared" si="0"/>
        <v>-751862.04038229585</v>
      </c>
      <c r="K64" s="168">
        <f t="shared" si="1"/>
        <v>-2.3934398485958186E-2</v>
      </c>
      <c r="L64" s="168">
        <f t="shared" si="4"/>
        <v>2.3934398485958186E-2</v>
      </c>
      <c r="M64" s="169">
        <f t="shared" si="2"/>
        <v>565296527767.8291</v>
      </c>
      <c r="N64" s="169">
        <f t="shared" si="5"/>
        <v>-549337.91046785563</v>
      </c>
      <c r="O64" s="169">
        <f t="shared" si="6"/>
        <v>301772139877.18976</v>
      </c>
      <c r="P64" s="11"/>
      <c r="Q64" s="147"/>
      <c r="R64"/>
    </row>
    <row r="65" spans="1:18" x14ac:dyDescent="0.25">
      <c r="A65" s="158">
        <v>43555</v>
      </c>
      <c r="B65" s="159">
        <f>Inputs!D86</f>
        <v>32753174.855792601</v>
      </c>
      <c r="C65" s="159">
        <v>529.88181818181829</v>
      </c>
      <c r="D65" s="159">
        <v>0</v>
      </c>
      <c r="E65" s="159">
        <v>31</v>
      </c>
      <c r="F65" s="160">
        <v>1</v>
      </c>
      <c r="G65" s="159">
        <f>Inputs!G86+Inputs!I86+Inputs!L86+Inputs!X86</f>
        <v>23448</v>
      </c>
      <c r="H65" s="159">
        <v>0</v>
      </c>
      <c r="I65" s="159">
        <f t="shared" si="3"/>
        <v>31398132.307627469</v>
      </c>
      <c r="J65" s="9">
        <f t="shared" si="0"/>
        <v>-1355042.5481651314</v>
      </c>
      <c r="K65" s="168">
        <f t="shared" si="1"/>
        <v>-4.1371334355560459E-2</v>
      </c>
      <c r="L65" s="168">
        <f t="shared" si="4"/>
        <v>4.1371334355560459E-2</v>
      </c>
      <c r="M65" s="169">
        <f t="shared" si="2"/>
        <v>1836140307337.8523</v>
      </c>
      <c r="N65" s="169">
        <f t="shared" si="5"/>
        <v>-603180.50778283551</v>
      </c>
      <c r="O65" s="169">
        <f t="shared" si="6"/>
        <v>363826724969.1593</v>
      </c>
      <c r="P65" s="11"/>
      <c r="Q65" s="147"/>
    </row>
    <row r="66" spans="1:18" x14ac:dyDescent="0.25">
      <c r="A66" s="158">
        <v>43585</v>
      </c>
      <c r="B66" s="159">
        <f>Inputs!D87</f>
        <v>28598242.1384985</v>
      </c>
      <c r="C66" s="159">
        <v>327.50000000000006</v>
      </c>
      <c r="D66" s="159">
        <v>4.5454545454545456E-2</v>
      </c>
      <c r="E66" s="159">
        <v>30</v>
      </c>
      <c r="F66" s="160">
        <v>1</v>
      </c>
      <c r="G66" s="159">
        <f>Inputs!G87+Inputs!I87+Inputs!L87+Inputs!X87</f>
        <v>23474</v>
      </c>
      <c r="H66" s="159">
        <v>0</v>
      </c>
      <c r="I66" s="159">
        <f t="shared" si="3"/>
        <v>28056725.612424988</v>
      </c>
      <c r="J66" s="9">
        <f t="shared" si="0"/>
        <v>-541516.52607351169</v>
      </c>
      <c r="K66" s="168">
        <f t="shared" si="1"/>
        <v>-1.8935308102190334E-2</v>
      </c>
      <c r="L66" s="168">
        <f t="shared" si="4"/>
        <v>1.8935308102190334E-2</v>
      </c>
      <c r="M66" s="169">
        <f t="shared" si="2"/>
        <v>293240148010.72424</v>
      </c>
      <c r="N66" s="169">
        <f t="shared" si="5"/>
        <v>813526.02209161967</v>
      </c>
      <c r="O66" s="169">
        <f t="shared" si="6"/>
        <v>661824588620.21448</v>
      </c>
      <c r="P66" s="11"/>
      <c r="Q66" s="147"/>
    </row>
    <row r="67" spans="1:18" x14ac:dyDescent="0.25">
      <c r="A67" s="158">
        <v>43616</v>
      </c>
      <c r="B67" s="159">
        <f>Inputs!D88</f>
        <v>27905719.018595401</v>
      </c>
      <c r="C67" s="159">
        <v>141.14545454545456</v>
      </c>
      <c r="D67" s="159">
        <v>16.963636363636365</v>
      </c>
      <c r="E67" s="159">
        <v>31</v>
      </c>
      <c r="F67" s="160">
        <v>1</v>
      </c>
      <c r="G67" s="159">
        <f>Inputs!G88+Inputs!I88+Inputs!L88+Inputs!X88</f>
        <v>23504</v>
      </c>
      <c r="H67" s="159">
        <v>0</v>
      </c>
      <c r="I67" s="159">
        <f t="shared" si="3"/>
        <v>28970035.204203945</v>
      </c>
      <c r="J67" s="9">
        <f t="shared" ref="J67:J130" si="7">I67-B67</f>
        <v>1064316.1856085435</v>
      </c>
      <c r="K67" s="168">
        <f t="shared" ref="K67:K130" si="8">J67/B67</f>
        <v>3.8139715550755751E-2</v>
      </c>
      <c r="L67" s="168">
        <f t="shared" si="4"/>
        <v>3.8139715550755751E-2</v>
      </c>
      <c r="M67" s="169">
        <f t="shared" ref="M67:M130" si="9">J67*J67</f>
        <v>1132768942948.3196</v>
      </c>
      <c r="N67" s="169">
        <f t="shared" si="5"/>
        <v>1605832.7116820551</v>
      </c>
      <c r="O67" s="169">
        <f t="shared" si="6"/>
        <v>2578698697908.1426</v>
      </c>
      <c r="P67" s="11"/>
      <c r="Q67" s="147"/>
    </row>
    <row r="68" spans="1:18" x14ac:dyDescent="0.25">
      <c r="A68" s="158">
        <v>43646</v>
      </c>
      <c r="B68" s="159">
        <f>Inputs!D89</f>
        <v>30246126.597568698</v>
      </c>
      <c r="C68" s="159">
        <v>28.127272727272725</v>
      </c>
      <c r="D68" s="159">
        <v>55.209090909090904</v>
      </c>
      <c r="E68" s="159">
        <v>30</v>
      </c>
      <c r="F68" s="160">
        <v>0</v>
      </c>
      <c r="G68" s="159">
        <f>Inputs!G89+Inputs!I89+Inputs!L89+Inputs!X89</f>
        <v>23505</v>
      </c>
      <c r="H68" s="159">
        <v>0</v>
      </c>
      <c r="I68" s="159">
        <f t="shared" ref="I68:I131" si="10">$R$18+$R$19*C68+$R$20*D68+$R$21*E68+$R$22*F68+$R$23*G68+$R$24*H68</f>
        <v>32364823.835902769</v>
      </c>
      <c r="J68" s="9">
        <f t="shared" si="7"/>
        <v>2118697.2383340709</v>
      </c>
      <c r="K68" s="168">
        <f t="shared" si="8"/>
        <v>7.0048547588383761E-2</v>
      </c>
      <c r="L68" s="168">
        <f t="shared" ref="L68:L131" si="11">ABS(K68)</f>
        <v>7.0048547588383761E-2</v>
      </c>
      <c r="M68" s="169">
        <f t="shared" si="9"/>
        <v>4488877987724.4189</v>
      </c>
      <c r="N68" s="169">
        <f t="shared" ref="N68:N131" si="12">J68-J67</f>
        <v>1054381.0527255274</v>
      </c>
      <c r="O68" s="169">
        <f t="shared" si="6"/>
        <v>1111719404346.5916</v>
      </c>
      <c r="P68" s="11"/>
      <c r="Q68" s="147"/>
    </row>
    <row r="69" spans="1:18" x14ac:dyDescent="0.25">
      <c r="A69" s="158">
        <v>43677</v>
      </c>
      <c r="B69" s="159">
        <f>Inputs!D90</f>
        <v>40514961.932033904</v>
      </c>
      <c r="C69" s="159">
        <v>2.9545454545454546</v>
      </c>
      <c r="D69" s="159">
        <v>105.68181818181816</v>
      </c>
      <c r="E69" s="159">
        <v>31</v>
      </c>
      <c r="F69" s="160">
        <v>0</v>
      </c>
      <c r="G69" s="159">
        <f>Inputs!G90+Inputs!I90+Inputs!L90+Inputs!X90</f>
        <v>23545</v>
      </c>
      <c r="H69" s="159">
        <v>0</v>
      </c>
      <c r="I69" s="159">
        <f t="shared" si="10"/>
        <v>38129622.322539806</v>
      </c>
      <c r="J69" s="9">
        <f t="shared" si="7"/>
        <v>-2385339.6094940975</v>
      </c>
      <c r="K69" s="168">
        <f t="shared" si="8"/>
        <v>-5.8875523898939783E-2</v>
      </c>
      <c r="L69" s="168">
        <f t="shared" si="11"/>
        <v>5.8875523898939783E-2</v>
      </c>
      <c r="M69" s="169">
        <f t="shared" si="9"/>
        <v>5689845052621.4541</v>
      </c>
      <c r="N69" s="169">
        <f t="shared" si="12"/>
        <v>-4504036.8478281684</v>
      </c>
      <c r="O69" s="169">
        <f t="shared" ref="O69:O131" si="13">N69*N69</f>
        <v>20286347926593.902</v>
      </c>
      <c r="P69" s="11"/>
      <c r="Q69" s="147"/>
    </row>
    <row r="70" spans="1:18" x14ac:dyDescent="0.25">
      <c r="A70" s="158">
        <v>43708</v>
      </c>
      <c r="B70" s="159">
        <f>Inputs!D91</f>
        <v>36599467.089364603</v>
      </c>
      <c r="C70" s="159">
        <v>7.0272727272727282</v>
      </c>
      <c r="D70" s="159">
        <v>87.863636363636374</v>
      </c>
      <c r="E70" s="159">
        <v>31</v>
      </c>
      <c r="F70" s="160">
        <v>0</v>
      </c>
      <c r="G70" s="159">
        <f>Inputs!G91+Inputs!I91+Inputs!L91+Inputs!X91</f>
        <v>23610</v>
      </c>
      <c r="H70" s="159">
        <v>0</v>
      </c>
      <c r="I70" s="159">
        <f t="shared" si="10"/>
        <v>36542756.005116716</v>
      </c>
      <c r="J70" s="9">
        <f t="shared" si="7"/>
        <v>-56711.084247887135</v>
      </c>
      <c r="K70" s="168">
        <f t="shared" si="8"/>
        <v>-1.5495057375949264E-3</v>
      </c>
      <c r="L70" s="168">
        <f t="shared" si="11"/>
        <v>1.5495057375949264E-3</v>
      </c>
      <c r="M70" s="169">
        <f t="shared" si="9"/>
        <v>3216147076.5709524</v>
      </c>
      <c r="N70" s="169">
        <f t="shared" si="12"/>
        <v>2328628.5252462104</v>
      </c>
      <c r="O70" s="169">
        <f t="shared" si="13"/>
        <v>5422510808590.3408</v>
      </c>
      <c r="P70" s="11"/>
      <c r="Q70" s="147"/>
    </row>
    <row r="71" spans="1:18" x14ac:dyDescent="0.25">
      <c r="A71" s="158">
        <v>43738</v>
      </c>
      <c r="B71" s="159">
        <f>Inputs!D92</f>
        <v>30196024.2346556</v>
      </c>
      <c r="C71" s="159">
        <v>51.009090909090908</v>
      </c>
      <c r="D71" s="159">
        <v>34.68181818181818</v>
      </c>
      <c r="E71" s="159">
        <v>30</v>
      </c>
      <c r="F71" s="160">
        <v>0</v>
      </c>
      <c r="G71" s="159">
        <f>Inputs!G92+Inputs!I92+Inputs!L92+Inputs!X92</f>
        <v>23624</v>
      </c>
      <c r="H71" s="159">
        <v>0</v>
      </c>
      <c r="I71" s="159">
        <f t="shared" si="10"/>
        <v>30759297.358463008</v>
      </c>
      <c r="J71" s="9">
        <f t="shared" si="7"/>
        <v>563273.12380740792</v>
      </c>
      <c r="K71" s="168">
        <f t="shared" si="8"/>
        <v>1.865388368449335E-2</v>
      </c>
      <c r="L71" s="168">
        <f t="shared" si="11"/>
        <v>1.865388368449335E-2</v>
      </c>
      <c r="M71" s="169">
        <f t="shared" si="9"/>
        <v>317276612003.75549</v>
      </c>
      <c r="N71" s="169">
        <f t="shared" si="12"/>
        <v>619984.20805529505</v>
      </c>
      <c r="O71" s="169">
        <f t="shared" si="13"/>
        <v>384380418237.95135</v>
      </c>
      <c r="P71" s="11"/>
      <c r="Q71" s="147"/>
    </row>
    <row r="72" spans="1:18" x14ac:dyDescent="0.25">
      <c r="A72" s="158">
        <v>43769</v>
      </c>
      <c r="B72" s="159">
        <f>Inputs!D93</f>
        <v>27971860.355314802</v>
      </c>
      <c r="C72" s="159">
        <v>212.45</v>
      </c>
      <c r="D72" s="159">
        <v>5.3</v>
      </c>
      <c r="E72" s="159">
        <v>31</v>
      </c>
      <c r="F72" s="160">
        <v>1</v>
      </c>
      <c r="G72" s="159">
        <f>Inputs!G93+Inputs!I93+Inputs!L93+Inputs!X93</f>
        <v>23662</v>
      </c>
      <c r="H72" s="159">
        <v>0</v>
      </c>
      <c r="I72" s="159">
        <f t="shared" si="10"/>
        <v>28733865.141889967</v>
      </c>
      <c r="J72" s="9">
        <f t="shared" si="7"/>
        <v>762004.78657516465</v>
      </c>
      <c r="K72" s="168">
        <f t="shared" si="8"/>
        <v>2.7241834361237959E-2</v>
      </c>
      <c r="L72" s="168">
        <f t="shared" si="11"/>
        <v>2.7241834361237959E-2</v>
      </c>
      <c r="M72" s="169">
        <f t="shared" si="9"/>
        <v>580651294763.46228</v>
      </c>
      <c r="N72" s="169">
        <f t="shared" si="12"/>
        <v>198731.66276775673</v>
      </c>
      <c r="O72" s="169">
        <f t="shared" si="13"/>
        <v>39494273786.437386</v>
      </c>
      <c r="P72" s="11"/>
      <c r="Q72" s="147"/>
    </row>
    <row r="73" spans="1:18" x14ac:dyDescent="0.25">
      <c r="A73" s="158">
        <v>43799</v>
      </c>
      <c r="B73" s="159">
        <f>Inputs!D94</f>
        <v>30548760.205844</v>
      </c>
      <c r="C73" s="159">
        <v>408.5</v>
      </c>
      <c r="D73" s="159">
        <v>0.22999999999999998</v>
      </c>
      <c r="E73" s="159">
        <v>30</v>
      </c>
      <c r="F73" s="160">
        <v>1</v>
      </c>
      <c r="G73" s="159">
        <f>Inputs!G94+Inputs!I94+Inputs!L94+Inputs!X94</f>
        <v>23658</v>
      </c>
      <c r="H73" s="159">
        <v>0</v>
      </c>
      <c r="I73" s="159">
        <f t="shared" si="10"/>
        <v>29056241.50154217</v>
      </c>
      <c r="J73" s="9">
        <f t="shared" si="7"/>
        <v>-1492518.7043018304</v>
      </c>
      <c r="K73" s="168">
        <f t="shared" si="8"/>
        <v>-4.8856932138814278E-2</v>
      </c>
      <c r="L73" s="168">
        <f t="shared" si="11"/>
        <v>4.8856932138814278E-2</v>
      </c>
      <c r="M73" s="169">
        <f t="shared" si="9"/>
        <v>2227612082690.8145</v>
      </c>
      <c r="N73" s="169">
        <f t="shared" si="12"/>
        <v>-2254523.490876995</v>
      </c>
      <c r="O73" s="169">
        <f t="shared" si="13"/>
        <v>5082876170916.1914</v>
      </c>
      <c r="P73" s="11"/>
      <c r="Q73" s="147"/>
    </row>
    <row r="74" spans="1:18" x14ac:dyDescent="0.25">
      <c r="A74" s="158">
        <v>43830</v>
      </c>
      <c r="B74" s="159">
        <f>Inputs!D95</f>
        <v>32756213.143715002</v>
      </c>
      <c r="C74" s="159">
        <v>533.85000000000014</v>
      </c>
      <c r="D74" s="159">
        <v>0</v>
      </c>
      <c r="E74" s="159">
        <v>31</v>
      </c>
      <c r="F74" s="160">
        <v>1</v>
      </c>
      <c r="G74" s="159">
        <f>Inputs!G95+Inputs!I95+Inputs!L95+Inputs!X95</f>
        <v>23664</v>
      </c>
      <c r="H74" s="159">
        <v>0</v>
      </c>
      <c r="I74" s="159">
        <f t="shared" si="10"/>
        <v>31598056.299843766</v>
      </c>
      <c r="J74" s="9">
        <f t="shared" si="7"/>
        <v>-1158156.8438712358</v>
      </c>
      <c r="K74" s="168">
        <f t="shared" si="8"/>
        <v>-3.5356860049417946E-2</v>
      </c>
      <c r="L74" s="168">
        <f t="shared" si="11"/>
        <v>3.5356860049417946E-2</v>
      </c>
      <c r="M74" s="169">
        <f t="shared" si="9"/>
        <v>1341327275005.7822</v>
      </c>
      <c r="N74" s="169">
        <f t="shared" si="12"/>
        <v>334361.86043059453</v>
      </c>
      <c r="O74" s="169">
        <f t="shared" si="13"/>
        <v>111797853710.60838</v>
      </c>
      <c r="P74" s="11"/>
      <c r="Q74" s="147"/>
    </row>
    <row r="75" spans="1:18" x14ac:dyDescent="0.25">
      <c r="A75" s="158">
        <v>43861</v>
      </c>
      <c r="B75" s="159">
        <f>Inputs!D96</f>
        <v>32984745.984053601</v>
      </c>
      <c r="C75" s="159">
        <v>672.12727272727273</v>
      </c>
      <c r="D75" s="159">
        <v>0</v>
      </c>
      <c r="E75" s="159">
        <v>31</v>
      </c>
      <c r="F75" s="160">
        <v>0</v>
      </c>
      <c r="G75" s="159">
        <f>Inputs!G96+Inputs!I96+Inputs!L96+Inputs!X96</f>
        <v>23709</v>
      </c>
      <c r="H75" s="159">
        <v>0</v>
      </c>
      <c r="I75" s="159">
        <f t="shared" si="10"/>
        <v>35301613.714618102</v>
      </c>
      <c r="J75" s="9">
        <f t="shared" si="7"/>
        <v>2316867.7305645011</v>
      </c>
      <c r="K75" s="168">
        <f t="shared" si="8"/>
        <v>7.0240581257911924E-2</v>
      </c>
      <c r="L75" s="168">
        <f t="shared" si="11"/>
        <v>7.0240581257911924E-2</v>
      </c>
      <c r="M75" s="169">
        <f t="shared" si="9"/>
        <v>5367876080931.1016</v>
      </c>
      <c r="N75" s="169">
        <f t="shared" si="12"/>
        <v>3475024.574435737</v>
      </c>
      <c r="O75" s="169">
        <f t="shared" si="13"/>
        <v>12075795792932.275</v>
      </c>
      <c r="P75" s="11"/>
      <c r="Q75" s="147"/>
      <c r="R75" s="39"/>
    </row>
    <row r="76" spans="1:18" x14ac:dyDescent="0.25">
      <c r="A76" s="158">
        <v>43890</v>
      </c>
      <c r="B76" s="159">
        <f>Inputs!D97</f>
        <v>31066267.637283299</v>
      </c>
      <c r="C76" s="159">
        <v>607.14545454545453</v>
      </c>
      <c r="D76" s="159">
        <v>0</v>
      </c>
      <c r="E76" s="159">
        <v>29</v>
      </c>
      <c r="F76" s="160">
        <v>0</v>
      </c>
      <c r="G76" s="159">
        <f>Inputs!G97+Inputs!I97+Inputs!L97+Inputs!X97</f>
        <v>23738</v>
      </c>
      <c r="H76" s="159">
        <v>0</v>
      </c>
      <c r="I76" s="159">
        <f t="shared" si="10"/>
        <v>32147220.657935727</v>
      </c>
      <c r="J76" s="9">
        <f t="shared" si="7"/>
        <v>1080953.0206524283</v>
      </c>
      <c r="K76" s="168">
        <f t="shared" si="8"/>
        <v>3.4795072046413238E-2</v>
      </c>
      <c r="L76" s="168">
        <f t="shared" si="11"/>
        <v>3.4795072046413238E-2</v>
      </c>
      <c r="M76" s="169">
        <f t="shared" si="9"/>
        <v>1168459432857.6091</v>
      </c>
      <c r="N76" s="169">
        <f t="shared" si="12"/>
        <v>-1235914.7099120729</v>
      </c>
      <c r="O76" s="169">
        <f t="shared" si="13"/>
        <v>1527485170177.0432</v>
      </c>
      <c r="P76" s="11"/>
      <c r="Q76" s="147"/>
    </row>
    <row r="77" spans="1:18" x14ac:dyDescent="0.25">
      <c r="A77" s="158">
        <v>43921</v>
      </c>
      <c r="B77" s="159">
        <f>Inputs!D98</f>
        <v>30079085.278391898</v>
      </c>
      <c r="C77" s="159">
        <v>529.88181818181829</v>
      </c>
      <c r="D77" s="159">
        <v>0</v>
      </c>
      <c r="E77" s="159">
        <v>31</v>
      </c>
      <c r="F77" s="160">
        <v>1</v>
      </c>
      <c r="G77" s="159">
        <f>Inputs!G98+Inputs!I98+Inputs!L98+Inputs!X98</f>
        <v>23774</v>
      </c>
      <c r="H77" s="187">
        <v>1</v>
      </c>
      <c r="I77" s="159">
        <f>$R$18+$R$19*C77+$R$20*D77+$R$21*E77+$R$22*F77+$R$23*G77+$R$24*H77</f>
        <v>29997751.056507044</v>
      </c>
      <c r="J77" s="9">
        <f t="shared" si="7"/>
        <v>-81334.221884854138</v>
      </c>
      <c r="K77" s="168">
        <f t="shared" si="8"/>
        <v>-2.7040124768449229E-3</v>
      </c>
      <c r="L77" s="168">
        <f t="shared" si="11"/>
        <v>2.7040124768449229E-3</v>
      </c>
      <c r="M77" s="169">
        <f t="shared" si="9"/>
        <v>6615255649.614686</v>
      </c>
      <c r="N77" s="169">
        <f t="shared" si="12"/>
        <v>-1162287.2425372824</v>
      </c>
      <c r="O77" s="169">
        <f t="shared" si="13"/>
        <v>1350911634164.9194</v>
      </c>
      <c r="P77" s="11"/>
      <c r="Q77" s="147"/>
    </row>
    <row r="78" spans="1:18" x14ac:dyDescent="0.25">
      <c r="A78" s="158">
        <v>43951</v>
      </c>
      <c r="B78" s="159">
        <f>Inputs!D99</f>
        <v>26605231.832859904</v>
      </c>
      <c r="C78" s="159">
        <v>327.50000000000006</v>
      </c>
      <c r="D78" s="159">
        <v>4.5454545454545456E-2</v>
      </c>
      <c r="E78" s="159">
        <v>30</v>
      </c>
      <c r="F78" s="160">
        <v>1</v>
      </c>
      <c r="G78" s="159">
        <f>Inputs!G99+Inputs!I99+Inputs!L99+Inputs!X99</f>
        <v>23805</v>
      </c>
      <c r="H78" s="187">
        <v>1</v>
      </c>
      <c r="I78" s="159">
        <f t="shared" si="10"/>
        <v>26660011.490597975</v>
      </c>
      <c r="J78" s="9">
        <f t="shared" si="7"/>
        <v>54779.657738070935</v>
      </c>
      <c r="K78" s="168">
        <f t="shared" si="8"/>
        <v>2.0589806577221035E-3</v>
      </c>
      <c r="L78" s="168">
        <f t="shared" si="11"/>
        <v>2.0589806577221035E-3</v>
      </c>
      <c r="M78" s="169">
        <f t="shared" si="9"/>
        <v>3000810901.9001946</v>
      </c>
      <c r="N78" s="169">
        <f t="shared" si="12"/>
        <v>136113.87962292507</v>
      </c>
      <c r="O78" s="169">
        <f t="shared" si="13"/>
        <v>18526988226.004139</v>
      </c>
      <c r="P78" s="11"/>
      <c r="Q78" s="147"/>
    </row>
    <row r="79" spans="1:18" x14ac:dyDescent="0.25">
      <c r="A79" s="158">
        <v>43982</v>
      </c>
      <c r="B79" s="159">
        <f>Inputs!D100</f>
        <v>28255543.1817187</v>
      </c>
      <c r="C79" s="159">
        <v>141.14545454545456</v>
      </c>
      <c r="D79" s="159">
        <v>16.963636363636365</v>
      </c>
      <c r="E79" s="159">
        <v>31</v>
      </c>
      <c r="F79" s="160">
        <v>1</v>
      </c>
      <c r="G79" s="159">
        <f>Inputs!G100+Inputs!I100+Inputs!L100+Inputs!X100</f>
        <v>23829</v>
      </c>
      <c r="H79" s="187">
        <v>1</v>
      </c>
      <c r="I79" s="159">
        <f t="shared" si="10"/>
        <v>27568920.527224835</v>
      </c>
      <c r="J79" s="9">
        <f t="shared" si="7"/>
        <v>-686622.65449386463</v>
      </c>
      <c r="K79" s="168">
        <f t="shared" si="8"/>
        <v>-2.4300458500408819E-2</v>
      </c>
      <c r="L79" s="168">
        <f t="shared" si="11"/>
        <v>2.4300458500408819E-2</v>
      </c>
      <c r="M79" s="169">
        <f t="shared" si="9"/>
        <v>471450669664.20099</v>
      </c>
      <c r="N79" s="169">
        <f t="shared" si="12"/>
        <v>-741402.31223193556</v>
      </c>
      <c r="O79" s="169">
        <f t="shared" si="13"/>
        <v>549677388582.86047</v>
      </c>
      <c r="P79" s="11"/>
      <c r="Q79" s="147"/>
    </row>
    <row r="80" spans="1:18" x14ac:dyDescent="0.25">
      <c r="A80" s="158">
        <v>44012</v>
      </c>
      <c r="B80" s="159">
        <f>Inputs!D101</f>
        <v>33406975.0200781</v>
      </c>
      <c r="C80" s="159">
        <v>28.127272727272725</v>
      </c>
      <c r="D80" s="159">
        <v>55.209090909090904</v>
      </c>
      <c r="E80" s="159">
        <v>30</v>
      </c>
      <c r="F80" s="160">
        <v>0</v>
      </c>
      <c r="G80" s="159">
        <f>Inputs!G101+Inputs!I101+Inputs!L101+Inputs!X101</f>
        <v>23871</v>
      </c>
      <c r="H80" s="159">
        <v>0</v>
      </c>
      <c r="I80" s="159">
        <f t="shared" si="10"/>
        <v>32633257.700180694</v>
      </c>
      <c r="J80" s="9">
        <f t="shared" si="7"/>
        <v>-773717.3198974058</v>
      </c>
      <c r="K80" s="168">
        <f t="shared" si="8"/>
        <v>-2.3160352574047482E-2</v>
      </c>
      <c r="L80" s="168">
        <f t="shared" si="11"/>
        <v>2.3160352574047482E-2</v>
      </c>
      <c r="M80" s="169">
        <f t="shared" si="9"/>
        <v>598638491109.22461</v>
      </c>
      <c r="N80" s="169">
        <f t="shared" si="12"/>
        <v>-87094.665403541178</v>
      </c>
      <c r="O80" s="169">
        <f t="shared" si="13"/>
        <v>7585480741.7547922</v>
      </c>
      <c r="P80" s="11"/>
      <c r="Q80" s="147"/>
    </row>
    <row r="81" spans="1:18" x14ac:dyDescent="0.25">
      <c r="A81" s="158">
        <v>44043</v>
      </c>
      <c r="B81" s="159">
        <f>Inputs!D102</f>
        <v>42687999.775185399</v>
      </c>
      <c r="C81" s="159">
        <v>2.9545454545454546</v>
      </c>
      <c r="D81" s="159">
        <v>105.68181818181816</v>
      </c>
      <c r="E81" s="159">
        <v>31</v>
      </c>
      <c r="F81" s="160">
        <v>0</v>
      </c>
      <c r="G81" s="159">
        <f>Inputs!G102+Inputs!I102+Inputs!L102+Inputs!X102</f>
        <v>23900</v>
      </c>
      <c r="H81" s="159">
        <v>0</v>
      </c>
      <c r="I81" s="159">
        <f t="shared" si="10"/>
        <v>38389988.50237222</v>
      </c>
      <c r="J81" s="9">
        <f t="shared" si="7"/>
        <v>-4298011.2728131786</v>
      </c>
      <c r="K81" s="168">
        <f t="shared" si="8"/>
        <v>-0.10068429758827958</v>
      </c>
      <c r="L81" s="168">
        <f t="shared" si="11"/>
        <v>0.10068429758827958</v>
      </c>
      <c r="M81" s="169">
        <f t="shared" si="9"/>
        <v>18472900901229.16</v>
      </c>
      <c r="N81" s="169">
        <f t="shared" si="12"/>
        <v>-3524293.9529157728</v>
      </c>
      <c r="O81" s="169">
        <f t="shared" si="13"/>
        <v>12420647866558.684</v>
      </c>
      <c r="P81" s="11"/>
      <c r="Q81" s="147"/>
    </row>
    <row r="82" spans="1:18" x14ac:dyDescent="0.25">
      <c r="A82" s="158">
        <v>44074</v>
      </c>
      <c r="B82" s="159">
        <f>Inputs!D103</f>
        <v>37930770.327769101</v>
      </c>
      <c r="C82" s="159">
        <v>7.0272727272727282</v>
      </c>
      <c r="D82" s="159">
        <v>87.863636363636374</v>
      </c>
      <c r="E82" s="159">
        <v>31</v>
      </c>
      <c r="F82" s="160">
        <v>0</v>
      </c>
      <c r="G82" s="159">
        <f>Inputs!G103+Inputs!I103+Inputs!L103+Inputs!X103</f>
        <v>23924</v>
      </c>
      <c r="H82" s="159">
        <v>0</v>
      </c>
      <c r="I82" s="159">
        <f t="shared" si="10"/>
        <v>36773051.724743135</v>
      </c>
      <c r="J82" s="9">
        <f t="shared" si="7"/>
        <v>-1157718.6030259654</v>
      </c>
      <c r="K82" s="168">
        <f t="shared" si="8"/>
        <v>-3.0521884818627058E-2</v>
      </c>
      <c r="L82" s="168">
        <f t="shared" si="11"/>
        <v>3.0521884818627058E-2</v>
      </c>
      <c r="M82" s="169">
        <f t="shared" si="9"/>
        <v>1340312363792.3928</v>
      </c>
      <c r="N82" s="169">
        <f t="shared" si="12"/>
        <v>3140292.6697872132</v>
      </c>
      <c r="O82" s="169">
        <f t="shared" si="13"/>
        <v>9861438051919.3027</v>
      </c>
      <c r="P82" s="11"/>
      <c r="Q82" s="147"/>
    </row>
    <row r="83" spans="1:18" x14ac:dyDescent="0.25">
      <c r="A83" s="158">
        <v>44104</v>
      </c>
      <c r="B83" s="159">
        <f>Inputs!D104</f>
        <v>29216230.450019099</v>
      </c>
      <c r="C83" s="159">
        <v>51.009090909090908</v>
      </c>
      <c r="D83" s="159">
        <v>34.68181818181818</v>
      </c>
      <c r="E83" s="159">
        <v>30</v>
      </c>
      <c r="F83" s="160">
        <v>0</v>
      </c>
      <c r="G83" s="159">
        <f>Inputs!G104+Inputs!I104+Inputs!L104+Inputs!X104</f>
        <v>23945</v>
      </c>
      <c r="H83" s="159">
        <v>0</v>
      </c>
      <c r="I83" s="159">
        <f t="shared" si="10"/>
        <v>30994727.059100207</v>
      </c>
      <c r="J83" s="9">
        <f t="shared" si="7"/>
        <v>1778496.6090811081</v>
      </c>
      <c r="K83" s="168">
        <f t="shared" si="8"/>
        <v>6.0873582309792652E-2</v>
      </c>
      <c r="L83" s="168">
        <f t="shared" si="11"/>
        <v>6.0873582309792652E-2</v>
      </c>
      <c r="M83" s="169">
        <f t="shared" si="9"/>
        <v>3163050188513</v>
      </c>
      <c r="N83" s="169">
        <f t="shared" si="12"/>
        <v>2936215.2121070735</v>
      </c>
      <c r="O83" s="169">
        <f t="shared" si="13"/>
        <v>8621359771808.9863</v>
      </c>
      <c r="P83" s="11"/>
      <c r="Q83" s="147"/>
    </row>
    <row r="84" spans="1:18" x14ac:dyDescent="0.25">
      <c r="A84" s="158">
        <v>44135</v>
      </c>
      <c r="B84" s="159">
        <f>Inputs!D105</f>
        <v>27410041.627921898</v>
      </c>
      <c r="C84" s="159">
        <v>212.45</v>
      </c>
      <c r="D84" s="159">
        <v>5.3</v>
      </c>
      <c r="E84" s="159">
        <v>31</v>
      </c>
      <c r="F84" s="160">
        <v>1</v>
      </c>
      <c r="G84" s="159">
        <f>Inputs!G105+Inputs!I105+Inputs!L105+Inputs!X105</f>
        <v>23961</v>
      </c>
      <c r="H84" s="159">
        <v>0</v>
      </c>
      <c r="I84" s="159">
        <f t="shared" si="10"/>
        <v>28953159.473636139</v>
      </c>
      <c r="J84" s="9">
        <f t="shared" si="7"/>
        <v>1543117.8457142413</v>
      </c>
      <c r="K84" s="168">
        <f t="shared" si="8"/>
        <v>5.6297537474087861E-2</v>
      </c>
      <c r="L84" s="168">
        <f t="shared" si="11"/>
        <v>5.6297537474087861E-2</v>
      </c>
      <c r="M84" s="169">
        <f t="shared" si="9"/>
        <v>2381212685761.7607</v>
      </c>
      <c r="N84" s="169">
        <f t="shared" si="12"/>
        <v>-235378.76336686686</v>
      </c>
      <c r="O84" s="169">
        <f t="shared" si="13"/>
        <v>55403162244.115501</v>
      </c>
      <c r="P84" s="11"/>
      <c r="Q84" s="147"/>
    </row>
    <row r="85" spans="1:18" x14ac:dyDescent="0.25">
      <c r="A85" s="158">
        <v>44165</v>
      </c>
      <c r="B85" s="159">
        <f>Inputs!D106</f>
        <v>28047137.9106231</v>
      </c>
      <c r="C85" s="159">
        <v>408.5</v>
      </c>
      <c r="D85" s="159">
        <v>0.22999999999999998</v>
      </c>
      <c r="E85" s="159">
        <v>30</v>
      </c>
      <c r="F85" s="160">
        <v>1</v>
      </c>
      <c r="G85" s="159">
        <f>Inputs!G106+Inputs!I106+Inputs!L106+Inputs!X106</f>
        <v>23995</v>
      </c>
      <c r="H85" s="159">
        <v>0</v>
      </c>
      <c r="I85" s="159">
        <f t="shared" si="10"/>
        <v>29303406.015918292</v>
      </c>
      <c r="J85" s="9">
        <f t="shared" si="7"/>
        <v>1256268.1052951925</v>
      </c>
      <c r="K85" s="168">
        <f t="shared" si="8"/>
        <v>4.4791312015454166E-2</v>
      </c>
      <c r="L85" s="168">
        <f t="shared" si="11"/>
        <v>4.4791312015454166E-2</v>
      </c>
      <c r="M85" s="169">
        <f t="shared" si="9"/>
        <v>1578209552381.9727</v>
      </c>
      <c r="N85" s="169">
        <f t="shared" si="12"/>
        <v>-286849.74041904882</v>
      </c>
      <c r="O85" s="169">
        <f t="shared" si="13"/>
        <v>82282773578.475693</v>
      </c>
      <c r="P85" s="11"/>
      <c r="Q85" s="147"/>
    </row>
    <row r="86" spans="1:18" x14ac:dyDescent="0.25">
      <c r="A86" s="158">
        <v>44196</v>
      </c>
      <c r="B86" s="159">
        <f>Inputs!D107</f>
        <v>32403661.342188701</v>
      </c>
      <c r="C86" s="159">
        <v>533.85000000000014</v>
      </c>
      <c r="D86" s="159">
        <v>0</v>
      </c>
      <c r="E86" s="159">
        <v>31</v>
      </c>
      <c r="F86" s="160">
        <v>1</v>
      </c>
      <c r="G86" s="159">
        <f>Inputs!G107+Inputs!I107+Inputs!L107+Inputs!X107</f>
        <v>24054</v>
      </c>
      <c r="H86" s="159">
        <v>0</v>
      </c>
      <c r="I86" s="159">
        <f t="shared" si="10"/>
        <v>31884092.384730082</v>
      </c>
      <c r="J86" s="9">
        <f t="shared" si="7"/>
        <v>-519568.95745861903</v>
      </c>
      <c r="K86" s="168">
        <f t="shared" si="8"/>
        <v>-1.6034266991370946E-2</v>
      </c>
      <c r="L86" s="168">
        <f t="shared" si="11"/>
        <v>1.6034266991370946E-2</v>
      </c>
      <c r="M86" s="169">
        <f t="shared" si="9"/>
        <v>269951901554.63626</v>
      </c>
      <c r="N86" s="169">
        <f t="shared" si="12"/>
        <v>-1775837.0627538115</v>
      </c>
      <c r="O86" s="169">
        <f t="shared" si="13"/>
        <v>3153597273450.0845</v>
      </c>
      <c r="P86" s="11"/>
      <c r="Q86" s="147"/>
    </row>
    <row r="87" spans="1:18" x14ac:dyDescent="0.25">
      <c r="A87" s="158">
        <v>44227</v>
      </c>
      <c r="B87" s="159">
        <f>Inputs!D108</f>
        <v>32846157.776278503</v>
      </c>
      <c r="C87" s="159">
        <v>672.12727272727273</v>
      </c>
      <c r="D87" s="159">
        <v>0</v>
      </c>
      <c r="E87" s="159">
        <v>31</v>
      </c>
      <c r="F87" s="160">
        <v>0</v>
      </c>
      <c r="G87" s="159">
        <f>Inputs!G108+Inputs!I108+Inputs!L108+Inputs!X108</f>
        <v>24074</v>
      </c>
      <c r="H87" s="159">
        <v>0</v>
      </c>
      <c r="I87" s="159">
        <f t="shared" si="10"/>
        <v>35569314.153037347</v>
      </c>
      <c r="J87" s="9">
        <f t="shared" si="7"/>
        <v>2723156.3767588437</v>
      </c>
      <c r="K87" s="168">
        <f t="shared" si="8"/>
        <v>8.2906390309234509E-2</v>
      </c>
      <c r="L87" s="168">
        <f t="shared" si="11"/>
        <v>8.2906390309234509E-2</v>
      </c>
      <c r="M87" s="169">
        <f t="shared" si="9"/>
        <v>7415580652282.3535</v>
      </c>
      <c r="N87" s="169">
        <f t="shared" si="12"/>
        <v>3242725.3342174627</v>
      </c>
      <c r="O87" s="169">
        <f t="shared" si="13"/>
        <v>10515267593175.756</v>
      </c>
      <c r="P87" s="11"/>
      <c r="Q87" s="147"/>
    </row>
    <row r="88" spans="1:18" x14ac:dyDescent="0.25">
      <c r="A88" s="158">
        <v>44255</v>
      </c>
      <c r="B88" s="159">
        <f>Inputs!D109</f>
        <v>30819473.817396801</v>
      </c>
      <c r="C88" s="159">
        <v>607.14545454545453</v>
      </c>
      <c r="D88" s="159">
        <v>0</v>
      </c>
      <c r="E88" s="159">
        <v>28</v>
      </c>
      <c r="F88" s="160">
        <v>0</v>
      </c>
      <c r="G88" s="159">
        <f>Inputs!G109+Inputs!I109+Inputs!L109+Inputs!X109</f>
        <v>24154</v>
      </c>
      <c r="H88" s="159">
        <v>0</v>
      </c>
      <c r="I88" s="159">
        <f t="shared" si="10"/>
        <v>31204323.523864016</v>
      </c>
      <c r="J88" s="9">
        <f t="shared" si="7"/>
        <v>384849.70646721497</v>
      </c>
      <c r="K88" s="168">
        <f t="shared" si="8"/>
        <v>1.2487225082018669E-2</v>
      </c>
      <c r="L88" s="168">
        <f t="shared" si="11"/>
        <v>1.2487225082018669E-2</v>
      </c>
      <c r="M88" s="169">
        <f t="shared" si="9"/>
        <v>148109296567.90152</v>
      </c>
      <c r="N88" s="169">
        <f t="shared" si="12"/>
        <v>-2338306.6702916287</v>
      </c>
      <c r="O88" s="169">
        <f t="shared" si="13"/>
        <v>5467678084330.3232</v>
      </c>
      <c r="P88" s="11"/>
      <c r="Q88" s="147"/>
    </row>
    <row r="89" spans="1:18" x14ac:dyDescent="0.25">
      <c r="A89" s="158">
        <v>44286</v>
      </c>
      <c r="B89" s="159">
        <f>Inputs!D110</f>
        <v>30429325.708896</v>
      </c>
      <c r="C89" s="159">
        <v>529.88181818181829</v>
      </c>
      <c r="D89" s="159">
        <v>0</v>
      </c>
      <c r="E89" s="159">
        <v>31</v>
      </c>
      <c r="F89" s="160">
        <v>1</v>
      </c>
      <c r="G89" s="159">
        <f>Inputs!G110+Inputs!I110+Inputs!L110+Inputs!X110</f>
        <v>24237</v>
      </c>
      <c r="H89" s="159">
        <v>0</v>
      </c>
      <c r="I89" s="159">
        <f t="shared" si="10"/>
        <v>31976805.310128242</v>
      </c>
      <c r="J89" s="9">
        <f t="shared" si="7"/>
        <v>1547479.6012322418</v>
      </c>
      <c r="K89" s="168">
        <f t="shared" si="8"/>
        <v>5.0854876510781077E-2</v>
      </c>
      <c r="L89" s="168">
        <f t="shared" si="11"/>
        <v>5.0854876510781077E-2</v>
      </c>
      <c r="M89" s="169">
        <f t="shared" si="9"/>
        <v>2394693116229.8984</v>
      </c>
      <c r="N89" s="169">
        <f t="shared" si="12"/>
        <v>1162629.8947650269</v>
      </c>
      <c r="O89" s="169">
        <f t="shared" si="13"/>
        <v>1351708272201.3374</v>
      </c>
      <c r="P89" s="11"/>
      <c r="Q89" s="147"/>
    </row>
    <row r="90" spans="1:18" x14ac:dyDescent="0.25">
      <c r="A90" s="158">
        <v>44316</v>
      </c>
      <c r="B90" s="159">
        <f>Inputs!D111</f>
        <v>26763134.5519844</v>
      </c>
      <c r="C90" s="159">
        <v>327.50000000000006</v>
      </c>
      <c r="D90" s="159">
        <v>4.5454545454545456E-2</v>
      </c>
      <c r="E90" s="159">
        <v>30</v>
      </c>
      <c r="F90" s="160">
        <v>1</v>
      </c>
      <c r="G90" s="159">
        <f>Inputs!G111+Inputs!I111+Inputs!L111+Inputs!X111</f>
        <v>24275</v>
      </c>
      <c r="H90" s="159">
        <v>0</v>
      </c>
      <c r="I90" s="159">
        <f t="shared" si="10"/>
        <v>28644199.725229952</v>
      </c>
      <c r="J90" s="9">
        <f t="shared" si="7"/>
        <v>1881065.1732455529</v>
      </c>
      <c r="K90" s="168">
        <f t="shared" si="8"/>
        <v>7.028568232886899E-2</v>
      </c>
      <c r="L90" s="168">
        <f t="shared" si="11"/>
        <v>7.028568232886899E-2</v>
      </c>
      <c r="M90" s="169">
        <f t="shared" si="9"/>
        <v>3538406185997.3223</v>
      </c>
      <c r="N90" s="169">
        <f t="shared" si="12"/>
        <v>333585.57201331109</v>
      </c>
      <c r="O90" s="169">
        <f t="shared" si="13"/>
        <v>111279333855.44795</v>
      </c>
      <c r="P90" s="11"/>
      <c r="Q90" s="147"/>
    </row>
    <row r="91" spans="1:18" x14ac:dyDescent="0.25">
      <c r="A91" s="158">
        <v>44347</v>
      </c>
      <c r="B91" s="159">
        <f>Inputs!D112</f>
        <v>28296552.692327201</v>
      </c>
      <c r="C91" s="159">
        <v>141.14545454545456</v>
      </c>
      <c r="D91" s="159">
        <v>16.963636363636365</v>
      </c>
      <c r="E91" s="159">
        <v>31</v>
      </c>
      <c r="F91" s="160">
        <v>1</v>
      </c>
      <c r="G91" s="159">
        <f>Inputs!G112+Inputs!I112+Inputs!L112+Inputs!X112</f>
        <v>24299</v>
      </c>
      <c r="H91" s="159">
        <v>0</v>
      </c>
      <c r="I91" s="159">
        <f t="shared" si="10"/>
        <v>29553108.761856813</v>
      </c>
      <c r="J91" s="9">
        <f t="shared" si="7"/>
        <v>1256556.0695296116</v>
      </c>
      <c r="K91" s="168">
        <f t="shared" si="8"/>
        <v>4.4406683852706026E-2</v>
      </c>
      <c r="L91" s="168">
        <f t="shared" si="11"/>
        <v>4.4406683852706026E-2</v>
      </c>
      <c r="M91" s="169">
        <f t="shared" si="9"/>
        <v>1578933155871.7061</v>
      </c>
      <c r="N91" s="169">
        <f t="shared" si="12"/>
        <v>-624509.10371594131</v>
      </c>
      <c r="O91" s="169">
        <f t="shared" si="13"/>
        <v>390011620624.08832</v>
      </c>
      <c r="P91" s="11"/>
      <c r="Q91" s="147"/>
    </row>
    <row r="92" spans="1:18" x14ac:dyDescent="0.25">
      <c r="A92" s="158">
        <v>44377</v>
      </c>
      <c r="B92" s="159">
        <f>Inputs!D113</f>
        <v>34399006.535900503</v>
      </c>
      <c r="C92" s="159">
        <v>28.127272727272725</v>
      </c>
      <c r="D92" s="159">
        <v>55.209090909090904</v>
      </c>
      <c r="E92" s="159">
        <v>30</v>
      </c>
      <c r="F92" s="160">
        <v>0</v>
      </c>
      <c r="G92" s="159">
        <f>Inputs!G113+Inputs!I113+Inputs!L113+Inputs!X113</f>
        <v>24365</v>
      </c>
      <c r="H92" s="159">
        <v>0</v>
      </c>
      <c r="I92" s="159">
        <f t="shared" si="10"/>
        <v>32995570.074370027</v>
      </c>
      <c r="J92" s="9">
        <f t="shared" si="7"/>
        <v>-1403436.4615304768</v>
      </c>
      <c r="K92" s="168">
        <f t="shared" si="8"/>
        <v>-4.0798749814643084E-2</v>
      </c>
      <c r="L92" s="168">
        <f t="shared" si="11"/>
        <v>4.0798749814643084E-2</v>
      </c>
      <c r="M92" s="169">
        <f t="shared" si="9"/>
        <v>1969633901553.1855</v>
      </c>
      <c r="N92" s="169">
        <f t="shared" si="12"/>
        <v>-2659992.5310600884</v>
      </c>
      <c r="O92" s="169">
        <f t="shared" si="13"/>
        <v>7075560265295.4551</v>
      </c>
      <c r="P92" s="11"/>
      <c r="Q92" s="147"/>
      <c r="R92"/>
    </row>
    <row r="93" spans="1:18" x14ac:dyDescent="0.25">
      <c r="A93" s="158">
        <v>44408</v>
      </c>
      <c r="B93" s="159">
        <f>Inputs!D114</f>
        <v>36416581.592046797</v>
      </c>
      <c r="C93" s="159">
        <v>2.9545454545454546</v>
      </c>
      <c r="D93" s="159">
        <v>105.68181818181816</v>
      </c>
      <c r="E93" s="159">
        <v>31</v>
      </c>
      <c r="F93" s="160">
        <v>0</v>
      </c>
      <c r="G93" s="159">
        <f>Inputs!G114+Inputs!I114+Inputs!L114+Inputs!X114</f>
        <v>24389</v>
      </c>
      <c r="H93" s="159">
        <v>0</v>
      </c>
      <c r="I93" s="159">
        <f t="shared" si="10"/>
        <v>38748633.747268133</v>
      </c>
      <c r="J93" s="9">
        <f t="shared" si="7"/>
        <v>2332052.1552213356</v>
      </c>
      <c r="K93" s="168">
        <f t="shared" si="8"/>
        <v>6.403819505482207E-2</v>
      </c>
      <c r="L93" s="168">
        <f t="shared" si="11"/>
        <v>6.403819505482207E-2</v>
      </c>
      <c r="M93" s="169">
        <f t="shared" si="9"/>
        <v>5438467254672.4766</v>
      </c>
      <c r="N93" s="169">
        <f t="shared" si="12"/>
        <v>3735488.6167518124</v>
      </c>
      <c r="O93" s="169">
        <f t="shared" si="13"/>
        <v>13953875205882.369</v>
      </c>
      <c r="P93" s="11"/>
      <c r="Q93" s="147"/>
      <c r="R93"/>
    </row>
    <row r="94" spans="1:18" x14ac:dyDescent="0.25">
      <c r="A94" s="158">
        <v>44439</v>
      </c>
      <c r="B94" s="159">
        <f>Inputs!D115</f>
        <v>41970614.616817705</v>
      </c>
      <c r="C94" s="159">
        <v>7.0272727272727282</v>
      </c>
      <c r="D94" s="159">
        <v>87.863636363636374</v>
      </c>
      <c r="E94" s="159">
        <v>31</v>
      </c>
      <c r="F94" s="160">
        <v>0</v>
      </c>
      <c r="G94" s="159">
        <f>Inputs!G115+Inputs!I115+Inputs!L115+Inputs!X115</f>
        <v>24447</v>
      </c>
      <c r="H94" s="159">
        <v>0</v>
      </c>
      <c r="I94" s="159">
        <f t="shared" si="10"/>
        <v>37156633.44883427</v>
      </c>
      <c r="J94" s="9">
        <f t="shared" si="7"/>
        <v>-4813981.1679834351</v>
      </c>
      <c r="K94" s="168">
        <f t="shared" si="8"/>
        <v>-0.11469884851422842</v>
      </c>
      <c r="L94" s="168">
        <f t="shared" si="11"/>
        <v>0.11469884851422842</v>
      </c>
      <c r="M94" s="169">
        <f t="shared" si="9"/>
        <v>23174414685699.156</v>
      </c>
      <c r="N94" s="169">
        <f t="shared" si="12"/>
        <v>-7146033.3232047707</v>
      </c>
      <c r="O94" s="169">
        <f t="shared" si="13"/>
        <v>51065792256353.016</v>
      </c>
      <c r="P94" s="11"/>
      <c r="Q94" s="147"/>
      <c r="R94"/>
    </row>
    <row r="95" spans="1:18" x14ac:dyDescent="0.25">
      <c r="A95" s="158">
        <v>44469</v>
      </c>
      <c r="B95" s="159">
        <f>Inputs!D116</f>
        <v>30974506.587737001</v>
      </c>
      <c r="C95" s="159">
        <v>51.009090909090908</v>
      </c>
      <c r="D95" s="159">
        <v>34.68181818181818</v>
      </c>
      <c r="E95" s="159">
        <v>30</v>
      </c>
      <c r="F95" s="160">
        <v>0</v>
      </c>
      <c r="G95" s="159">
        <f>Inputs!G116+Inputs!I116+Inputs!L116+Inputs!X116</f>
        <v>24480</v>
      </c>
      <c r="H95" s="159">
        <v>0</v>
      </c>
      <c r="I95" s="159">
        <f t="shared" si="10"/>
        <v>31387109.893495534</v>
      </c>
      <c r="J95" s="9">
        <f t="shared" si="7"/>
        <v>412603.30575853214</v>
      </c>
      <c r="K95" s="168">
        <f t="shared" si="8"/>
        <v>1.3320738607726017E-2</v>
      </c>
      <c r="L95" s="168">
        <f t="shared" si="11"/>
        <v>1.3320738607726017E-2</v>
      </c>
      <c r="M95" s="169">
        <f t="shared" si="9"/>
        <v>170241487922.86874</v>
      </c>
      <c r="N95" s="169">
        <f t="shared" si="12"/>
        <v>5226584.4737419672</v>
      </c>
      <c r="O95" s="169">
        <f t="shared" si="13"/>
        <v>27317185261160.598</v>
      </c>
      <c r="P95" s="11"/>
      <c r="Q95" s="147"/>
      <c r="R95"/>
    </row>
    <row r="96" spans="1:18" x14ac:dyDescent="0.25">
      <c r="A96" s="158">
        <v>44500</v>
      </c>
      <c r="B96" s="159">
        <f>Inputs!D117</f>
        <v>28889124.189985599</v>
      </c>
      <c r="C96" s="159">
        <v>212.45</v>
      </c>
      <c r="D96" s="159">
        <v>5.3</v>
      </c>
      <c r="E96" s="159">
        <v>31</v>
      </c>
      <c r="F96" s="160">
        <v>1</v>
      </c>
      <c r="G96" s="159">
        <f>Inputs!G117+Inputs!I117+Inputs!L117+Inputs!X117</f>
        <v>24539</v>
      </c>
      <c r="H96" s="159">
        <v>0</v>
      </c>
      <c r="I96" s="159">
        <f t="shared" si="10"/>
        <v>29377079.619954828</v>
      </c>
      <c r="J96" s="9">
        <f t="shared" si="7"/>
        <v>487955.4299692288</v>
      </c>
      <c r="K96" s="168">
        <f t="shared" si="8"/>
        <v>1.689062730874958E-2</v>
      </c>
      <c r="L96" s="168">
        <f t="shared" si="11"/>
        <v>1.689062730874958E-2</v>
      </c>
      <c r="M96" s="169">
        <f t="shared" si="9"/>
        <v>238100501636.45496</v>
      </c>
      <c r="N96" s="169">
        <f t="shared" si="12"/>
        <v>75352.124210696667</v>
      </c>
      <c r="O96" s="169">
        <f t="shared" si="13"/>
        <v>5677942623.0642586</v>
      </c>
      <c r="P96" s="11"/>
      <c r="Q96" s="147"/>
      <c r="R96"/>
    </row>
    <row r="97" spans="1:18" x14ac:dyDescent="0.25">
      <c r="A97" s="158">
        <v>44530</v>
      </c>
      <c r="B97" s="159">
        <f>Inputs!D118</f>
        <v>29524971.059174798</v>
      </c>
      <c r="C97" s="159">
        <v>408.5</v>
      </c>
      <c r="D97" s="159">
        <v>0.22999999999999998</v>
      </c>
      <c r="E97" s="159">
        <v>30</v>
      </c>
      <c r="F97" s="160">
        <v>1</v>
      </c>
      <c r="G97" s="159">
        <f>Inputs!G118+Inputs!I118+Inputs!L118+Inputs!X118</f>
        <v>24577</v>
      </c>
      <c r="H97" s="159">
        <v>0</v>
      </c>
      <c r="I97" s="159">
        <f t="shared" si="10"/>
        <v>29730259.865671713</v>
      </c>
      <c r="J97" s="9">
        <f t="shared" si="7"/>
        <v>205288.80649691448</v>
      </c>
      <c r="K97" s="168">
        <f t="shared" si="8"/>
        <v>6.9530569931963264E-3</v>
      </c>
      <c r="L97" s="168">
        <f t="shared" si="11"/>
        <v>6.9530569931963264E-3</v>
      </c>
      <c r="M97" s="169">
        <f t="shared" si="9"/>
        <v>42143494072.927597</v>
      </c>
      <c r="N97" s="169">
        <f t="shared" si="12"/>
        <v>-282666.62347231433</v>
      </c>
      <c r="O97" s="169">
        <f t="shared" si="13"/>
        <v>79900420025.23912</v>
      </c>
      <c r="P97" s="11"/>
      <c r="Q97" s="147"/>
      <c r="R97"/>
    </row>
    <row r="98" spans="1:18" x14ac:dyDescent="0.25">
      <c r="A98" s="158">
        <v>44561</v>
      </c>
      <c r="B98" s="159">
        <f>Inputs!D119</f>
        <v>32565823.594668198</v>
      </c>
      <c r="C98" s="159">
        <v>533.85000000000014</v>
      </c>
      <c r="D98" s="159">
        <v>0</v>
      </c>
      <c r="E98" s="159">
        <v>31</v>
      </c>
      <c r="F98" s="160">
        <v>1</v>
      </c>
      <c r="G98" s="159">
        <f>Inputs!G119+Inputs!I119+Inputs!L119+Inputs!X119</f>
        <v>24627</v>
      </c>
      <c r="H98" s="159">
        <v>0</v>
      </c>
      <c r="I98" s="159">
        <f t="shared" si="10"/>
        <v>32304345.401755355</v>
      </c>
      <c r="J98" s="9">
        <f t="shared" si="7"/>
        <v>-261478.19291284308</v>
      </c>
      <c r="K98" s="168">
        <f t="shared" si="8"/>
        <v>-8.0292209454715987E-3</v>
      </c>
      <c r="L98" s="168">
        <f t="shared" si="11"/>
        <v>8.0292209454715987E-3</v>
      </c>
      <c r="M98" s="169">
        <f t="shared" si="9"/>
        <v>68370845368.965981</v>
      </c>
      <c r="N98" s="169">
        <f t="shared" si="12"/>
        <v>-466766.99940975755</v>
      </c>
      <c r="O98" s="169">
        <f t="shared" si="13"/>
        <v>217871431737.98862</v>
      </c>
      <c r="P98" s="11"/>
      <c r="Q98" s="147"/>
      <c r="R98"/>
    </row>
    <row r="99" spans="1:18" x14ac:dyDescent="0.25">
      <c r="A99" s="158">
        <v>44592</v>
      </c>
      <c r="B99" s="159">
        <f>Inputs!D120</f>
        <v>35465006.471801899</v>
      </c>
      <c r="C99" s="161">
        <v>672.12727272727273</v>
      </c>
      <c r="D99" s="161">
        <v>0</v>
      </c>
      <c r="E99" s="159">
        <v>31</v>
      </c>
      <c r="F99" s="160">
        <v>0</v>
      </c>
      <c r="G99" s="159">
        <f>Inputs!G120+Inputs!I120+Inputs!L120+Inputs!X120</f>
        <v>24639</v>
      </c>
      <c r="H99" s="159">
        <v>0</v>
      </c>
      <c r="I99" s="159">
        <f t="shared" si="10"/>
        <v>35983699.76319316</v>
      </c>
      <c r="J99" s="9">
        <f t="shared" si="7"/>
        <v>518693.29139126092</v>
      </c>
      <c r="K99" s="168">
        <f t="shared" si="8"/>
        <v>1.4625495467022461E-2</v>
      </c>
      <c r="L99" s="168">
        <f t="shared" si="11"/>
        <v>1.4625495467022461E-2</v>
      </c>
      <c r="M99" s="169">
        <f t="shared" si="9"/>
        <v>269042730534.2995</v>
      </c>
      <c r="N99" s="169">
        <f t="shared" si="12"/>
        <v>780171.484304104</v>
      </c>
      <c r="O99" s="169">
        <f t="shared" si="13"/>
        <v>608667544921.2688</v>
      </c>
      <c r="P99" s="11"/>
      <c r="Q99" s="147"/>
      <c r="R99"/>
    </row>
    <row r="100" spans="1:18" x14ac:dyDescent="0.25">
      <c r="A100" s="158">
        <v>44620</v>
      </c>
      <c r="B100" s="159">
        <f>Inputs!D121</f>
        <v>31523310.542636499</v>
      </c>
      <c r="C100" s="161">
        <v>607.14545454545453</v>
      </c>
      <c r="D100" s="161">
        <v>0</v>
      </c>
      <c r="E100" s="159">
        <v>28</v>
      </c>
      <c r="F100" s="160">
        <v>0</v>
      </c>
      <c r="G100" s="159">
        <f>Inputs!G121+Inputs!I121+Inputs!L121+Inputs!X121</f>
        <v>24652</v>
      </c>
      <c r="H100" s="159">
        <v>0</v>
      </c>
      <c r="I100" s="159">
        <f t="shared" si="10"/>
        <v>31569569.601488076</v>
      </c>
      <c r="J100" s="9">
        <f t="shared" si="7"/>
        <v>46259.058851577342</v>
      </c>
      <c r="K100" s="168">
        <f t="shared" si="8"/>
        <v>1.467455608414293E-3</v>
      </c>
      <c r="L100" s="168">
        <f t="shared" si="11"/>
        <v>1.467455608414293E-3</v>
      </c>
      <c r="M100" s="169">
        <f t="shared" si="9"/>
        <v>2139900525.8336959</v>
      </c>
      <c r="N100" s="169">
        <f t="shared" si="12"/>
        <v>-472434.23253968358</v>
      </c>
      <c r="O100" s="169">
        <f t="shared" si="13"/>
        <v>223194104075.35983</v>
      </c>
      <c r="P100" s="11"/>
      <c r="Q100" s="147"/>
      <c r="R100"/>
    </row>
    <row r="101" spans="1:18" x14ac:dyDescent="0.25">
      <c r="A101" s="158">
        <v>44651</v>
      </c>
      <c r="B101" s="159">
        <f>Inputs!D122</f>
        <v>32353240.0566434</v>
      </c>
      <c r="C101" s="161">
        <v>529.88181818181829</v>
      </c>
      <c r="D101" s="161">
        <v>0</v>
      </c>
      <c r="E101" s="159">
        <v>31</v>
      </c>
      <c r="F101" s="160">
        <v>1</v>
      </c>
      <c r="G101" s="159">
        <f>Inputs!G122+Inputs!I122+Inputs!L122+Inputs!X122</f>
        <v>24687</v>
      </c>
      <c r="H101" s="159">
        <v>0</v>
      </c>
      <c r="I101" s="159">
        <f t="shared" si="10"/>
        <v>32306846.946535528</v>
      </c>
      <c r="J101" s="9">
        <f t="shared" si="7"/>
        <v>-46393.110107872635</v>
      </c>
      <c r="K101" s="168">
        <f t="shared" si="8"/>
        <v>-1.4339556108336757E-3</v>
      </c>
      <c r="L101" s="168">
        <f t="shared" si="11"/>
        <v>1.4339556108336757E-3</v>
      </c>
      <c r="M101" s="169">
        <f t="shared" si="9"/>
        <v>2152320665.481194</v>
      </c>
      <c r="N101" s="169">
        <f t="shared" si="12"/>
        <v>-92652.168959449977</v>
      </c>
      <c r="O101" s="169">
        <f t="shared" si="13"/>
        <v>8584424412.8904657</v>
      </c>
      <c r="P101" s="11"/>
      <c r="Q101" s="147"/>
      <c r="R101"/>
    </row>
    <row r="102" spans="1:18" x14ac:dyDescent="0.25">
      <c r="A102" s="158">
        <v>44681</v>
      </c>
      <c r="B102" s="159">
        <f>Inputs!D123</f>
        <v>27915177.2162803</v>
      </c>
      <c r="C102" s="161">
        <v>327.50000000000006</v>
      </c>
      <c r="D102" s="161">
        <v>4.5454545454545456E-2</v>
      </c>
      <c r="E102" s="159">
        <v>30</v>
      </c>
      <c r="F102" s="160">
        <v>1</v>
      </c>
      <c r="G102" s="159">
        <f>Inputs!G123+Inputs!I123+Inputs!L123+Inputs!X123</f>
        <v>24739</v>
      </c>
      <c r="H102" s="159">
        <v>0</v>
      </c>
      <c r="I102" s="159">
        <f t="shared" si="10"/>
        <v>28984509.323658798</v>
      </c>
      <c r="J102" s="9">
        <f t="shared" si="7"/>
        <v>1069332.1073784977</v>
      </c>
      <c r="K102" s="168">
        <f t="shared" si="8"/>
        <v>3.8306477479743771E-2</v>
      </c>
      <c r="L102" s="168">
        <f t="shared" si="11"/>
        <v>3.8306477479743771E-2</v>
      </c>
      <c r="M102" s="169">
        <f t="shared" si="9"/>
        <v>1143471155870.5391</v>
      </c>
      <c r="N102" s="169">
        <f t="shared" si="12"/>
        <v>1115725.2174863704</v>
      </c>
      <c r="O102" s="169">
        <f t="shared" si="13"/>
        <v>1244842760935.0085</v>
      </c>
      <c r="P102" s="11"/>
      <c r="Q102" s="147"/>
      <c r="R102"/>
    </row>
    <row r="103" spans="1:18" x14ac:dyDescent="0.25">
      <c r="A103" s="158">
        <v>44712</v>
      </c>
      <c r="B103" s="159">
        <f>Inputs!D124</f>
        <v>29942359.493953399</v>
      </c>
      <c r="C103" s="161">
        <v>141.14545454545456</v>
      </c>
      <c r="D103" s="161">
        <v>16.963636363636365</v>
      </c>
      <c r="E103" s="159">
        <v>31</v>
      </c>
      <c r="F103" s="160">
        <v>1</v>
      </c>
      <c r="G103" s="159">
        <f>Inputs!G124+Inputs!I124+Inputs!L124+Inputs!X124</f>
        <v>24766</v>
      </c>
      <c r="H103" s="159">
        <v>0</v>
      </c>
      <c r="I103" s="159">
        <f t="shared" si="10"/>
        <v>29895618.637861706</v>
      </c>
      <c r="J103" s="9">
        <f t="shared" si="7"/>
        <v>-46740.856091693044</v>
      </c>
      <c r="K103" s="168">
        <f t="shared" si="8"/>
        <v>-1.5610278175015552E-3</v>
      </c>
      <c r="L103" s="168">
        <f t="shared" si="11"/>
        <v>1.5610278175015552E-3</v>
      </c>
      <c r="M103" s="169">
        <f t="shared" si="9"/>
        <v>2184707628.1843586</v>
      </c>
      <c r="N103" s="169">
        <f t="shared" si="12"/>
        <v>-1116072.9634701908</v>
      </c>
      <c r="O103" s="169">
        <f t="shared" si="13"/>
        <v>1245618859789.1338</v>
      </c>
      <c r="P103" s="11"/>
      <c r="Q103" s="147"/>
      <c r="R103"/>
    </row>
    <row r="104" spans="1:18" x14ac:dyDescent="0.25">
      <c r="A104" s="158">
        <v>44742</v>
      </c>
      <c r="B104" s="159">
        <f>Inputs!D125</f>
        <v>32984458.022498798</v>
      </c>
      <c r="C104" s="161">
        <v>28.127272727272725</v>
      </c>
      <c r="D104" s="161">
        <v>55.209090909090904</v>
      </c>
      <c r="E104" s="159">
        <v>30</v>
      </c>
      <c r="F104" s="160">
        <v>0</v>
      </c>
      <c r="G104" s="159">
        <f>Inputs!G125+Inputs!I125+Inputs!L125+Inputs!X125</f>
        <v>24790</v>
      </c>
      <c r="H104" s="159">
        <v>0</v>
      </c>
      <c r="I104" s="159">
        <f t="shared" si="10"/>
        <v>33307276.064310238</v>
      </c>
      <c r="J104" s="9">
        <f t="shared" si="7"/>
        <v>322818.04181144014</v>
      </c>
      <c r="K104" s="168">
        <f t="shared" si="8"/>
        <v>9.7869742650082345E-3</v>
      </c>
      <c r="L104" s="168">
        <f t="shared" si="11"/>
        <v>9.7869742650082345E-3</v>
      </c>
      <c r="M104" s="169">
        <f t="shared" si="9"/>
        <v>104211488118.97272</v>
      </c>
      <c r="N104" s="169">
        <f t="shared" si="12"/>
        <v>369558.89790313318</v>
      </c>
      <c r="O104" s="169">
        <f t="shared" si="13"/>
        <v>136573779019.37842</v>
      </c>
      <c r="P104" s="11"/>
      <c r="Q104" s="147"/>
      <c r="R104"/>
    </row>
    <row r="105" spans="1:18" x14ac:dyDescent="0.25">
      <c r="A105" s="158">
        <v>44773</v>
      </c>
      <c r="B105" s="159">
        <f>Inputs!D126</f>
        <v>39133029.9268599</v>
      </c>
      <c r="C105" s="161">
        <v>2.9545454545454546</v>
      </c>
      <c r="D105" s="161">
        <v>105.68181818181816</v>
      </c>
      <c r="E105" s="159">
        <v>31</v>
      </c>
      <c r="F105" s="160">
        <v>0</v>
      </c>
      <c r="G105" s="159">
        <f>Inputs!G126+Inputs!I126+Inputs!L126+Inputs!X126</f>
        <v>24818</v>
      </c>
      <c r="H105" s="159">
        <v>0</v>
      </c>
      <c r="I105" s="159">
        <f t="shared" si="10"/>
        <v>39063273.440643072</v>
      </c>
      <c r="J105" s="9">
        <f t="shared" si="7"/>
        <v>-69756.486216828227</v>
      </c>
      <c r="K105" s="168">
        <f t="shared" si="8"/>
        <v>-1.7825475396922735E-3</v>
      </c>
      <c r="L105" s="168">
        <f t="shared" si="11"/>
        <v>1.7825475396922735E-3</v>
      </c>
      <c r="M105" s="169">
        <f t="shared" si="9"/>
        <v>4865967369.3185463</v>
      </c>
      <c r="N105" s="169">
        <f t="shared" si="12"/>
        <v>-392574.52802826837</v>
      </c>
      <c r="O105" s="169">
        <f t="shared" si="13"/>
        <v>154114760056.61768</v>
      </c>
      <c r="P105" s="11"/>
      <c r="Q105" s="147"/>
      <c r="R105"/>
    </row>
    <row r="106" spans="1:18" x14ac:dyDescent="0.25">
      <c r="A106" s="158">
        <v>44804</v>
      </c>
      <c r="B106" s="159">
        <f>Inputs!D127</f>
        <v>39821521.175825201</v>
      </c>
      <c r="C106" s="161">
        <v>7.0272727272727282</v>
      </c>
      <c r="D106" s="161">
        <v>87.863636363636374</v>
      </c>
      <c r="E106" s="159">
        <v>31</v>
      </c>
      <c r="F106" s="160">
        <v>0</v>
      </c>
      <c r="G106" s="159">
        <f>Inputs!G127+Inputs!I127+Inputs!L127+Inputs!X127</f>
        <v>24861</v>
      </c>
      <c r="H106" s="159">
        <v>0</v>
      </c>
      <c r="I106" s="159">
        <f t="shared" si="10"/>
        <v>37460271.754328966</v>
      </c>
      <c r="J106" s="9">
        <f t="shared" si="7"/>
        <v>-2361249.4214962348</v>
      </c>
      <c r="K106" s="168">
        <f t="shared" si="8"/>
        <v>-5.9295811706201199E-2</v>
      </c>
      <c r="L106" s="168">
        <f t="shared" si="11"/>
        <v>5.9295811706201199E-2</v>
      </c>
      <c r="M106" s="169">
        <f t="shared" si="9"/>
        <v>5575498830516.3037</v>
      </c>
      <c r="N106" s="169">
        <f t="shared" si="12"/>
        <v>-2291492.9352794066</v>
      </c>
      <c r="O106" s="169">
        <f t="shared" si="13"/>
        <v>5250939872435.4307</v>
      </c>
      <c r="P106" s="11"/>
      <c r="Q106" s="147"/>
      <c r="R106"/>
    </row>
    <row r="107" spans="1:18" x14ac:dyDescent="0.25">
      <c r="A107" s="158">
        <v>44834</v>
      </c>
      <c r="B107" s="159">
        <f>Inputs!D128</f>
        <v>31429525.786972698</v>
      </c>
      <c r="C107" s="161">
        <v>51.009090909090908</v>
      </c>
      <c r="D107" s="161">
        <v>34.68181818181818</v>
      </c>
      <c r="E107" s="159">
        <v>30</v>
      </c>
      <c r="F107" s="160">
        <v>0</v>
      </c>
      <c r="G107" s="159">
        <f>Inputs!G128+Inputs!I128+Inputs!L128+Inputs!X128</f>
        <v>24901</v>
      </c>
      <c r="H107" s="159">
        <v>0</v>
      </c>
      <c r="I107" s="159">
        <f t="shared" si="10"/>
        <v>31695882.180001013</v>
      </c>
      <c r="J107" s="9">
        <f t="shared" si="7"/>
        <v>266356.39302831516</v>
      </c>
      <c r="K107" s="168">
        <f t="shared" si="8"/>
        <v>8.4747187989300775E-3</v>
      </c>
      <c r="L107" s="168">
        <f t="shared" si="11"/>
        <v>8.4747187989300775E-3</v>
      </c>
      <c r="M107" s="169">
        <f t="shared" si="9"/>
        <v>70945728107.054291</v>
      </c>
      <c r="N107" s="169">
        <f t="shared" si="12"/>
        <v>2627605.81452455</v>
      </c>
      <c r="O107" s="169">
        <f t="shared" si="13"/>
        <v>6904312316523.2236</v>
      </c>
      <c r="P107" s="11"/>
      <c r="Q107" s="147"/>
      <c r="R107"/>
    </row>
    <row r="108" spans="1:18" x14ac:dyDescent="0.25">
      <c r="A108" s="158">
        <v>44865</v>
      </c>
      <c r="B108" s="159">
        <f>Inputs!D129</f>
        <v>28375439.900397301</v>
      </c>
      <c r="C108" s="161">
        <v>212.45</v>
      </c>
      <c r="D108" s="161">
        <v>5.3</v>
      </c>
      <c r="E108" s="159">
        <v>31</v>
      </c>
      <c r="F108" s="160">
        <v>1</v>
      </c>
      <c r="G108" s="159">
        <f>Inputs!G129+Inputs!I129+Inputs!L129+Inputs!X129</f>
        <v>24980</v>
      </c>
      <c r="H108" s="159">
        <v>0</v>
      </c>
      <c r="I108" s="159">
        <f t="shared" si="10"/>
        <v>29700520.42363397</v>
      </c>
      <c r="J108" s="9">
        <f t="shared" si="7"/>
        <v>1325080.5232366696</v>
      </c>
      <c r="K108" s="168">
        <f t="shared" si="8"/>
        <v>4.6698149099641498E-2</v>
      </c>
      <c r="L108" s="168">
        <f t="shared" si="11"/>
        <v>4.6698149099641498E-2</v>
      </c>
      <c r="M108" s="169">
        <f t="shared" si="9"/>
        <v>1755838393061.166</v>
      </c>
      <c r="N108" s="169">
        <f t="shared" si="12"/>
        <v>1058724.1302083544</v>
      </c>
      <c r="O108" s="169">
        <f t="shared" si="13"/>
        <v>1120896783885.4368</v>
      </c>
      <c r="P108" s="11"/>
      <c r="Q108" s="147"/>
      <c r="R108"/>
    </row>
    <row r="109" spans="1:18" x14ac:dyDescent="0.25">
      <c r="A109" s="158">
        <v>44895</v>
      </c>
      <c r="B109" s="159">
        <f>Inputs!D130</f>
        <v>29798652.173497498</v>
      </c>
      <c r="C109" s="161">
        <v>408.5</v>
      </c>
      <c r="D109" s="161">
        <v>0.22999999999999998</v>
      </c>
      <c r="E109" s="159">
        <v>30</v>
      </c>
      <c r="F109" s="160">
        <v>1</v>
      </c>
      <c r="G109" s="159">
        <f>Inputs!G130+Inputs!I130+Inputs!L130+Inputs!X130</f>
        <v>25014</v>
      </c>
      <c r="H109" s="159">
        <v>0</v>
      </c>
      <c r="I109" s="159">
        <f t="shared" si="10"/>
        <v>30050766.96591612</v>
      </c>
      <c r="J109" s="9">
        <f t="shared" si="7"/>
        <v>252114.79241862148</v>
      </c>
      <c r="K109" s="168">
        <f t="shared" si="8"/>
        <v>8.4606105991212859E-3</v>
      </c>
      <c r="L109" s="168">
        <f t="shared" si="11"/>
        <v>8.4606105991212859E-3</v>
      </c>
      <c r="M109" s="169">
        <f t="shared" si="9"/>
        <v>63561868556.284599</v>
      </c>
      <c r="N109" s="169">
        <f t="shared" si="12"/>
        <v>-1072965.7308180481</v>
      </c>
      <c r="O109" s="169">
        <f t="shared" si="13"/>
        <v>1151255459509.9082</v>
      </c>
      <c r="P109" s="11"/>
      <c r="Q109" s="147"/>
      <c r="R109"/>
    </row>
    <row r="110" spans="1:18" x14ac:dyDescent="0.25">
      <c r="A110" s="158">
        <v>44926</v>
      </c>
      <c r="B110" s="159">
        <f>Inputs!D131</f>
        <v>33870515.1064891</v>
      </c>
      <c r="C110" s="161">
        <v>533.85000000000014</v>
      </c>
      <c r="D110" s="161">
        <v>0</v>
      </c>
      <c r="E110" s="159">
        <v>31</v>
      </c>
      <c r="F110" s="160">
        <v>1</v>
      </c>
      <c r="G110" s="159">
        <f>Inputs!G131+Inputs!I131+Inputs!L131+Inputs!X131</f>
        <v>25063</v>
      </c>
      <c r="H110" s="159">
        <v>0</v>
      </c>
      <c r="I110" s="159">
        <f t="shared" si="10"/>
        <v>32624119.076141082</v>
      </c>
      <c r="J110" s="9">
        <f t="shared" si="7"/>
        <v>-1246396.0303480178</v>
      </c>
      <c r="K110" s="168">
        <f t="shared" si="8"/>
        <v>-3.6798850753504676E-2</v>
      </c>
      <c r="L110" s="168">
        <f t="shared" si="11"/>
        <v>3.6798850753504676E-2</v>
      </c>
      <c r="M110" s="169">
        <f t="shared" si="9"/>
        <v>1553503064467.2969</v>
      </c>
      <c r="N110" s="169">
        <f t="shared" si="12"/>
        <v>-1498510.8227666393</v>
      </c>
      <c r="O110" s="169">
        <f t="shared" si="13"/>
        <v>2245534685948.75</v>
      </c>
      <c r="P110" s="11"/>
      <c r="Q110" s="147"/>
      <c r="R110"/>
    </row>
    <row r="111" spans="1:18" x14ac:dyDescent="0.25">
      <c r="A111" s="158">
        <v>44957</v>
      </c>
      <c r="B111" s="159">
        <f>Inputs!D132</f>
        <v>33991812.103445902</v>
      </c>
      <c r="C111" s="159">
        <v>672.12727272727273</v>
      </c>
      <c r="D111" s="159">
        <v>0</v>
      </c>
      <c r="E111" s="159">
        <v>31</v>
      </c>
      <c r="F111" s="160">
        <v>0</v>
      </c>
      <c r="G111" s="159">
        <f>Inputs!G132+Inputs!I132+Inputs!L132+Inputs!X132</f>
        <v>25081</v>
      </c>
      <c r="H111" s="159">
        <v>0</v>
      </c>
      <c r="I111" s="159">
        <f t="shared" si="10"/>
        <v>36307873.992730983</v>
      </c>
      <c r="J111" s="9">
        <f t="shared" si="7"/>
        <v>2316061.8892850801</v>
      </c>
      <c r="K111" s="168">
        <f t="shared" si="8"/>
        <v>6.8135875846709881E-2</v>
      </c>
      <c r="L111" s="168">
        <f t="shared" si="11"/>
        <v>6.8135875846709881E-2</v>
      </c>
      <c r="M111" s="169">
        <f t="shared" si="9"/>
        <v>5364142674998.7744</v>
      </c>
      <c r="N111" s="169">
        <f t="shared" si="12"/>
        <v>3562457.9196330979</v>
      </c>
      <c r="O111" s="169">
        <f t="shared" si="13"/>
        <v>12691106429156.58</v>
      </c>
      <c r="P111" s="11"/>
      <c r="Q111" s="147"/>
      <c r="R111"/>
    </row>
    <row r="112" spans="1:18" x14ac:dyDescent="0.25">
      <c r="A112" s="158">
        <v>44985</v>
      </c>
      <c r="B112" s="159">
        <f>Inputs!D133</f>
        <v>30665858.379131198</v>
      </c>
      <c r="C112" s="159">
        <v>607.14545454545453</v>
      </c>
      <c r="D112" s="159">
        <v>0</v>
      </c>
      <c r="E112" s="159">
        <v>28</v>
      </c>
      <c r="F112" s="160">
        <v>0</v>
      </c>
      <c r="G112" s="159">
        <f>Inputs!G133+Inputs!I133+Inputs!L133+Inputs!X133</f>
        <v>25093</v>
      </c>
      <c r="H112" s="159">
        <v>0</v>
      </c>
      <c r="I112" s="159">
        <f t="shared" si="10"/>
        <v>31893010.405167215</v>
      </c>
      <c r="J112" s="9">
        <f t="shared" si="7"/>
        <v>1227152.0260360166</v>
      </c>
      <c r="K112" s="168">
        <f t="shared" si="8"/>
        <v>4.0016881669000373E-2</v>
      </c>
      <c r="L112" s="168">
        <f t="shared" si="11"/>
        <v>4.0016881669000373E-2</v>
      </c>
      <c r="M112" s="169">
        <f t="shared" si="9"/>
        <v>1505902095004.3005</v>
      </c>
      <c r="N112" s="169">
        <f t="shared" si="12"/>
        <v>-1088909.8632490635</v>
      </c>
      <c r="O112" s="169">
        <f t="shared" si="13"/>
        <v>1185724690281.0942</v>
      </c>
      <c r="P112" s="11"/>
      <c r="Q112" s="147"/>
      <c r="R112"/>
    </row>
    <row r="113" spans="1:18" x14ac:dyDescent="0.25">
      <c r="A113" s="158">
        <v>45016</v>
      </c>
      <c r="B113" s="159">
        <f>Inputs!D134</f>
        <v>32629381.9263977</v>
      </c>
      <c r="C113" s="159">
        <v>529.88181818181829</v>
      </c>
      <c r="D113" s="159">
        <v>0</v>
      </c>
      <c r="E113" s="159">
        <v>31</v>
      </c>
      <c r="F113" s="160">
        <v>1</v>
      </c>
      <c r="G113" s="159">
        <f>Inputs!G134+Inputs!I134+Inputs!L134+Inputs!X134</f>
        <v>25129</v>
      </c>
      <c r="H113" s="159">
        <v>0</v>
      </c>
      <c r="I113" s="159">
        <f t="shared" si="10"/>
        <v>32631021.176073346</v>
      </c>
      <c r="J113" s="9">
        <f t="shared" si="7"/>
        <v>1639.2496756464243</v>
      </c>
      <c r="K113" s="168">
        <f t="shared" si="8"/>
        <v>5.023845316298329E-5</v>
      </c>
      <c r="L113" s="168">
        <f t="shared" si="11"/>
        <v>5.023845316298329E-5</v>
      </c>
      <c r="M113" s="169">
        <f t="shared" si="9"/>
        <v>2687139.4991069073</v>
      </c>
      <c r="N113" s="169">
        <f t="shared" si="12"/>
        <v>-1225512.7763603702</v>
      </c>
      <c r="O113" s="169">
        <f t="shared" si="13"/>
        <v>1501881565022.5027</v>
      </c>
      <c r="P113" s="11"/>
      <c r="Q113" s="147"/>
      <c r="R113"/>
    </row>
    <row r="114" spans="1:18" x14ac:dyDescent="0.25">
      <c r="A114" s="158">
        <v>45046</v>
      </c>
      <c r="B114" s="159">
        <f>Inputs!D135</f>
        <v>28070848.797054499</v>
      </c>
      <c r="C114" s="159">
        <v>327.50000000000006</v>
      </c>
      <c r="D114" s="159">
        <v>4.5454545454545456E-2</v>
      </c>
      <c r="E114" s="159">
        <v>30</v>
      </c>
      <c r="F114" s="160">
        <v>1</v>
      </c>
      <c r="G114" s="159">
        <f>Inputs!G135+Inputs!I135+Inputs!L135+Inputs!X135</f>
        <v>25213</v>
      </c>
      <c r="H114" s="159">
        <v>0</v>
      </c>
      <c r="I114" s="159">
        <f t="shared" si="10"/>
        <v>29332153.180674471</v>
      </c>
      <c r="J114" s="9">
        <f t="shared" si="7"/>
        <v>1261304.3836199716</v>
      </c>
      <c r="K114" s="168">
        <f t="shared" si="8"/>
        <v>4.4932890798525534E-2</v>
      </c>
      <c r="L114" s="168">
        <f t="shared" si="11"/>
        <v>4.4932890798525534E-2</v>
      </c>
      <c r="M114" s="169">
        <f t="shared" si="9"/>
        <v>1590888748138.9563</v>
      </c>
      <c r="N114" s="169">
        <f t="shared" si="12"/>
        <v>1259665.1339443251</v>
      </c>
      <c r="O114" s="169">
        <f t="shared" si="13"/>
        <v>1586756249674.9746</v>
      </c>
      <c r="P114" s="11"/>
      <c r="Q114" s="147"/>
      <c r="R114"/>
    </row>
    <row r="115" spans="1:18" x14ac:dyDescent="0.25">
      <c r="A115" s="158">
        <v>45077</v>
      </c>
      <c r="B115" s="159">
        <f>Inputs!D136</f>
        <v>28924411.6335361</v>
      </c>
      <c r="C115" s="159">
        <v>141.14545454545456</v>
      </c>
      <c r="D115" s="159">
        <v>16.963636363636365</v>
      </c>
      <c r="E115" s="159">
        <v>31</v>
      </c>
      <c r="F115" s="160">
        <v>1</v>
      </c>
      <c r="G115" s="159">
        <f>Inputs!G136+Inputs!I136+Inputs!L136+Inputs!X136</f>
        <v>25301</v>
      </c>
      <c r="H115" s="159">
        <v>0</v>
      </c>
      <c r="I115" s="159">
        <f t="shared" si="10"/>
        <v>30288001.472257033</v>
      </c>
      <c r="J115" s="9">
        <f t="shared" si="7"/>
        <v>1363589.8387209326</v>
      </c>
      <c r="K115" s="168">
        <f t="shared" si="8"/>
        <v>4.7143217846475842E-2</v>
      </c>
      <c r="L115" s="168">
        <f t="shared" si="11"/>
        <v>4.7143217846475842E-2</v>
      </c>
      <c r="M115" s="169">
        <f t="shared" si="9"/>
        <v>1859377248262.979</v>
      </c>
      <c r="N115" s="169">
        <f t="shared" si="12"/>
        <v>102285.45510096103</v>
      </c>
      <c r="O115" s="169">
        <f t="shared" si="13"/>
        <v>10462314325.210714</v>
      </c>
      <c r="P115" s="11"/>
      <c r="Q115" s="147"/>
      <c r="R115"/>
    </row>
    <row r="116" spans="1:18" x14ac:dyDescent="0.25">
      <c r="A116" s="158">
        <v>45107</v>
      </c>
      <c r="B116" s="159">
        <f>Inputs!D137</f>
        <v>32337605.014613099</v>
      </c>
      <c r="C116" s="159">
        <v>28.127272727272725</v>
      </c>
      <c r="D116" s="159">
        <v>55.209090909090904</v>
      </c>
      <c r="E116" s="159">
        <v>30</v>
      </c>
      <c r="F116" s="160">
        <v>0</v>
      </c>
      <c r="G116" s="159">
        <f>Inputs!G137+Inputs!I137+Inputs!L137+Inputs!X137</f>
        <v>25386</v>
      </c>
      <c r="H116" s="159">
        <v>0</v>
      </c>
      <c r="I116" s="159">
        <f t="shared" si="10"/>
        <v>33744397.876085222</v>
      </c>
      <c r="J116" s="9">
        <f t="shared" si="7"/>
        <v>1406792.8614721224</v>
      </c>
      <c r="K116" s="168">
        <f t="shared" si="8"/>
        <v>4.3503310181332355E-2</v>
      </c>
      <c r="L116" s="168">
        <f t="shared" si="11"/>
        <v>4.3503310181332355E-2</v>
      </c>
      <c r="M116" s="169">
        <f t="shared" si="9"/>
        <v>1979066155088.9221</v>
      </c>
      <c r="N116" s="169">
        <f t="shared" si="12"/>
        <v>43203.022751189768</v>
      </c>
      <c r="O116" s="169">
        <f t="shared" si="13"/>
        <v>1866501174.8398206</v>
      </c>
      <c r="P116" s="11"/>
      <c r="Q116" s="147"/>
      <c r="R116"/>
    </row>
    <row r="117" spans="1:18" x14ac:dyDescent="0.25">
      <c r="A117" s="158">
        <v>45138</v>
      </c>
      <c r="B117" s="159">
        <f>Inputs!D138</f>
        <v>39594891.335779101</v>
      </c>
      <c r="C117" s="159">
        <v>2.9545454545454546</v>
      </c>
      <c r="D117" s="159">
        <v>105.68181818181816</v>
      </c>
      <c r="E117" s="159">
        <v>31</v>
      </c>
      <c r="F117" s="160">
        <v>0</v>
      </c>
      <c r="G117" s="159">
        <f>Inputs!G138+Inputs!I138+Inputs!L138+Inputs!X138</f>
        <v>25423</v>
      </c>
      <c r="H117" s="159">
        <v>0</v>
      </c>
      <c r="I117" s="159">
        <f t="shared" si="10"/>
        <v>39506996.085146204</v>
      </c>
      <c r="J117" s="9">
        <f t="shared" si="7"/>
        <v>-87895.250632897019</v>
      </c>
      <c r="K117" s="168">
        <f t="shared" si="8"/>
        <v>-2.2198634133760659E-3</v>
      </c>
      <c r="L117" s="168">
        <f t="shared" si="11"/>
        <v>2.2198634133760659E-3</v>
      </c>
      <c r="M117" s="169">
        <f t="shared" si="9"/>
        <v>7725575083.8197842</v>
      </c>
      <c r="N117" s="169">
        <f t="shared" si="12"/>
        <v>-1494688.1121050194</v>
      </c>
      <c r="O117" s="169">
        <f t="shared" si="13"/>
        <v>2234092552468.0669</v>
      </c>
      <c r="P117" s="11"/>
      <c r="Q117" s="147"/>
      <c r="R117"/>
    </row>
    <row r="118" spans="1:18" x14ac:dyDescent="0.25">
      <c r="A118" s="158">
        <v>45169</v>
      </c>
      <c r="B118" s="159">
        <f>Inputs!D139</f>
        <v>35523357.586275995</v>
      </c>
      <c r="C118" s="159">
        <v>7.0272727272727282</v>
      </c>
      <c r="D118" s="159">
        <v>87.863636363636374</v>
      </c>
      <c r="E118" s="159">
        <v>31</v>
      </c>
      <c r="F118" s="160">
        <v>0</v>
      </c>
      <c r="G118" s="159">
        <f>Inputs!G139+Inputs!I139+Inputs!L139+Inputs!X139</f>
        <v>25474</v>
      </c>
      <c r="H118" s="159">
        <v>0</v>
      </c>
      <c r="I118" s="159">
        <f t="shared" si="10"/>
        <v>37909861.805701561</v>
      </c>
      <c r="J118" s="9">
        <f t="shared" si="7"/>
        <v>2386504.2194255665</v>
      </c>
      <c r="K118" s="168">
        <f t="shared" si="8"/>
        <v>6.7181268370520325E-2</v>
      </c>
      <c r="L118" s="168">
        <f t="shared" si="11"/>
        <v>6.7181268370520325E-2</v>
      </c>
      <c r="M118" s="169">
        <f t="shared" si="9"/>
        <v>5695402389336.0322</v>
      </c>
      <c r="N118" s="169">
        <f t="shared" si="12"/>
        <v>2474399.4700584635</v>
      </c>
      <c r="O118" s="169">
        <f t="shared" si="13"/>
        <v>6122652737425.6055</v>
      </c>
      <c r="P118" s="11"/>
      <c r="Q118" s="147"/>
      <c r="R118"/>
    </row>
    <row r="119" spans="1:18" x14ac:dyDescent="0.25">
      <c r="A119" s="158">
        <v>45199</v>
      </c>
      <c r="B119" s="159">
        <f>Inputs!D140</f>
        <v>31570923.270029802</v>
      </c>
      <c r="C119" s="159">
        <v>51.009090909090908</v>
      </c>
      <c r="D119" s="159">
        <v>34.68181818181818</v>
      </c>
      <c r="E119" s="159">
        <v>30</v>
      </c>
      <c r="F119" s="160">
        <v>0</v>
      </c>
      <c r="G119" s="159">
        <f>Inputs!G140+Inputs!I140+Inputs!L140+Inputs!X140</f>
        <v>25548</v>
      </c>
      <c r="H119" s="159">
        <v>0</v>
      </c>
      <c r="I119" s="159">
        <f t="shared" si="10"/>
        <v>32170408.710568823</v>
      </c>
      <c r="J119" s="9">
        <f t="shared" si="7"/>
        <v>599485.44053902104</v>
      </c>
      <c r="K119" s="168">
        <f t="shared" si="8"/>
        <v>1.8988530535250802E-2</v>
      </c>
      <c r="L119" s="168">
        <f t="shared" si="11"/>
        <v>1.8988530535250802E-2</v>
      </c>
      <c r="M119" s="169">
        <f t="shared" si="9"/>
        <v>359382793418.26416</v>
      </c>
      <c r="N119" s="169">
        <f t="shared" si="12"/>
        <v>-1787018.7788865454</v>
      </c>
      <c r="O119" s="169">
        <f t="shared" si="13"/>
        <v>3193436116093.1602</v>
      </c>
      <c r="P119" s="11"/>
      <c r="Q119" s="147"/>
      <c r="R119"/>
    </row>
    <row r="120" spans="1:18" x14ac:dyDescent="0.25">
      <c r="A120" s="158">
        <v>45230</v>
      </c>
      <c r="B120" s="159">
        <f>Inputs!D141</f>
        <v>29609700.8526466</v>
      </c>
      <c r="C120" s="159">
        <v>212.45</v>
      </c>
      <c r="D120" s="159">
        <v>5.3</v>
      </c>
      <c r="E120" s="159">
        <v>31</v>
      </c>
      <c r="F120" s="160">
        <v>1</v>
      </c>
      <c r="G120" s="159">
        <f>Inputs!G141+Inputs!I141+Inputs!L141+Inputs!X141</f>
        <v>25670</v>
      </c>
      <c r="H120" s="159">
        <v>0</v>
      </c>
      <c r="I120" s="159">
        <f t="shared" si="10"/>
        <v>30206584.266125139</v>
      </c>
      <c r="J120" s="9">
        <f t="shared" si="7"/>
        <v>596883.41347853839</v>
      </c>
      <c r="K120" s="168">
        <f t="shared" si="8"/>
        <v>2.0158373650883649E-2</v>
      </c>
      <c r="L120" s="168">
        <f t="shared" si="11"/>
        <v>2.0158373650883649E-2</v>
      </c>
      <c r="M120" s="169">
        <f t="shared" si="9"/>
        <v>356269809285.79181</v>
      </c>
      <c r="N120" s="169">
        <f t="shared" si="12"/>
        <v>-2602.027060482651</v>
      </c>
      <c r="O120" s="169">
        <f t="shared" si="13"/>
        <v>6770544.8234839858</v>
      </c>
      <c r="P120" s="11"/>
      <c r="Q120" s="147"/>
      <c r="R120"/>
    </row>
    <row r="121" spans="1:18" x14ac:dyDescent="0.25">
      <c r="A121" s="158">
        <v>45260</v>
      </c>
      <c r="B121" s="159">
        <f>Inputs!D142</f>
        <v>30895716.9335532</v>
      </c>
      <c r="C121" s="159">
        <v>408.5</v>
      </c>
      <c r="D121" s="159">
        <v>0.22999999999999998</v>
      </c>
      <c r="E121" s="159">
        <v>30</v>
      </c>
      <c r="F121" s="160">
        <v>1</v>
      </c>
      <c r="G121" s="159">
        <f>Inputs!G142+Inputs!I142+Inputs!L142+Inputs!X142</f>
        <v>25701</v>
      </c>
      <c r="H121" s="159">
        <v>0</v>
      </c>
      <c r="I121" s="159">
        <f t="shared" si="10"/>
        <v>30554630.53083124</v>
      </c>
      <c r="J121" s="9">
        <f t="shared" si="7"/>
        <v>-341086.4027219601</v>
      </c>
      <c r="K121" s="168">
        <f t="shared" si="8"/>
        <v>-1.103992516035565E-2</v>
      </c>
      <c r="L121" s="168">
        <f t="shared" si="11"/>
        <v>1.103992516035565E-2</v>
      </c>
      <c r="M121" s="169">
        <f t="shared" si="9"/>
        <v>116339934121.80714</v>
      </c>
      <c r="N121" s="169">
        <f t="shared" si="12"/>
        <v>-937969.81620049849</v>
      </c>
      <c r="O121" s="169">
        <f t="shared" si="13"/>
        <v>879787376103.1969</v>
      </c>
      <c r="P121" s="11"/>
      <c r="Q121" s="147"/>
      <c r="R121"/>
    </row>
    <row r="122" spans="1:18" x14ac:dyDescent="0.25">
      <c r="A122" s="158">
        <v>45291</v>
      </c>
      <c r="B122" s="159">
        <f>Inputs!D143</f>
        <v>32819279.789655898</v>
      </c>
      <c r="C122" s="159">
        <v>533.85000000000014</v>
      </c>
      <c r="D122" s="159">
        <v>0</v>
      </c>
      <c r="E122" s="159">
        <v>31</v>
      </c>
      <c r="F122" s="160">
        <v>1</v>
      </c>
      <c r="G122" s="159">
        <f>Inputs!G143+Inputs!I143+Inputs!L143+Inputs!X143</f>
        <v>25753</v>
      </c>
      <c r="H122" s="159">
        <v>0</v>
      </c>
      <c r="I122" s="159">
        <f t="shared" si="10"/>
        <v>33130182.91863225</v>
      </c>
      <c r="J122" s="9">
        <f t="shared" si="7"/>
        <v>310903.12897635251</v>
      </c>
      <c r="K122" s="168">
        <f t="shared" si="8"/>
        <v>9.4731856082455566E-3</v>
      </c>
      <c r="L122" s="168">
        <f t="shared" si="11"/>
        <v>9.4731856082455566E-3</v>
      </c>
      <c r="M122" s="169">
        <f t="shared" si="9"/>
        <v>96660755607.286484</v>
      </c>
      <c r="N122" s="169">
        <f t="shared" si="12"/>
        <v>651989.53169831261</v>
      </c>
      <c r="O122" s="169">
        <f t="shared" si="13"/>
        <v>425090349444.185</v>
      </c>
      <c r="P122" s="11"/>
      <c r="Q122" s="147"/>
      <c r="R122"/>
    </row>
    <row r="123" spans="1:18" x14ac:dyDescent="0.25">
      <c r="A123" s="158">
        <v>45322</v>
      </c>
      <c r="B123" s="172">
        <f>Inputs!D144</f>
        <v>35923142.759999998</v>
      </c>
      <c r="C123" s="172">
        <v>672.12727272727273</v>
      </c>
      <c r="D123" s="172">
        <v>0</v>
      </c>
      <c r="E123" s="159">
        <v>31</v>
      </c>
      <c r="F123" s="160">
        <v>0</v>
      </c>
      <c r="G123" s="172">
        <f>Inputs!G144+Inputs!I144+Inputs!L144+Inputs!X144</f>
        <v>25781</v>
      </c>
      <c r="H123" s="159">
        <v>0</v>
      </c>
      <c r="I123" s="159">
        <f t="shared" si="10"/>
        <v>36821272.093808979</v>
      </c>
      <c r="J123" s="9">
        <f t="shared" si="7"/>
        <v>898129.33380898088</v>
      </c>
      <c r="K123" s="168">
        <f t="shared" si="8"/>
        <v>2.5001413150550888E-2</v>
      </c>
      <c r="L123" s="168">
        <f t="shared" si="11"/>
        <v>2.5001413150550888E-2</v>
      </c>
      <c r="M123" s="169">
        <f t="shared" si="9"/>
        <v>806636300248.16382</v>
      </c>
      <c r="N123" s="169">
        <f t="shared" si="12"/>
        <v>587226.20483262837</v>
      </c>
      <c r="O123" s="169">
        <f t="shared" si="13"/>
        <v>344834615642.13202</v>
      </c>
      <c r="P123" s="148"/>
      <c r="Q123" s="147"/>
      <c r="R123"/>
    </row>
    <row r="124" spans="1:18" x14ac:dyDescent="0.25">
      <c r="A124" s="158">
        <v>45351</v>
      </c>
      <c r="B124" s="172">
        <f>Inputs!D145</f>
        <v>31731446.009999998</v>
      </c>
      <c r="C124" s="172">
        <v>607.14545454545453</v>
      </c>
      <c r="D124" s="172">
        <v>0</v>
      </c>
      <c r="E124" s="159">
        <v>29</v>
      </c>
      <c r="F124" s="160">
        <v>0</v>
      </c>
      <c r="G124" s="172">
        <f>Inputs!G145+Inputs!I145+Inputs!L145+Inputs!X145</f>
        <v>25793</v>
      </c>
      <c r="H124" s="159">
        <v>0</v>
      </c>
      <c r="I124" s="159">
        <f t="shared" si="10"/>
        <v>33654410.797528997</v>
      </c>
      <c r="J124" s="9">
        <f t="shared" si="7"/>
        <v>1922964.7875289991</v>
      </c>
      <c r="K124" s="168">
        <f t="shared" si="8"/>
        <v>6.0601234085675984E-2</v>
      </c>
      <c r="L124" s="168">
        <f t="shared" si="11"/>
        <v>6.0601234085675984E-2</v>
      </c>
      <c r="M124" s="169">
        <f t="shared" si="9"/>
        <v>3697793574076.4487</v>
      </c>
      <c r="N124" s="169">
        <f t="shared" si="12"/>
        <v>1024835.4537200183</v>
      </c>
      <c r="O124" s="169">
        <f t="shared" si="13"/>
        <v>1050287707201.5157</v>
      </c>
      <c r="Q124" s="147"/>
      <c r="R124"/>
    </row>
    <row r="125" spans="1:18" x14ac:dyDescent="0.25">
      <c r="A125" s="158">
        <v>45382</v>
      </c>
      <c r="B125" s="172">
        <f>Inputs!D146</f>
        <v>31839641.859999999</v>
      </c>
      <c r="C125" s="172">
        <v>529.88181818181829</v>
      </c>
      <c r="D125" s="172">
        <v>0</v>
      </c>
      <c r="E125" s="159">
        <v>31</v>
      </c>
      <c r="F125" s="160">
        <v>1</v>
      </c>
      <c r="G125" s="172">
        <f>Inputs!G146+Inputs!I146+Inputs!L146+Inputs!X146</f>
        <v>25791</v>
      </c>
      <c r="H125" s="159">
        <v>0</v>
      </c>
      <c r="I125" s="159">
        <f t="shared" si="10"/>
        <v>33116549.094521396</v>
      </c>
      <c r="J125" s="9">
        <f t="shared" si="7"/>
        <v>1276907.2345213965</v>
      </c>
      <c r="K125" s="168">
        <f t="shared" si="8"/>
        <v>4.0104321528992112E-2</v>
      </c>
      <c r="L125" s="168">
        <f t="shared" si="11"/>
        <v>4.0104321528992112E-2</v>
      </c>
      <c r="M125" s="169">
        <f t="shared" si="9"/>
        <v>1630492085573.0806</v>
      </c>
      <c r="N125" s="169">
        <f t="shared" si="12"/>
        <v>-646057.55300760269</v>
      </c>
      <c r="O125" s="169">
        <f t="shared" si="13"/>
        <v>417390361798.17139</v>
      </c>
      <c r="Q125" s="147"/>
      <c r="R125" s="40"/>
    </row>
    <row r="126" spans="1:18" x14ac:dyDescent="0.25">
      <c r="A126" s="158">
        <v>45412</v>
      </c>
      <c r="B126" s="172">
        <f>Inputs!D147</f>
        <v>28562458.940000001</v>
      </c>
      <c r="C126" s="172">
        <v>327.50000000000006</v>
      </c>
      <c r="D126" s="172">
        <v>4.5454545454545456E-2</v>
      </c>
      <c r="E126" s="159">
        <v>30</v>
      </c>
      <c r="F126" s="160">
        <v>1</v>
      </c>
      <c r="G126" s="172">
        <f>Inputs!G147+Inputs!I147+Inputs!L147+Inputs!X147</f>
        <v>25822</v>
      </c>
      <c r="H126" s="159">
        <v>0</v>
      </c>
      <c r="I126" s="159">
        <f t="shared" si="10"/>
        <v>29778809.528612331</v>
      </c>
      <c r="J126" s="9">
        <f t="shared" si="7"/>
        <v>1216350.5886123292</v>
      </c>
      <c r="K126" s="168">
        <f t="shared" si="8"/>
        <v>4.2585639813696279E-2</v>
      </c>
      <c r="L126" s="168">
        <f t="shared" si="11"/>
        <v>4.2585639813696279E-2</v>
      </c>
      <c r="M126" s="169">
        <f t="shared" si="9"/>
        <v>1479508754417.5598</v>
      </c>
      <c r="N126" s="169">
        <f t="shared" si="12"/>
        <v>-60556.645909067243</v>
      </c>
      <c r="O126" s="169">
        <f t="shared" si="13"/>
        <v>3667107363.7561507</v>
      </c>
      <c r="Q126" s="147"/>
      <c r="R126"/>
    </row>
    <row r="127" spans="1:18" x14ac:dyDescent="0.25">
      <c r="A127" s="158">
        <v>45443</v>
      </c>
      <c r="B127" s="172">
        <f>Inputs!D148</f>
        <v>30423026.610000003</v>
      </c>
      <c r="C127" s="172">
        <v>141.14545454545456</v>
      </c>
      <c r="D127" s="172">
        <v>16.963636363636365</v>
      </c>
      <c r="E127" s="159">
        <v>31</v>
      </c>
      <c r="F127" s="160">
        <v>1</v>
      </c>
      <c r="G127" s="172">
        <f>Inputs!G148+Inputs!I148+Inputs!L148+Inputs!X148</f>
        <v>25841</v>
      </c>
      <c r="H127" s="159">
        <v>0</v>
      </c>
      <c r="I127" s="159">
        <f t="shared" si="10"/>
        <v>30684051.435945775</v>
      </c>
      <c r="J127" s="9">
        <f t="shared" si="7"/>
        <v>261024.82594577223</v>
      </c>
      <c r="K127" s="168">
        <f t="shared" si="8"/>
        <v>8.5798441191243524E-3</v>
      </c>
      <c r="L127" s="168">
        <f t="shared" si="11"/>
        <v>8.5798441191243524E-3</v>
      </c>
      <c r="M127" s="169">
        <f t="shared" si="9"/>
        <v>68133959760.020691</v>
      </c>
      <c r="N127" s="169">
        <f t="shared" si="12"/>
        <v>-955325.76266655698</v>
      </c>
      <c r="O127" s="169">
        <f t="shared" si="13"/>
        <v>912647312814.43872</v>
      </c>
      <c r="Q127" s="147"/>
      <c r="R127"/>
    </row>
    <row r="128" spans="1:18" x14ac:dyDescent="0.25">
      <c r="A128" s="158">
        <v>45473</v>
      </c>
      <c r="B128" s="172">
        <f>Inputs!D149</f>
        <v>36158920.950000003</v>
      </c>
      <c r="C128" s="172">
        <v>28.127272727272725</v>
      </c>
      <c r="D128" s="172">
        <v>55.209090909090904</v>
      </c>
      <c r="E128" s="159">
        <v>30</v>
      </c>
      <c r="F128" s="160">
        <v>0</v>
      </c>
      <c r="G128" s="172">
        <f>Inputs!G149+Inputs!I149+Inputs!L149+Inputs!X149</f>
        <v>25867</v>
      </c>
      <c r="H128" s="159">
        <v>0</v>
      </c>
      <c r="I128" s="159">
        <f t="shared" si="10"/>
        <v>34097175.714111671</v>
      </c>
      <c r="J128" s="9">
        <f t="shared" si="7"/>
        <v>-2061745.2358883321</v>
      </c>
      <c r="K128" s="168">
        <f t="shared" si="8"/>
        <v>-5.7018992318362639E-2</v>
      </c>
      <c r="L128" s="168">
        <f t="shared" si="11"/>
        <v>5.7018992318362639E-2</v>
      </c>
      <c r="M128" s="169">
        <f t="shared" si="9"/>
        <v>4250793417708.2344</v>
      </c>
      <c r="N128" s="169">
        <f t="shared" si="12"/>
        <v>-2322770.0618341044</v>
      </c>
      <c r="O128" s="169">
        <f t="shared" si="13"/>
        <v>5395260760152.8086</v>
      </c>
      <c r="Q128" s="147"/>
      <c r="R128"/>
    </row>
    <row r="129" spans="1:18" x14ac:dyDescent="0.25">
      <c r="A129" s="158">
        <v>45504</v>
      </c>
      <c r="B129" s="172">
        <f>Inputs!D150</f>
        <v>42460733.059999995</v>
      </c>
      <c r="C129" s="172">
        <v>2.9545454545454546</v>
      </c>
      <c r="D129" s="172">
        <v>105.68181818181816</v>
      </c>
      <c r="E129" s="159">
        <v>31</v>
      </c>
      <c r="F129" s="160">
        <v>0</v>
      </c>
      <c r="G129" s="172">
        <f>Inputs!G150+Inputs!I150+Inputs!L150+Inputs!X150</f>
        <v>25915</v>
      </c>
      <c r="H129" s="159">
        <v>0</v>
      </c>
      <c r="I129" s="159">
        <f t="shared" si="10"/>
        <v>39867841.607618168</v>
      </c>
      <c r="J129" s="9">
        <f t="shared" si="7"/>
        <v>-2592891.4523818269</v>
      </c>
      <c r="K129" s="168">
        <f t="shared" si="8"/>
        <v>-6.106563089049568E-2</v>
      </c>
      <c r="L129" s="168">
        <f t="shared" si="11"/>
        <v>6.106563089049568E-2</v>
      </c>
      <c r="M129" s="169">
        <f t="shared" si="9"/>
        <v>6723086083834.7402</v>
      </c>
      <c r="N129" s="169">
        <f t="shared" si="12"/>
        <v>-531146.21649349481</v>
      </c>
      <c r="O129" s="169">
        <f t="shared" si="13"/>
        <v>282116303295.35443</v>
      </c>
      <c r="P129"/>
      <c r="Q129" s="147"/>
      <c r="R129"/>
    </row>
    <row r="130" spans="1:18" x14ac:dyDescent="0.25">
      <c r="A130" s="158">
        <v>45535</v>
      </c>
      <c r="B130" s="172">
        <f>Inputs!D151</f>
        <v>38718871.799999997</v>
      </c>
      <c r="C130" s="172">
        <v>7.0272727272727282</v>
      </c>
      <c r="D130" s="172">
        <v>87.863636363636374</v>
      </c>
      <c r="E130" s="159">
        <v>31</v>
      </c>
      <c r="F130" s="160">
        <v>0</v>
      </c>
      <c r="G130" s="172">
        <f>Inputs!G151+Inputs!I151+Inputs!L151+Inputs!X151</f>
        <v>26040</v>
      </c>
      <c r="H130" s="159">
        <v>0</v>
      </c>
      <c r="I130" s="159">
        <f t="shared" si="10"/>
        <v>38324980.841716059</v>
      </c>
      <c r="J130" s="9">
        <f t="shared" si="7"/>
        <v>-393890.95828393847</v>
      </c>
      <c r="K130" s="168">
        <f t="shared" si="8"/>
        <v>-1.0173100092341495E-2</v>
      </c>
      <c r="L130" s="168">
        <f t="shared" si="11"/>
        <v>1.0173100092341495E-2</v>
      </c>
      <c r="M130" s="169">
        <f t="shared" si="9"/>
        <v>155150087017.83936</v>
      </c>
      <c r="N130" s="169">
        <f t="shared" si="12"/>
        <v>2199000.4940978885</v>
      </c>
      <c r="O130" s="169">
        <f t="shared" si="13"/>
        <v>4835603173042.7578</v>
      </c>
      <c r="P130"/>
      <c r="Q130" s="147"/>
      <c r="R130"/>
    </row>
    <row r="131" spans="1:18" x14ac:dyDescent="0.25">
      <c r="A131" s="158">
        <v>45565</v>
      </c>
      <c r="B131" s="172">
        <f>Inputs!D152</f>
        <v>33712649.810000002</v>
      </c>
      <c r="C131" s="172">
        <v>51.009090909090908</v>
      </c>
      <c r="D131" s="172">
        <v>34.68181818181818</v>
      </c>
      <c r="E131" s="159">
        <v>30</v>
      </c>
      <c r="F131" s="160">
        <v>0</v>
      </c>
      <c r="G131" s="172">
        <f>Inputs!G152+Inputs!I152+Inputs!L152+Inputs!X152</f>
        <v>26099</v>
      </c>
      <c r="H131" s="159">
        <v>0</v>
      </c>
      <c r="I131" s="159">
        <f t="shared" si="10"/>
        <v>32574526.358703073</v>
      </c>
      <c r="J131" s="9">
        <f t="shared" ref="J131" si="14">I131-B131</f>
        <v>-1138123.4512969293</v>
      </c>
      <c r="K131" s="168">
        <f t="shared" ref="K131" si="15">J131/B131</f>
        <v>-3.3759537079145106E-2</v>
      </c>
      <c r="L131" s="168">
        <f t="shared" si="11"/>
        <v>3.3759537079145106E-2</v>
      </c>
      <c r="M131" s="169">
        <f t="shared" ref="M131:M139" si="16">J131*J131</f>
        <v>1295324990392.0337</v>
      </c>
      <c r="N131" s="169">
        <f t="shared" si="12"/>
        <v>-744232.4930129908</v>
      </c>
      <c r="O131" s="169">
        <f t="shared" si="13"/>
        <v>553882003656.33142</v>
      </c>
      <c r="P131"/>
      <c r="Q131" s="147"/>
      <c r="R131"/>
    </row>
    <row r="132" spans="1:18" x14ac:dyDescent="0.25">
      <c r="A132" s="158">
        <v>45596</v>
      </c>
      <c r="B132" s="159"/>
      <c r="C132" s="174">
        <v>212.45</v>
      </c>
      <c r="D132" s="174">
        <v>5.3</v>
      </c>
      <c r="E132" s="159">
        <v>31</v>
      </c>
      <c r="F132" s="160">
        <v>1</v>
      </c>
      <c r="G132" s="162">
        <f>'Rate Class Customer Model'!P20</f>
        <v>26066.474295718956</v>
      </c>
      <c r="H132" s="162">
        <v>0</v>
      </c>
      <c r="I132" s="159">
        <f t="shared" ref="I132:I146" si="17">$R$18+$R$19*C132+$R$20*D132+$R$21*E132+$R$22*F132+$R$23*G132+$R$24*H132</f>
        <v>30497368.766908493</v>
      </c>
      <c r="J132" s="9"/>
      <c r="K132" s="148" t="s">
        <v>53</v>
      </c>
      <c r="L132" s="168">
        <f>AVERAGE(L3:L131)</f>
        <v>4.0094721030582606E-2</v>
      </c>
      <c r="M132" s="33">
        <f>SUM(M3:M131)</f>
        <v>400161184647572.06</v>
      </c>
      <c r="N132" s="33"/>
      <c r="O132" s="33">
        <f>SUM(O3:O131)</f>
        <v>459783622149785.75</v>
      </c>
      <c r="P132"/>
      <c r="Q132" s="147"/>
      <c r="R132"/>
    </row>
    <row r="133" spans="1:18" x14ac:dyDescent="0.25">
      <c r="A133" s="158">
        <v>45626</v>
      </c>
      <c r="B133" s="159"/>
      <c r="C133" s="174">
        <v>408.5</v>
      </c>
      <c r="D133" s="174">
        <v>0.22999999999999998</v>
      </c>
      <c r="E133" s="159">
        <v>30</v>
      </c>
      <c r="F133" s="160">
        <v>1</v>
      </c>
      <c r="G133" s="162">
        <f>'Rate Class Customer Model'!P21</f>
        <v>26098.030827708426</v>
      </c>
      <c r="H133" s="162">
        <v>0</v>
      </c>
      <c r="I133" s="159">
        <f>$R$18+$R$19*C133+$R$20*D133+$R$21*E133+$R$22*F133+$R$23*G133+$R$24*H133</f>
        <v>30845823.206566859</v>
      </c>
      <c r="J133" s="9"/>
      <c r="K133" s="9"/>
      <c r="L133" s="9"/>
      <c r="M133"/>
      <c r="N133"/>
      <c r="O133"/>
      <c r="P133"/>
      <c r="Q133" s="147"/>
      <c r="R133"/>
    </row>
    <row r="134" spans="1:18" x14ac:dyDescent="0.25">
      <c r="A134" s="158">
        <v>45657</v>
      </c>
      <c r="B134" s="159"/>
      <c r="C134" s="174">
        <v>533.85000000000014</v>
      </c>
      <c r="D134" s="174">
        <v>0</v>
      </c>
      <c r="E134" s="159">
        <v>31</v>
      </c>
      <c r="F134" s="160">
        <v>1</v>
      </c>
      <c r="G134" s="162">
        <f>'Rate Class Customer Model'!P22</f>
        <v>26129.625562590238</v>
      </c>
      <c r="H134" s="162">
        <v>0</v>
      </c>
      <c r="I134" s="159">
        <f t="shared" si="17"/>
        <v>33406409.845276907</v>
      </c>
      <c r="J134" s="9"/>
      <c r="K134" s="9"/>
      <c r="L134" s="9"/>
      <c r="M134"/>
      <c r="N134"/>
      <c r="O134"/>
      <c r="P134"/>
      <c r="Q134" s="147"/>
      <c r="R134"/>
    </row>
    <row r="135" spans="1:18" x14ac:dyDescent="0.25">
      <c r="A135" s="158">
        <v>45688</v>
      </c>
      <c r="B135" s="159"/>
      <c r="C135" s="174">
        <v>672.12727272727273</v>
      </c>
      <c r="D135" s="174">
        <v>0</v>
      </c>
      <c r="E135" s="159">
        <v>31</v>
      </c>
      <c r="F135" s="160">
        <v>0</v>
      </c>
      <c r="G135" s="162">
        <f>'Rate Class Customer Model'!Q11</f>
        <v>26159.618734759606</v>
      </c>
      <c r="H135" s="162">
        <v>0</v>
      </c>
      <c r="I135" s="159">
        <f t="shared" si="17"/>
        <v>37098960.864463463</v>
      </c>
      <c r="J135" s="9"/>
      <c r="K135" s="9"/>
      <c r="L135" s="9"/>
      <c r="M135"/>
      <c r="N135"/>
      <c r="O135"/>
      <c r="P135"/>
      <c r="Q135" s="147"/>
      <c r="R135"/>
    </row>
    <row r="136" spans="1:18" x14ac:dyDescent="0.25">
      <c r="A136" s="158">
        <v>45716</v>
      </c>
      <c r="B136" s="159"/>
      <c r="C136" s="174">
        <v>607.14545454545453</v>
      </c>
      <c r="D136" s="174">
        <v>0</v>
      </c>
      <c r="E136" s="159">
        <v>28</v>
      </c>
      <c r="F136" s="160">
        <v>0</v>
      </c>
      <c r="G136" s="162">
        <f>'Rate Class Customer Model'!Q12</f>
        <v>26189.646334914734</v>
      </c>
      <c r="H136" s="162">
        <v>0</v>
      </c>
      <c r="I136" s="159">
        <f t="shared" si="17"/>
        <v>32697319.185023461</v>
      </c>
      <c r="J136" s="9"/>
      <c r="K136" s="9"/>
      <c r="L136" s="9"/>
      <c r="M136"/>
      <c r="N136"/>
      <c r="O136"/>
      <c r="P136"/>
      <c r="Q136" s="147"/>
      <c r="R136"/>
    </row>
    <row r="137" spans="1:18" x14ac:dyDescent="0.25">
      <c r="A137" s="158">
        <v>45747</v>
      </c>
      <c r="B137" s="159"/>
      <c r="C137" s="174">
        <v>529.88181818181829</v>
      </c>
      <c r="D137" s="174">
        <v>0</v>
      </c>
      <c r="E137" s="159">
        <v>31</v>
      </c>
      <c r="F137" s="160">
        <v>1</v>
      </c>
      <c r="G137" s="162">
        <f>'Rate Class Customer Model'!Q13</f>
        <v>26219.708402574157</v>
      </c>
      <c r="H137" s="162">
        <v>0</v>
      </c>
      <c r="I137" s="159">
        <f t="shared" si="17"/>
        <v>33430974.922803905</v>
      </c>
      <c r="J137" s="9"/>
      <c r="K137" s="9"/>
      <c r="L137" s="9"/>
      <c r="M137"/>
      <c r="N137"/>
      <c r="O137"/>
      <c r="P137"/>
      <c r="Q137" s="147"/>
      <c r="R137"/>
    </row>
    <row r="138" spans="1:18" x14ac:dyDescent="0.25">
      <c r="A138" s="158">
        <v>45777</v>
      </c>
      <c r="B138" s="159"/>
      <c r="C138" s="174">
        <v>327.50000000000006</v>
      </c>
      <c r="D138" s="174">
        <v>4.5454545454545456E-2</v>
      </c>
      <c r="E138" s="159">
        <v>30</v>
      </c>
      <c r="F138" s="160">
        <v>1</v>
      </c>
      <c r="G138" s="162">
        <f>'Rate Class Customer Model'!Q14</f>
        <v>26249.80497730177</v>
      </c>
      <c r="H138" s="162">
        <v>0</v>
      </c>
      <c r="I138" s="159">
        <f t="shared" si="17"/>
        <v>30092572.761438679</v>
      </c>
      <c r="J138" s="9"/>
      <c r="K138" s="9"/>
      <c r="L138" s="9"/>
      <c r="M138"/>
      <c r="N138"/>
      <c r="O138"/>
      <c r="P138"/>
      <c r="Q138" s="147"/>
      <c r="R138"/>
    </row>
    <row r="139" spans="1:18" x14ac:dyDescent="0.25">
      <c r="A139" s="158">
        <v>45808</v>
      </c>
      <c r="B139" s="159"/>
      <c r="C139" s="174">
        <v>141.14545454545456</v>
      </c>
      <c r="D139" s="174">
        <v>16.963636363636365</v>
      </c>
      <c r="E139" s="159">
        <v>31</v>
      </c>
      <c r="F139" s="160">
        <v>1</v>
      </c>
      <c r="G139" s="162">
        <f>'Rate Class Customer Model'!Q15</f>
        <v>26279.936098706883</v>
      </c>
      <c r="H139" s="162">
        <v>0</v>
      </c>
      <c r="I139" s="159">
        <f t="shared" si="17"/>
        <v>31005978.521046773</v>
      </c>
      <c r="J139" s="9"/>
      <c r="K139" s="9"/>
      <c r="L139" s="9"/>
      <c r="M139"/>
      <c r="N139"/>
      <c r="O139"/>
      <c r="P139"/>
      <c r="Q139" s="147"/>
      <c r="R139"/>
    </row>
    <row r="140" spans="1:18" x14ac:dyDescent="0.25">
      <c r="A140" s="158">
        <v>45838</v>
      </c>
      <c r="B140" s="159"/>
      <c r="C140" s="174">
        <v>28.127272727272725</v>
      </c>
      <c r="D140" s="174">
        <v>55.209090909090904</v>
      </c>
      <c r="E140" s="159">
        <v>30</v>
      </c>
      <c r="F140" s="160">
        <v>0</v>
      </c>
      <c r="G140" s="162">
        <f>'Rate Class Customer Model'!Q16</f>
        <v>26310.101806444272</v>
      </c>
      <c r="H140" s="162">
        <v>0</v>
      </c>
      <c r="I140" s="159">
        <f t="shared" si="17"/>
        <v>34422158.036986992</v>
      </c>
      <c r="J140" s="9"/>
      <c r="K140" s="9"/>
      <c r="L140" s="9"/>
      <c r="M140"/>
      <c r="N140"/>
      <c r="O140"/>
      <c r="P140"/>
      <c r="Q140" s="147"/>
      <c r="R140"/>
    </row>
    <row r="141" spans="1:18" x14ac:dyDescent="0.25">
      <c r="A141" s="158">
        <v>45869</v>
      </c>
      <c r="B141" s="159"/>
      <c r="C141" s="174">
        <v>2.9545454545454546</v>
      </c>
      <c r="D141" s="174">
        <v>105.68181818181816</v>
      </c>
      <c r="E141" s="159">
        <v>31</v>
      </c>
      <c r="F141" s="160">
        <v>0</v>
      </c>
      <c r="G141" s="162">
        <f>'Rate Class Customer Model'!Q17</f>
        <v>26340.302140214233</v>
      </c>
      <c r="H141" s="162">
        <v>0</v>
      </c>
      <c r="I141" s="159">
        <f t="shared" si="17"/>
        <v>40179769.195004448</v>
      </c>
      <c r="J141" s="9"/>
      <c r="K141" s="9"/>
      <c r="L141" s="9"/>
      <c r="M141"/>
      <c r="N141"/>
      <c r="O141"/>
      <c r="P141"/>
      <c r="Q141" s="147"/>
      <c r="R141"/>
    </row>
    <row r="142" spans="1:18" x14ac:dyDescent="0.25">
      <c r="A142" s="158">
        <v>45900</v>
      </c>
      <c r="B142" s="159"/>
      <c r="C142" s="174">
        <v>7.0272727272727282</v>
      </c>
      <c r="D142" s="174">
        <v>87.863636363636374</v>
      </c>
      <c r="E142" s="159">
        <v>31</v>
      </c>
      <c r="F142" s="160">
        <v>0</v>
      </c>
      <c r="G142" s="162">
        <f>'Rate Class Customer Model'!Q18</f>
        <v>26370.537139762626</v>
      </c>
      <c r="H142" s="162">
        <v>0</v>
      </c>
      <c r="I142" s="159">
        <f t="shared" si="17"/>
        <v>38567405.327273041</v>
      </c>
      <c r="J142" s="9"/>
      <c r="K142" s="9"/>
      <c r="L142" s="9"/>
      <c r="M142"/>
      <c r="N142"/>
      <c r="O142"/>
      <c r="P142"/>
      <c r="Q142" s="147"/>
      <c r="R142"/>
    </row>
    <row r="143" spans="1:18" x14ac:dyDescent="0.25">
      <c r="A143" s="158">
        <v>45930</v>
      </c>
      <c r="B143" s="159"/>
      <c r="C143" s="174">
        <v>51.009090909090908</v>
      </c>
      <c r="D143" s="174">
        <v>34.68181818181818</v>
      </c>
      <c r="E143" s="159">
        <v>30</v>
      </c>
      <c r="F143" s="160">
        <v>0</v>
      </c>
      <c r="G143" s="162">
        <f>'Rate Class Customer Model'!Q19</f>
        <v>26400.806844880943</v>
      </c>
      <c r="H143" s="162">
        <v>0</v>
      </c>
      <c r="I143" s="159">
        <f t="shared" si="17"/>
        <v>32795879.303066242</v>
      </c>
      <c r="J143" s="9"/>
      <c r="K143" s="9"/>
      <c r="L143" s="9"/>
      <c r="M143"/>
      <c r="N143"/>
      <c r="O143"/>
      <c r="P143"/>
      <c r="Q143" s="147"/>
      <c r="R143"/>
    </row>
    <row r="144" spans="1:18" x14ac:dyDescent="0.25">
      <c r="A144" s="158">
        <v>45961</v>
      </c>
      <c r="B144" s="159"/>
      <c r="C144" s="174">
        <v>212.45</v>
      </c>
      <c r="D144" s="174">
        <v>5.3</v>
      </c>
      <c r="E144" s="159">
        <v>31</v>
      </c>
      <c r="F144" s="160">
        <v>1</v>
      </c>
      <c r="G144" s="162">
        <f>'Rate Class Customer Model'!Q20</f>
        <v>26431.111295406343</v>
      </c>
      <c r="H144" s="162">
        <v>0</v>
      </c>
      <c r="I144" s="159">
        <f>$R$18+$R$19*C144+$R$20*D144+$R$21*E144+$R$22*F144+$R$23*G144+$R$24*H144</f>
        <v>30764802.971511755</v>
      </c>
      <c r="J144" s="9"/>
      <c r="K144" s="9"/>
      <c r="L144" s="9"/>
      <c r="M144"/>
      <c r="N144"/>
      <c r="O144"/>
      <c r="P144"/>
      <c r="Q144" s="147"/>
      <c r="R144"/>
    </row>
    <row r="145" spans="1:19" x14ac:dyDescent="0.25">
      <c r="A145" s="158">
        <v>45991</v>
      </c>
      <c r="B145" s="159"/>
      <c r="C145" s="174">
        <v>408.5</v>
      </c>
      <c r="D145" s="174">
        <v>0.22999999999999998</v>
      </c>
      <c r="E145" s="159">
        <v>30</v>
      </c>
      <c r="F145" s="160">
        <v>1</v>
      </c>
      <c r="G145" s="162">
        <f>'Rate Class Customer Model'!Q21</f>
        <v>26461.450531221715</v>
      </c>
      <c r="H145" s="162">
        <v>0</v>
      </c>
      <c r="I145" s="159">
        <f t="shared" si="17"/>
        <v>31112364.614678361</v>
      </c>
      <c r="J145" s="9"/>
      <c r="K145" s="9"/>
      <c r="L145" s="9"/>
      <c r="Q145" s="147"/>
      <c r="R145"/>
    </row>
    <row r="146" spans="1:19" x14ac:dyDescent="0.25">
      <c r="A146" s="158">
        <v>46022</v>
      </c>
      <c r="B146" s="159"/>
      <c r="C146" s="174">
        <v>533.85000000000014</v>
      </c>
      <c r="D146" s="174">
        <v>0</v>
      </c>
      <c r="E146" s="159">
        <v>31</v>
      </c>
      <c r="F146" s="160">
        <v>1</v>
      </c>
      <c r="G146" s="162">
        <f>'Rate Class Customer Model'!Q22</f>
        <v>26491.824592255733</v>
      </c>
      <c r="H146" s="162">
        <v>0</v>
      </c>
      <c r="I146" s="159">
        <f t="shared" si="17"/>
        <v>33672055.979623422</v>
      </c>
      <c r="J146" s="9"/>
      <c r="K146" s="9"/>
      <c r="L146" s="9"/>
      <c r="Q146" s="147"/>
      <c r="R146"/>
    </row>
    <row r="147" spans="1:19" x14ac:dyDescent="0.25">
      <c r="A147" s="31"/>
      <c r="E147" s="9"/>
      <c r="F147" s="51"/>
      <c r="R147"/>
    </row>
    <row r="148" spans="1:19" x14ac:dyDescent="0.25">
      <c r="A148" s="31"/>
      <c r="E148" s="9"/>
      <c r="F148" s="51"/>
      <c r="R148"/>
    </row>
    <row r="149" spans="1:19" x14ac:dyDescent="0.25">
      <c r="A149" s="31"/>
      <c r="C149" s="107" t="s">
        <v>89</v>
      </c>
      <c r="D149" s="105"/>
      <c r="E149" s="9"/>
      <c r="F149" s="51"/>
      <c r="R149"/>
    </row>
    <row r="150" spans="1:19" x14ac:dyDescent="0.25">
      <c r="A150" s="31"/>
      <c r="C150" s="108" t="s">
        <v>90</v>
      </c>
      <c r="D150" s="106"/>
      <c r="E150" s="9"/>
      <c r="F150" s="51"/>
      <c r="I150" s="30">
        <f>SUM(I2:I146)</f>
        <v>4624320331.5276461</v>
      </c>
      <c r="J150" s="30"/>
      <c r="K150" s="30"/>
      <c r="L150" s="30"/>
      <c r="R150"/>
    </row>
    <row r="151" spans="1:19" x14ac:dyDescent="0.25">
      <c r="A151" s="31"/>
      <c r="E151" s="9"/>
      <c r="F151" s="51"/>
      <c r="J151" s="46" t="s">
        <v>125</v>
      </c>
      <c r="K151" s="149" t="s">
        <v>124</v>
      </c>
      <c r="Q151" s="39"/>
      <c r="R151" s="25"/>
    </row>
    <row r="152" spans="1:19" x14ac:dyDescent="0.25">
      <c r="A152" s="25">
        <v>2014</v>
      </c>
      <c r="B152" s="6">
        <f>SUM(B3:B14)</f>
        <v>371282805.30290043</v>
      </c>
      <c r="C152" s="164"/>
      <c r="I152" s="6">
        <f>SUM(I3:I14)</f>
        <v>371119238.9288047</v>
      </c>
      <c r="J152" s="6">
        <f>'Power Purchased Model'!I152</f>
        <v>367760519.61482519</v>
      </c>
      <c r="K152" s="151">
        <f>I152/J152</f>
        <v>1.009132897999756</v>
      </c>
      <c r="L152" s="6"/>
      <c r="M152" s="5"/>
      <c r="N152" s="5"/>
      <c r="O152" s="5"/>
      <c r="P152" s="32"/>
      <c r="Q152" s="151"/>
      <c r="R152"/>
      <c r="S152" s="152"/>
    </row>
    <row r="153" spans="1:19" x14ac:dyDescent="0.25">
      <c r="A153" s="25">
        <v>2015</v>
      </c>
      <c r="B153" s="6">
        <f>SUM(B15:B26)</f>
        <v>372381250.86169994</v>
      </c>
      <c r="C153" s="164"/>
      <c r="I153" s="6">
        <f>SUM(I15:I26)</f>
        <v>372730575.54033101</v>
      </c>
      <c r="J153" s="6">
        <f>'Power Purchased Model'!I153</f>
        <v>370630784.63269252</v>
      </c>
      <c r="K153" s="151">
        <f t="shared" ref="K153:K163" si="18">I153/J153</f>
        <v>1.0056654519664885</v>
      </c>
      <c r="L153" s="6"/>
      <c r="M153" s="5"/>
      <c r="N153" s="5"/>
      <c r="O153" s="5"/>
      <c r="P153" s="32"/>
      <c r="Q153" s="151"/>
      <c r="R153"/>
      <c r="S153" s="152"/>
    </row>
    <row r="154" spans="1:19" x14ac:dyDescent="0.25">
      <c r="A154" s="25">
        <v>2016</v>
      </c>
      <c r="B154" s="6">
        <f>SUM(B27:B38)</f>
        <v>380022205.18436003</v>
      </c>
      <c r="C154" s="164"/>
      <c r="I154" s="6">
        <f>SUM(I27:I38)</f>
        <v>375639053.9756726</v>
      </c>
      <c r="J154" s="6">
        <f>'Power Purchased Model'!I154</f>
        <v>385511612.33985615</v>
      </c>
      <c r="K154" s="151">
        <f t="shared" si="18"/>
        <v>0.97439102209071671</v>
      </c>
      <c r="L154" s="6"/>
      <c r="M154" s="5"/>
      <c r="N154" s="5"/>
      <c r="O154" s="5"/>
      <c r="P154" s="32"/>
      <c r="Q154" s="151"/>
      <c r="R154"/>
      <c r="S154" s="152"/>
    </row>
    <row r="155" spans="1:19" x14ac:dyDescent="0.25">
      <c r="A155" s="25">
        <v>2017</v>
      </c>
      <c r="B155" s="6">
        <f>SUM(B39:B50)</f>
        <v>368596644.64483672</v>
      </c>
      <c r="C155" s="164"/>
      <c r="I155" s="6">
        <f>SUM(I39:I50)</f>
        <v>376019990.51652354</v>
      </c>
      <c r="J155" s="6">
        <f>'Power Purchased Model'!I155</f>
        <v>370710251.6875124</v>
      </c>
      <c r="K155" s="151">
        <f t="shared" si="18"/>
        <v>1.0143231507756816</v>
      </c>
      <c r="L155" s="6"/>
      <c r="M155" s="5"/>
      <c r="N155" s="5"/>
      <c r="O155" s="5"/>
      <c r="P155" s="32"/>
      <c r="Q155" s="151"/>
      <c r="R155"/>
      <c r="S155" s="152"/>
    </row>
    <row r="156" spans="1:19" x14ac:dyDescent="0.25">
      <c r="A156" s="25">
        <v>2018</v>
      </c>
      <c r="B156" s="6">
        <f>SUM(B51:B62)</f>
        <v>393889926.42846549</v>
      </c>
      <c r="C156" s="164"/>
      <c r="I156" s="6">
        <f>SUM(I51:I62)</f>
        <v>378373554.09703678</v>
      </c>
      <c r="J156" s="6">
        <f>'Power Purchased Model'!I156</f>
        <v>388357252.7349661</v>
      </c>
      <c r="K156" s="151">
        <f t="shared" si="18"/>
        <v>0.9742924882498778</v>
      </c>
      <c r="L156" s="6"/>
      <c r="M156" s="5"/>
      <c r="N156" s="5"/>
      <c r="O156" s="5"/>
      <c r="P156" s="32"/>
      <c r="Q156" s="151"/>
      <c r="R156"/>
      <c r="S156" s="152"/>
    </row>
    <row r="157" spans="1:19" x14ac:dyDescent="0.25">
      <c r="A157" s="25">
        <v>2019</v>
      </c>
      <c r="B157" s="6">
        <f>SUM(B63:B74)</f>
        <v>384791777.21642524</v>
      </c>
      <c r="C157" s="164"/>
      <c r="I157" s="6">
        <f>SUM(I63:I74)</f>
        <v>381356397.0643</v>
      </c>
      <c r="J157" s="6">
        <f>'Power Purchased Model'!I157</f>
        <v>380286738.37229729</v>
      </c>
      <c r="K157" s="151">
        <f t="shared" si="18"/>
        <v>1.0028127688506339</v>
      </c>
      <c r="L157" s="6"/>
      <c r="M157" s="5"/>
      <c r="N157" s="5"/>
      <c r="O157" s="5"/>
      <c r="P157" s="32"/>
      <c r="Q157" s="151"/>
      <c r="R157"/>
      <c r="S157" s="152"/>
    </row>
    <row r="158" spans="1:19" x14ac:dyDescent="0.25">
      <c r="A158" s="25">
        <v>2020</v>
      </c>
      <c r="B158" s="6">
        <f>SUM(B75:B86)</f>
        <v>380093690.36809278</v>
      </c>
      <c r="C158" s="164"/>
      <c r="I158" s="6">
        <f>SUM(I75:I86)</f>
        <v>380607200.3075645</v>
      </c>
      <c r="J158" s="6">
        <f>'Power Purchased Model'!I158</f>
        <v>382550263.53179228</v>
      </c>
      <c r="K158" s="151">
        <f t="shared" si="18"/>
        <v>0.99492076359773229</v>
      </c>
      <c r="L158" s="6"/>
      <c r="M158" s="5"/>
      <c r="N158" s="5"/>
      <c r="O158" s="5"/>
      <c r="P158" s="32"/>
      <c r="Q158" s="151"/>
      <c r="R158"/>
      <c r="S158" s="152"/>
    </row>
    <row r="159" spans="1:19" x14ac:dyDescent="0.25">
      <c r="A159" s="25">
        <v>2021</v>
      </c>
      <c r="B159" s="6">
        <f>SUM(B87:B98)</f>
        <v>383895272.72321349</v>
      </c>
      <c r="C159" s="164"/>
      <c r="I159" s="6">
        <f>SUM(I87:I98)</f>
        <v>388647383.5254662</v>
      </c>
      <c r="J159" s="6">
        <f>'Power Purchased Model'!I159</f>
        <v>389918999.62822038</v>
      </c>
      <c r="K159" s="151">
        <f t="shared" si="18"/>
        <v>0.99673876855458021</v>
      </c>
      <c r="L159" s="6"/>
      <c r="M159" s="5"/>
      <c r="N159" s="5"/>
      <c r="O159" s="5"/>
      <c r="P159" s="32"/>
      <c r="Q159" s="151"/>
      <c r="R159"/>
      <c r="S159" s="152"/>
    </row>
    <row r="160" spans="1:19" x14ac:dyDescent="0.25">
      <c r="A160" s="25">
        <v>2022</v>
      </c>
      <c r="B160" s="6">
        <f>SUM(B99:B110)</f>
        <v>392612235.87385601</v>
      </c>
      <c r="C160" s="164"/>
      <c r="I160" s="6">
        <f>SUM(I99:I110)</f>
        <v>392642354.17771173</v>
      </c>
      <c r="J160" s="6">
        <f>'Power Purchased Model'!I160</f>
        <v>393782446.20711488</v>
      </c>
      <c r="K160" s="151">
        <f t="shared" si="18"/>
        <v>0.99710476675538884</v>
      </c>
      <c r="L160" s="6"/>
      <c r="M160" s="5"/>
      <c r="N160" s="5"/>
      <c r="O160" s="5"/>
      <c r="P160" s="32"/>
      <c r="Q160" s="151"/>
      <c r="R160"/>
      <c r="S160" s="152"/>
    </row>
    <row r="161" spans="1:20" x14ac:dyDescent="0.25">
      <c r="A161" s="25">
        <v>2023</v>
      </c>
      <c r="B161" s="6">
        <f>SUM(B111:B122)</f>
        <v>386633787.62211913</v>
      </c>
      <c r="C161" s="164"/>
      <c r="I161" s="6">
        <f>SUM(I111:I122)</f>
        <v>397675122.41999346</v>
      </c>
      <c r="J161" s="6">
        <f>'Power Purchased Model'!I161</f>
        <v>387860754.27580702</v>
      </c>
      <c r="K161" s="151">
        <f t="shared" si="18"/>
        <v>1.0253038443203961</v>
      </c>
      <c r="L161" s="6"/>
      <c r="M161" s="5"/>
      <c r="N161" s="5"/>
      <c r="O161" s="5"/>
      <c r="P161" s="32"/>
      <c r="Q161" s="151"/>
      <c r="R161"/>
      <c r="S161" s="152"/>
    </row>
    <row r="162" spans="1:20" x14ac:dyDescent="0.25">
      <c r="A162" s="25">
        <v>2024</v>
      </c>
      <c r="B162" s="6">
        <f>SUM(B123:B131,I132:I134)</f>
        <v>404280493.61875224</v>
      </c>
      <c r="I162" s="14">
        <f>SUM(I123:I134)</f>
        <v>403669219.29131866</v>
      </c>
      <c r="J162" s="6">
        <f>'Power Purchased Model'!I162</f>
        <v>401110466.81963873</v>
      </c>
      <c r="K162" s="151">
        <f t="shared" si="18"/>
        <v>1.0063791715333883</v>
      </c>
      <c r="L162" s="6"/>
      <c r="M162" s="5"/>
      <c r="N162" s="5"/>
      <c r="O162" s="5"/>
      <c r="P162" s="32"/>
      <c r="Q162" s="151"/>
      <c r="R162"/>
      <c r="S162" s="152"/>
    </row>
    <row r="163" spans="1:20" x14ac:dyDescent="0.25">
      <c r="A163" s="25">
        <v>2025</v>
      </c>
      <c r="I163" s="14">
        <f>SUM(I135:I146)</f>
        <v>405840241.68292063</v>
      </c>
      <c r="J163" s="6">
        <f>'Power Purchased Model'!I163</f>
        <v>405840241.68292063</v>
      </c>
      <c r="K163" s="151">
        <f t="shared" si="18"/>
        <v>1</v>
      </c>
      <c r="L163" s="6"/>
      <c r="M163" s="5"/>
      <c r="N163" s="5"/>
      <c r="O163" s="5"/>
      <c r="P163" s="32"/>
      <c r="Q163" s="151"/>
      <c r="R163"/>
      <c r="S163" s="152"/>
      <c r="T163" s="34"/>
    </row>
    <row r="164" spans="1:20" x14ac:dyDescent="0.25">
      <c r="I164" s="6"/>
      <c r="J164" s="6"/>
      <c r="K164" s="6"/>
      <c r="L164" s="6"/>
      <c r="R164"/>
      <c r="S164" s="152"/>
      <c r="T164" s="34"/>
    </row>
    <row r="165" spans="1:20" x14ac:dyDescent="0.25">
      <c r="A165" s="39" t="s">
        <v>7</v>
      </c>
      <c r="B165" s="6">
        <f>SUM(B152:B162)</f>
        <v>4218480089.8447218</v>
      </c>
      <c r="I165" s="6">
        <f>SUM(I152:I162)</f>
        <v>4218480089.8447227</v>
      </c>
      <c r="J165" s="6">
        <f>I165-B165</f>
        <v>0</v>
      </c>
      <c r="K165" s="6"/>
      <c r="L165" s="6"/>
      <c r="R165" s="5"/>
      <c r="S165" s="6"/>
      <c r="T165" s="34"/>
    </row>
    <row r="166" spans="1:20" x14ac:dyDescent="0.25">
      <c r="Q166" s="6"/>
      <c r="R166" s="5"/>
      <c r="S166" s="6"/>
      <c r="T166" s="34"/>
    </row>
    <row r="167" spans="1:20" x14ac:dyDescent="0.25">
      <c r="I167" s="6">
        <f>SUM(I152:I163)</f>
        <v>4624320331.5276432</v>
      </c>
      <c r="J167" s="6"/>
      <c r="K167" s="6"/>
      <c r="L167" s="6"/>
      <c r="R167" s="5"/>
      <c r="S167" s="6"/>
      <c r="T167" s="34"/>
    </row>
    <row r="168" spans="1:20" x14ac:dyDescent="0.25">
      <c r="I168" s="196"/>
      <c r="J168" s="196"/>
      <c r="K168" s="196"/>
      <c r="L168" s="196"/>
      <c r="M168"/>
      <c r="N168"/>
      <c r="O168"/>
      <c r="P168"/>
      <c r="Q168"/>
      <c r="R168" s="5"/>
      <c r="S168" s="6"/>
      <c r="T168" s="34"/>
    </row>
    <row r="169" spans="1:20" x14ac:dyDescent="0.25">
      <c r="R169" s="6"/>
      <c r="S169" s="6"/>
      <c r="T169" s="34"/>
    </row>
    <row r="170" spans="1:20" x14ac:dyDescent="0.25">
      <c r="R170" s="6"/>
      <c r="S170" s="6"/>
      <c r="T170" s="34"/>
    </row>
    <row r="171" spans="1:20" x14ac:dyDescent="0.25">
      <c r="A171"/>
      <c r="B171"/>
      <c r="C171"/>
      <c r="D171"/>
      <c r="E171"/>
      <c r="G171"/>
      <c r="H171"/>
      <c r="I171"/>
      <c r="J171"/>
      <c r="K171"/>
      <c r="L171"/>
    </row>
    <row r="172" spans="1:20" x14ac:dyDescent="0.25">
      <c r="A172"/>
      <c r="B172"/>
      <c r="C172"/>
      <c r="D172"/>
      <c r="E172"/>
      <c r="G172"/>
      <c r="H172"/>
      <c r="I172"/>
      <c r="J172"/>
      <c r="K172"/>
      <c r="L172"/>
    </row>
    <row r="173" spans="1:20" x14ac:dyDescent="0.25">
      <c r="A173"/>
      <c r="B173"/>
      <c r="C173"/>
      <c r="D173"/>
      <c r="E173"/>
      <c r="G173"/>
      <c r="H173"/>
      <c r="I173"/>
      <c r="J173"/>
      <c r="K173"/>
      <c r="L173"/>
    </row>
    <row r="174" spans="1:20" x14ac:dyDescent="0.25">
      <c r="A174"/>
      <c r="C174" s="153"/>
      <c r="D174" s="153"/>
      <c r="F174" s="153"/>
      <c r="M174"/>
      <c r="N174"/>
      <c r="O174"/>
      <c r="P174"/>
      <c r="Q174"/>
      <c r="R174"/>
    </row>
  </sheetData>
  <mergeCells count="1">
    <mergeCell ref="I168:L168"/>
  </mergeCells>
  <printOptions gridLines="1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4"/>
  <sheetViews>
    <sheetView topLeftCell="A9" zoomScale="85" zoomScaleNormal="85" workbookViewId="0">
      <selection activeCell="H32" sqref="H32:M33"/>
    </sheetView>
    <sheetView tabSelected="1" workbookViewId="1"/>
  </sheetViews>
  <sheetFormatPr defaultRowHeight="13.2" x14ac:dyDescent="0.25"/>
  <cols>
    <col min="1" max="1" width="21.5546875" customWidth="1"/>
    <col min="2" max="5" width="18" style="1" customWidth="1"/>
    <col min="6" max="6" width="15.5546875" style="1" customWidth="1"/>
    <col min="7" max="7" width="15.5546875" style="6" customWidth="1"/>
    <col min="8" max="8" width="15" style="6" customWidth="1"/>
    <col min="9" max="9" width="14.109375" style="6" bestFit="1" customWidth="1"/>
    <col min="10" max="10" width="15.44140625" style="6" customWidth="1"/>
    <col min="11" max="11" width="11.44140625" style="6" customWidth="1"/>
    <col min="12" max="12" width="12.44140625" style="6" customWidth="1"/>
    <col min="13" max="13" width="16.88671875" style="6" bestFit="1" customWidth="1"/>
    <col min="14" max="14" width="16.88671875" style="6" customWidth="1"/>
    <col min="15" max="16" width="16.88671875" customWidth="1"/>
    <col min="17" max="17" width="14.44140625" customWidth="1"/>
    <col min="18" max="18" width="12.5546875" bestFit="1" customWidth="1"/>
    <col min="19" max="19" width="11.5546875" bestFit="1" customWidth="1"/>
    <col min="20" max="20" width="14" customWidth="1"/>
    <col min="21" max="21" width="10.109375" bestFit="1" customWidth="1"/>
    <col min="22" max="22" width="12.5546875" style="6" bestFit="1" customWidth="1"/>
  </cols>
  <sheetData>
    <row r="2" spans="1:22" s="143" customFormat="1" ht="26.4" x14ac:dyDescent="0.25">
      <c r="B2" s="144" t="s">
        <v>4</v>
      </c>
      <c r="C2" s="144" t="s">
        <v>5</v>
      </c>
      <c r="D2" s="144" t="s">
        <v>30</v>
      </c>
      <c r="E2" s="144" t="s">
        <v>6</v>
      </c>
      <c r="F2" s="144" t="s">
        <v>0</v>
      </c>
      <c r="G2" s="8" t="s">
        <v>1</v>
      </c>
      <c r="H2" s="145" t="str">
        <f>Inputs!B4</f>
        <v>Residential</v>
      </c>
      <c r="I2" s="145" t="str">
        <f>Inputs!C4</f>
        <v>General Service &lt; 50 kW</v>
      </c>
      <c r="J2" s="145" t="str">
        <f>Inputs!D4</f>
        <v>General Service &gt; 50 to 4999 kW</v>
      </c>
      <c r="K2" s="145" t="str">
        <f>Inputs!E4</f>
        <v xml:space="preserve">Sentinel </v>
      </c>
      <c r="L2" s="145" t="str">
        <f>Inputs!F4</f>
        <v xml:space="preserve">Street Lighting </v>
      </c>
      <c r="M2" s="145" t="str">
        <f>Inputs!G4</f>
        <v>USL</v>
      </c>
      <c r="N2" s="145" t="str">
        <f>Inputs!H4</f>
        <v>Large User</v>
      </c>
      <c r="V2" s="20"/>
    </row>
    <row r="3" spans="1:22" x14ac:dyDescent="0.25">
      <c r="A3">
        <v>2014</v>
      </c>
      <c r="B3" s="52">
        <f>+'Power Purchased Model'!B152</f>
        <v>371282805.30290043</v>
      </c>
      <c r="C3" s="52">
        <f>+'Power Purchased Model'!I152</f>
        <v>367760519.61482519</v>
      </c>
      <c r="D3" s="22">
        <f>C3-B3</f>
        <v>-3522285.6880752444</v>
      </c>
      <c r="E3" s="5">
        <f>D3/B3</f>
        <v>-9.48679992115899E-3</v>
      </c>
      <c r="F3" s="16">
        <f>1 +(B3-G3)/G3</f>
        <v>1.0298589356968197</v>
      </c>
      <c r="G3" s="6">
        <f>SUM(H3:N3)</f>
        <v>360518118</v>
      </c>
      <c r="H3" s="36">
        <f>SUMIF(Inputs!A$24:A$143,'Rate Class Energy Model'!A3,Inputs!F$24:F$143)</f>
        <v>158185053</v>
      </c>
      <c r="I3" s="36">
        <f>SUMIF(Inputs!A$24:A$143,'Rate Class Energy Model'!A3,Inputs!H$24:H$143)</f>
        <v>53903009</v>
      </c>
      <c r="J3" s="36">
        <f>SUMIF(Inputs!A$24:A$143,'Rate Class Energy Model'!A3,Inputs!J$24:J$143)</f>
        <v>144192534</v>
      </c>
      <c r="K3" s="36">
        <f>SUMIF(Inputs!A$24:A$143,'Rate Class Energy Model'!A3,Inputs!M$24:M$143)</f>
        <v>767199</v>
      </c>
      <c r="L3" s="36">
        <f>SUMIF(Inputs!A$24:A$143,'Rate Class Energy Model'!A3,Inputs!P$24:P$143)</f>
        <v>2503378</v>
      </c>
      <c r="M3" s="36">
        <f>SUMIF(Inputs!A$24:A$143,'Rate Class Energy Model'!A3,Inputs!S$24:S$143)</f>
        <v>966945</v>
      </c>
      <c r="N3" s="36">
        <f>SUMIF(Inputs!A$24:A$143,'Rate Class Energy Model'!A3,Inputs!V$24:V$143)</f>
        <v>0</v>
      </c>
    </row>
    <row r="4" spans="1:22" x14ac:dyDescent="0.25">
      <c r="A4">
        <v>2015</v>
      </c>
      <c r="B4" s="52">
        <f>+'Power Purchased Model'!B153</f>
        <v>372381250.86169994</v>
      </c>
      <c r="C4" s="52">
        <f>+'Power Purchased Model'!I153</f>
        <v>370630784.63269252</v>
      </c>
      <c r="D4" s="22">
        <f t="shared" ref="D4:D11" si="0">C4-B4</f>
        <v>-1750466.2290074229</v>
      </c>
      <c r="E4" s="5">
        <f t="shared" ref="E4:E12" si="1">D4/B4</f>
        <v>-4.7007367448194514E-3</v>
      </c>
      <c r="F4" s="16">
        <f>1 +(B4-G4)/G4</f>
        <v>1.0457445685772919</v>
      </c>
      <c r="G4" s="6">
        <f t="shared" ref="G4:G10" si="2">SUM(H4:N4)</f>
        <v>356091977</v>
      </c>
      <c r="H4" s="36">
        <f>SUMIF(Inputs!A$24:A$143,'Rate Class Energy Model'!A4,Inputs!F$24:F$143)</f>
        <v>157973719</v>
      </c>
      <c r="I4" s="36">
        <f>SUMIF(Inputs!A$24:A$143,'Rate Class Energy Model'!A4,Inputs!H$24:H$143)</f>
        <v>54312604</v>
      </c>
      <c r="J4" s="36">
        <f>SUMIF(Inputs!A$24:A$143,'Rate Class Energy Model'!A4,Inputs!J$24:J$143)</f>
        <v>139796962</v>
      </c>
      <c r="K4" s="36">
        <f>SUMIF(Inputs!A$24:A$143,'Rate Class Energy Model'!A4,Inputs!M$24:M$143)</f>
        <v>753964</v>
      </c>
      <c r="L4" s="36">
        <f>SUMIF(Inputs!A$24:A$143,'Rate Class Energy Model'!A4,Inputs!P$24:P$143)</f>
        <v>2284687</v>
      </c>
      <c r="M4" s="36">
        <f>SUMIF(Inputs!A$24:A$143,'Rate Class Energy Model'!A4,Inputs!S$24:S$143)</f>
        <v>970041</v>
      </c>
      <c r="N4" s="36">
        <f>SUMIF(Inputs!A$24:A$143,'Rate Class Energy Model'!A4,Inputs!V$24:V$143)</f>
        <v>0</v>
      </c>
    </row>
    <row r="5" spans="1:22" x14ac:dyDescent="0.25">
      <c r="A5">
        <v>2016</v>
      </c>
      <c r="B5" s="52">
        <f>+'Power Purchased Model'!B154</f>
        <v>380022205.18436003</v>
      </c>
      <c r="C5" s="52">
        <f>+'Power Purchased Model'!I154</f>
        <v>385511612.33985615</v>
      </c>
      <c r="D5" s="22">
        <f t="shared" si="0"/>
        <v>5489407.1554961205</v>
      </c>
      <c r="E5" s="5">
        <f t="shared" si="1"/>
        <v>1.4444964216848977E-2</v>
      </c>
      <c r="F5" s="16">
        <f>1 +(B5-G5)/G5</f>
        <v>1.0457738179386926</v>
      </c>
      <c r="G5" s="6">
        <f t="shared" si="2"/>
        <v>363388525</v>
      </c>
      <c r="H5" s="36">
        <f>SUMIF(Inputs!A$24:A$143,'Rate Class Energy Model'!A5,Inputs!F$24:F$143)</f>
        <v>163109690</v>
      </c>
      <c r="I5" s="36">
        <f>SUMIF(Inputs!A$24:A$143,'Rate Class Energy Model'!A5,Inputs!H$24:H$143)</f>
        <v>53545593</v>
      </c>
      <c r="J5" s="36">
        <f>SUMIF(Inputs!A$24:A$143,'Rate Class Energy Model'!A5,Inputs!J$24:J$143)</f>
        <v>143431671</v>
      </c>
      <c r="K5" s="36">
        <f>SUMIF(Inputs!A$24:A$143,'Rate Class Energy Model'!A5,Inputs!M$24:M$143)</f>
        <v>749437</v>
      </c>
      <c r="L5" s="36">
        <f>SUMIF(Inputs!A$24:A$143,'Rate Class Energy Model'!A5,Inputs!P$24:P$143)</f>
        <v>1575426</v>
      </c>
      <c r="M5" s="36">
        <f>SUMIF(Inputs!A$24:A$143,'Rate Class Energy Model'!A5,Inputs!S$24:S$143)</f>
        <v>976708</v>
      </c>
      <c r="N5" s="36">
        <f>SUMIF(Inputs!A$24:A$143,'Rate Class Energy Model'!A5,Inputs!V$24:V$143)</f>
        <v>0</v>
      </c>
    </row>
    <row r="6" spans="1:22" x14ac:dyDescent="0.25">
      <c r="A6">
        <v>2017</v>
      </c>
      <c r="B6" s="52">
        <f>+'Power Purchased Model'!B155</f>
        <v>368596644.64483672</v>
      </c>
      <c r="C6" s="52">
        <f>+'Power Purchased Model'!I155</f>
        <v>370710251.6875124</v>
      </c>
      <c r="D6" s="22">
        <f t="shared" si="0"/>
        <v>2113607.042675674</v>
      </c>
      <c r="E6" s="5">
        <f t="shared" si="1"/>
        <v>5.7342004420909785E-3</v>
      </c>
      <c r="F6" s="16">
        <f t="shared" ref="F6:F10" si="3">1 +(B6-G6)/G6</f>
        <v>1.0420671072471042</v>
      </c>
      <c r="G6" s="6">
        <f>SUM(H6:N6)</f>
        <v>353716802</v>
      </c>
      <c r="H6" s="36">
        <f>SUMIF(Inputs!A$24:A$143,'Rate Class Energy Model'!A6,Inputs!F$24:F$143)</f>
        <v>153825741</v>
      </c>
      <c r="I6" s="36">
        <f>SUMIF(Inputs!A$24:A$143,'Rate Class Energy Model'!A6,Inputs!H$24:H$143)</f>
        <v>52319962</v>
      </c>
      <c r="J6" s="36">
        <f>SUMIF(Inputs!A$24:A$143,'Rate Class Energy Model'!A6,Inputs!J$24:J$143)</f>
        <v>144490127</v>
      </c>
      <c r="K6" s="36">
        <f>SUMIF(Inputs!A$24:A$143,'Rate Class Energy Model'!A6,Inputs!M$24:M$143)</f>
        <v>729133</v>
      </c>
      <c r="L6" s="36">
        <f>SUMIF(Inputs!A$24:A$143,'Rate Class Energy Model'!A6,Inputs!P$24:P$143)</f>
        <v>1393112</v>
      </c>
      <c r="M6" s="36">
        <f>SUMIF(Inputs!A$24:A$143,'Rate Class Energy Model'!A6,Inputs!S$24:S$143)</f>
        <v>958727</v>
      </c>
      <c r="N6" s="36">
        <f>SUMIF(Inputs!A$24:A$143,'Rate Class Energy Model'!A6,Inputs!V$24:V$143)</f>
        <v>0</v>
      </c>
    </row>
    <row r="7" spans="1:22" x14ac:dyDescent="0.25">
      <c r="A7">
        <v>2018</v>
      </c>
      <c r="B7" s="52">
        <f>+'Power Purchased Model'!B156</f>
        <v>393889926.42846549</v>
      </c>
      <c r="C7" s="52">
        <f>+'Power Purchased Model'!I156</f>
        <v>388357252.7349661</v>
      </c>
      <c r="D7" s="22">
        <f t="shared" si="0"/>
        <v>-5532673.6934993863</v>
      </c>
      <c r="E7" s="5">
        <f t="shared" si="1"/>
        <v>-1.4046243181860549E-2</v>
      </c>
      <c r="F7" s="16">
        <f t="shared" si="3"/>
        <v>1.0390383828816636</v>
      </c>
      <c r="G7" s="6">
        <f t="shared" si="2"/>
        <v>379090833.32999998</v>
      </c>
      <c r="H7" s="36">
        <f>SUMIF(Inputs!A$24:A$143,'Rate Class Energy Model'!A7,Inputs!F$24:F$143)</f>
        <v>170461439</v>
      </c>
      <c r="I7" s="36">
        <f>SUMIF(Inputs!A$24:A$143,'Rate Class Energy Model'!A7,Inputs!H$24:H$143)</f>
        <v>52983336.789999999</v>
      </c>
      <c r="J7" s="36">
        <f>SUMIF(Inputs!A$24:A$143,'Rate Class Energy Model'!A7,Inputs!J$24:J$143)</f>
        <v>152610120.72999999</v>
      </c>
      <c r="K7" s="36">
        <f>SUMIF(Inputs!A$24:A$143,'Rate Class Energy Model'!A7,Inputs!M$24:M$143)</f>
        <v>675874</v>
      </c>
      <c r="L7" s="36">
        <f>SUMIF(Inputs!A$24:A$143,'Rate Class Energy Model'!A7,Inputs!P$24:P$143)</f>
        <v>1403955.81</v>
      </c>
      <c r="M7" s="36">
        <f>SUMIF(Inputs!A$24:A$143,'Rate Class Energy Model'!A7,Inputs!S$24:S$143)</f>
        <v>956107</v>
      </c>
      <c r="N7" s="36">
        <f>SUMIF(Inputs!A$24:A$143,'Rate Class Energy Model'!A7,Inputs!V$24:V$143)</f>
        <v>0</v>
      </c>
    </row>
    <row r="8" spans="1:22" x14ac:dyDescent="0.25">
      <c r="A8">
        <v>2019</v>
      </c>
      <c r="B8" s="52">
        <f>+'Power Purchased Model'!B157</f>
        <v>384791777.21642524</v>
      </c>
      <c r="C8" s="52">
        <f>+'Power Purchased Model'!I157</f>
        <v>380286738.37229729</v>
      </c>
      <c r="D8" s="22">
        <f t="shared" si="0"/>
        <v>-4505038.8441279531</v>
      </c>
      <c r="E8" s="5">
        <f t="shared" si="1"/>
        <v>-1.170773158594318E-2</v>
      </c>
      <c r="F8" s="16">
        <f t="shared" si="3"/>
        <v>1.0382710375661437</v>
      </c>
      <c r="G8" s="6">
        <f t="shared" si="2"/>
        <v>370608216.25</v>
      </c>
      <c r="H8" s="36">
        <f>SUMIF(Inputs!A$24:A$143,'Rate Class Energy Model'!A8,Inputs!F$24:F$143)</f>
        <v>165806296.44</v>
      </c>
      <c r="I8" s="36">
        <f>SUMIF(Inputs!A$24:A$143,'Rate Class Energy Model'!A8,Inputs!H$24:H$143)</f>
        <v>50506434.530000001</v>
      </c>
      <c r="J8" s="36">
        <f>SUMIF(Inputs!A$24:A$143,'Rate Class Energy Model'!A8,Inputs!J$24:J$143)</f>
        <v>151352403.78</v>
      </c>
      <c r="K8" s="36">
        <f>SUMIF(Inputs!A$24:A$143,'Rate Class Energy Model'!A8,Inputs!M$24:M$143)</f>
        <v>583837.25</v>
      </c>
      <c r="L8" s="36">
        <f>SUMIF(Inputs!A$24:A$143,'Rate Class Energy Model'!A8,Inputs!P$24:P$143)</f>
        <v>1406314.25</v>
      </c>
      <c r="M8" s="36">
        <f>SUMIF(Inputs!A$24:A$143,'Rate Class Energy Model'!A8,Inputs!S$24:S$143)</f>
        <v>952930</v>
      </c>
      <c r="N8" s="36">
        <f>SUMIF(Inputs!A$24:A$143,'Rate Class Energy Model'!A8,Inputs!V$24:V$143)</f>
        <v>0</v>
      </c>
    </row>
    <row r="9" spans="1:22" x14ac:dyDescent="0.25">
      <c r="A9">
        <v>2020</v>
      </c>
      <c r="B9" s="52">
        <f>+'Power Purchased Model'!B158</f>
        <v>380093690.36809278</v>
      </c>
      <c r="C9" s="52">
        <f>+'Power Purchased Model'!I158</f>
        <v>382550263.53179228</v>
      </c>
      <c r="D9" s="22">
        <f t="shared" si="0"/>
        <v>2456573.1636995077</v>
      </c>
      <c r="E9" s="5">
        <f t="shared" si="1"/>
        <v>6.4630727264125259E-3</v>
      </c>
      <c r="F9" s="16">
        <f t="shared" si="3"/>
        <v>1.0423889478015345</v>
      </c>
      <c r="G9" s="6">
        <f t="shared" si="2"/>
        <v>364637107.06999999</v>
      </c>
      <c r="H9" s="36">
        <f>SUMIF(Inputs!A$24:A$143,'Rate Class Energy Model'!A9,Inputs!F$24:F$143)</f>
        <v>179914470.27000001</v>
      </c>
      <c r="I9" s="36">
        <f>SUMIF(Inputs!A$24:A$143,'Rate Class Energy Model'!A9,Inputs!H$24:H$143)</f>
        <v>48537507.109999992</v>
      </c>
      <c r="J9" s="36">
        <f>SUMIF(Inputs!A$24:A$143,'Rate Class Energy Model'!A9,Inputs!J$24:J$143)</f>
        <v>133284408.77</v>
      </c>
      <c r="K9" s="36">
        <f>SUMIF(Inputs!A$24:A$143,'Rate Class Energy Model'!A9,Inputs!M$24:M$143)</f>
        <v>535934.71999999997</v>
      </c>
      <c r="L9" s="36">
        <f>SUMIF(Inputs!A$24:A$143,'Rate Class Energy Model'!A9,Inputs!P$24:P$143)</f>
        <v>1423807.2000000002</v>
      </c>
      <c r="M9" s="36">
        <f>SUMIF(Inputs!A$24:A$143,'Rate Class Energy Model'!A9,Inputs!S$24:S$143)</f>
        <v>940979</v>
      </c>
      <c r="N9" s="36">
        <f>SUMIF(Inputs!A$24:A$143,'Rate Class Energy Model'!A9,Inputs!V$24:V$143)</f>
        <v>0</v>
      </c>
    </row>
    <row r="10" spans="1:22" x14ac:dyDescent="0.25">
      <c r="A10">
        <v>2021</v>
      </c>
      <c r="B10" s="52">
        <f>+'Power Purchased Model'!B159</f>
        <v>383895272.72321349</v>
      </c>
      <c r="C10" s="52">
        <f>+'Power Purchased Model'!I159</f>
        <v>389918999.62822038</v>
      </c>
      <c r="D10" s="22">
        <f t="shared" si="0"/>
        <v>6023726.9050068855</v>
      </c>
      <c r="E10" s="5">
        <f t="shared" si="1"/>
        <v>1.5691068197523656E-2</v>
      </c>
      <c r="F10" s="16">
        <f t="shared" si="3"/>
        <v>1.0418268930704253</v>
      </c>
      <c r="G10" s="6">
        <f t="shared" si="2"/>
        <v>368482782.76999998</v>
      </c>
      <c r="H10" s="36">
        <f>SUMIF(Inputs!A$24:A$143,'Rate Class Energy Model'!A10,Inputs!F$24:F$143)</f>
        <v>182892381.72999999</v>
      </c>
      <c r="I10" s="36">
        <f>SUMIF(Inputs!A$24:A$143,'Rate Class Energy Model'!A10,Inputs!H$24:H$143)</f>
        <v>54230049.899999999</v>
      </c>
      <c r="J10" s="36">
        <f>SUMIF(Inputs!A$24:A$143,'Rate Class Energy Model'!A10,Inputs!J$24:J$143)</f>
        <v>128548463.13</v>
      </c>
      <c r="K10" s="36">
        <f>SUMIF(Inputs!A$24:A$143,'Rate Class Energy Model'!A10,Inputs!M$24:M$143)</f>
        <v>481895.06</v>
      </c>
      <c r="L10" s="36">
        <f>SUMIF(Inputs!A$24:A$143,'Rate Class Energy Model'!A10,Inputs!P$24:P$143)</f>
        <v>1410627.9499999997</v>
      </c>
      <c r="M10" s="36">
        <f>SUMIF(Inputs!A$24:A$143,'Rate Class Energy Model'!A10,Inputs!S$24:S$143)</f>
        <v>919365</v>
      </c>
      <c r="N10" s="36">
        <f>SUMIF(Inputs!A$24:A$143,'Rate Class Energy Model'!A10,Inputs!V$24:V$143)</f>
        <v>0</v>
      </c>
    </row>
    <row r="11" spans="1:22" x14ac:dyDescent="0.25">
      <c r="A11">
        <v>2022</v>
      </c>
      <c r="B11" s="52">
        <f>+'Power Purchased Model'!B160</f>
        <v>392612235.87385601</v>
      </c>
      <c r="C11" s="52">
        <f>+'Power Purchased Model'!I160</f>
        <v>393782446.20711488</v>
      </c>
      <c r="D11" s="22">
        <f t="shared" si="0"/>
        <v>1170210.3332588673</v>
      </c>
      <c r="E11" s="5">
        <f t="shared" si="1"/>
        <v>2.9805753013638853E-3</v>
      </c>
      <c r="F11" s="16">
        <f>1 +(B11-G11)/G11</f>
        <v>1.0410509308665783</v>
      </c>
      <c r="G11" s="6">
        <f>SUM(H11:N11)</f>
        <v>377130670.77999997</v>
      </c>
      <c r="H11" s="36">
        <f>SUMIF(Inputs!A$24:A$143,'Rate Class Energy Model'!A11,Inputs!F$24:F$143)</f>
        <v>182644896.51999998</v>
      </c>
      <c r="I11" s="36">
        <f>SUMIF(Inputs!A$24:A$143,'Rate Class Energy Model'!A11,Inputs!H$24:H$143)</f>
        <v>55719441.800000004</v>
      </c>
      <c r="J11" s="36">
        <f>SUMIF(Inputs!A$24:A$143,'Rate Class Energy Model'!A11,Inputs!J$24:J$143)</f>
        <v>136029471.30000001</v>
      </c>
      <c r="K11" s="36">
        <f>SUMIF(Inputs!A$24:A$143,'Rate Class Energy Model'!A11,Inputs!M$24:M$143)</f>
        <v>422907.26</v>
      </c>
      <c r="L11" s="36">
        <f>SUMIF(Inputs!A$24:A$143,'Rate Class Energy Model'!A11,Inputs!P$24:P$143)</f>
        <v>1418459.9</v>
      </c>
      <c r="M11" s="36">
        <f>SUMIF(Inputs!A$24:A$143,'Rate Class Energy Model'!A11,Inputs!S$24:S$143)</f>
        <v>895494</v>
      </c>
      <c r="N11" s="36">
        <f>SUMIF(Inputs!A$24:A$143,'Rate Class Energy Model'!A11,Inputs!V$24:V$143)</f>
        <v>0</v>
      </c>
    </row>
    <row r="12" spans="1:22" x14ac:dyDescent="0.25">
      <c r="A12">
        <v>2023</v>
      </c>
      <c r="B12" s="52">
        <f>+'Power Purchased Model'!B161</f>
        <v>386633787.62211913</v>
      </c>
      <c r="C12" s="52">
        <f>+'Power Purchased Model'!I161</f>
        <v>387860754.27580702</v>
      </c>
      <c r="D12" s="22">
        <f>C12-B12</f>
        <v>1226966.6536878943</v>
      </c>
      <c r="E12" s="5">
        <f t="shared" si="1"/>
        <v>3.1734594672493651E-3</v>
      </c>
      <c r="F12" s="16">
        <f>1 +(B12-G12)/G12</f>
        <v>1.0426232075593322</v>
      </c>
      <c r="G12" s="6">
        <f t="shared" ref="G12" si="4">SUM(H12:N12)</f>
        <v>370827912.53724998</v>
      </c>
      <c r="H12" s="36">
        <f>SUMIF(Inputs!A$24:A$143,'Rate Class Energy Model'!A12,Inputs!F$24:F$143)</f>
        <v>177391636.47999999</v>
      </c>
      <c r="I12" s="36">
        <f>SUMIF(Inputs!A$24:A$143,'Rate Class Energy Model'!A12,Inputs!H$24:H$143)</f>
        <v>54279424.499999993</v>
      </c>
      <c r="J12" s="36">
        <f>SUMIF(Inputs!A$24:A$143,'Rate Class Energy Model'!A12,Inputs!J$24:J$143)</f>
        <v>136432089.50725001</v>
      </c>
      <c r="K12" s="36">
        <f>SUMIF(Inputs!A$24:A$143,'Rate Class Energy Model'!A12,Inputs!M$24:M$143)</f>
        <v>419670.93999999994</v>
      </c>
      <c r="L12" s="36">
        <f>SUMIF(Inputs!A$24:A$143,'Rate Class Energy Model'!A12,Inputs!P$24:P$143)</f>
        <v>1453176.11</v>
      </c>
      <c r="M12" s="36">
        <f>SUMIF(Inputs!A$24:A$143,'Rate Class Energy Model'!A12,Inputs!S$24:S$143)</f>
        <v>851915</v>
      </c>
      <c r="N12" s="36">
        <f>SUMIF(Inputs!A$24:A$143,'Rate Class Energy Model'!A12,Inputs!V$24:V$143)</f>
        <v>0</v>
      </c>
    </row>
    <row r="13" spans="1:22" x14ac:dyDescent="0.25">
      <c r="A13" s="42">
        <v>2024</v>
      </c>
      <c r="B13" s="6"/>
      <c r="C13" s="133">
        <f>+'Power Purchased Model'!I162</f>
        <v>401110466.81963873</v>
      </c>
      <c r="D13" s="164"/>
      <c r="G13" s="14">
        <f>C13/$F$17</f>
        <v>385362851.68502349</v>
      </c>
      <c r="H13" s="33"/>
      <c r="I13" s="33"/>
      <c r="J13" s="33"/>
      <c r="K13" s="33"/>
      <c r="L13" s="33"/>
      <c r="M13" s="33"/>
      <c r="N13" s="33"/>
    </row>
    <row r="14" spans="1:22" x14ac:dyDescent="0.25">
      <c r="A14" s="42">
        <v>2025</v>
      </c>
      <c r="B14" s="6"/>
      <c r="C14" s="14">
        <f>+'Power Purchased Model'!I163</f>
        <v>405840241.68292063</v>
      </c>
      <c r="D14" s="164"/>
      <c r="G14" s="14">
        <f>C14/$F$17</f>
        <v>389906935.37247819</v>
      </c>
      <c r="H14" s="33"/>
      <c r="I14" s="33"/>
      <c r="J14" s="33"/>
      <c r="K14" s="33"/>
      <c r="L14" s="33"/>
      <c r="M14" s="33"/>
      <c r="N14" s="33"/>
    </row>
    <row r="15" spans="1:22" x14ac:dyDescent="0.25">
      <c r="A15" s="171"/>
      <c r="B15" s="6"/>
      <c r="C15" s="6"/>
      <c r="D15" s="177"/>
      <c r="H15" s="173"/>
      <c r="I15" s="173"/>
      <c r="J15" s="173"/>
      <c r="K15" s="173"/>
      <c r="L15" s="173"/>
      <c r="M15" s="173"/>
      <c r="N15" s="173"/>
    </row>
    <row r="16" spans="1:22" x14ac:dyDescent="0.25">
      <c r="H16" s="173"/>
      <c r="I16" s="173"/>
      <c r="J16" s="173"/>
      <c r="K16" s="173"/>
      <c r="L16" s="173"/>
      <c r="M16" s="173"/>
      <c r="N16" s="173"/>
    </row>
    <row r="17" spans="1:17" x14ac:dyDescent="0.25">
      <c r="A17" s="13" t="s">
        <v>9</v>
      </c>
      <c r="C17" s="33"/>
      <c r="D17" s="35"/>
      <c r="E17" s="46" t="s">
        <v>61</v>
      </c>
      <c r="F17" s="16">
        <f>AVERAGE(F3:F12)</f>
        <v>1.0408643829205586</v>
      </c>
      <c r="G17" s="130"/>
      <c r="H17" s="33"/>
      <c r="I17" s="33"/>
      <c r="J17" s="33"/>
      <c r="K17" s="33"/>
      <c r="L17" s="33"/>
      <c r="M17" s="33"/>
      <c r="N17" s="33"/>
    </row>
    <row r="18" spans="1:17" x14ac:dyDescent="0.25">
      <c r="C18" s="33"/>
      <c r="D18" s="35"/>
      <c r="E18" s="46"/>
      <c r="F18" s="16"/>
      <c r="G18" s="130"/>
      <c r="H18" s="33"/>
      <c r="I18" s="33"/>
      <c r="J18" s="33"/>
      <c r="K18" s="33"/>
      <c r="L18" s="33"/>
      <c r="M18" s="33"/>
      <c r="N18" s="33"/>
    </row>
    <row r="19" spans="1:17" x14ac:dyDescent="0.25">
      <c r="C19" s="130"/>
      <c r="D19" s="166"/>
      <c r="G19" s="130"/>
      <c r="H19" s="33"/>
      <c r="I19" s="33"/>
      <c r="J19" s="33"/>
      <c r="K19" s="33"/>
      <c r="L19" s="33"/>
      <c r="M19" s="33"/>
      <c r="N19" s="33"/>
    </row>
    <row r="20" spans="1:17" x14ac:dyDescent="0.25">
      <c r="A20" s="15" t="s">
        <v>11</v>
      </c>
      <c r="B20" s="10"/>
      <c r="C20" s="130"/>
      <c r="D20" s="166"/>
      <c r="G20" s="130"/>
      <c r="H20" s="33"/>
      <c r="I20" s="33"/>
      <c r="J20" s="33"/>
      <c r="K20" s="33"/>
      <c r="L20" s="33"/>
      <c r="M20" s="33"/>
      <c r="N20" s="33"/>
    </row>
    <row r="22" spans="1:17" x14ac:dyDescent="0.25">
      <c r="A22">
        <v>2023</v>
      </c>
      <c r="H22" s="6">
        <f>H12/'Rate Class Customer Model'!B20</f>
        <v>7577.4929794535174</v>
      </c>
      <c r="I22" s="6">
        <f>I12/'Rate Class Customer Model'!C20</f>
        <v>29414.428016618494</v>
      </c>
      <c r="J22" s="6">
        <f>J12/'Rate Class Customer Model'!D20</f>
        <v>960789.36272711272</v>
      </c>
      <c r="K22" s="6">
        <f>K12/'Rate Class Customer Model'!E20</f>
        <v>1228.0056766642281</v>
      </c>
      <c r="L22" s="6">
        <f>L12/'Rate Class Customer Model'!F20</f>
        <v>198.09059672160944</v>
      </c>
      <c r="M22" s="6">
        <f>M12/'Rate Class Customer Model'!G20</f>
        <v>4256.0283097418824</v>
      </c>
      <c r="N22" s="6">
        <f>IFERROR(N11/'Rate Class Customer Model'!H20,0)</f>
        <v>0</v>
      </c>
    </row>
    <row r="23" spans="1:17" x14ac:dyDescent="0.25">
      <c r="A23">
        <v>2024</v>
      </c>
      <c r="H23" s="14">
        <f>H22</f>
        <v>7577.4929794535174</v>
      </c>
      <c r="I23" s="14">
        <f t="shared" ref="I23:N23" si="5">I22</f>
        <v>29414.428016618494</v>
      </c>
      <c r="J23" s="14">
        <f t="shared" si="5"/>
        <v>960789.36272711272</v>
      </c>
      <c r="K23" s="14">
        <f t="shared" si="5"/>
        <v>1228.0056766642281</v>
      </c>
      <c r="L23" s="14">
        <f t="shared" si="5"/>
        <v>198.09059672160944</v>
      </c>
      <c r="M23" s="14">
        <f t="shared" si="5"/>
        <v>4256.0283097418824</v>
      </c>
      <c r="N23" s="14">
        <f t="shared" si="5"/>
        <v>0</v>
      </c>
    </row>
    <row r="24" spans="1:17" x14ac:dyDescent="0.25">
      <c r="A24">
        <v>2025</v>
      </c>
      <c r="H24" s="14">
        <f t="shared" ref="H24:N24" si="6">H22</f>
        <v>7577.4929794535174</v>
      </c>
      <c r="I24" s="14">
        <f t="shared" si="6"/>
        <v>29414.428016618494</v>
      </c>
      <c r="J24" s="14">
        <f t="shared" si="6"/>
        <v>960789.36272711272</v>
      </c>
      <c r="K24" s="14">
        <f>K22</f>
        <v>1228.0056766642281</v>
      </c>
      <c r="L24" s="14">
        <f t="shared" si="6"/>
        <v>198.09059672160944</v>
      </c>
      <c r="M24" s="14">
        <f t="shared" si="6"/>
        <v>4256.0283097418824</v>
      </c>
      <c r="N24" s="14">
        <f t="shared" si="6"/>
        <v>0</v>
      </c>
    </row>
    <row r="25" spans="1:17" x14ac:dyDescent="0.25">
      <c r="H25"/>
      <c r="I25"/>
      <c r="J25"/>
      <c r="K25"/>
      <c r="L25"/>
      <c r="M25"/>
      <c r="N25"/>
    </row>
    <row r="26" spans="1:17" x14ac:dyDescent="0.25">
      <c r="D26" s="6"/>
      <c r="G26" s="130"/>
      <c r="H26" s="130"/>
      <c r="I26" s="130"/>
      <c r="J26" s="130"/>
      <c r="K26" s="130"/>
      <c r="L26" s="130"/>
      <c r="M26" s="130"/>
      <c r="N26" s="130"/>
    </row>
    <row r="27" spans="1:17" x14ac:dyDescent="0.25">
      <c r="A27" s="13" t="s">
        <v>33</v>
      </c>
      <c r="G27" s="130"/>
      <c r="H27" s="130"/>
      <c r="I27" s="130"/>
      <c r="J27" s="130"/>
      <c r="K27" s="130"/>
      <c r="L27" s="130"/>
      <c r="M27" s="130"/>
      <c r="N27" s="130"/>
    </row>
    <row r="28" spans="1:17" x14ac:dyDescent="0.25">
      <c r="A28" s="40">
        <f>A23</f>
        <v>2024</v>
      </c>
      <c r="F28" s="164"/>
      <c r="G28" s="6">
        <f>SUM(H28:N28)</f>
        <v>382041429.13514006</v>
      </c>
      <c r="H28" s="6">
        <f>H23*'Rate Class Customer Model'!B21</f>
        <v>181443358.88996235</v>
      </c>
      <c r="I28" s="6">
        <f>I23*'Rate Class Customer Model'!C21</f>
        <v>54786275.152413145</v>
      </c>
      <c r="J28" s="6">
        <f>J23*'Rate Class Customer Model'!D21</f>
        <v>143109984.06779039</v>
      </c>
      <c r="K28" s="6">
        <f>K23*'Rate Class Customer Model'!E21</f>
        <v>418272.50403755106</v>
      </c>
      <c r="L28" s="6">
        <f>L23*'Rate Class Customer Model'!F21</f>
        <v>1448292.9651497584</v>
      </c>
      <c r="M28" s="6">
        <f>M23*'Rate Class Customer Model'!G21</f>
        <v>835245.55578684446</v>
      </c>
      <c r="N28" s="6">
        <f>N23*'Rate Class Customer Model'!H20</f>
        <v>0</v>
      </c>
    </row>
    <row r="29" spans="1:17" x14ac:dyDescent="0.25">
      <c r="A29" s="40">
        <f>A24</f>
        <v>2025</v>
      </c>
      <c r="F29" s="164"/>
      <c r="G29" s="6">
        <f>SUM(H29:N29)</f>
        <v>382685539.33171993</v>
      </c>
      <c r="H29" s="6">
        <f>H24*'Rate Class Customer Model'!B22</f>
        <v>184167337.29461291</v>
      </c>
      <c r="I29" s="6">
        <f>I24*'Rate Class Customer Model'!C22</f>
        <v>55135261.351684183</v>
      </c>
      <c r="J29" s="6">
        <f>J24*'Rate Class Customer Model'!D22</f>
        <v>140711175.59462628</v>
      </c>
      <c r="K29" s="6">
        <f>K24*'Rate Class Customer Model'!E22</f>
        <v>399283.83665585291</v>
      </c>
      <c r="L29" s="6">
        <f>L24*'Rate Class Customer Model'!F22</f>
        <v>1460926.3878175328</v>
      </c>
      <c r="M29" s="6">
        <f>M24*'Rate Class Customer Model'!G22</f>
        <v>811554.8663231422</v>
      </c>
      <c r="N29" s="6">
        <f>N24*'Rate Class Customer Model'!H21</f>
        <v>0</v>
      </c>
    </row>
    <row r="31" spans="1:17" x14ac:dyDescent="0.25">
      <c r="A31" s="13" t="s">
        <v>32</v>
      </c>
      <c r="P31" s="6"/>
    </row>
    <row r="32" spans="1:17" x14ac:dyDescent="0.25">
      <c r="A32" s="40">
        <f>A28</f>
        <v>2024</v>
      </c>
      <c r="G32" s="14">
        <f>G13</f>
        <v>385362851.68502349</v>
      </c>
      <c r="H32" s="6">
        <f>H28+H40</f>
        <v>183175828.51509136</v>
      </c>
      <c r="I32" s="6">
        <f t="shared" ref="H32:N33" si="7">I28+I40</f>
        <v>55309389.132203817</v>
      </c>
      <c r="J32" s="6">
        <f>J28+J40</f>
        <v>144175823.01275414</v>
      </c>
      <c r="K32" s="6">
        <f t="shared" si="7"/>
        <v>418272.50403755106</v>
      </c>
      <c r="L32" s="6">
        <f t="shared" si="7"/>
        <v>1448292.9651497584</v>
      </c>
      <c r="M32" s="6">
        <f t="shared" si="7"/>
        <v>835245.55578684446</v>
      </c>
      <c r="N32" s="6">
        <f t="shared" si="7"/>
        <v>0</v>
      </c>
      <c r="O32" s="6">
        <f>SUM(H32:N32)</f>
        <v>385362851.68502349</v>
      </c>
      <c r="P32" s="6">
        <f>O32-G32</f>
        <v>0</v>
      </c>
      <c r="Q32" s="6"/>
    </row>
    <row r="33" spans="1:22" x14ac:dyDescent="0.25">
      <c r="A33" s="40">
        <f>A29</f>
        <v>2025</v>
      </c>
      <c r="G33" s="14">
        <f>G14</f>
        <v>389906935.37247819</v>
      </c>
      <c r="H33" s="6">
        <f t="shared" si="7"/>
        <v>187977436.14272216</v>
      </c>
      <c r="I33" s="6">
        <f t="shared" si="7"/>
        <v>56275913.102706693</v>
      </c>
      <c r="J33" s="6">
        <f t="shared" si="7"/>
        <v>142981821.03625277</v>
      </c>
      <c r="K33" s="6">
        <f t="shared" si="7"/>
        <v>399283.83665585291</v>
      </c>
      <c r="L33" s="6">
        <f t="shared" si="7"/>
        <v>1460926.3878175328</v>
      </c>
      <c r="M33" s="6">
        <f t="shared" si="7"/>
        <v>811554.8663231422</v>
      </c>
      <c r="N33" s="6">
        <f t="shared" si="7"/>
        <v>0</v>
      </c>
      <c r="O33" s="6">
        <f t="shared" ref="O33" si="8">SUM(H33:N33)</f>
        <v>389906935.37247819</v>
      </c>
      <c r="P33" s="6"/>
      <c r="Q33" s="6"/>
    </row>
    <row r="34" spans="1:22" x14ac:dyDescent="0.25">
      <c r="P34" s="6"/>
    </row>
    <row r="35" spans="1:22" x14ac:dyDescent="0.25">
      <c r="A35" t="s">
        <v>34</v>
      </c>
      <c r="H35" s="44">
        <f>(100%+J35)/2</f>
        <v>0.81967514412601028</v>
      </c>
      <c r="I35" s="45">
        <f>H35</f>
        <v>0.81967514412601028</v>
      </c>
      <c r="J35" s="53">
        <v>0.63935028825202056</v>
      </c>
      <c r="K35" s="45">
        <v>0</v>
      </c>
      <c r="L35" s="45">
        <v>0</v>
      </c>
      <c r="M35" s="45">
        <v>0</v>
      </c>
      <c r="N35" s="45">
        <v>0</v>
      </c>
    </row>
    <row r="36" spans="1:22" x14ac:dyDescent="0.25">
      <c r="A36" s="40">
        <f>+A32</f>
        <v>2024</v>
      </c>
      <c r="G36" s="6">
        <f>G32-G28</f>
        <v>3321422.5498834252</v>
      </c>
      <c r="H36" s="6">
        <f t="shared" ref="H36:J37" si="9">H28*H$35</f>
        <v>148724611.34883729</v>
      </c>
      <c r="I36" s="6">
        <f t="shared" si="9"/>
        <v>44906947.981681503</v>
      </c>
      <c r="J36" s="6">
        <f t="shared" si="9"/>
        <v>91497409.565483853</v>
      </c>
      <c r="K36" s="6">
        <f t="shared" ref="K36:N37" si="10">K28*K$35</f>
        <v>0</v>
      </c>
      <c r="L36" s="6">
        <f t="shared" si="10"/>
        <v>0</v>
      </c>
      <c r="M36" s="6">
        <f t="shared" si="10"/>
        <v>0</v>
      </c>
      <c r="N36" s="6">
        <f t="shared" si="10"/>
        <v>0</v>
      </c>
      <c r="O36" s="6">
        <f>SUM(H36:N36)</f>
        <v>285128968.89600265</v>
      </c>
    </row>
    <row r="37" spans="1:22" x14ac:dyDescent="0.25">
      <c r="A37" s="40">
        <f>+A33</f>
        <v>2025</v>
      </c>
      <c r="G37" s="6">
        <f>G33-G29</f>
        <v>7221396.0407582521</v>
      </c>
      <c r="H37" s="6">
        <f t="shared" si="9"/>
        <v>150957388.7402654</v>
      </c>
      <c r="I37" s="6">
        <f t="shared" si="9"/>
        <v>45193003.294866979</v>
      </c>
      <c r="J37" s="6">
        <f t="shared" si="9"/>
        <v>89963730.676704988</v>
      </c>
      <c r="K37" s="6">
        <f t="shared" si="10"/>
        <v>0</v>
      </c>
      <c r="L37" s="6">
        <f t="shared" si="10"/>
        <v>0</v>
      </c>
      <c r="M37" s="6">
        <f t="shared" si="10"/>
        <v>0</v>
      </c>
      <c r="N37" s="6">
        <f t="shared" si="10"/>
        <v>0</v>
      </c>
      <c r="O37" s="6">
        <f>SUM(H37:N37)</f>
        <v>286114122.71183735</v>
      </c>
    </row>
    <row r="38" spans="1:22" ht="12" customHeight="1" x14ac:dyDescent="0.25"/>
    <row r="39" spans="1:22" x14ac:dyDescent="0.25">
      <c r="A39" t="s">
        <v>35</v>
      </c>
    </row>
    <row r="40" spans="1:22" x14ac:dyDescent="0.25">
      <c r="A40" s="40">
        <f>+A36</f>
        <v>2024</v>
      </c>
      <c r="G40" s="6">
        <f>SUM(H40:N40)</f>
        <v>3321422.5498834252</v>
      </c>
      <c r="H40" s="6">
        <f>H36/$O36*$G36</f>
        <v>1732469.6251290019</v>
      </c>
      <c r="I40" s="6">
        <f t="shared" ref="I40:N40" si="11">I36/$O36*$G36</f>
        <v>523113.97979067289</v>
      </c>
      <c r="J40" s="6">
        <f t="shared" si="11"/>
        <v>1065838.9449637504</v>
      </c>
      <c r="K40" s="6">
        <f t="shared" si="11"/>
        <v>0</v>
      </c>
      <c r="L40" s="6">
        <f t="shared" si="11"/>
        <v>0</v>
      </c>
      <c r="M40" s="6">
        <f t="shared" si="11"/>
        <v>0</v>
      </c>
      <c r="N40" s="6">
        <f t="shared" si="11"/>
        <v>0</v>
      </c>
    </row>
    <row r="41" spans="1:22" x14ac:dyDescent="0.25">
      <c r="A41" s="40">
        <f>+A37</f>
        <v>2025</v>
      </c>
      <c r="G41" s="6">
        <f t="shared" ref="G41" si="12">SUM(H41:N41)</f>
        <v>7221396.0407582521</v>
      </c>
      <c r="H41" s="6">
        <f>H37/$O37*$G37</f>
        <v>3810098.8481092388</v>
      </c>
      <c r="I41" s="6">
        <f>I37/$O37*$G37</f>
        <v>1140651.7510225116</v>
      </c>
      <c r="J41" s="6">
        <f>J37/$O37*$G37</f>
        <v>2270645.4416265017</v>
      </c>
      <c r="K41" s="6">
        <f t="shared" ref="K41:N41" si="13">K37/$O37*$G37</f>
        <v>0</v>
      </c>
      <c r="L41" s="6">
        <f t="shared" si="13"/>
        <v>0</v>
      </c>
      <c r="M41" s="6">
        <f t="shared" si="13"/>
        <v>0</v>
      </c>
      <c r="N41" s="6">
        <f t="shared" si="13"/>
        <v>0</v>
      </c>
    </row>
    <row r="42" spans="1:22" x14ac:dyDescent="0.25">
      <c r="A42" s="40"/>
      <c r="G42" s="18"/>
    </row>
    <row r="43" spans="1:22" x14ac:dyDescent="0.25">
      <c r="A43" s="13"/>
    </row>
    <row r="44" spans="1:22" x14ac:dyDescent="0.25">
      <c r="A44" s="13"/>
    </row>
    <row r="45" spans="1:22" x14ac:dyDescent="0.25">
      <c r="A45" s="13"/>
    </row>
    <row r="47" spans="1:22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V47"/>
    </row>
    <row r="48" spans="1:22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V48"/>
    </row>
    <row r="49" customFormat="1" x14ac:dyDescent="0.25"/>
    <row r="50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</sheetData>
  <phoneticPr fontId="0" type="noConversion"/>
  <pageMargins left="0.38" right="0.75" top="0.73" bottom="0.74" header="0.5" footer="0.5"/>
  <pageSetup scale="49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Q90"/>
  <sheetViews>
    <sheetView workbookViewId="0">
      <selection activeCell="H11" sqref="H11"/>
    </sheetView>
    <sheetView workbookViewId="1"/>
  </sheetViews>
  <sheetFormatPr defaultRowHeight="13.2" x14ac:dyDescent="0.25"/>
  <cols>
    <col min="1" max="1" width="20.33203125" customWidth="1"/>
    <col min="2" max="2" width="15" style="6" customWidth="1"/>
    <col min="3" max="3" width="14.109375" style="6" bestFit="1" customWidth="1"/>
    <col min="4" max="4" width="17.88671875" style="6" bestFit="1" customWidth="1"/>
    <col min="5" max="5" width="12.5546875" style="6" customWidth="1"/>
    <col min="6" max="8" width="11.44140625" style="6" customWidth="1"/>
    <col min="9" max="9" width="11.5546875" customWidth="1"/>
    <col min="10" max="10" width="12.5546875" bestFit="1" customWidth="1"/>
    <col min="11" max="11" width="12.5546875" customWidth="1"/>
    <col min="12" max="12" width="12.5546875" bestFit="1" customWidth="1"/>
    <col min="13" max="13" width="11.5546875" bestFit="1" customWidth="1"/>
    <col min="14" max="14" width="14.109375" customWidth="1"/>
    <col min="15" max="15" width="11.5546875" customWidth="1"/>
    <col min="16" max="16" width="10.5546875" bestFit="1" customWidth="1"/>
    <col min="17" max="17" width="9.109375" customWidth="1"/>
  </cols>
  <sheetData>
    <row r="1" spans="1:17" x14ac:dyDescent="0.25">
      <c r="B1" s="197" t="s">
        <v>54</v>
      </c>
      <c r="C1" s="198"/>
      <c r="D1" s="198"/>
      <c r="E1" s="198"/>
      <c r="F1" s="198"/>
      <c r="G1" s="198"/>
      <c r="Q1" s="34"/>
    </row>
    <row r="2" spans="1:17" ht="26.4" x14ac:dyDescent="0.25">
      <c r="B2" s="8" t="str">
        <f>Inputs!B4</f>
        <v>Residential</v>
      </c>
      <c r="C2" s="8" t="str">
        <f>Inputs!C4</f>
        <v>General Service &lt; 50 kW</v>
      </c>
      <c r="D2" s="8" t="str">
        <f>Inputs!D4</f>
        <v>General Service &gt; 50 to 4999 kW</v>
      </c>
      <c r="E2" s="8" t="str">
        <f>Inputs!E4</f>
        <v xml:space="preserve">Sentinel </v>
      </c>
      <c r="F2" s="8" t="str">
        <f>Inputs!F4</f>
        <v xml:space="preserve">Street Lighting </v>
      </c>
      <c r="G2" s="8" t="str">
        <f>Inputs!G4</f>
        <v>USL</v>
      </c>
      <c r="H2" s="8" t="str">
        <f>Inputs!H4</f>
        <v>Large User</v>
      </c>
      <c r="I2" s="1" t="s">
        <v>7</v>
      </c>
      <c r="K2" s="103" t="s">
        <v>105</v>
      </c>
      <c r="P2" s="110">
        <v>2024</v>
      </c>
      <c r="Q2" s="110">
        <v>2025</v>
      </c>
    </row>
    <row r="3" spans="1:17" hidden="1" x14ac:dyDescent="0.25">
      <c r="A3" s="4"/>
      <c r="B3" s="24"/>
      <c r="C3" s="24"/>
      <c r="D3" s="24"/>
      <c r="E3" s="24"/>
      <c r="F3" s="24"/>
      <c r="G3" s="24"/>
      <c r="H3" s="24"/>
    </row>
    <row r="4" spans="1:17" hidden="1" x14ac:dyDescent="0.25">
      <c r="A4" s="4">
        <v>2000</v>
      </c>
      <c r="B4" s="23"/>
      <c r="C4" s="23"/>
      <c r="D4" s="23"/>
      <c r="E4" s="23"/>
      <c r="F4" s="23"/>
      <c r="G4" s="23"/>
      <c r="H4" s="23"/>
    </row>
    <row r="5" spans="1:17" hidden="1" x14ac:dyDescent="0.25">
      <c r="A5" s="4">
        <v>2001</v>
      </c>
      <c r="B5" s="24" t="e">
        <f>(#REF!+#REF!)/2</f>
        <v>#REF!</v>
      </c>
      <c r="C5" s="24" t="e">
        <f>(#REF!+#REF!)/2</f>
        <v>#REF!</v>
      </c>
      <c r="D5" s="24" t="e">
        <f>(#REF!+#REF!)/2</f>
        <v>#REF!</v>
      </c>
      <c r="E5" s="24" t="e">
        <f>(#REF!+#REF!)/2</f>
        <v>#REF!</v>
      </c>
      <c r="F5" s="24" t="e">
        <f>(#REF!+#REF!)/2</f>
        <v>#REF!</v>
      </c>
      <c r="G5" s="24"/>
      <c r="H5" s="24"/>
    </row>
    <row r="6" spans="1:17" hidden="1" x14ac:dyDescent="0.25">
      <c r="A6" s="4">
        <v>2002</v>
      </c>
      <c r="B6" s="24" t="e">
        <f>(#REF!+#REF!)/2</f>
        <v>#REF!</v>
      </c>
      <c r="C6" s="24" t="e">
        <f>(#REF!+#REF!)/2</f>
        <v>#REF!</v>
      </c>
      <c r="D6" s="24" t="e">
        <f>(#REF!+#REF!)/2</f>
        <v>#REF!</v>
      </c>
      <c r="E6" s="24" t="e">
        <f>(#REF!+#REF!)/2</f>
        <v>#REF!</v>
      </c>
      <c r="F6" s="24">
        <v>0</v>
      </c>
      <c r="G6" s="24"/>
      <c r="H6" s="24"/>
    </row>
    <row r="7" spans="1:17" hidden="1" x14ac:dyDescent="0.25">
      <c r="A7" s="4">
        <v>2003</v>
      </c>
      <c r="B7" s="24" t="e">
        <f>(#REF!+#REF!)/2</f>
        <v>#REF!</v>
      </c>
      <c r="C7" s="24" t="e">
        <f>(#REF!+#REF!)/2</f>
        <v>#REF!</v>
      </c>
      <c r="D7" s="24" t="e">
        <f>(#REF!+#REF!)/2</f>
        <v>#REF!</v>
      </c>
      <c r="E7" s="24" t="e">
        <f>(#REF!+#REF!)/2</f>
        <v>#REF!</v>
      </c>
      <c r="F7" s="24" t="e">
        <f>(#REF!+#REF!)/2</f>
        <v>#REF!</v>
      </c>
      <c r="G7" s="24"/>
      <c r="H7" s="24"/>
    </row>
    <row r="8" spans="1:17" hidden="1" x14ac:dyDescent="0.25">
      <c r="A8" s="4">
        <v>2004</v>
      </c>
      <c r="B8" s="24" t="e">
        <f>(#REF!+#REF!)/2</f>
        <v>#REF!</v>
      </c>
      <c r="C8" s="24" t="e">
        <f>(#REF!+#REF!)/2</f>
        <v>#REF!</v>
      </c>
      <c r="D8" s="24" t="e">
        <f>(#REF!+#REF!)/2</f>
        <v>#REF!</v>
      </c>
      <c r="E8" s="24" t="e">
        <f>(#REF!+#REF!)/2</f>
        <v>#REF!</v>
      </c>
      <c r="F8" s="24" t="e">
        <f>(#REF!+#REF!)/2</f>
        <v>#REF!</v>
      </c>
      <c r="G8" s="24"/>
      <c r="H8" s="24"/>
    </row>
    <row r="9" spans="1:17" hidden="1" x14ac:dyDescent="0.25">
      <c r="A9" s="4">
        <v>2005</v>
      </c>
      <c r="B9" s="24" t="e">
        <f>(#REF!+#REF!)/2</f>
        <v>#REF!</v>
      </c>
      <c r="C9" s="24" t="e">
        <f>(#REF!+#REF!)/2</f>
        <v>#REF!</v>
      </c>
      <c r="D9" s="24" t="e">
        <f>(#REF!+#REF!)/2</f>
        <v>#REF!</v>
      </c>
      <c r="E9" s="24" t="e">
        <f>(#REF!+#REF!)/2</f>
        <v>#REF!</v>
      </c>
      <c r="F9" s="24" t="e">
        <f>(#REF!+#REF!)/2</f>
        <v>#REF!</v>
      </c>
      <c r="G9" s="24"/>
      <c r="H9" s="24"/>
    </row>
    <row r="10" spans="1:17" hidden="1" x14ac:dyDescent="0.25">
      <c r="A10" s="4">
        <v>2006</v>
      </c>
      <c r="B10" s="24" t="e">
        <f>(#REF!+#REF!)/2</f>
        <v>#REF!</v>
      </c>
      <c r="C10" s="24" t="e">
        <f>(#REF!+#REF!)/2</f>
        <v>#REF!</v>
      </c>
      <c r="D10" s="24" t="e">
        <f>(#REF!+#REF!)/2</f>
        <v>#REF!</v>
      </c>
      <c r="E10" s="24">
        <v>1</v>
      </c>
      <c r="F10" s="24" t="e">
        <f>(#REF!+#REF!)/2</f>
        <v>#REF!</v>
      </c>
      <c r="G10" s="24"/>
      <c r="H10" s="24"/>
    </row>
    <row r="11" spans="1:17" x14ac:dyDescent="0.25">
      <c r="A11" s="4">
        <v>2014</v>
      </c>
      <c r="B11" s="37">
        <f>Inputs!B5</f>
        <v>20472.166666666668</v>
      </c>
      <c r="C11" s="37">
        <f>Inputs!C5</f>
        <v>1742.8333333333333</v>
      </c>
      <c r="D11" s="37">
        <f>Inputs!D5</f>
        <v>165.33333333333334</v>
      </c>
      <c r="E11" s="37">
        <f>Inputs!E5</f>
        <v>519.16666666666663</v>
      </c>
      <c r="F11" s="37">
        <f>Inputs!F5</f>
        <v>6784.333333333333</v>
      </c>
      <c r="G11" s="37">
        <f>Inputs!G5</f>
        <v>259.33333333333331</v>
      </c>
      <c r="H11" s="37">
        <f>Inputs!H5</f>
        <v>0</v>
      </c>
      <c r="I11" s="43">
        <f>SUM(B11:H11)</f>
        <v>29943.166666666664</v>
      </c>
      <c r="K11" s="6">
        <f>B11+C11+D11+H11</f>
        <v>22380.333333333332</v>
      </c>
      <c r="L11" s="6"/>
      <c r="O11" s="111" t="s">
        <v>92</v>
      </c>
      <c r="P11" s="109">
        <f>(Inputs!$G$143+Inputs!I143+Inputs!L143)+(Inputs!$G$143+Inputs!I143+Inputs!L143)*N21</f>
        <v>25784.177034496697</v>
      </c>
      <c r="Q11" s="109">
        <f>P22+(P22*$N$22)</f>
        <v>26159.618734759606</v>
      </c>
    </row>
    <row r="12" spans="1:17" x14ac:dyDescent="0.25">
      <c r="A12" s="4">
        <v>2015</v>
      </c>
      <c r="B12" s="37">
        <f>Inputs!B6</f>
        <v>20635.5</v>
      </c>
      <c r="C12" s="37">
        <f>Inputs!C6</f>
        <v>1769.0833333333333</v>
      </c>
      <c r="D12" s="37">
        <f>Inputs!D6</f>
        <v>158.83333333333334</v>
      </c>
      <c r="E12" s="37">
        <f>Inputs!E6</f>
        <v>515.08333333333337</v>
      </c>
      <c r="F12" s="37">
        <f>Inputs!F6</f>
        <v>6792.583333333333</v>
      </c>
      <c r="G12" s="37">
        <f>Inputs!G6</f>
        <v>256.66666666666669</v>
      </c>
      <c r="H12" s="37">
        <f>Inputs!H6</f>
        <v>0</v>
      </c>
      <c r="I12" s="43">
        <f>SUM(B12:H12)</f>
        <v>30127.749999999996</v>
      </c>
      <c r="K12" s="6">
        <f t="shared" ref="K12:K20" si="0">B12+C12+D12+H12</f>
        <v>22563.416666666664</v>
      </c>
      <c r="L12" s="6"/>
      <c r="O12" s="111" t="s">
        <v>93</v>
      </c>
      <c r="P12" s="109">
        <f>P11+(P11*$N$21)</f>
        <v>25815.391812459398</v>
      </c>
      <c r="Q12" s="109">
        <f>Q11+(Q11*$N$22)</f>
        <v>26189.646334914734</v>
      </c>
    </row>
    <row r="13" spans="1:17" x14ac:dyDescent="0.25">
      <c r="A13" s="4">
        <v>2016</v>
      </c>
      <c r="B13" s="37">
        <f>Inputs!B7</f>
        <v>20822.5</v>
      </c>
      <c r="C13" s="37">
        <f>Inputs!C7</f>
        <v>1770.5833333333333</v>
      </c>
      <c r="D13" s="37">
        <f>Inputs!D7</f>
        <v>159</v>
      </c>
      <c r="E13" s="37">
        <f>Inputs!E7</f>
        <v>508.75</v>
      </c>
      <c r="F13" s="37">
        <f>Inputs!F7</f>
        <v>6825</v>
      </c>
      <c r="G13" s="37">
        <f>Inputs!G7</f>
        <v>261.33333333333331</v>
      </c>
      <c r="H13" s="37">
        <f>Inputs!H7</f>
        <v>0</v>
      </c>
      <c r="I13" s="43">
        <f t="shared" ref="I13:I20" si="1">SUM(B13:H13)</f>
        <v>30347.166666666664</v>
      </c>
      <c r="K13" s="6">
        <f t="shared" si="0"/>
        <v>22752.083333333332</v>
      </c>
      <c r="L13" s="6"/>
      <c r="O13" s="111" t="s">
        <v>94</v>
      </c>
      <c r="P13" s="109">
        <f t="shared" ref="P13:P21" si="2">P12+(P12*$N$21)</f>
        <v>25846.644379581008</v>
      </c>
      <c r="Q13" s="109">
        <f t="shared" ref="Q13:Q22" si="3">Q12+(Q12*$N$22)</f>
        <v>26219.708402574157</v>
      </c>
    </row>
    <row r="14" spans="1:17" x14ac:dyDescent="0.25">
      <c r="A14" s="4">
        <v>2017</v>
      </c>
      <c r="B14" s="37">
        <f>Inputs!B8</f>
        <v>20986.583333333332</v>
      </c>
      <c r="C14" s="37">
        <f>Inputs!C8</f>
        <v>1791.4166666666667</v>
      </c>
      <c r="D14" s="37">
        <f>Inputs!D8</f>
        <v>159.16666666666666</v>
      </c>
      <c r="E14" s="37">
        <f>Inputs!E8</f>
        <v>500.08333333333331</v>
      </c>
      <c r="F14" s="37">
        <f>Inputs!F8</f>
        <v>6865.333333333333</v>
      </c>
      <c r="G14" s="37">
        <f>Inputs!G8</f>
        <v>261.91666666666669</v>
      </c>
      <c r="H14" s="37">
        <f>Inputs!H8</f>
        <v>0</v>
      </c>
      <c r="I14" s="43">
        <f t="shared" si="1"/>
        <v>30564.5</v>
      </c>
      <c r="K14" s="6">
        <f t="shared" si="0"/>
        <v>22937.166666666668</v>
      </c>
      <c r="L14" s="6"/>
      <c r="O14" s="111" t="s">
        <v>95</v>
      </c>
      <c r="P14" s="109">
        <f t="shared" si="2"/>
        <v>25877.934781609743</v>
      </c>
      <c r="Q14" s="109">
        <f t="shared" si="3"/>
        <v>26249.80497730177</v>
      </c>
    </row>
    <row r="15" spans="1:17" x14ac:dyDescent="0.25">
      <c r="A15" s="4">
        <v>2018</v>
      </c>
      <c r="B15" s="37">
        <f>Inputs!B9</f>
        <v>21242.333333333332</v>
      </c>
      <c r="C15" s="37">
        <f>Inputs!C9</f>
        <v>1798.25</v>
      </c>
      <c r="D15" s="37">
        <f>Inputs!D9</f>
        <v>164</v>
      </c>
      <c r="E15" s="37">
        <f>Inputs!E9</f>
        <v>486.5</v>
      </c>
      <c r="F15" s="37">
        <f>Inputs!F9</f>
        <v>6956.25</v>
      </c>
      <c r="G15" s="37">
        <f>Inputs!G9</f>
        <v>262.83333333333331</v>
      </c>
      <c r="H15" s="37">
        <f>Inputs!H9</f>
        <v>0</v>
      </c>
      <c r="I15" s="43">
        <f t="shared" si="1"/>
        <v>30910.166666666664</v>
      </c>
      <c r="K15" s="6">
        <f t="shared" si="0"/>
        <v>23204.583333333332</v>
      </c>
      <c r="L15" s="6"/>
      <c r="O15" s="111" t="s">
        <v>47</v>
      </c>
      <c r="P15" s="109">
        <f t="shared" si="2"/>
        <v>25909.263064349212</v>
      </c>
      <c r="Q15" s="109">
        <f t="shared" si="3"/>
        <v>26279.936098706883</v>
      </c>
    </row>
    <row r="16" spans="1:17" x14ac:dyDescent="0.25">
      <c r="A16" s="4">
        <v>2019</v>
      </c>
      <c r="B16" s="37">
        <f>Inputs!B10</f>
        <v>21580</v>
      </c>
      <c r="C16" s="37">
        <f>Inputs!C10</f>
        <v>1797.3333333333333</v>
      </c>
      <c r="D16" s="37">
        <f>Inputs!D10</f>
        <v>166.16666666666666</v>
      </c>
      <c r="E16" s="37">
        <f>Inputs!E10</f>
        <v>453.58333333333331</v>
      </c>
      <c r="F16" s="37">
        <f>Inputs!F10</f>
        <v>7006.75</v>
      </c>
      <c r="G16" s="37">
        <f>Inputs!G10</f>
        <v>261.83333333333331</v>
      </c>
      <c r="H16" s="37">
        <f>Inputs!H10</f>
        <v>0</v>
      </c>
      <c r="I16" s="43">
        <f t="shared" si="1"/>
        <v>31265.666666666664</v>
      </c>
      <c r="K16" s="6">
        <f t="shared" si="0"/>
        <v>23543.5</v>
      </c>
      <c r="L16" s="6"/>
      <c r="O16" s="111" t="s">
        <v>96</v>
      </c>
      <c r="P16" s="109">
        <f t="shared" si="2"/>
        <v>25940.629273658466</v>
      </c>
      <c r="Q16" s="109">
        <f t="shared" si="3"/>
        <v>26310.101806444272</v>
      </c>
    </row>
    <row r="17" spans="1:17" x14ac:dyDescent="0.25">
      <c r="A17" s="4">
        <v>2020</v>
      </c>
      <c r="B17" s="37">
        <f>Inputs!B11</f>
        <v>21926.833333333332</v>
      </c>
      <c r="C17" s="37">
        <f>Inputs!C11</f>
        <v>1787.5</v>
      </c>
      <c r="D17" s="37">
        <f>Inputs!D11</f>
        <v>161.08333333333334</v>
      </c>
      <c r="E17" s="37">
        <f>Inputs!E11</f>
        <v>405.75</v>
      </c>
      <c r="F17" s="37">
        <f>Inputs!F11</f>
        <v>7066.75</v>
      </c>
      <c r="G17" s="37">
        <f>Inputs!G11</f>
        <v>258.25</v>
      </c>
      <c r="H17" s="37">
        <f>Inputs!H11</f>
        <v>0</v>
      </c>
      <c r="I17" s="43">
        <f t="shared" si="1"/>
        <v>31606.166666666664</v>
      </c>
      <c r="K17" s="6">
        <f t="shared" si="0"/>
        <v>23875.416666666664</v>
      </c>
      <c r="L17" s="6"/>
      <c r="O17" s="111" t="s">
        <v>97</v>
      </c>
      <c r="P17" s="109">
        <f t="shared" si="2"/>
        <v>25972.033455452078</v>
      </c>
      <c r="Q17" s="109">
        <f t="shared" si="3"/>
        <v>26340.302140214233</v>
      </c>
    </row>
    <row r="18" spans="1:17" x14ac:dyDescent="0.25">
      <c r="A18" s="4">
        <v>2021</v>
      </c>
      <c r="B18" s="37">
        <f>Inputs!B12</f>
        <v>22395.666666666668</v>
      </c>
      <c r="C18" s="37">
        <f>Inputs!C12</f>
        <v>1836.5</v>
      </c>
      <c r="D18" s="37">
        <f>Inputs!D12</f>
        <v>139.75</v>
      </c>
      <c r="E18" s="37">
        <f>Inputs!E12</f>
        <v>377.66666666666669</v>
      </c>
      <c r="F18" s="37">
        <f>Inputs!F12</f>
        <v>7115.166666666667</v>
      </c>
      <c r="G18" s="37">
        <f>Inputs!G12</f>
        <v>255.83333333333334</v>
      </c>
      <c r="H18" s="37">
        <f>Inputs!H12</f>
        <v>0</v>
      </c>
      <c r="I18" s="43">
        <f t="shared" si="1"/>
        <v>32120.583333333336</v>
      </c>
      <c r="K18" s="6">
        <f t="shared" si="0"/>
        <v>24371.916666666668</v>
      </c>
      <c r="L18" s="6"/>
      <c r="M18" s="199" t="s">
        <v>108</v>
      </c>
      <c r="N18" s="199"/>
      <c r="O18" s="111" t="s">
        <v>98</v>
      </c>
      <c r="P18" s="109">
        <f t="shared" si="2"/>
        <v>26003.475655700204</v>
      </c>
      <c r="Q18" s="109">
        <f>Q17+(Q17*$N$22)</f>
        <v>26370.537139762626</v>
      </c>
    </row>
    <row r="19" spans="1:17" x14ac:dyDescent="0.25">
      <c r="A19" s="4">
        <v>2022</v>
      </c>
      <c r="B19" s="37">
        <f>Inputs!B13</f>
        <v>22849</v>
      </c>
      <c r="C19" s="37">
        <f>Inputs!C13</f>
        <v>1838.0833333333333</v>
      </c>
      <c r="D19" s="37">
        <f>Inputs!D13</f>
        <v>138.75</v>
      </c>
      <c r="E19" s="37">
        <f>Inputs!E13</f>
        <v>344.91666666666669</v>
      </c>
      <c r="F19" s="37">
        <f>Inputs!F13</f>
        <v>7186.166666666667</v>
      </c>
      <c r="G19" s="37">
        <f>Inputs!G13</f>
        <v>252.08333333333334</v>
      </c>
      <c r="H19" s="37">
        <f>Inputs!H13</f>
        <v>0</v>
      </c>
      <c r="I19" s="43">
        <f t="shared" si="1"/>
        <v>32609</v>
      </c>
      <c r="J19" s="34"/>
      <c r="K19" s="6">
        <f t="shared" si="0"/>
        <v>24825.833333333332</v>
      </c>
      <c r="L19" s="6"/>
      <c r="M19" s="2" t="s">
        <v>109</v>
      </c>
      <c r="N19" s="2" t="s">
        <v>110</v>
      </c>
      <c r="O19" s="111" t="s">
        <v>99</v>
      </c>
      <c r="P19" s="109">
        <f t="shared" si="2"/>
        <v>26034.955920428652</v>
      </c>
      <c r="Q19" s="109">
        <f t="shared" si="3"/>
        <v>26400.806844880943</v>
      </c>
    </row>
    <row r="20" spans="1:17" x14ac:dyDescent="0.25">
      <c r="A20" s="4">
        <v>2023</v>
      </c>
      <c r="B20" s="37">
        <f>Inputs!B14</f>
        <v>23410.333333333332</v>
      </c>
      <c r="C20" s="37">
        <f>Inputs!C14</f>
        <v>1845.3333333333333</v>
      </c>
      <c r="D20" s="37">
        <f>Inputs!D14</f>
        <v>142</v>
      </c>
      <c r="E20" s="37">
        <f>Inputs!E14</f>
        <v>341.75</v>
      </c>
      <c r="F20" s="37">
        <f>Inputs!F14</f>
        <v>7335.916666666667</v>
      </c>
      <c r="G20" s="37">
        <f>Inputs!G14</f>
        <v>200.16666666666666</v>
      </c>
      <c r="H20" s="37">
        <f>Inputs!H14</f>
        <v>0</v>
      </c>
      <c r="I20" s="43">
        <f t="shared" si="1"/>
        <v>33275.499999999993</v>
      </c>
      <c r="J20" s="34"/>
      <c r="K20" s="6">
        <f t="shared" si="0"/>
        <v>25397.666666666664</v>
      </c>
      <c r="L20" s="6"/>
      <c r="M20" s="112"/>
      <c r="N20" s="112"/>
      <c r="O20" s="111" t="s">
        <v>100</v>
      </c>
      <c r="P20" s="109">
        <f t="shared" si="2"/>
        <v>26066.474295718956</v>
      </c>
      <c r="Q20" s="109">
        <f t="shared" si="3"/>
        <v>26431.111295406343</v>
      </c>
    </row>
    <row r="21" spans="1:17" x14ac:dyDescent="0.25">
      <c r="A21" s="4">
        <v>2024</v>
      </c>
      <c r="B21" s="175">
        <f>B79</f>
        <v>23945.038204845408</v>
      </c>
      <c r="C21" s="175">
        <f t="shared" ref="C21:G21" si="4">C79</f>
        <v>1862.564695171367</v>
      </c>
      <c r="D21" s="175">
        <f t="shared" si="4"/>
        <v>148.95042516039706</v>
      </c>
      <c r="E21" s="175">
        <f t="shared" si="4"/>
        <v>340.61121376389104</v>
      </c>
      <c r="F21" s="175">
        <f t="shared" si="4"/>
        <v>7311.2655982613132</v>
      </c>
      <c r="G21" s="175">
        <f t="shared" si="4"/>
        <v>196.25</v>
      </c>
      <c r="H21" s="48">
        <v>0</v>
      </c>
      <c r="I21" s="43">
        <f>SUM(B21:H21)</f>
        <v>33804.680137202376</v>
      </c>
      <c r="J21" s="34"/>
      <c r="K21" s="6">
        <f>B21+C21+D21+H21</f>
        <v>25956.553325177174</v>
      </c>
      <c r="L21" s="6"/>
      <c r="M21" s="112">
        <v>1.4527410940875061E-2</v>
      </c>
      <c r="N21" s="112">
        <f>M21/12</f>
        <v>1.2106175784062552E-3</v>
      </c>
      <c r="O21" s="111" t="s">
        <v>101</v>
      </c>
      <c r="P21" s="109">
        <f t="shared" si="2"/>
        <v>26098.030827708426</v>
      </c>
      <c r="Q21" s="109">
        <f>Q20+(Q20*$N$22)</f>
        <v>26461.450531221715</v>
      </c>
    </row>
    <row r="22" spans="1:17" x14ac:dyDescent="0.25">
      <c r="A22" s="4">
        <v>2025</v>
      </c>
      <c r="B22" s="48">
        <f>B21*B39</f>
        <v>24304.521006352014</v>
      </c>
      <c r="C22" s="48">
        <f t="shared" ref="C22:F22" si="5">C21*C39</f>
        <v>1874.4291515896209</v>
      </c>
      <c r="D22" s="48">
        <f t="shared" si="5"/>
        <v>146.45371925770544</v>
      </c>
      <c r="E22" s="48">
        <f t="shared" si="5"/>
        <v>325.1482010575661</v>
      </c>
      <c r="F22" s="48">
        <f t="shared" si="5"/>
        <v>7375.0415819619884</v>
      </c>
      <c r="G22" s="48">
        <f>G21*G39</f>
        <v>190.68361562951188</v>
      </c>
      <c r="H22" s="48">
        <v>0</v>
      </c>
      <c r="I22" s="43">
        <f>SUM(B22:H22)</f>
        <v>34216.277275848406</v>
      </c>
      <c r="J22" s="34"/>
      <c r="K22" s="6">
        <f>B22+C22+D22+H22</f>
        <v>26325.40387719934</v>
      </c>
      <c r="L22" s="6"/>
      <c r="M22" s="112">
        <v>1.3774329263550949E-2</v>
      </c>
      <c r="N22" s="112">
        <f>M22/12</f>
        <v>1.147860771962579E-3</v>
      </c>
      <c r="O22" s="113" t="s">
        <v>102</v>
      </c>
      <c r="P22" s="114">
        <f>P21+(P21*$N$21)</f>
        <v>26129.625562590238</v>
      </c>
      <c r="Q22" s="114">
        <f t="shared" si="3"/>
        <v>26491.824592255733</v>
      </c>
    </row>
    <row r="23" spans="1:17" x14ac:dyDescent="0.25">
      <c r="A23" s="13"/>
      <c r="J23" s="34"/>
      <c r="O23" s="111" t="s">
        <v>9</v>
      </c>
      <c r="P23" s="109">
        <f>AVERAGE(P11:P22)</f>
        <v>25956.553005312759</v>
      </c>
      <c r="Q23" s="109">
        <f>AVERAGE(Q11:Q22)</f>
        <v>26325.404074870254</v>
      </c>
    </row>
    <row r="24" spans="1:17" x14ac:dyDescent="0.25">
      <c r="A24" s="13" t="s">
        <v>31</v>
      </c>
      <c r="B24" s="5"/>
      <c r="C24" s="5"/>
      <c r="D24" s="5"/>
      <c r="E24" s="5"/>
      <c r="F24" s="16"/>
      <c r="G24" s="16"/>
      <c r="H24" s="16"/>
      <c r="P24" s="34">
        <f>P23-K21</f>
        <v>-3.1986441535991617E-4</v>
      </c>
      <c r="Q24" s="34">
        <f>Q23-K22</f>
        <v>1.9767091362155043E-4</v>
      </c>
    </row>
    <row r="25" spans="1:17" x14ac:dyDescent="0.25">
      <c r="A25" s="4"/>
      <c r="B25" s="16"/>
      <c r="C25" s="16"/>
      <c r="D25" s="16"/>
      <c r="E25" s="16"/>
      <c r="F25" s="16"/>
      <c r="G25" s="16"/>
      <c r="H25" s="16"/>
      <c r="P25" s="34"/>
      <c r="Q25" s="34"/>
    </row>
    <row r="26" spans="1:17" x14ac:dyDescent="0.25">
      <c r="A26" s="4">
        <f>+A12</f>
        <v>2015</v>
      </c>
      <c r="B26" s="16">
        <f>B12/B11</f>
        <v>1.0079783120171288</v>
      </c>
      <c r="C26" s="16">
        <f t="shared" ref="C26:G26" si="6">C12/C11</f>
        <v>1.0150616811705078</v>
      </c>
      <c r="D26" s="16">
        <f t="shared" si="6"/>
        <v>0.96068548387096775</v>
      </c>
      <c r="E26" s="16">
        <f t="shared" si="6"/>
        <v>0.99213483146067427</v>
      </c>
      <c r="F26" s="16">
        <f t="shared" si="6"/>
        <v>1.0012160369478702</v>
      </c>
      <c r="G26" s="16">
        <f t="shared" si="6"/>
        <v>0.98971722365038572</v>
      </c>
      <c r="H26" s="16">
        <v>0</v>
      </c>
      <c r="K26" s="16">
        <f>K12/K11</f>
        <v>1.0081805454193413</v>
      </c>
      <c r="M26" s="34"/>
      <c r="N26" s="34"/>
      <c r="O26" s="34"/>
      <c r="Q26" s="132"/>
    </row>
    <row r="27" spans="1:17" x14ac:dyDescent="0.25">
      <c r="A27" s="4">
        <f t="shared" ref="A27:A33" si="7">+A13</f>
        <v>2016</v>
      </c>
      <c r="B27" s="16">
        <f t="shared" ref="B27:G34" si="8">B13/B12</f>
        <v>1.0090620532577355</v>
      </c>
      <c r="C27" s="16">
        <f t="shared" si="8"/>
        <v>1.0008478967450185</v>
      </c>
      <c r="D27" s="16">
        <f t="shared" si="8"/>
        <v>1.0010493179433368</v>
      </c>
      <c r="E27" s="16">
        <f t="shared" si="8"/>
        <v>0.98770425497492309</v>
      </c>
      <c r="F27" s="16">
        <f t="shared" si="8"/>
        <v>1.0047723620124891</v>
      </c>
      <c r="G27" s="16">
        <f t="shared" si="8"/>
        <v>1.0181818181818181</v>
      </c>
      <c r="H27" s="16">
        <v>0</v>
      </c>
      <c r="K27" s="16">
        <f t="shared" ref="K27:K32" si="9">K13/K12</f>
        <v>1.0083616178105415</v>
      </c>
      <c r="M27" s="34"/>
      <c r="N27" s="34"/>
      <c r="O27" s="34"/>
    </row>
    <row r="28" spans="1:17" x14ac:dyDescent="0.25">
      <c r="A28" s="4">
        <f t="shared" si="7"/>
        <v>2017</v>
      </c>
      <c r="B28" s="16">
        <f t="shared" si="8"/>
        <v>1.0078800976507782</v>
      </c>
      <c r="C28" s="16">
        <f t="shared" si="8"/>
        <v>1.01176636701652</v>
      </c>
      <c r="D28" s="16">
        <f t="shared" si="8"/>
        <v>1.0010482180293501</v>
      </c>
      <c r="E28" s="16">
        <f t="shared" si="8"/>
        <v>0.98296478296478296</v>
      </c>
      <c r="F28" s="16">
        <f t="shared" si="8"/>
        <v>1.0059096459096459</v>
      </c>
      <c r="G28" s="16">
        <f t="shared" si="8"/>
        <v>1.002232142857143</v>
      </c>
      <c r="H28" s="16">
        <v>0</v>
      </c>
      <c r="K28" s="16">
        <f t="shared" si="9"/>
        <v>1.0081347861917407</v>
      </c>
    </row>
    <row r="29" spans="1:17" x14ac:dyDescent="0.25">
      <c r="A29" s="4">
        <f t="shared" si="7"/>
        <v>2018</v>
      </c>
      <c r="B29" s="16">
        <f t="shared" si="8"/>
        <v>1.0121863571567549</v>
      </c>
      <c r="C29" s="16">
        <f t="shared" si="8"/>
        <v>1.0038144857421964</v>
      </c>
      <c r="D29" s="16">
        <f t="shared" si="8"/>
        <v>1.0303664921465969</v>
      </c>
      <c r="E29" s="16">
        <f t="shared" si="8"/>
        <v>0.97283786035660724</v>
      </c>
      <c r="F29" s="16">
        <f t="shared" si="8"/>
        <v>1.0132428626917849</v>
      </c>
      <c r="G29" s="16">
        <f t="shared" si="8"/>
        <v>1.0034998409163218</v>
      </c>
      <c r="H29" s="16">
        <v>0</v>
      </c>
      <c r="K29" s="16">
        <f t="shared" si="9"/>
        <v>1.0116586617062553</v>
      </c>
      <c r="O29" s="150"/>
      <c r="P29" s="150"/>
    </row>
    <row r="30" spans="1:17" x14ac:dyDescent="0.25">
      <c r="A30" s="4">
        <f t="shared" si="7"/>
        <v>2019</v>
      </c>
      <c r="B30" s="16">
        <f t="shared" si="8"/>
        <v>1.0158959310810176</v>
      </c>
      <c r="C30" s="16">
        <f t="shared" si="8"/>
        <v>0.99949024514574347</v>
      </c>
      <c r="D30" s="16">
        <f t="shared" si="8"/>
        <v>1.0132113821138211</v>
      </c>
      <c r="E30" s="16">
        <f t="shared" si="8"/>
        <v>0.9323398424117848</v>
      </c>
      <c r="F30" s="16">
        <f t="shared" si="8"/>
        <v>1.0072596585804132</v>
      </c>
      <c r="G30" s="16">
        <f t="shared" si="8"/>
        <v>0.99619530754597341</v>
      </c>
      <c r="H30" s="16">
        <v>0</v>
      </c>
      <c r="K30" s="16">
        <f t="shared" si="9"/>
        <v>1.0146055915677579</v>
      </c>
      <c r="O30" s="150"/>
      <c r="P30" s="150"/>
    </row>
    <row r="31" spans="1:17" x14ac:dyDescent="0.25">
      <c r="A31" s="4">
        <f t="shared" si="7"/>
        <v>2020</v>
      </c>
      <c r="B31" s="16">
        <f t="shared" si="8"/>
        <v>1.0160719802286067</v>
      </c>
      <c r="C31" s="16">
        <f t="shared" si="8"/>
        <v>0.99452893175074186</v>
      </c>
      <c r="D31" s="16">
        <f t="shared" si="8"/>
        <v>0.96940822467402221</v>
      </c>
      <c r="E31" s="16">
        <f t="shared" si="8"/>
        <v>0.89454345030314164</v>
      </c>
      <c r="F31" s="16">
        <f t="shared" si="8"/>
        <v>1.0085631712277447</v>
      </c>
      <c r="G31" s="16">
        <f t="shared" si="8"/>
        <v>0.98631444939528967</v>
      </c>
      <c r="H31" s="16">
        <v>0</v>
      </c>
      <c r="K31" s="16">
        <f t="shared" si="9"/>
        <v>1.0140980171455674</v>
      </c>
      <c r="O31" s="150"/>
      <c r="P31" s="150"/>
      <c r="Q31" s="150"/>
    </row>
    <row r="32" spans="1:17" x14ac:dyDescent="0.25">
      <c r="A32" s="4">
        <f t="shared" si="7"/>
        <v>2021</v>
      </c>
      <c r="B32" s="16">
        <f t="shared" si="8"/>
        <v>1.0213817164661261</v>
      </c>
      <c r="C32" s="16">
        <f t="shared" si="8"/>
        <v>1.0274125874125875</v>
      </c>
      <c r="D32" s="16">
        <f t="shared" si="8"/>
        <v>0.86756337299534403</v>
      </c>
      <c r="E32" s="16">
        <f t="shared" si="8"/>
        <v>0.93078660915999178</v>
      </c>
      <c r="F32" s="16">
        <f t="shared" si="8"/>
        <v>1.0068513343003032</v>
      </c>
      <c r="G32" s="16">
        <f t="shared" si="8"/>
        <v>0.99064214262665384</v>
      </c>
      <c r="H32" s="16">
        <v>0</v>
      </c>
      <c r="K32" s="16">
        <f t="shared" si="9"/>
        <v>1.0207954485960107</v>
      </c>
      <c r="O32" s="150"/>
      <c r="P32" s="150"/>
      <c r="Q32" s="150"/>
    </row>
    <row r="33" spans="1:17" x14ac:dyDescent="0.25">
      <c r="A33" s="4">
        <f t="shared" si="7"/>
        <v>2022</v>
      </c>
      <c r="B33" s="16">
        <f t="shared" si="8"/>
        <v>1.0202420111033383</v>
      </c>
      <c r="C33" s="16">
        <f t="shared" si="8"/>
        <v>1.0008621472002903</v>
      </c>
      <c r="D33" s="16">
        <f t="shared" si="8"/>
        <v>0.99284436493738815</v>
      </c>
      <c r="E33" s="16">
        <f t="shared" si="8"/>
        <v>0.91328331862312451</v>
      </c>
      <c r="F33" s="16">
        <f t="shared" si="8"/>
        <v>1.0099786840317631</v>
      </c>
      <c r="G33" s="16">
        <f t="shared" si="8"/>
        <v>0.98534201954397393</v>
      </c>
      <c r="H33" s="16">
        <v>0</v>
      </c>
      <c r="K33" s="16">
        <f>K19/K18</f>
        <v>1.0186245781517662</v>
      </c>
      <c r="Q33" s="150"/>
    </row>
    <row r="34" spans="1:17" x14ac:dyDescent="0.25">
      <c r="A34" s="4">
        <v>2023</v>
      </c>
      <c r="B34" s="16">
        <f t="shared" si="8"/>
        <v>1.024567085357492</v>
      </c>
      <c r="C34" s="16">
        <f t="shared" si="8"/>
        <v>1.003944326064288</v>
      </c>
      <c r="D34" s="16">
        <f t="shared" si="8"/>
        <v>1.0234234234234234</v>
      </c>
      <c r="E34" s="16">
        <f t="shared" si="8"/>
        <v>0.99081903841507601</v>
      </c>
      <c r="F34" s="16">
        <f t="shared" si="8"/>
        <v>1.0208386483289653</v>
      </c>
      <c r="G34" s="16">
        <f t="shared" si="8"/>
        <v>0.79404958677685944</v>
      </c>
      <c r="H34" s="16">
        <v>0</v>
      </c>
      <c r="K34" s="16">
        <f>K20/K19</f>
        <v>1.0230338021550132</v>
      </c>
      <c r="Q34" s="150"/>
    </row>
    <row r="35" spans="1:17" x14ac:dyDescent="0.25">
      <c r="A35" s="4"/>
      <c r="B35" s="16"/>
      <c r="C35" s="16"/>
      <c r="D35" s="16"/>
      <c r="E35" s="16"/>
      <c r="F35" s="16"/>
      <c r="G35" s="16"/>
      <c r="H35" s="16"/>
      <c r="K35" s="16"/>
      <c r="O35" s="150"/>
      <c r="P35" s="150"/>
      <c r="Q35" s="150"/>
    </row>
    <row r="36" spans="1:17" x14ac:dyDescent="0.25">
      <c r="A36" s="4"/>
      <c r="B36" s="16"/>
      <c r="C36" s="16"/>
      <c r="D36" s="16"/>
      <c r="E36" s="16"/>
      <c r="F36" s="16"/>
      <c r="G36" s="16"/>
      <c r="H36" s="16"/>
      <c r="K36" s="16"/>
      <c r="O36" s="150"/>
      <c r="P36" s="150"/>
      <c r="Q36" s="150"/>
    </row>
    <row r="37" spans="1:17" x14ac:dyDescent="0.25">
      <c r="A37" s="4"/>
      <c r="B37" s="16"/>
      <c r="C37" s="16"/>
      <c r="D37" s="16"/>
      <c r="E37" s="16"/>
      <c r="F37" s="16"/>
      <c r="G37" s="16"/>
      <c r="H37" s="16"/>
      <c r="K37" s="16"/>
    </row>
    <row r="38" spans="1:17" x14ac:dyDescent="0.25">
      <c r="K38" s="6"/>
    </row>
    <row r="39" spans="1:17" x14ac:dyDescent="0.25">
      <c r="A39" t="s">
        <v>45</v>
      </c>
      <c r="B39" s="49">
        <f>B41</f>
        <v>1.0150128305677066</v>
      </c>
      <c r="C39" s="49">
        <f>C41</f>
        <v>1.0063699566780215</v>
      </c>
      <c r="D39" s="49">
        <f>D41</f>
        <v>0.98323800754510748</v>
      </c>
      <c r="E39" s="49">
        <f>E41</f>
        <v>0.95460216199151982</v>
      </c>
      <c r="F39" s="49">
        <f>+F41</f>
        <v>1.0087229745443582</v>
      </c>
      <c r="G39" s="49">
        <f>+G41</f>
        <v>0.97163625798477393</v>
      </c>
      <c r="H39" s="49">
        <v>0</v>
      </c>
      <c r="I39" s="40" t="s">
        <v>58</v>
      </c>
      <c r="K39" s="49">
        <f>K41</f>
        <v>1.0141519494528497</v>
      </c>
    </row>
    <row r="40" spans="1:17" x14ac:dyDescent="0.25">
      <c r="B40" s="17"/>
      <c r="C40" s="17"/>
      <c r="D40" s="17"/>
      <c r="E40" s="17"/>
      <c r="F40" s="17"/>
      <c r="G40" s="17"/>
      <c r="H40" s="17"/>
      <c r="K40" s="17"/>
    </row>
    <row r="41" spans="1:17" x14ac:dyDescent="0.25">
      <c r="A41" t="s">
        <v>10</v>
      </c>
      <c r="B41" s="17">
        <f>IF(B20="",0,GEOMEAN(B26:B34))</f>
        <v>1.0150128305677066</v>
      </c>
      <c r="C41" s="17">
        <f t="shared" ref="C41:G41" si="10">IF(C20="",0,GEOMEAN(C26:C34))</f>
        <v>1.0063699566780215</v>
      </c>
      <c r="D41" s="17">
        <f t="shared" si="10"/>
        <v>0.98323800754510748</v>
      </c>
      <c r="E41" s="17">
        <f t="shared" si="10"/>
        <v>0.95460216199151982</v>
      </c>
      <c r="F41" s="17">
        <f t="shared" si="10"/>
        <v>1.0087229745443582</v>
      </c>
      <c r="G41" s="17">
        <f t="shared" si="10"/>
        <v>0.97163625798477393</v>
      </c>
      <c r="H41" s="17">
        <v>0</v>
      </c>
      <c r="K41" s="17">
        <f>IF(K20="",0,GEOMEAN(K26:K34))</f>
        <v>1.0141519494528497</v>
      </c>
    </row>
    <row r="42" spans="1:17" x14ac:dyDescent="0.25">
      <c r="A42" s="4"/>
      <c r="B42" s="17"/>
      <c r="C42" s="17"/>
      <c r="D42" s="17"/>
      <c r="E42" s="17"/>
      <c r="F42" s="17"/>
      <c r="G42" s="17"/>
      <c r="H42" s="17"/>
    </row>
    <row r="43" spans="1:17" x14ac:dyDescent="0.25">
      <c r="A43" s="3">
        <v>45284</v>
      </c>
      <c r="B43" s="42">
        <f>Inputs!G143</f>
        <v>23761</v>
      </c>
      <c r="C43" s="42">
        <f>Inputs!I143</f>
        <v>1847</v>
      </c>
      <c r="D43" s="42">
        <f>Inputs!L143</f>
        <v>145</v>
      </c>
      <c r="E43" s="42">
        <f>Inputs!O143</f>
        <v>341</v>
      </c>
      <c r="F43" s="42">
        <f>Inputs!R143</f>
        <v>7272</v>
      </c>
      <c r="G43" s="42">
        <f>Inputs!U143</f>
        <v>196</v>
      </c>
      <c r="H43"/>
    </row>
    <row r="44" spans="1:17" x14ac:dyDescent="0.25">
      <c r="A44" s="3">
        <v>45315</v>
      </c>
      <c r="B44" s="42">
        <f>Inputs!G144</f>
        <v>23784</v>
      </c>
      <c r="C44" s="42">
        <f>Inputs!I144</f>
        <v>1851</v>
      </c>
      <c r="D44" s="42">
        <f>Inputs!L144</f>
        <v>146</v>
      </c>
      <c r="E44" s="42">
        <f>Inputs!O144</f>
        <v>341</v>
      </c>
      <c r="F44" s="42">
        <f>Inputs!R144</f>
        <v>7272</v>
      </c>
      <c r="G44" s="42">
        <f>Inputs!U144</f>
        <v>197</v>
      </c>
      <c r="H44"/>
    </row>
    <row r="45" spans="1:17" x14ac:dyDescent="0.25">
      <c r="A45" s="3">
        <v>45346</v>
      </c>
      <c r="B45" s="42">
        <f>Inputs!G145</f>
        <v>23795</v>
      </c>
      <c r="C45" s="42">
        <f>Inputs!I145</f>
        <v>1852</v>
      </c>
      <c r="D45" s="42">
        <f>Inputs!L145</f>
        <v>146</v>
      </c>
      <c r="E45" s="42">
        <f>Inputs!O145</f>
        <v>341</v>
      </c>
      <c r="F45" s="42">
        <f>Inputs!R145</f>
        <v>7272</v>
      </c>
      <c r="G45" s="42">
        <f>Inputs!U145</f>
        <v>197</v>
      </c>
      <c r="H45"/>
    </row>
    <row r="46" spans="1:17" x14ac:dyDescent="0.25">
      <c r="A46" s="3">
        <v>45375</v>
      </c>
      <c r="B46" s="42">
        <f>Inputs!G146</f>
        <v>23793</v>
      </c>
      <c r="C46" s="42">
        <f>Inputs!I146</f>
        <v>1850</v>
      </c>
      <c r="D46" s="42">
        <f>Inputs!L146</f>
        <v>148</v>
      </c>
      <c r="E46" s="42">
        <f>Inputs!O146</f>
        <v>341</v>
      </c>
      <c r="F46" s="42">
        <f>Inputs!R146</f>
        <v>7274</v>
      </c>
      <c r="G46" s="42">
        <f>Inputs!U146</f>
        <v>197</v>
      </c>
      <c r="H46"/>
    </row>
    <row r="47" spans="1:17" x14ac:dyDescent="0.25">
      <c r="A47" s="3">
        <v>45406</v>
      </c>
      <c r="B47" s="42">
        <f>Inputs!G147</f>
        <v>23812</v>
      </c>
      <c r="C47" s="42">
        <f>Inputs!I147</f>
        <v>1861</v>
      </c>
      <c r="D47" s="42">
        <f>Inputs!L147</f>
        <v>149</v>
      </c>
      <c r="E47" s="42">
        <f>Inputs!O147</f>
        <v>341</v>
      </c>
      <c r="F47" s="42">
        <f>Inputs!R147</f>
        <v>7274</v>
      </c>
      <c r="G47" s="42">
        <f>Inputs!U147</f>
        <v>196</v>
      </c>
      <c r="H47"/>
    </row>
    <row r="48" spans="1:17" x14ac:dyDescent="0.25">
      <c r="A48" s="3">
        <v>45436</v>
      </c>
      <c r="B48" s="42">
        <f>Inputs!G148</f>
        <v>23832</v>
      </c>
      <c r="C48" s="42">
        <f>Inputs!I148</f>
        <v>1861</v>
      </c>
      <c r="D48" s="42">
        <f>Inputs!L148</f>
        <v>148</v>
      </c>
      <c r="E48" s="42">
        <f>Inputs!O148</f>
        <v>341</v>
      </c>
      <c r="F48" s="42">
        <f>Inputs!R148</f>
        <v>7320</v>
      </c>
      <c r="G48" s="42">
        <f>Inputs!U148</f>
        <v>196</v>
      </c>
      <c r="H48"/>
    </row>
    <row r="49" spans="1:8" x14ac:dyDescent="0.25">
      <c r="A49" s="3">
        <v>45467</v>
      </c>
      <c r="B49" s="42">
        <f>Inputs!G149</f>
        <v>23864</v>
      </c>
      <c r="C49" s="42">
        <f>Inputs!I149</f>
        <v>1855</v>
      </c>
      <c r="D49" s="42">
        <f>Inputs!L149</f>
        <v>148</v>
      </c>
      <c r="E49" s="42">
        <f>Inputs!O149</f>
        <v>341</v>
      </c>
      <c r="F49" s="42">
        <f>Inputs!R149</f>
        <v>7320</v>
      </c>
      <c r="G49" s="42">
        <f>Inputs!U149</f>
        <v>196</v>
      </c>
      <c r="H49"/>
    </row>
    <row r="50" spans="1:8" x14ac:dyDescent="0.25">
      <c r="A50" s="3">
        <v>45497</v>
      </c>
      <c r="B50" s="42">
        <f>Inputs!G150</f>
        <v>23908</v>
      </c>
      <c r="C50" s="42">
        <f>Inputs!I150</f>
        <v>1859</v>
      </c>
      <c r="D50" s="42">
        <f>Inputs!L150</f>
        <v>148</v>
      </c>
      <c r="E50" s="42">
        <f>Inputs!O150</f>
        <v>341</v>
      </c>
      <c r="F50" s="42">
        <f>Inputs!R150</f>
        <v>7320</v>
      </c>
      <c r="G50" s="42">
        <f>Inputs!U150</f>
        <v>196</v>
      </c>
      <c r="H50"/>
    </row>
    <row r="51" spans="1:8" x14ac:dyDescent="0.25">
      <c r="A51" s="3">
        <v>45528</v>
      </c>
      <c r="B51" s="42">
        <f>Inputs!G151</f>
        <v>24018</v>
      </c>
      <c r="C51" s="42">
        <f>Inputs!I151</f>
        <v>1871</v>
      </c>
      <c r="D51" s="42">
        <f>Inputs!L151</f>
        <v>151</v>
      </c>
      <c r="E51" s="42">
        <f>Inputs!O151</f>
        <v>341</v>
      </c>
      <c r="F51" s="42">
        <f>Inputs!R151</f>
        <v>7329</v>
      </c>
      <c r="G51" s="42">
        <f>Inputs!U151</f>
        <v>196</v>
      </c>
      <c r="H51"/>
    </row>
    <row r="52" spans="1:8" x14ac:dyDescent="0.25">
      <c r="A52" s="3">
        <v>45559</v>
      </c>
      <c r="B52" s="42">
        <f>Inputs!G152</f>
        <v>24080</v>
      </c>
      <c r="C52" s="42">
        <f>Inputs!I152</f>
        <v>1869</v>
      </c>
      <c r="D52" s="42">
        <f>Inputs!L152</f>
        <v>150</v>
      </c>
      <c r="E52" s="42">
        <f>Inputs!O152</f>
        <v>340</v>
      </c>
      <c r="F52" s="42">
        <f>Inputs!R152</f>
        <v>7329</v>
      </c>
      <c r="G52" s="42">
        <f>Inputs!U152</f>
        <v>196</v>
      </c>
      <c r="H52"/>
    </row>
    <row r="53" spans="1:8" x14ac:dyDescent="0.25">
      <c r="A53" s="3"/>
      <c r="B53"/>
      <c r="C53"/>
      <c r="D53"/>
      <c r="E53"/>
      <c r="F53"/>
      <c r="G53"/>
      <c r="H53"/>
    </row>
    <row r="54" spans="1:8" x14ac:dyDescent="0.25">
      <c r="A54" s="3">
        <v>45315</v>
      </c>
      <c r="B54" s="170">
        <f>B44/B43</f>
        <v>1.0009679727284204</v>
      </c>
      <c r="C54" s="170">
        <f t="shared" ref="C54:G54" si="11">C44/C43</f>
        <v>1.0021656740660532</v>
      </c>
      <c r="D54" s="170">
        <f t="shared" si="11"/>
        <v>1.0068965517241379</v>
      </c>
      <c r="E54" s="170">
        <f t="shared" si="11"/>
        <v>1</v>
      </c>
      <c r="F54" s="170">
        <f t="shared" si="11"/>
        <v>1</v>
      </c>
      <c r="G54" s="170">
        <f t="shared" si="11"/>
        <v>1.0051020408163265</v>
      </c>
      <c r="H54"/>
    </row>
    <row r="55" spans="1:8" x14ac:dyDescent="0.25">
      <c r="A55" s="3">
        <v>45346</v>
      </c>
      <c r="B55" s="170">
        <f t="shared" ref="B55:G62" si="12">B45/B44</f>
        <v>1.0004624957954928</v>
      </c>
      <c r="C55" s="170">
        <f t="shared" si="12"/>
        <v>1.0005402485143167</v>
      </c>
      <c r="D55" s="170">
        <f t="shared" si="12"/>
        <v>1</v>
      </c>
      <c r="E55" s="170">
        <f t="shared" si="12"/>
        <v>1</v>
      </c>
      <c r="F55" s="170">
        <f t="shared" si="12"/>
        <v>1</v>
      </c>
      <c r="G55" s="170">
        <f t="shared" si="12"/>
        <v>1</v>
      </c>
      <c r="H55"/>
    </row>
    <row r="56" spans="1:8" x14ac:dyDescent="0.25">
      <c r="A56" s="3">
        <v>45375</v>
      </c>
      <c r="B56" s="170">
        <f t="shared" si="12"/>
        <v>0.99991594872872447</v>
      </c>
      <c r="C56" s="170">
        <f t="shared" si="12"/>
        <v>0.9989200863930886</v>
      </c>
      <c r="D56" s="170">
        <f t="shared" si="12"/>
        <v>1.0136986301369864</v>
      </c>
      <c r="E56" s="170">
        <f t="shared" si="12"/>
        <v>1</v>
      </c>
      <c r="F56" s="170">
        <f t="shared" si="12"/>
        <v>1.0002750275027503</v>
      </c>
      <c r="G56" s="170">
        <f t="shared" si="12"/>
        <v>1</v>
      </c>
      <c r="H56"/>
    </row>
    <row r="57" spans="1:8" x14ac:dyDescent="0.25">
      <c r="A57" s="3">
        <v>45406</v>
      </c>
      <c r="B57" s="170">
        <f t="shared" si="12"/>
        <v>1.0007985541966125</v>
      </c>
      <c r="C57" s="170">
        <f t="shared" si="12"/>
        <v>1.0059459459459459</v>
      </c>
      <c r="D57" s="170">
        <f t="shared" si="12"/>
        <v>1.0067567567567568</v>
      </c>
      <c r="E57" s="170">
        <f t="shared" si="12"/>
        <v>1</v>
      </c>
      <c r="F57" s="170">
        <f t="shared" si="12"/>
        <v>1</v>
      </c>
      <c r="G57" s="170">
        <f t="shared" si="12"/>
        <v>0.99492385786802029</v>
      </c>
      <c r="H57"/>
    </row>
    <row r="58" spans="1:8" x14ac:dyDescent="0.25">
      <c r="A58" s="3">
        <v>45436</v>
      </c>
      <c r="B58" s="170">
        <f t="shared" si="12"/>
        <v>1.0008399126490846</v>
      </c>
      <c r="C58" s="170">
        <f t="shared" si="12"/>
        <v>1</v>
      </c>
      <c r="D58" s="170">
        <f t="shared" si="12"/>
        <v>0.99328859060402686</v>
      </c>
      <c r="E58" s="170">
        <f t="shared" si="12"/>
        <v>1</v>
      </c>
      <c r="F58" s="170">
        <f t="shared" si="12"/>
        <v>1.0063238933186693</v>
      </c>
      <c r="G58" s="170">
        <f t="shared" si="12"/>
        <v>1</v>
      </c>
      <c r="H58"/>
    </row>
    <row r="59" spans="1:8" x14ac:dyDescent="0.25">
      <c r="A59" s="3">
        <v>45467</v>
      </c>
      <c r="B59" s="170">
        <f t="shared" si="12"/>
        <v>1.0013427324605573</v>
      </c>
      <c r="C59" s="170">
        <f t="shared" si="12"/>
        <v>0.99677592692101025</v>
      </c>
      <c r="D59" s="170">
        <f t="shared" si="12"/>
        <v>1</v>
      </c>
      <c r="E59" s="170">
        <f t="shared" si="12"/>
        <v>1</v>
      </c>
      <c r="F59" s="170">
        <f t="shared" si="12"/>
        <v>1</v>
      </c>
      <c r="G59" s="170">
        <f>G49/G48</f>
        <v>1</v>
      </c>
      <c r="H59"/>
    </row>
    <row r="60" spans="1:8" x14ac:dyDescent="0.25">
      <c r="A60" s="3">
        <v>45497</v>
      </c>
      <c r="B60" s="170">
        <f t="shared" si="12"/>
        <v>1.0018437814280925</v>
      </c>
      <c r="C60" s="170">
        <f t="shared" si="12"/>
        <v>1.0021563342318058</v>
      </c>
      <c r="D60" s="170">
        <f t="shared" si="12"/>
        <v>1</v>
      </c>
      <c r="E60" s="170">
        <f t="shared" si="12"/>
        <v>1</v>
      </c>
      <c r="F60" s="170">
        <f t="shared" si="12"/>
        <v>1</v>
      </c>
      <c r="G60" s="170">
        <f t="shared" si="12"/>
        <v>1</v>
      </c>
      <c r="H60"/>
    </row>
    <row r="61" spans="1:8" x14ac:dyDescent="0.25">
      <c r="A61" s="3">
        <v>45528</v>
      </c>
      <c r="B61" s="170">
        <f t="shared" si="12"/>
        <v>1.0046009703864816</v>
      </c>
      <c r="C61" s="170">
        <f t="shared" si="12"/>
        <v>1.0064550833781603</v>
      </c>
      <c r="D61" s="170">
        <f t="shared" si="12"/>
        <v>1.0202702702702702</v>
      </c>
      <c r="E61" s="170">
        <f t="shared" si="12"/>
        <v>1</v>
      </c>
      <c r="F61" s="170">
        <f t="shared" si="12"/>
        <v>1.0012295081967213</v>
      </c>
      <c r="G61" s="170">
        <f t="shared" si="12"/>
        <v>1</v>
      </c>
      <c r="H61"/>
    </row>
    <row r="62" spans="1:8" x14ac:dyDescent="0.25">
      <c r="A62" s="3">
        <v>45559</v>
      </c>
      <c r="B62" s="170">
        <f t="shared" si="12"/>
        <v>1.0025813972853692</v>
      </c>
      <c r="C62" s="170">
        <f t="shared" si="12"/>
        <v>0.99893105291288076</v>
      </c>
      <c r="D62" s="170">
        <f t="shared" si="12"/>
        <v>0.99337748344370858</v>
      </c>
      <c r="E62" s="170">
        <f t="shared" si="12"/>
        <v>0.99706744868035191</v>
      </c>
      <c r="F62" s="170">
        <f t="shared" si="12"/>
        <v>1</v>
      </c>
      <c r="G62" s="170">
        <f t="shared" si="12"/>
        <v>1</v>
      </c>
      <c r="H62"/>
    </row>
    <row r="63" spans="1:8" x14ac:dyDescent="0.25">
      <c r="A63" s="3"/>
      <c r="B63"/>
      <c r="C63"/>
      <c r="D63"/>
      <c r="E63"/>
      <c r="F63"/>
      <c r="G63"/>
      <c r="H63"/>
    </row>
    <row r="64" spans="1:8" x14ac:dyDescent="0.25">
      <c r="A64" s="3" t="s">
        <v>135</v>
      </c>
      <c r="B64" s="170">
        <f>GEOMEAN(B54:B62)</f>
        <v>1.0014828805249187</v>
      </c>
      <c r="C64" s="170">
        <f t="shared" ref="C64:G64" si="13">GEOMEAN(C54:C62)</f>
        <v>1.0013165133167348</v>
      </c>
      <c r="D64" s="170">
        <f t="shared" si="13"/>
        <v>1.0037739425297743</v>
      </c>
      <c r="E64" s="170">
        <f t="shared" si="13"/>
        <v>0.99967373549436456</v>
      </c>
      <c r="F64" s="170">
        <f t="shared" si="13"/>
        <v>1.000867901305067</v>
      </c>
      <c r="G64" s="170">
        <f t="shared" si="13"/>
        <v>1</v>
      </c>
      <c r="H64"/>
    </row>
    <row r="65" spans="1:8" x14ac:dyDescent="0.25">
      <c r="A65" s="3"/>
      <c r="B65"/>
      <c r="C65"/>
      <c r="D65"/>
      <c r="E65"/>
      <c r="F65"/>
      <c r="G65"/>
      <c r="H65"/>
    </row>
    <row r="66" spans="1:8" x14ac:dyDescent="0.25">
      <c r="A66" s="3">
        <v>45315</v>
      </c>
      <c r="B66" s="176">
        <f>B44</f>
        <v>23784</v>
      </c>
      <c r="C66" s="176">
        <f t="shared" ref="C66:G66" si="14">C44</f>
        <v>1851</v>
      </c>
      <c r="D66" s="176">
        <f t="shared" si="14"/>
        <v>146</v>
      </c>
      <c r="E66" s="176">
        <f t="shared" si="14"/>
        <v>341</v>
      </c>
      <c r="F66" s="176">
        <f t="shared" si="14"/>
        <v>7272</v>
      </c>
      <c r="G66" s="176">
        <f t="shared" si="14"/>
        <v>197</v>
      </c>
      <c r="H66"/>
    </row>
    <row r="67" spans="1:8" x14ac:dyDescent="0.25">
      <c r="A67" s="3">
        <v>45346</v>
      </c>
      <c r="B67" s="176">
        <f t="shared" ref="B67:G74" si="15">B45</f>
        <v>23795</v>
      </c>
      <c r="C67" s="176">
        <f t="shared" si="15"/>
        <v>1852</v>
      </c>
      <c r="D67" s="176">
        <f t="shared" si="15"/>
        <v>146</v>
      </c>
      <c r="E67" s="176">
        <f t="shared" si="15"/>
        <v>341</v>
      </c>
      <c r="F67" s="176">
        <f t="shared" si="15"/>
        <v>7272</v>
      </c>
      <c r="G67" s="176">
        <f t="shared" si="15"/>
        <v>197</v>
      </c>
      <c r="H67"/>
    </row>
    <row r="68" spans="1:8" x14ac:dyDescent="0.25">
      <c r="A68" s="3">
        <v>45375</v>
      </c>
      <c r="B68" s="176">
        <f t="shared" si="15"/>
        <v>23793</v>
      </c>
      <c r="C68" s="176">
        <f t="shared" si="15"/>
        <v>1850</v>
      </c>
      <c r="D68" s="176">
        <f t="shared" si="15"/>
        <v>148</v>
      </c>
      <c r="E68" s="176">
        <f t="shared" si="15"/>
        <v>341</v>
      </c>
      <c r="F68" s="176">
        <f t="shared" si="15"/>
        <v>7274</v>
      </c>
      <c r="G68" s="176">
        <f t="shared" si="15"/>
        <v>197</v>
      </c>
      <c r="H68"/>
    </row>
    <row r="69" spans="1:8" x14ac:dyDescent="0.25">
      <c r="A69" s="3">
        <v>45406</v>
      </c>
      <c r="B69" s="176">
        <f t="shared" si="15"/>
        <v>23812</v>
      </c>
      <c r="C69" s="176">
        <f t="shared" si="15"/>
        <v>1861</v>
      </c>
      <c r="D69" s="176">
        <f t="shared" si="15"/>
        <v>149</v>
      </c>
      <c r="E69" s="176">
        <f t="shared" si="15"/>
        <v>341</v>
      </c>
      <c r="F69" s="176">
        <f t="shared" si="15"/>
        <v>7274</v>
      </c>
      <c r="G69" s="176">
        <f t="shared" si="15"/>
        <v>196</v>
      </c>
      <c r="H69"/>
    </row>
    <row r="70" spans="1:8" x14ac:dyDescent="0.25">
      <c r="A70" s="3">
        <v>45436</v>
      </c>
      <c r="B70" s="176">
        <f t="shared" si="15"/>
        <v>23832</v>
      </c>
      <c r="C70" s="176">
        <f t="shared" si="15"/>
        <v>1861</v>
      </c>
      <c r="D70" s="176">
        <f t="shared" si="15"/>
        <v>148</v>
      </c>
      <c r="E70" s="176">
        <f t="shared" si="15"/>
        <v>341</v>
      </c>
      <c r="F70" s="176">
        <f t="shared" si="15"/>
        <v>7320</v>
      </c>
      <c r="G70" s="176">
        <f t="shared" si="15"/>
        <v>196</v>
      </c>
      <c r="H70"/>
    </row>
    <row r="71" spans="1:8" x14ac:dyDescent="0.25">
      <c r="A71" s="3">
        <v>45467</v>
      </c>
      <c r="B71" s="176">
        <f t="shared" si="15"/>
        <v>23864</v>
      </c>
      <c r="C71" s="176">
        <f t="shared" si="15"/>
        <v>1855</v>
      </c>
      <c r="D71" s="176">
        <f t="shared" si="15"/>
        <v>148</v>
      </c>
      <c r="E71" s="176">
        <f t="shared" si="15"/>
        <v>341</v>
      </c>
      <c r="F71" s="176">
        <f t="shared" si="15"/>
        <v>7320</v>
      </c>
      <c r="G71" s="176">
        <f t="shared" si="15"/>
        <v>196</v>
      </c>
      <c r="H71"/>
    </row>
    <row r="72" spans="1:8" x14ac:dyDescent="0.25">
      <c r="A72" s="3">
        <v>45497</v>
      </c>
      <c r="B72" s="176">
        <f t="shared" si="15"/>
        <v>23908</v>
      </c>
      <c r="C72" s="176">
        <f t="shared" si="15"/>
        <v>1859</v>
      </c>
      <c r="D72" s="176">
        <f t="shared" si="15"/>
        <v>148</v>
      </c>
      <c r="E72" s="176">
        <f t="shared" si="15"/>
        <v>341</v>
      </c>
      <c r="F72" s="176">
        <f t="shared" si="15"/>
        <v>7320</v>
      </c>
      <c r="G72" s="176">
        <f t="shared" si="15"/>
        <v>196</v>
      </c>
      <c r="H72"/>
    </row>
    <row r="73" spans="1:8" x14ac:dyDescent="0.25">
      <c r="A73" s="3">
        <v>45528</v>
      </c>
      <c r="B73" s="176">
        <f t="shared" si="15"/>
        <v>24018</v>
      </c>
      <c r="C73" s="176">
        <f t="shared" si="15"/>
        <v>1871</v>
      </c>
      <c r="D73" s="176">
        <f t="shared" si="15"/>
        <v>151</v>
      </c>
      <c r="E73" s="176">
        <f t="shared" si="15"/>
        <v>341</v>
      </c>
      <c r="F73" s="176">
        <f t="shared" si="15"/>
        <v>7329</v>
      </c>
      <c r="G73" s="176">
        <f t="shared" si="15"/>
        <v>196</v>
      </c>
      <c r="H73"/>
    </row>
    <row r="74" spans="1:8" x14ac:dyDescent="0.25">
      <c r="A74" s="3">
        <v>45559</v>
      </c>
      <c r="B74" s="176">
        <f t="shared" si="15"/>
        <v>24080</v>
      </c>
      <c r="C74" s="176">
        <f t="shared" si="15"/>
        <v>1869</v>
      </c>
      <c r="D74" s="176">
        <f t="shared" si="15"/>
        <v>150</v>
      </c>
      <c r="E74" s="176">
        <f t="shared" si="15"/>
        <v>340</v>
      </c>
      <c r="F74" s="176">
        <f t="shared" si="15"/>
        <v>7329</v>
      </c>
      <c r="G74" s="176">
        <f t="shared" si="15"/>
        <v>196</v>
      </c>
      <c r="H74"/>
    </row>
    <row r="75" spans="1:8" x14ac:dyDescent="0.25">
      <c r="A75" s="3">
        <v>45589</v>
      </c>
      <c r="B75" s="42">
        <f>B74*B$64</f>
        <v>24115.707763040042</v>
      </c>
      <c r="C75" s="42">
        <f t="shared" ref="C75:G77" si="16">C74*C$64</f>
        <v>1871.4605633889773</v>
      </c>
      <c r="D75" s="42">
        <f t="shared" si="16"/>
        <v>150.56609137946614</v>
      </c>
      <c r="E75" s="42">
        <f t="shared" si="16"/>
        <v>339.88907006808392</v>
      </c>
      <c r="F75" s="42">
        <f t="shared" si="16"/>
        <v>7335.3608486648354</v>
      </c>
      <c r="G75" s="42">
        <f t="shared" si="16"/>
        <v>196</v>
      </c>
      <c r="H75"/>
    </row>
    <row r="76" spans="1:8" x14ac:dyDescent="0.25">
      <c r="A76" s="3">
        <v>45620</v>
      </c>
      <c r="B76" s="42">
        <f t="shared" ref="B76:B77" si="17">B75*B$64</f>
        <v>24151.468476426486</v>
      </c>
      <c r="C76" s="42">
        <f t="shared" si="16"/>
        <v>1873.924366142423</v>
      </c>
      <c r="D76" s="42">
        <f t="shared" si="16"/>
        <v>151.13431915526499</v>
      </c>
      <c r="E76" s="42">
        <f t="shared" si="16"/>
        <v>339.77817632866726</v>
      </c>
      <c r="F76" s="42">
        <f t="shared" si="16"/>
        <v>7341.7272179185293</v>
      </c>
      <c r="G76" s="42">
        <f>G75*G$64</f>
        <v>196</v>
      </c>
      <c r="H76"/>
    </row>
    <row r="77" spans="1:8" x14ac:dyDescent="0.25">
      <c r="A77" s="3">
        <v>45650</v>
      </c>
      <c r="B77" s="42">
        <f>B76*B$64</f>
        <v>24187.282218678367</v>
      </c>
      <c r="C77" s="42">
        <f t="shared" si="16"/>
        <v>1876.3914125250033</v>
      </c>
      <c r="D77" s="42">
        <f t="shared" si="16"/>
        <v>151.70469139003353</v>
      </c>
      <c r="E77" s="42">
        <f t="shared" si="16"/>
        <v>339.66731876994169</v>
      </c>
      <c r="F77" s="42">
        <f>F76*F$64</f>
        <v>7348.099112552407</v>
      </c>
      <c r="G77" s="42">
        <f t="shared" si="16"/>
        <v>196</v>
      </c>
      <c r="H77"/>
    </row>
    <row r="78" spans="1:8" x14ac:dyDescent="0.25">
      <c r="B78"/>
      <c r="C78"/>
      <c r="D78"/>
      <c r="E78"/>
      <c r="F78"/>
      <c r="G78"/>
      <c r="H78"/>
    </row>
    <row r="79" spans="1:8" x14ac:dyDescent="0.25">
      <c r="A79" s="40" t="s">
        <v>136</v>
      </c>
      <c r="B79" s="42">
        <f>AVERAGE(B66:B77)</f>
        <v>23945.038204845408</v>
      </c>
      <c r="C79" s="42">
        <f t="shared" ref="C79:G79" si="18">AVERAGE(C66:C77)</f>
        <v>1862.564695171367</v>
      </c>
      <c r="D79" s="42">
        <f t="shared" si="18"/>
        <v>148.95042516039706</v>
      </c>
      <c r="E79" s="42">
        <f t="shared" si="18"/>
        <v>340.61121376389104</v>
      </c>
      <c r="F79" s="42">
        <f t="shared" si="18"/>
        <v>7311.2655982613132</v>
      </c>
      <c r="G79" s="42">
        <f t="shared" si="18"/>
        <v>196.25</v>
      </c>
      <c r="H79"/>
    </row>
    <row r="80" spans="1:8" x14ac:dyDescent="0.25">
      <c r="B80"/>
      <c r="C80"/>
      <c r="D80"/>
      <c r="E80"/>
      <c r="F80"/>
      <c r="G80"/>
      <c r="H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</sheetData>
  <mergeCells count="2">
    <mergeCell ref="B1:G1"/>
    <mergeCell ref="M18:N18"/>
  </mergeCells>
  <phoneticPr fontId="0" type="noConversion"/>
  <pageMargins left="0.38" right="0.75" top="0.73" bottom="0.74" header="0.5" footer="0.5"/>
  <pageSetup scale="83" orientation="landscape" r:id="rId1"/>
  <headerFooter alignWithMargins="0"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5"/>
  <sheetViews>
    <sheetView topLeftCell="A5" workbookViewId="0">
      <selection activeCell="E18" sqref="E18"/>
    </sheetView>
    <sheetView workbookViewId="1"/>
  </sheetViews>
  <sheetFormatPr defaultRowHeight="13.2" x14ac:dyDescent="0.25"/>
  <cols>
    <col min="1" max="1" width="11" customWidth="1"/>
    <col min="2" max="2" width="14.109375" style="6" bestFit="1" customWidth="1"/>
    <col min="3" max="5" width="12.5546875" style="6" customWidth="1"/>
    <col min="6" max="6" width="13.44140625" customWidth="1"/>
    <col min="7" max="7" width="13" customWidth="1"/>
    <col min="8" max="8" width="13.44140625" customWidth="1"/>
    <col min="9" max="9" width="12.5546875" bestFit="1" customWidth="1"/>
    <col min="11" max="11" width="12.44140625" style="6" bestFit="1" customWidth="1"/>
    <col min="12" max="12" width="13.44140625" bestFit="1" customWidth="1"/>
    <col min="13" max="14" width="9.109375" style="6" customWidth="1"/>
  </cols>
  <sheetData>
    <row r="1" spans="1:11" ht="39.6" x14ac:dyDescent="0.25">
      <c r="B1" s="7" t="str">
        <f>'Rate Class Customer Model'!D2</f>
        <v>General Service &gt; 50 to 4999 kW</v>
      </c>
      <c r="C1" s="7" t="str">
        <f>'Rate Class Customer Model'!E2</f>
        <v xml:space="preserve">Sentinel </v>
      </c>
      <c r="D1" s="7" t="str">
        <f>'Rate Class Customer Model'!F2</f>
        <v xml:space="preserve">Street Lighting </v>
      </c>
      <c r="E1" s="104" t="str">
        <f>'Rate Class Energy Model'!N2</f>
        <v>Large User</v>
      </c>
      <c r="F1" s="46" t="s">
        <v>7</v>
      </c>
      <c r="K1" s="7"/>
    </row>
    <row r="2" spans="1:11" x14ac:dyDescent="0.25">
      <c r="A2" s="21">
        <f>+'Rate Class Customer Model'!A11</f>
        <v>2014</v>
      </c>
      <c r="B2" s="37">
        <f>SUMIF(Inputs!$A:$A,'Rate Class Load Model'!$A2,Inputs!$K:$K)</f>
        <v>402375</v>
      </c>
      <c r="C2" s="37">
        <f>SUMIF(Inputs!$A:$A,'Rate Class Load Model'!$A2,Inputs!$N:$N)</f>
        <v>2120</v>
      </c>
      <c r="D2" s="37">
        <f>SUMIF(Inputs!$A:$A,'Rate Class Load Model'!$A2,Inputs!$Q:$Q)</f>
        <v>6992</v>
      </c>
      <c r="E2" s="37">
        <f>SUMIF(Inputs!$A:$A,'Rate Class Load Model'!$A2,Inputs!$W:$W)</f>
        <v>0</v>
      </c>
      <c r="F2" s="43">
        <f>SUM(B2:E2)</f>
        <v>411487</v>
      </c>
      <c r="G2" s="40" t="s">
        <v>62</v>
      </c>
    </row>
    <row r="3" spans="1:11" x14ac:dyDescent="0.25">
      <c r="A3" s="21">
        <f>+'Rate Class Customer Model'!A12</f>
        <v>2015</v>
      </c>
      <c r="B3" s="37">
        <f>SUMIF(Inputs!$A:$A,'Rate Class Load Model'!$A3,Inputs!$K:$K)</f>
        <v>402768</v>
      </c>
      <c r="C3" s="37">
        <f>SUMIF(Inputs!$A:$A,'Rate Class Load Model'!$A3,Inputs!$N:$N)</f>
        <v>2077</v>
      </c>
      <c r="D3" s="37">
        <f>SUMIF(Inputs!$A:$A,'Rate Class Load Model'!$A3,Inputs!$Q:$Q)</f>
        <v>6476</v>
      </c>
      <c r="E3" s="37">
        <f>SUMIF(Inputs!$A:$A,'Rate Class Load Model'!$A3,Inputs!$W:$W)</f>
        <v>0</v>
      </c>
      <c r="F3" s="43">
        <f t="shared" ref="F3:F12" si="0">SUM(B3:E3)</f>
        <v>411321</v>
      </c>
    </row>
    <row r="4" spans="1:11" x14ac:dyDescent="0.25">
      <c r="A4" s="21">
        <f>+'Rate Class Customer Model'!A13</f>
        <v>2016</v>
      </c>
      <c r="B4" s="37">
        <f>SUMIF(Inputs!$A:$A,'Rate Class Load Model'!$A4,Inputs!$K:$K)</f>
        <v>396528</v>
      </c>
      <c r="C4" s="37">
        <f>SUMIF(Inputs!$A:$A,'Rate Class Load Model'!$A4,Inputs!$N:$N)</f>
        <v>2061</v>
      </c>
      <c r="D4" s="37">
        <f>SUMIF(Inputs!$A:$A,'Rate Class Load Model'!$A4,Inputs!$Q:$Q)</f>
        <v>4561</v>
      </c>
      <c r="E4" s="37">
        <f>SUMIF(Inputs!$A:$A,'Rate Class Load Model'!$A4,Inputs!$W:$W)</f>
        <v>0</v>
      </c>
      <c r="F4" s="43">
        <f t="shared" si="0"/>
        <v>403150</v>
      </c>
      <c r="K4" s="38"/>
    </row>
    <row r="5" spans="1:11" x14ac:dyDescent="0.25">
      <c r="A5" s="21">
        <f>+'Rate Class Customer Model'!A14</f>
        <v>2017</v>
      </c>
      <c r="B5" s="37">
        <f>SUMIF(Inputs!$A:$A,'Rate Class Load Model'!$A5,Inputs!$K:$K)</f>
        <v>397736</v>
      </c>
      <c r="C5" s="37">
        <f>SUMIF(Inputs!$A:$A,'Rate Class Load Model'!$A5,Inputs!$N:$N)</f>
        <v>2012</v>
      </c>
      <c r="D5" s="37">
        <f>SUMIF(Inputs!$A:$A,'Rate Class Load Model'!$A5,Inputs!$Q:$Q)</f>
        <v>3890</v>
      </c>
      <c r="E5" s="37">
        <f>SUMIF(Inputs!$A:$A,'Rate Class Load Model'!$A5,Inputs!$W:$W)</f>
        <v>0</v>
      </c>
      <c r="F5" s="43">
        <f t="shared" si="0"/>
        <v>403638</v>
      </c>
      <c r="K5" s="38"/>
    </row>
    <row r="6" spans="1:11" x14ac:dyDescent="0.25">
      <c r="A6" s="21">
        <f>+'Rate Class Customer Model'!A15</f>
        <v>2018</v>
      </c>
      <c r="B6" s="37">
        <f>SUMIF(Inputs!$A:$A,'Rate Class Load Model'!$A6,Inputs!$K:$K)</f>
        <v>413412</v>
      </c>
      <c r="C6" s="37">
        <f>SUMIF(Inputs!$A:$A,'Rate Class Load Model'!$A6,Inputs!$N:$N)</f>
        <v>1898</v>
      </c>
      <c r="D6" s="37">
        <f>SUMIF(Inputs!$A:$A,'Rate Class Load Model'!$A6,Inputs!$Q:$Q)</f>
        <v>3915</v>
      </c>
      <c r="E6" s="37">
        <f>SUMIF(Inputs!$A:$A,'Rate Class Load Model'!$A6,Inputs!$W:$W)</f>
        <v>0</v>
      </c>
      <c r="F6" s="43">
        <f t="shared" si="0"/>
        <v>419225</v>
      </c>
      <c r="K6" s="38"/>
    </row>
    <row r="7" spans="1:11" x14ac:dyDescent="0.25">
      <c r="A7" s="21">
        <f>+'Rate Class Customer Model'!A16</f>
        <v>2019</v>
      </c>
      <c r="B7" s="37">
        <f>SUMIF(Inputs!$A:$A,'Rate Class Load Model'!$A7,Inputs!$K:$K)</f>
        <v>415535.11</v>
      </c>
      <c r="C7" s="37">
        <f>SUMIF(Inputs!$A:$A,'Rate Class Load Model'!$A7,Inputs!$N:$N)</f>
        <v>1605</v>
      </c>
      <c r="D7" s="37">
        <f>SUMIF(Inputs!$A:$A,'Rate Class Load Model'!$A7,Inputs!$Q:$Q)</f>
        <v>3924.2</v>
      </c>
      <c r="E7" s="37">
        <f>SUMIF(Inputs!$A:$A,'Rate Class Load Model'!$A7,Inputs!$W:$W)</f>
        <v>0</v>
      </c>
      <c r="F7" s="43">
        <f t="shared" si="0"/>
        <v>421064.31</v>
      </c>
      <c r="K7" s="38"/>
    </row>
    <row r="8" spans="1:11" x14ac:dyDescent="0.25">
      <c r="A8" s="21">
        <f>+'Rate Class Customer Model'!A17</f>
        <v>2020</v>
      </c>
      <c r="B8" s="37">
        <f>SUMIF(Inputs!$A:$A,'Rate Class Load Model'!$A8,Inputs!$K:$K)</f>
        <v>381720.89</v>
      </c>
      <c r="C8" s="37">
        <f>SUMIF(Inputs!$A:$A,'Rate Class Load Model'!$A8,Inputs!$N:$N)</f>
        <v>1473.6</v>
      </c>
      <c r="D8" s="37">
        <f>SUMIF(Inputs!$A:$A,'Rate Class Load Model'!$A8,Inputs!$Q:$Q)</f>
        <v>3960</v>
      </c>
      <c r="E8" s="37">
        <f>SUMIF(Inputs!$A:$A,'Rate Class Load Model'!$A8,Inputs!$W:$W)</f>
        <v>0</v>
      </c>
      <c r="F8" s="43">
        <f t="shared" si="0"/>
        <v>387154.49</v>
      </c>
      <c r="K8" s="38"/>
    </row>
    <row r="9" spans="1:11" x14ac:dyDescent="0.25">
      <c r="A9" s="21">
        <f>+'Rate Class Customer Model'!A18</f>
        <v>2021</v>
      </c>
      <c r="B9" s="37">
        <f>SUMIF(Inputs!$A:$A,'Rate Class Load Model'!$A9,Inputs!$K:$K)</f>
        <v>349225.27</v>
      </c>
      <c r="C9" s="37">
        <f>SUMIF(Inputs!$A:$A,'Rate Class Load Model'!$A9,Inputs!$N:$N)</f>
        <v>1327.5</v>
      </c>
      <c r="D9" s="37">
        <f>SUMIF(Inputs!$A:$A,'Rate Class Load Model'!$A9,Inputs!$Q:$Q)</f>
        <v>3933.6000000000008</v>
      </c>
      <c r="E9" s="37">
        <f>SUMIF(Inputs!$A:$A,'Rate Class Load Model'!$A9,Inputs!$W:$W)</f>
        <v>0</v>
      </c>
      <c r="F9" s="43">
        <f t="shared" si="0"/>
        <v>354486.37</v>
      </c>
    </row>
    <row r="10" spans="1:11" x14ac:dyDescent="0.25">
      <c r="A10" s="21">
        <f>+'Rate Class Customer Model'!A19</f>
        <v>2022</v>
      </c>
      <c r="B10" s="37">
        <f>SUMIF(Inputs!$A:$A,'Rate Class Load Model'!$A10,Inputs!$K:$K)</f>
        <v>357213.14999999997</v>
      </c>
      <c r="C10" s="37">
        <f>SUMIF(Inputs!$A:$A,'Rate Class Load Model'!$A10,Inputs!$N:$N)</f>
        <v>1162.21</v>
      </c>
      <c r="D10" s="37">
        <f>SUMIF(Inputs!$A:$A,'Rate Class Load Model'!$A10,Inputs!$Q:$Q)</f>
        <v>3955.4399999999991</v>
      </c>
      <c r="E10" s="37">
        <f>SUMIF(Inputs!$A:$A,'Rate Class Load Model'!$A10,Inputs!$W:$W)</f>
        <v>0</v>
      </c>
      <c r="F10" s="43">
        <f t="shared" si="0"/>
        <v>362330.8</v>
      </c>
    </row>
    <row r="11" spans="1:11" x14ac:dyDescent="0.25">
      <c r="A11" s="21">
        <f>+'Rate Class Customer Model'!A20</f>
        <v>2023</v>
      </c>
      <c r="B11" s="37">
        <f>SUMIF(Inputs!$A:$A,'Rate Class Load Model'!$A11,Inputs!$K:$K)</f>
        <v>353804.11000000004</v>
      </c>
      <c r="C11" s="37">
        <f>SUMIF(Inputs!$A:$A,'Rate Class Load Model'!$A11,Inputs!$N:$N)</f>
        <v>1153.1099999999999</v>
      </c>
      <c r="D11" s="37">
        <f>SUMIF(Inputs!$A:$A,'Rate Class Load Model'!$A11,Inputs!$Q:$Q)</f>
        <v>4056.9600000000009</v>
      </c>
      <c r="E11" s="37">
        <f>SUMIF(Inputs!$A:$A,'Rate Class Load Model'!$A11,Inputs!$W:$W)</f>
        <v>0</v>
      </c>
      <c r="F11" s="43">
        <f t="shared" si="0"/>
        <v>359014.18000000005</v>
      </c>
    </row>
    <row r="12" spans="1:11" x14ac:dyDescent="0.25">
      <c r="A12" s="21">
        <f>+'Rate Class Customer Model'!A21</f>
        <v>2024</v>
      </c>
      <c r="B12" s="134">
        <f>B$27*'Rate Class Energy Model'!J32</f>
        <v>395664.86426691175</v>
      </c>
      <c r="C12" s="134">
        <f>C$27*'Rate Class Energy Model'!K32</f>
        <v>1153.8039525851389</v>
      </c>
      <c r="D12" s="134">
        <f>D$27*'Rate Class Energy Model'!L32</f>
        <v>4061.6026629702164</v>
      </c>
      <c r="E12" s="134">
        <v>0</v>
      </c>
      <c r="F12" s="43">
        <f t="shared" si="0"/>
        <v>400880.2708824671</v>
      </c>
    </row>
    <row r="13" spans="1:11" x14ac:dyDescent="0.25">
      <c r="A13" s="21">
        <f>+'Rate Class Customer Model'!A22</f>
        <v>2025</v>
      </c>
      <c r="B13" s="134">
        <f>B$27*'Rate Class Energy Model'!J33</f>
        <v>392388.13852958026</v>
      </c>
      <c r="C13" s="134">
        <f>C$27*'Rate Class Energy Model'!K33</f>
        <v>1101.4237476521346</v>
      </c>
      <c r="D13" s="134">
        <f>D$27*'Rate Class Energy Model'!L33</f>
        <v>4097.0319196086029</v>
      </c>
      <c r="E13" s="134">
        <v>0</v>
      </c>
      <c r="F13" s="43">
        <f>SUM(B13:E13)</f>
        <v>397586.594196841</v>
      </c>
    </row>
    <row r="14" spans="1:11" x14ac:dyDescent="0.25">
      <c r="A14" s="13"/>
    </row>
    <row r="15" spans="1:11" x14ac:dyDescent="0.25">
      <c r="A15" s="13" t="s">
        <v>46</v>
      </c>
      <c r="B15" s="5"/>
      <c r="C15" s="5"/>
      <c r="D15" s="5"/>
      <c r="E15" s="5"/>
    </row>
    <row r="16" spans="1:11" x14ac:dyDescent="0.25">
      <c r="A16" s="21">
        <f>+A2</f>
        <v>2014</v>
      </c>
      <c r="B16" s="140">
        <f>B2/'Rate Class Energy Model'!J3</f>
        <v>2.7905397653945107E-3</v>
      </c>
      <c r="C16" s="140">
        <f>C2/'Rate Class Energy Model'!K3</f>
        <v>2.7632987008585777E-3</v>
      </c>
      <c r="D16" s="140">
        <f>D2/'Rate Class Energy Model'!L3</f>
        <v>2.7930260631834265E-3</v>
      </c>
      <c r="E16" s="140">
        <v>0</v>
      </c>
      <c r="K16" s="19"/>
    </row>
    <row r="17" spans="1:11" x14ac:dyDescent="0.25">
      <c r="A17" s="21">
        <f t="shared" ref="A17:A24" si="1">+A3</f>
        <v>2015</v>
      </c>
      <c r="B17" s="140">
        <f>B3/'Rate Class Energy Model'!J4</f>
        <v>2.881092652070651E-3</v>
      </c>
      <c r="C17" s="140">
        <f>C3/'Rate Class Energy Model'!K4</f>
        <v>2.7547734374585523E-3</v>
      </c>
      <c r="D17" s="140">
        <f>D3/'Rate Class Energy Model'!L4</f>
        <v>2.8345239413538922E-3</v>
      </c>
      <c r="E17" s="140">
        <v>0</v>
      </c>
      <c r="K17" s="19"/>
    </row>
    <row r="18" spans="1:11" x14ac:dyDescent="0.25">
      <c r="A18" s="21">
        <f t="shared" si="1"/>
        <v>2016</v>
      </c>
      <c r="B18" s="140">
        <f>B4/'Rate Class Energy Model'!J5</f>
        <v>2.7645777061329783E-3</v>
      </c>
      <c r="C18" s="140">
        <f>C4/'Rate Class Energy Model'!K5</f>
        <v>2.7500643816625015E-3</v>
      </c>
      <c r="D18" s="140">
        <f>D4/'Rate Class Energy Model'!L5</f>
        <v>2.8950899629687464E-3</v>
      </c>
      <c r="E18" s="140"/>
      <c r="K18" s="19"/>
    </row>
    <row r="19" spans="1:11" x14ac:dyDescent="0.25">
      <c r="A19" s="21">
        <f t="shared" si="1"/>
        <v>2017</v>
      </c>
      <c r="B19" s="140">
        <f>B5/'Rate Class Energy Model'!J6</f>
        <v>2.7526863479052795E-3</v>
      </c>
      <c r="C19" s="47">
        <f>C5/'Rate Class Energy Model'!K6</f>
        <v>2.7594416930793149E-3</v>
      </c>
      <c r="D19" s="47">
        <f>D5/'Rate Class Energy Model'!L6</f>
        <v>2.7923095917629019E-3</v>
      </c>
      <c r="E19" s="47"/>
      <c r="K19" s="19"/>
    </row>
    <row r="20" spans="1:11" x14ac:dyDescent="0.25">
      <c r="A20" s="21">
        <f t="shared" si="1"/>
        <v>2018</v>
      </c>
      <c r="B20" s="140">
        <f>B6/'Rate Class Energy Model'!J7</f>
        <v>2.708942224948596E-3</v>
      </c>
      <c r="C20" s="47">
        <f>C6/'Rate Class Energy Model'!K7</f>
        <v>2.8082157325181913E-3</v>
      </c>
      <c r="D20" s="47">
        <f>D6/'Rate Class Energy Model'!L7</f>
        <v>2.7885493062634213E-3</v>
      </c>
      <c r="E20" s="47"/>
      <c r="K20" s="19"/>
    </row>
    <row r="21" spans="1:11" x14ac:dyDescent="0.25">
      <c r="A21" s="21">
        <f t="shared" si="1"/>
        <v>2019</v>
      </c>
      <c r="B21" s="140">
        <f>B7/'Rate Class Energy Model'!J8</f>
        <v>2.7454807431007552E-3</v>
      </c>
      <c r="C21" s="47">
        <f>C7/'Rate Class Energy Model'!K8</f>
        <v>2.7490537816831661E-3</v>
      </c>
      <c r="D21" s="47">
        <f>D7/'Rate Class Energy Model'!L8</f>
        <v>2.7904147312736109E-3</v>
      </c>
      <c r="E21" s="47"/>
      <c r="K21" s="19"/>
    </row>
    <row r="22" spans="1:11" x14ac:dyDescent="0.25">
      <c r="A22" s="21">
        <f t="shared" si="1"/>
        <v>2020</v>
      </c>
      <c r="B22" s="140">
        <f>B8/'Rate Class Energy Model'!J9</f>
        <v>2.8639575590473621E-3</v>
      </c>
      <c r="C22" s="47">
        <f>C8/'Rate Class Energy Model'!K9</f>
        <v>2.7495886066123874E-3</v>
      </c>
      <c r="D22" s="47">
        <f>D8/'Rate Class Energy Model'!L9</f>
        <v>2.7812754423492164E-3</v>
      </c>
      <c r="E22" s="47"/>
      <c r="K22" s="19"/>
    </row>
    <row r="23" spans="1:11" x14ac:dyDescent="0.25">
      <c r="A23" s="21">
        <f t="shared" si="1"/>
        <v>2021</v>
      </c>
      <c r="B23" s="140">
        <f>B9/'Rate Class Energy Model'!J10</f>
        <v>2.7166817984189463E-3</v>
      </c>
      <c r="C23" s="47">
        <f>C9/'Rate Class Energy Model'!K10</f>
        <v>2.7547491356313138E-3</v>
      </c>
      <c r="D23" s="47">
        <f>D9/'Rate Class Energy Model'!L10</f>
        <v>2.7885453425192672E-3</v>
      </c>
      <c r="E23" s="47"/>
      <c r="K23" s="19"/>
    </row>
    <row r="24" spans="1:11" x14ac:dyDescent="0.25">
      <c r="A24" s="21">
        <f t="shared" si="1"/>
        <v>2022</v>
      </c>
      <c r="B24" s="140">
        <f>B10/'Rate Class Energy Model'!J11</f>
        <v>2.6259982236658146E-3</v>
      </c>
      <c r="C24" s="47">
        <f>C10/'Rate Class Energy Model'!K11</f>
        <v>2.7481438838387407E-3</v>
      </c>
      <c r="D24" s="47">
        <f>D10/'Rate Class Energy Model'!L11</f>
        <v>2.7885455203915171E-3</v>
      </c>
      <c r="E24" s="47"/>
      <c r="K24" s="19"/>
    </row>
    <row r="25" spans="1:11" x14ac:dyDescent="0.25">
      <c r="A25" s="21">
        <v>2023</v>
      </c>
      <c r="B25" s="140">
        <f>B11/'Rate Class Energy Model'!J12</f>
        <v>2.5932616826278166E-3</v>
      </c>
      <c r="C25" s="47">
        <f>C11/'Rate Class Energy Model'!K12</f>
        <v>2.7476527204861982E-3</v>
      </c>
      <c r="D25" s="47">
        <f>D11/'Rate Class Energy Model'!L12</f>
        <v>2.7917882575154642E-3</v>
      </c>
      <c r="E25" s="47"/>
      <c r="K25" s="19"/>
    </row>
    <row r="27" spans="1:11" x14ac:dyDescent="0.25">
      <c r="A27" s="40" t="s">
        <v>45</v>
      </c>
      <c r="B27" s="19">
        <f>B29</f>
        <v>2.7443218703312711E-3</v>
      </c>
      <c r="C27" s="19">
        <f>C29</f>
        <v>2.7584982073828941E-3</v>
      </c>
      <c r="D27" s="19">
        <f>D29</f>
        <v>2.8044068159581463E-3</v>
      </c>
      <c r="E27" s="19">
        <f>E29</f>
        <v>0</v>
      </c>
    </row>
    <row r="29" spans="1:11" x14ac:dyDescent="0.25">
      <c r="A29" t="s">
        <v>9</v>
      </c>
      <c r="B29" s="19">
        <f>AVERAGE(B16:B25)</f>
        <v>2.7443218703312711E-3</v>
      </c>
      <c r="C29" s="19">
        <f>AVERAGE(C16:C25)</f>
        <v>2.7584982073828941E-3</v>
      </c>
      <c r="D29" s="19">
        <f>AVERAGE(D16:D25)</f>
        <v>2.8044068159581463E-3</v>
      </c>
      <c r="E29" s="19">
        <f>AVERAGE(E16:E25)</f>
        <v>0</v>
      </c>
      <c r="J29" s="19"/>
      <c r="K29" s="19"/>
    </row>
    <row r="34" spans="2:5" x14ac:dyDescent="0.25">
      <c r="B34" s="18"/>
      <c r="C34" s="18"/>
      <c r="D34" s="18"/>
      <c r="E34" s="18"/>
    </row>
    <row r="35" spans="2:5" x14ac:dyDescent="0.25">
      <c r="B35" s="18"/>
      <c r="C35" s="18"/>
      <c r="D35" s="18"/>
      <c r="E35" s="18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Inputs!Print_Titles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2024-12-04T15:13:33Z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</Properties>
</file>