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H:\2025 COS\SETTLEMENT\Final Models\Submitted - links removed\"/>
    </mc:Choice>
  </mc:AlternateContent>
  <xr:revisionPtr revIDLastSave="0" documentId="13_ncr:1_{A833E903-FFDE-4C82-99A3-AA2BDE3085E7}" xr6:coauthVersionLast="47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J113" i="1" l="1"/>
  <c r="K15" i="4" l="1"/>
  <c r="L15" i="4" s="1"/>
  <c r="K16" i="4"/>
  <c r="L16" i="4" s="1"/>
  <c r="J16" i="4"/>
  <c r="H64" i="4" l="1"/>
  <c r="H121" i="4"/>
  <c r="H120" i="4"/>
  <c r="H119" i="4"/>
  <c r="H118" i="4"/>
  <c r="G5" i="1" l="1"/>
  <c r="F136" i="1" l="1"/>
  <c r="F139" i="1"/>
  <c r="F135" i="1"/>
  <c r="F134" i="1"/>
  <c r="H6" i="4"/>
  <c r="I6" i="4" s="1"/>
  <c r="J6" i="4" s="1"/>
  <c r="K6" i="4" s="1"/>
  <c r="L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L22" i="4" s="1"/>
  <c r="M110" i="1" s="1"/>
  <c r="L21" i="4"/>
  <c r="L20" i="4"/>
  <c r="G121" i="4"/>
  <c r="G36" i="4" s="1"/>
  <c r="G122" i="4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H110" i="4" s="1"/>
  <c r="G111" i="4"/>
  <c r="H111" i="4" s="1"/>
  <c r="I111" i="4" s="1"/>
  <c r="J111" i="4" s="1"/>
  <c r="K111" i="4" s="1"/>
  <c r="L111" i="4" s="1"/>
  <c r="M111" i="4" s="1"/>
  <c r="G112" i="4"/>
  <c r="G113" i="4"/>
  <c r="G114" i="4"/>
  <c r="G115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H145" i="1" l="1"/>
  <c r="H109" i="4"/>
  <c r="M98" i="1"/>
  <c r="M130" i="1" s="1"/>
  <c r="I110" i="4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143" i="1" s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J110" i="4"/>
  <c r="I112" i="4"/>
  <c r="I78" i="4"/>
  <c r="H97" i="1"/>
  <c r="H155" i="1" s="1"/>
  <c r="H209" i="1" s="1"/>
  <c r="H213" i="1" s="1"/>
  <c r="I91" i="4"/>
  <c r="I109" i="4"/>
  <c r="H78" i="4"/>
  <c r="H115" i="4" s="1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143" i="1" s="1"/>
  <c r="I96" i="1"/>
  <c r="I92" i="1"/>
  <c r="I114" i="1" s="1"/>
  <c r="I112" i="1"/>
  <c r="J112" i="1" s="1"/>
  <c r="K112" i="1" s="1"/>
  <c r="L112" i="1" s="1"/>
  <c r="I97" i="1"/>
  <c r="H113" i="1"/>
  <c r="H129" i="1" l="1"/>
  <c r="I64" i="4"/>
  <c r="I115" i="4" s="1"/>
  <c r="J109" i="4"/>
  <c r="I120" i="4"/>
  <c r="J114" i="4"/>
  <c r="I121" i="4"/>
  <c r="I118" i="4"/>
  <c r="J91" i="4"/>
  <c r="K110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92" i="1"/>
  <c r="J114" i="1" s="1"/>
  <c r="J116" i="1" s="1"/>
  <c r="J118" i="1" s="1"/>
  <c r="J119" i="1" s="1"/>
  <c r="J97" i="1"/>
  <c r="J99" i="1"/>
  <c r="J142" i="1"/>
  <c r="J143" i="1" s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53" i="1"/>
  <c r="H207" i="1" s="1"/>
  <c r="H128" i="1"/>
  <c r="H157" i="1" s="1"/>
  <c r="H221" i="1" s="1"/>
  <c r="I130" i="1"/>
  <c r="H139" i="1"/>
  <c r="H116" i="1"/>
  <c r="H29" i="4" l="1"/>
  <c r="H31" i="4" s="1"/>
  <c r="I29" i="4"/>
  <c r="K91" i="4"/>
  <c r="J121" i="4"/>
  <c r="J118" i="4"/>
  <c r="J120" i="4"/>
  <c r="J78" i="4"/>
  <c r="J119" i="4"/>
  <c r="K109" i="4"/>
  <c r="K114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143" i="1" s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H218" i="1"/>
  <c r="H211" i="1"/>
  <c r="I136" i="1"/>
  <c r="I137" i="1" s="1"/>
  <c r="J115" i="4" l="1"/>
  <c r="J29" i="4" s="1"/>
  <c r="K64" i="4"/>
  <c r="M114" i="4"/>
  <c r="L114" i="4"/>
  <c r="K120" i="4"/>
  <c r="K78" i="4"/>
  <c r="L109" i="4"/>
  <c r="M109" i="4"/>
  <c r="M86" i="4"/>
  <c r="L86" i="4"/>
  <c r="K121" i="4"/>
  <c r="K118" i="4"/>
  <c r="L112" i="4"/>
  <c r="M110" i="4"/>
  <c r="M112" i="4" s="1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116" i="1" s="1"/>
  <c r="L96" i="1"/>
  <c r="L142" i="1"/>
  <c r="L143" i="1" s="1"/>
  <c r="M143" i="1" s="1"/>
  <c r="L99" i="1"/>
  <c r="K130" i="1"/>
  <c r="K113" i="1"/>
  <c r="K139" i="1" s="1"/>
  <c r="I156" i="1"/>
  <c r="I220" i="1" s="1"/>
  <c r="J153" i="1"/>
  <c r="J207" i="1" s="1"/>
  <c r="J128" i="1"/>
  <c r="J157" i="1" s="1"/>
  <c r="J221" i="1" s="1"/>
  <c r="I247" i="1"/>
  <c r="I152" i="1"/>
  <c r="I206" i="1" s="1"/>
  <c r="K129" i="1"/>
  <c r="K155" i="1"/>
  <c r="K209" i="1" s="1"/>
  <c r="K213" i="1" s="1"/>
  <c r="I211" i="1"/>
  <c r="I218" i="1"/>
  <c r="J136" i="1"/>
  <c r="J137" i="1" s="1"/>
  <c r="K115" i="4" l="1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J121" i="1" s="1"/>
  <c r="L129" i="1"/>
  <c r="L139" i="1"/>
  <c r="K116" i="1"/>
  <c r="L128" i="1"/>
  <c r="L157" i="1" s="1"/>
  <c r="L221" i="1" s="1"/>
  <c r="L153" i="1"/>
  <c r="L207" i="1" s="1"/>
  <c r="K136" i="1"/>
  <c r="K137" i="1" s="1"/>
  <c r="L136" i="1"/>
  <c r="I119" i="1"/>
  <c r="I121" i="1" s="1"/>
  <c r="J247" i="1"/>
  <c r="J152" i="1"/>
  <c r="J206" i="1" s="1"/>
  <c r="J211" i="1"/>
  <c r="J218" i="1"/>
  <c r="I216" i="1"/>
  <c r="I214" i="1"/>
  <c r="I210" i="1"/>
  <c r="J156" i="1"/>
  <c r="J220" i="1" s="1"/>
  <c r="K153" i="1"/>
  <c r="K207" i="1" s="1"/>
  <c r="K128" i="1"/>
  <c r="K157" i="1" s="1"/>
  <c r="K221" i="1" s="1"/>
  <c r="K117" i="1" l="1"/>
  <c r="K118" i="1" s="1"/>
  <c r="K119" i="1" s="1"/>
  <c r="L115" i="4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K156" i="1"/>
  <c r="K220" i="1" s="1"/>
  <c r="L211" i="1"/>
  <c r="L218" i="1"/>
  <c r="I256" i="1"/>
  <c r="H10" i="5"/>
  <c r="K211" i="1"/>
  <c r="K218" i="1"/>
  <c r="K247" i="1"/>
  <c r="K152" i="1"/>
  <c r="K206" i="1" s="1"/>
  <c r="J216" i="1"/>
  <c r="J214" i="1"/>
  <c r="J210" i="1"/>
  <c r="K121" i="1" l="1"/>
  <c r="M115" i="4"/>
  <c r="M29" i="4" s="1"/>
  <c r="M31" i="4" s="1"/>
  <c r="M89" i="1" s="1"/>
  <c r="L156" i="1"/>
  <c r="L220" i="1" s="1"/>
  <c r="M156" i="1"/>
  <c r="M220" i="1" s="1"/>
  <c r="L247" i="1"/>
  <c r="M137" i="1"/>
  <c r="L152" i="1"/>
  <c r="L206" i="1" s="1"/>
  <c r="J256" i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177" i="1"/>
  <c r="H169" i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I242" i="1"/>
  <c r="J178" i="1"/>
  <c r="I172" i="1"/>
  <c r="H239" i="1"/>
  <c r="I175" i="1"/>
  <c r="I234" i="1"/>
  <c r="J170" i="1"/>
  <c r="H241" i="1"/>
  <c r="I177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J242" i="1"/>
  <c r="I226" i="1"/>
  <c r="J162" i="1"/>
  <c r="J169" i="1"/>
  <c r="J168" i="1"/>
  <c r="I232" i="1"/>
  <c r="J176" i="1"/>
  <c r="J234" i="1"/>
  <c r="K170" i="1"/>
  <c r="J172" i="1"/>
  <c r="I230" i="1"/>
  <c r="J166" i="1"/>
  <c r="J179" i="1"/>
  <c r="I243" i="1"/>
  <c r="I228" i="1"/>
  <c r="J164" i="1"/>
  <c r="J174" i="1"/>
  <c r="I241" i="1"/>
  <c r="J177" i="1"/>
  <c r="I239" i="1"/>
  <c r="J175" i="1"/>
  <c r="J163" i="1"/>
  <c r="I227" i="1"/>
  <c r="I235" i="1"/>
  <c r="J171" i="1"/>
  <c r="J237" i="1" l="1"/>
  <c r="L231" i="1"/>
  <c r="M167" i="1"/>
  <c r="K174" i="1"/>
  <c r="K164" i="1"/>
  <c r="J228" i="1"/>
  <c r="L170" i="1"/>
  <c r="K234" i="1"/>
  <c r="K169" i="1"/>
  <c r="K171" i="1"/>
  <c r="J235" i="1"/>
  <c r="K163" i="1"/>
  <c r="J227" i="1"/>
  <c r="K175" i="1"/>
  <c r="J239" i="1"/>
  <c r="K176" i="1"/>
  <c r="K237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M232" i="1" l="1"/>
  <c r="M227" i="1"/>
  <c r="M243" i="1"/>
  <c r="M226" i="1"/>
  <c r="M230" i="1"/>
  <c r="M239" i="1"/>
  <c r="M228" i="1"/>
  <c r="M241" i="1"/>
  <c r="M235" i="1"/>
  <c r="M245" i="1" l="1"/>
  <c r="M246" i="1" s="1"/>
  <c r="M248" i="1" s="1"/>
  <c r="M257" i="1" s="1"/>
  <c r="M258" i="1" s="1"/>
  <c r="M259" i="1" s="1"/>
  <c r="M261" i="1" l="1"/>
  <c r="H98" i="1" l="1"/>
  <c r="H130" i="1" s="1"/>
  <c r="H131" i="1" s="1"/>
  <c r="I131" i="1" l="1"/>
  <c r="H154" i="1"/>
  <c r="H208" i="1" s="1"/>
  <c r="H219" i="1" l="1"/>
  <c r="H240" i="1" s="1"/>
  <c r="H215" i="1"/>
  <c r="H236" i="1" s="1"/>
  <c r="H212" i="1"/>
  <c r="H233" i="1" s="1"/>
  <c r="H217" i="1"/>
  <c r="H238" i="1" s="1"/>
  <c r="H229" i="1"/>
  <c r="H245" i="1" s="1"/>
  <c r="H246" i="1" s="1"/>
  <c r="H248" i="1" s="1"/>
  <c r="H257" i="1" s="1"/>
  <c r="J131" i="1"/>
  <c r="I154" i="1"/>
  <c r="I208" i="1" s="1"/>
  <c r="I215" i="1" l="1"/>
  <c r="I236" i="1" s="1"/>
  <c r="I219" i="1"/>
  <c r="I240" i="1" s="1"/>
  <c r="I212" i="1"/>
  <c r="I233" i="1" s="1"/>
  <c r="I217" i="1"/>
  <c r="I238" i="1" s="1"/>
  <c r="I229" i="1"/>
  <c r="J154" i="1"/>
  <c r="J208" i="1" s="1"/>
  <c r="K131" i="1"/>
  <c r="H258" i="1"/>
  <c r="H259" i="1" s="1"/>
  <c r="G12" i="5"/>
  <c r="H261" i="1"/>
  <c r="I245" i="1" l="1"/>
  <c r="I246" i="1" s="1"/>
  <c r="I248" i="1" s="1"/>
  <c r="I257" i="1" s="1"/>
  <c r="I258" i="1" s="1"/>
  <c r="I259" i="1" s="1"/>
  <c r="K154" i="1"/>
  <c r="K208" i="1" s="1"/>
  <c r="L131" i="1"/>
  <c r="G14" i="5"/>
  <c r="G16" i="5"/>
  <c r="J212" i="1"/>
  <c r="J233" i="1" s="1"/>
  <c r="J217" i="1"/>
  <c r="J238" i="1" s="1"/>
  <c r="J229" i="1"/>
  <c r="J215" i="1"/>
  <c r="J236" i="1" s="1"/>
  <c r="J219" i="1"/>
  <c r="J240" i="1" s="1"/>
  <c r="J245" i="1" l="1"/>
  <c r="J246" i="1" s="1"/>
  <c r="J248" i="1" s="1"/>
  <c r="J257" i="1" s="1"/>
  <c r="I12" i="5" s="1"/>
  <c r="I10" i="5" s="1"/>
  <c r="I14" i="5" s="1"/>
  <c r="I16" i="5" s="1"/>
  <c r="H12" i="5"/>
  <c r="H14" i="5" s="1"/>
  <c r="I261" i="1"/>
  <c r="G22" i="5"/>
  <c r="L154" i="1"/>
  <c r="L208" i="1" s="1"/>
  <c r="M131" i="1"/>
  <c r="M154" i="1" s="1"/>
  <c r="M208" i="1" s="1"/>
  <c r="K212" i="1"/>
  <c r="K233" i="1" s="1"/>
  <c r="K217" i="1"/>
  <c r="K238" i="1" s="1"/>
  <c r="K229" i="1"/>
  <c r="K215" i="1"/>
  <c r="K236" i="1" s="1"/>
  <c r="K219" i="1"/>
  <c r="K240" i="1" s="1"/>
  <c r="J261" i="1" l="1"/>
  <c r="J258" i="1"/>
  <c r="J259" i="1" s="1"/>
  <c r="K245" i="1"/>
  <c r="K246" i="1" s="1"/>
  <c r="K248" i="1" s="1"/>
  <c r="K257" i="1" s="1"/>
  <c r="J12" i="5" s="1"/>
  <c r="J10" i="5" s="1"/>
  <c r="J14" i="5" s="1"/>
  <c r="J16" i="5" s="1"/>
  <c r="I22" i="5"/>
  <c r="H16" i="5"/>
  <c r="H22" i="5" s="1"/>
  <c r="L212" i="1"/>
  <c r="L233" i="1" s="1"/>
  <c r="L229" i="1"/>
  <c r="L217" i="1"/>
  <c r="L238" i="1" s="1"/>
  <c r="L215" i="1"/>
  <c r="L236" i="1" s="1"/>
  <c r="L219" i="1"/>
  <c r="L240" i="1" s="1"/>
  <c r="M212" i="1"/>
  <c r="M233" i="1" s="1"/>
  <c r="M217" i="1"/>
  <c r="M238" i="1" s="1"/>
  <c r="M229" i="1"/>
  <c r="M215" i="1"/>
  <c r="M236" i="1" s="1"/>
  <c r="M219" i="1"/>
  <c r="M240" i="1" s="1"/>
  <c r="H18" i="5" l="1"/>
  <c r="H24" i="5" s="1"/>
  <c r="I18" i="5"/>
  <c r="I24" i="5" s="1"/>
  <c r="K258" i="1"/>
  <c r="K259" i="1" s="1"/>
  <c r="K261" i="1"/>
  <c r="L245" i="1"/>
  <c r="L246" i="1" s="1"/>
  <c r="L248" i="1" s="1"/>
  <c r="L257" i="1" s="1"/>
  <c r="L258" i="1" s="1"/>
  <c r="L259" i="1" s="1"/>
  <c r="J18" i="5"/>
  <c r="J24" i="5" s="1"/>
  <c r="J22" i="5"/>
  <c r="K12" i="5" l="1"/>
  <c r="K10" i="5" s="1"/>
  <c r="K14" i="5" s="1"/>
  <c r="K16" i="5" s="1"/>
  <c r="K18" i="5" s="1"/>
  <c r="K24" i="5" s="1"/>
  <c r="L261" i="1"/>
  <c r="K22" i="5" l="1"/>
</calcChain>
</file>

<file path=xl/sharedStrings.xml><?xml version="1.0" encoding="utf-8"?>
<sst xmlns="http://schemas.openxmlformats.org/spreadsheetml/2006/main" count="515" uniqueCount="269">
  <si>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</si>
  <si>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</si>
  <si>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</si>
  <si>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</si>
  <si>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</si>
  <si>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</si>
  <si>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</si>
  <si>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</si>
  <si>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</si>
  <si>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</si>
  <si>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</si>
  <si>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</si>
  <si>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</si>
  <si>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</si>
  <si>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</si>
  <si>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</si>
  <si>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</si>
  <si>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</si>
  <si>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</si>
  <si>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</si>
  <si>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</si>
  <si>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</si>
  <si>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</si>
  <si>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</si>
  <si>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</si>
  <si>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</si>
  <si>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</si>
  <si>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</si>
  <si>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</si>
  <si>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</si>
  <si>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</si>
  <si>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</si>
  <si>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</si>
  <si>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</si>
  <si>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</si>
  <si>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</si>
  <si>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</si>
  <si>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</si>
  <si>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</si>
  <si>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</si>
  <si>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</si>
  <si>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</si>
  <si>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</si>
  <si>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</si>
  <si>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</si>
  <si>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</si>
  <si>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</si>
  <si>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</si>
  <si>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</si>
  <si>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</si>
  <si>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</si>
  <si>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</si>
  <si>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</si>
  <si>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</si>
  <si>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</si>
  <si>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</si>
  <si>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</si>
  <si>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</si>
  <si>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</si>
  <si>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</si>
  <si>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</si>
  <si>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</si>
  <si>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</si>
  <si>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</si>
  <si>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</si>
  <si>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</si>
  <si>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</si>
  <si>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</si>
  <si>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</si>
  <si>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</si>
  <si>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</si>
  <si>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</si>
  <si>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</si>
  <si>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</si>
  <si>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</si>
  <si>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</si>
  <si>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</si>
  <si>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</si>
  <si>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</si>
  <si>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</si>
  <si>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</si>
  <si>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</si>
  <si>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</si>
  <si>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</si>
  <si>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</si>
  <si>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</si>
  <si>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</si>
  <si>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</si>
  <si>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</si>
  <si>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</si>
  <si>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</si>
  <si>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</si>
  <si>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</si>
  <si>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</si>
  <si>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</si>
  <si>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</si>
  <si>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</si>
  <si>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</si>
  <si>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</si>
  <si>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</si>
  <si>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</si>
  <si>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</si>
  <si>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</si>
  <si>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</si>
  <si>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</si>
  <si>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</si>
  <si>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</si>
  <si>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</si>
  <si>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</si>
  <si>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</si>
  <si>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</si>
  <si>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</si>
  <si>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</si>
  <si>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</si>
  <si>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</si>
  <si>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</si>
  <si>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</si>
  <si>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</si>
  <si>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</si>
  <si>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</si>
  <si>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</si>
  <si>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</si>
  <si>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</si>
  <si>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</si>
  <si>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</si>
  <si>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</si>
  <si>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</si>
  <si>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</si>
  <si>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</si>
  <si>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</si>
  <si>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</si>
  <si>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</si>
  <si>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</si>
  <si>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</si>
  <si>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</si>
  <si>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</si>
  <si>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</si>
  <si>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</si>
  <si>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</si>
  <si>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</si>
  <si>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</si>
  <si>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</si>
  <si>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</si>
  <si>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</si>
  <si>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</si>
  <si>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</si>
  <si>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</si>
  <si>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</si>
  <si>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</si>
  <si>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</si>
  <si>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</si>
  <si>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</si>
  <si>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</si>
  <si>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</si>
  <si>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</si>
  <si>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</si>
  <si>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</si>
  <si>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</si>
  <si>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</si>
  <si>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</si>
  <si>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</si>
  <si>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</si>
  <si>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</si>
  <si>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</si>
  <si>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</si>
  <si>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</si>
  <si>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</si>
  <si>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</si>
  <si>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</si>
  <si>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</si>
  <si>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</si>
  <si>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</si>
  <si>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</si>
  <si>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</si>
  <si>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</si>
  <si>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</si>
  <si>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</si>
  <si>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</si>
  <si>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</si>
  <si>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</si>
  <si>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</si>
  <si>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</si>
  <si>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</si>
  <si>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</si>
  <si>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</si>
  <si>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</si>
  <si>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</si>
  <si>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</si>
  <si>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</si>
  <si>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</si>
  <si>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</si>
  <si>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</si>
  <si>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</si>
  <si>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</si>
  <si>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</si>
  <si>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</si>
  <si>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</si>
  <si>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</si>
  <si>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</si>
  <si>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</si>
  <si>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</si>
  <si>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</si>
  <si>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</si>
  <si>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</si>
  <si>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</si>
  <si>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</si>
  <si>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</si>
  <si>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</si>
  <si>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</si>
  <si>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</si>
  <si>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</si>
  <si>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</si>
  <si>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</si>
  <si>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</si>
  <si>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</si>
  <si>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</si>
  <si>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</si>
  <si>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</si>
  <si>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</si>
  <si>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</si>
  <si>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</si>
  <si>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</si>
  <si>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</si>
  <si>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</si>
  <si>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</si>
  <si>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</si>
  <si>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</si>
  <si>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</si>
  <si>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</si>
  <si>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</si>
  <si>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</si>
  <si>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</si>
  <si>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</si>
  <si>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</si>
  <si>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</si>
  <si>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</si>
  <si>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</si>
  <si>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</si>
  <si>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</si>
  <si>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</si>
  <si>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</si>
  <si>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</si>
  <si>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</si>
  <si>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</si>
  <si>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</si>
  <si>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</si>
  <si>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</si>
  <si>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</si>
  <si>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</si>
  <si>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</si>
  <si>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</si>
  <si>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</si>
  <si>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</si>
  <si>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</si>
  <si>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</si>
  <si>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</si>
  <si>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</si>
  <si>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</si>
  <si>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</si>
  <si>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</si>
  <si>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</si>
  <si>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</si>
  <si>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</si>
  <si>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</si>
  <si>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</si>
  <si>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</si>
  <si>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Bridge</t>
  </si>
  <si>
    <t>Test</t>
  </si>
  <si>
    <t>Number of Customers (Year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</si>
</sst>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  <numFmt numFmtId="174" formatCode="0.000000"/>
    <numFmt numFmtId="175" formatCode="_(* #,##0.00000_);_(* \(#,##0.00000\);_(* &quot;-&quot;??_);_(@_)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5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Alignment="1">
      <alignment horizontal="center"/>
    </xf>
    <xf numFmtId="165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2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73" fontId="7" fillId="0" borderId="9" xfId="2" applyNumberFormat="1" applyFont="1" applyFill="1" applyBorder="1" applyAlignment="1">
      <alignment horizontal="center"/>
    </xf>
    <xf numFmtId="173" fontId="0" fillId="0" borderId="0" xfId="2" applyNumberFormat="1" applyFon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8" borderId="0" xfId="2" applyNumberFormat="1" applyFont="1" applyFill="1"/>
    <xf numFmtId="164" fontId="0" fillId="0" borderId="0" xfId="2" applyNumberFormat="1" applyFont="1" applyFill="1"/>
    <xf numFmtId="164" fontId="0" fillId="0" borderId="0" xfId="2" applyNumberFormat="1" applyFont="1"/>
    <xf numFmtId="164" fontId="0" fillId="6" borderId="0" xfId="2" applyNumberFormat="1" applyFont="1" applyFill="1" applyAlignment="1">
      <alignment horizontal="center"/>
    </xf>
    <xf numFmtId="164" fontId="0" fillId="4" borderId="0" xfId="2" applyNumberFormat="1" applyFont="1" applyFill="1"/>
    <xf numFmtId="164" fontId="0" fillId="6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168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1" applyNumberFormat="1" applyFont="1" applyFill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31"/>
  <sheetViews>
    <sheetView tabSelected="1" zoomScale="90" zoomScaleNormal="90" workbookViewId="0">
      <selection activeCell="J9" sqref="J9:L9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46.5703125" style="9" customWidth="1"/>
    <col min="15" max="15" width="69.42578125" customWidth="1"/>
  </cols>
  <sheetData>
    <row r="2" spans="2:15" ht="23.25" x14ac:dyDescent="0.35">
      <c r="C2" s="231" t="s">
        <v>186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2:15" ht="19.5" customHeight="1" x14ac:dyDescent="0.25">
      <c r="C3" s="232" t="str">
        <f>IF(F5="Click to Choose an LDC","",F5)</f>
        <v>Welland Hydro-Electric System Corp.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2:15" ht="19.5" customHeight="1" thickBot="1" x14ac:dyDescent="0.3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261</v>
      </c>
      <c r="E5" s="9"/>
      <c r="F5" s="89" t="s">
        <v>246</v>
      </c>
      <c r="G5" s="2" t="s">
        <v>174</v>
      </c>
      <c r="H5" s="2" t="s">
        <v>174</v>
      </c>
      <c r="I5" s="2" t="s">
        <v>174</v>
      </c>
      <c r="J5" s="2" t="s">
        <v>174</v>
      </c>
      <c r="K5" s="2" t="s">
        <v>266</v>
      </c>
      <c r="L5" s="2" t="s">
        <v>267</v>
      </c>
      <c r="O5" s="4"/>
    </row>
    <row r="6" spans="2:15" ht="36" customHeight="1" x14ac:dyDescent="0.35">
      <c r="B6" s="4" t="s">
        <v>177</v>
      </c>
      <c r="C6" s="59"/>
      <c r="G6" s="2">
        <v>2020</v>
      </c>
      <c r="H6" s="2">
        <f>G6+1</f>
        <v>2021</v>
      </c>
      <c r="I6" s="2">
        <f t="shared" ref="I6:L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94"/>
      <c r="O6" s="2"/>
    </row>
    <row r="8" spans="2:15" x14ac:dyDescent="0.2">
      <c r="C8" s="8" t="s">
        <v>85</v>
      </c>
      <c r="D8" s="8"/>
      <c r="E8" s="2"/>
      <c r="H8" s="233"/>
      <c r="I8" s="233"/>
      <c r="J8" s="233"/>
      <c r="K8" s="233"/>
      <c r="L8" s="233"/>
      <c r="M8" s="233"/>
    </row>
    <row r="9" spans="2:15" x14ac:dyDescent="0.2">
      <c r="B9" s="2">
        <v>1</v>
      </c>
      <c r="D9" s="9" t="s">
        <v>86</v>
      </c>
      <c r="G9" s="54">
        <f>'Benchmarking Calculations'!G92</f>
        <v>4427375</v>
      </c>
      <c r="H9" s="81">
        <v>3968109.59</v>
      </c>
      <c r="I9" s="81">
        <v>4134288.96</v>
      </c>
      <c r="J9" s="81">
        <v>4824776.1400000006</v>
      </c>
      <c r="K9" s="81">
        <v>5429450</v>
      </c>
      <c r="L9" s="81">
        <v>5509562</v>
      </c>
      <c r="M9" s="81"/>
      <c r="N9" s="9" t="s">
        <v>172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0</v>
      </c>
      <c r="H10" s="81"/>
      <c r="I10" s="81"/>
      <c r="J10" s="81"/>
      <c r="K10" s="81"/>
      <c r="L10" s="81"/>
      <c r="M10" s="81"/>
      <c r="N10" s="9" t="s">
        <v>172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268</v>
      </c>
      <c r="G13" s="54">
        <f>'Benchmarking Calculations'!G96</f>
        <v>24054</v>
      </c>
      <c r="H13" s="81">
        <v>24627</v>
      </c>
      <c r="I13" s="81">
        <v>25063</v>
      </c>
      <c r="J13" s="81">
        <v>25753</v>
      </c>
      <c r="K13" s="81">
        <v>26129.625562590238</v>
      </c>
      <c r="L13" s="81">
        <v>26761.092997118289</v>
      </c>
      <c r="M13" s="81"/>
      <c r="N13" s="9" t="s">
        <v>172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361736384</v>
      </c>
      <c r="H14" s="81">
        <v>365670895</v>
      </c>
      <c r="I14" s="81">
        <v>374393811</v>
      </c>
      <c r="J14" s="81">
        <v>368103150.48724997</v>
      </c>
      <c r="K14" s="81">
        <v>382661040.66004932</v>
      </c>
      <c r="L14" s="81">
        <v>388485804.96409917</v>
      </c>
      <c r="M14" s="81"/>
      <c r="N14" s="9" t="s">
        <v>172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79771</v>
      </c>
      <c r="H15" s="81">
        <v>79523</v>
      </c>
      <c r="I15" s="81">
        <v>76731</v>
      </c>
      <c r="J15" s="81">
        <f>I15*J14/I14</f>
        <v>75441.74612447634</v>
      </c>
      <c r="K15" s="81">
        <f>J15*K14/J14</f>
        <v>78425.34638182426</v>
      </c>
      <c r="L15" s="81">
        <f>K15*L14/K14</f>
        <v>79619.116088167109</v>
      </c>
      <c r="M15" s="81"/>
      <c r="N15" s="9" t="s">
        <v>172</v>
      </c>
      <c r="O15" s="56"/>
    </row>
    <row r="16" spans="2:15" x14ac:dyDescent="0.2">
      <c r="B16" s="2">
        <v>6</v>
      </c>
      <c r="D16" s="9" t="s">
        <v>187</v>
      </c>
      <c r="G16" s="54">
        <f>'Benchmarking Calculations'!G99</f>
        <v>494</v>
      </c>
      <c r="H16" s="81">
        <v>497</v>
      </c>
      <c r="I16" s="81">
        <v>497</v>
      </c>
      <c r="J16" s="81">
        <f>I16</f>
        <v>497</v>
      </c>
      <c r="K16" s="81">
        <f>J16</f>
        <v>497</v>
      </c>
      <c r="L16" s="81">
        <f>K16</f>
        <v>497</v>
      </c>
      <c r="M16" s="81"/>
      <c r="N16" s="9" t="s">
        <v>172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0.12344122180187754</v>
      </c>
      <c r="H17" s="207">
        <v>0.13133958103638368</v>
      </c>
      <c r="I17" s="207">
        <v>0.13648936652609622</v>
      </c>
      <c r="J17" s="207">
        <v>0.15339484055893937</v>
      </c>
      <c r="K17" s="207">
        <v>0.16291893553741765</v>
      </c>
      <c r="L17" s="207">
        <v>0.18061909370972296</v>
      </c>
      <c r="M17" s="207"/>
      <c r="N17" s="9" t="s">
        <v>172</v>
      </c>
      <c r="O17" s="56"/>
    </row>
    <row r="18" spans="2:15" x14ac:dyDescent="0.2">
      <c r="C18" s="2"/>
      <c r="F18" s="9"/>
      <c r="G18" s="34"/>
      <c r="H18" s="53"/>
      <c r="I18" s="38"/>
      <c r="J18" s="149"/>
    </row>
    <row r="19" spans="2:15" x14ac:dyDescent="0.2">
      <c r="C19" s="8" t="s">
        <v>165</v>
      </c>
      <c r="F19" s="9"/>
      <c r="G19" s="34"/>
      <c r="H19" s="233"/>
      <c r="I19" s="233"/>
      <c r="J19" s="233"/>
      <c r="K19" s="233"/>
      <c r="L19" s="233"/>
      <c r="M19" s="233"/>
    </row>
    <row r="20" spans="2:15" ht="15" customHeight="1" x14ac:dyDescent="0.2">
      <c r="B20" s="2">
        <v>8</v>
      </c>
      <c r="C20" s="2"/>
      <c r="D20" t="s">
        <v>166</v>
      </c>
      <c r="F20" s="9"/>
      <c r="G20" s="58">
        <v>0.02</v>
      </c>
      <c r="H20" s="80">
        <v>3.0533707039455342E-2</v>
      </c>
      <c r="I20" s="80">
        <v>3.0454519489995294E-2</v>
      </c>
      <c r="J20" s="80">
        <v>3.5000000000000003E-2</v>
      </c>
      <c r="K20" s="80">
        <v>2.3E-2</v>
      </c>
      <c r="L20" s="80">
        <f t="shared" ref="L20" si="1">K20</f>
        <v>2.3E-2</v>
      </c>
      <c r="M20" s="80"/>
      <c r="N20" s="9" t="s">
        <v>264</v>
      </c>
      <c r="O20" s="234" t="s">
        <v>263</v>
      </c>
    </row>
    <row r="21" spans="2:15" ht="14.25" customHeight="1" x14ac:dyDescent="0.2">
      <c r="B21" s="2">
        <v>9</v>
      </c>
      <c r="C21" s="2"/>
      <c r="D21" t="s">
        <v>167</v>
      </c>
      <c r="F21" s="9"/>
      <c r="G21" s="58">
        <v>0.02</v>
      </c>
      <c r="H21" s="80">
        <v>4.0013942058278212E-2</v>
      </c>
      <c r="I21" s="80">
        <v>5.8587303414415259E-2</v>
      </c>
      <c r="J21" s="80">
        <v>3.7999999999999999E-2</v>
      </c>
      <c r="K21" s="80">
        <v>5.8999999999999997E-2</v>
      </c>
      <c r="L21" s="80">
        <f t="shared" ref="L21:L22" si="2">K21</f>
        <v>5.8999999999999997E-2</v>
      </c>
      <c r="M21" s="80"/>
      <c r="N21" s="9" t="s">
        <v>264</v>
      </c>
      <c r="O21" s="234"/>
    </row>
    <row r="22" spans="2:15" x14ac:dyDescent="0.2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5.0020000000000002E-2</v>
      </c>
      <c r="I22" s="80">
        <v>5.4651999999999999E-2</v>
      </c>
      <c r="J22" s="80">
        <v>6.6699999999999995E-2</v>
      </c>
      <c r="K22" s="80">
        <v>6.5000000000000002E-2</v>
      </c>
      <c r="L22" s="80">
        <f t="shared" si="2"/>
        <v>6.5000000000000002E-2</v>
      </c>
      <c r="M22" s="80"/>
      <c r="N22" s="9" t="s">
        <v>265</v>
      </c>
      <c r="O22" s="234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188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170</v>
      </c>
      <c r="F27" s="8" t="s">
        <v>193</v>
      </c>
      <c r="G27" s="34">
        <f>G35-G36+G37</f>
        <v>6580465.9900000002</v>
      </c>
      <c r="H27" s="34">
        <f t="shared" ref="H27:M27" si="3">H35-H36+H37</f>
        <v>0</v>
      </c>
      <c r="I27" s="34">
        <f t="shared" si="3"/>
        <v>0</v>
      </c>
      <c r="J27" s="34">
        <f>J35-J36+J37</f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9" t="s">
        <v>29</v>
      </c>
    </row>
    <row r="28" spans="2:15" ht="13.5" thickBot="1" x14ac:dyDescent="0.25">
      <c r="B28" s="9" t="s">
        <v>185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169</v>
      </c>
      <c r="F29" s="8" t="s">
        <v>197</v>
      </c>
      <c r="G29" s="34">
        <f>G115-G121+G122</f>
        <v>6580465.9900000002</v>
      </c>
      <c r="H29" s="34">
        <f>H115-H121+H122</f>
        <v>6748527.6699999999</v>
      </c>
      <c r="I29" s="34">
        <f t="shared" ref="I29:M29" si="4">I115-I121+I122</f>
        <v>6919284.0200000014</v>
      </c>
      <c r="J29" s="34">
        <f t="shared" si="4"/>
        <v>7111430.8300000001</v>
      </c>
      <c r="K29" s="34">
        <f t="shared" si="4"/>
        <v>7948685.2900196053</v>
      </c>
      <c r="L29" s="34">
        <f t="shared" si="4"/>
        <v>8443158.0520140212</v>
      </c>
      <c r="M29" s="34">
        <f t="shared" si="4"/>
        <v>0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171</v>
      </c>
      <c r="F31" s="9"/>
      <c r="G31" s="34">
        <f t="shared" ref="G31:M31" si="5">IF($E$27="Y",G27,IF($E$29="Y",G29,"Error: Please enter Y for one method"))</f>
        <v>6580465.9900000002</v>
      </c>
      <c r="H31" s="34">
        <f>IF($E$27="Y",H27,IF($E$29="Y",H29,"Error: Please enter Y for one method"))</f>
        <v>6748527.6699999999</v>
      </c>
      <c r="I31" s="34">
        <f t="shared" si="5"/>
        <v>6919284.0200000014</v>
      </c>
      <c r="J31" s="34">
        <f t="shared" si="5"/>
        <v>7111430.8300000001</v>
      </c>
      <c r="K31" s="34">
        <f t="shared" si="5"/>
        <v>7948685.2900196053</v>
      </c>
      <c r="L31" s="34">
        <f t="shared" si="5"/>
        <v>8443158.0520140212</v>
      </c>
      <c r="M31" s="34">
        <f t="shared" si="5"/>
        <v>0</v>
      </c>
      <c r="N31" s="9" t="s">
        <v>29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176</v>
      </c>
      <c r="G34" s="54"/>
      <c r="H34" s="230" t="s">
        <v>180</v>
      </c>
      <c r="I34" s="230"/>
      <c r="J34" s="230"/>
      <c r="K34" s="230"/>
      <c r="L34" s="230"/>
      <c r="M34" s="230"/>
      <c r="N34" s="98"/>
    </row>
    <row r="35" spans="3:27" x14ac:dyDescent="0.2">
      <c r="C35" s="97"/>
      <c r="D35" s="111" t="s">
        <v>190</v>
      </c>
      <c r="E35" t="s">
        <v>198</v>
      </c>
      <c r="G35" s="17">
        <f>G115</f>
        <v>6580465.9900000002</v>
      </c>
      <c r="H35" s="81"/>
      <c r="I35" s="81"/>
      <c r="J35" s="81"/>
      <c r="K35" s="81"/>
      <c r="L35" s="81"/>
      <c r="M35" s="81"/>
      <c r="N35" s="98" t="s">
        <v>172</v>
      </c>
    </row>
    <row r="36" spans="3:27" x14ac:dyDescent="0.2">
      <c r="C36" s="97"/>
      <c r="D36" s="111" t="s">
        <v>191</v>
      </c>
      <c r="E36" t="s">
        <v>189</v>
      </c>
      <c r="G36" s="34">
        <f>G121</f>
        <v>0</v>
      </c>
      <c r="H36" s="81"/>
      <c r="I36" s="81"/>
      <c r="J36" s="77"/>
      <c r="K36" s="77"/>
      <c r="L36" s="77"/>
      <c r="M36" s="77"/>
      <c r="N36" s="98" t="s">
        <v>172</v>
      </c>
    </row>
    <row r="37" spans="3:27" x14ac:dyDescent="0.2">
      <c r="C37" s="97"/>
      <c r="D37" s="111" t="s">
        <v>192</v>
      </c>
      <c r="E37" t="s">
        <v>83</v>
      </c>
      <c r="G37" s="34">
        <f>G122</f>
        <v>0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29"/>
    </row>
    <row r="41" spans="3:27" x14ac:dyDescent="0.2">
      <c r="C41" s="97"/>
      <c r="D41" s="8" t="s">
        <v>175</v>
      </c>
      <c r="N41" s="98"/>
      <c r="O41" s="229"/>
    </row>
    <row r="42" spans="3:27" x14ac:dyDescent="0.2">
      <c r="C42" s="50"/>
      <c r="N42" s="98"/>
      <c r="O42" s="229"/>
    </row>
    <row r="43" spans="3:27" x14ac:dyDescent="0.2">
      <c r="C43" s="102"/>
      <c r="D43" s="8" t="s">
        <v>164</v>
      </c>
      <c r="E43" s="8"/>
      <c r="F43" s="2"/>
      <c r="N43" s="98"/>
      <c r="O43" s="229"/>
    </row>
    <row r="44" spans="3:27" x14ac:dyDescent="0.2">
      <c r="C44" s="102"/>
      <c r="E44" s="9">
        <v>5005</v>
      </c>
      <c r="F44" s="94" t="s">
        <v>8</v>
      </c>
      <c r="G44" s="38">
        <f>'Benchmarking Calculations'!G10</f>
        <v>309802.61</v>
      </c>
      <c r="H44" s="86">
        <v>359227.58</v>
      </c>
      <c r="I44" s="86">
        <v>262633.42</v>
      </c>
      <c r="J44" s="86">
        <v>264929.34000000003</v>
      </c>
      <c r="K44" s="86">
        <v>284762.98411720712</v>
      </c>
      <c r="L44" s="86">
        <v>334710.60474334279</v>
      </c>
      <c r="M44" s="86"/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9</v>
      </c>
      <c r="G45" s="38">
        <f>'Benchmarking Calculations'!G11</f>
        <v>199054.37</v>
      </c>
      <c r="H45" s="86">
        <v>295630.07</v>
      </c>
      <c r="I45" s="86">
        <v>323467.55</v>
      </c>
      <c r="J45" s="86">
        <v>438035.01</v>
      </c>
      <c r="K45" s="86">
        <v>268577.41598411993</v>
      </c>
      <c r="L45" s="86">
        <v>287520.63315644569</v>
      </c>
      <c r="M45" s="86"/>
      <c r="N45" s="98" t="s">
        <v>172</v>
      </c>
    </row>
    <row r="46" spans="3:27" x14ac:dyDescent="0.2">
      <c r="C46" s="102"/>
      <c r="E46" s="9">
        <v>5012</v>
      </c>
      <c r="F46" s="94" t="s">
        <v>10</v>
      </c>
      <c r="G46" s="38">
        <f>'Benchmarking Calculations'!G12</f>
        <v>12122.38</v>
      </c>
      <c r="H46" s="86">
        <v>8444.44</v>
      </c>
      <c r="I46" s="86">
        <v>12850.77</v>
      </c>
      <c r="J46" s="86">
        <v>13605.07</v>
      </c>
      <c r="K46" s="86">
        <v>14412.055540000001</v>
      </c>
      <c r="L46" s="86">
        <v>14844.417206200002</v>
      </c>
      <c r="M46" s="86"/>
      <c r="N46" s="98" t="s">
        <v>172</v>
      </c>
    </row>
    <row r="47" spans="3:27" x14ac:dyDescent="0.2">
      <c r="C47" s="102"/>
      <c r="E47" s="9">
        <v>5014</v>
      </c>
      <c r="F47" s="94" t="s">
        <v>11</v>
      </c>
      <c r="G47" s="38">
        <f>'Benchmarking Calculations'!G13</f>
        <v>0</v>
      </c>
      <c r="H47" s="86"/>
      <c r="I47" s="86"/>
      <c r="J47" s="86"/>
      <c r="K47" s="86"/>
      <c r="L47" s="86"/>
      <c r="M47" s="86"/>
      <c r="N47" s="98" t="s">
        <v>172</v>
      </c>
    </row>
    <row r="48" spans="3:27" ht="25.5" x14ac:dyDescent="0.2">
      <c r="C48" s="102"/>
      <c r="E48" s="9">
        <v>5015</v>
      </c>
      <c r="F48" s="94" t="s">
        <v>12</v>
      </c>
      <c r="G48" s="38">
        <f>'Benchmarking Calculations'!G14</f>
        <v>0</v>
      </c>
      <c r="H48" s="86"/>
      <c r="I48" s="86"/>
      <c r="J48" s="86"/>
      <c r="K48" s="86"/>
      <c r="L48" s="86"/>
      <c r="M48" s="86"/>
      <c r="N48" s="98" t="s">
        <v>172</v>
      </c>
    </row>
    <row r="49" spans="3:14" x14ac:dyDescent="0.2">
      <c r="C49" s="102"/>
      <c r="E49" s="9">
        <v>5016</v>
      </c>
      <c r="F49" s="94" t="s">
        <v>13</v>
      </c>
      <c r="G49" s="38">
        <f>'Benchmarking Calculations'!G15</f>
        <v>21352.75</v>
      </c>
      <c r="H49" s="86">
        <v>17127.759999999998</v>
      </c>
      <c r="I49" s="86">
        <v>0</v>
      </c>
      <c r="J49" s="86">
        <v>0</v>
      </c>
      <c r="K49" s="86">
        <v>0</v>
      </c>
      <c r="L49" s="86">
        <v>0</v>
      </c>
      <c r="M49" s="86"/>
      <c r="N49" s="98" t="s">
        <v>172</v>
      </c>
    </row>
    <row r="50" spans="3:14" ht="25.5" x14ac:dyDescent="0.2">
      <c r="C50" s="102"/>
      <c r="E50" s="9">
        <v>5017</v>
      </c>
      <c r="F50" s="94" t="s">
        <v>14</v>
      </c>
      <c r="G50" s="38">
        <f>'Benchmarking Calculations'!G16</f>
        <v>115660.04</v>
      </c>
      <c r="H50" s="86">
        <v>108156.62</v>
      </c>
      <c r="I50" s="86">
        <v>112837.1</v>
      </c>
      <c r="J50" s="86">
        <v>117361.80000000002</v>
      </c>
      <c r="K50" s="86">
        <v>126612.61180000003</v>
      </c>
      <c r="L50" s="86">
        <v>68062.293944000019</v>
      </c>
      <c r="M50" s="86"/>
      <c r="N50" s="98" t="s">
        <v>172</v>
      </c>
    </row>
    <row r="51" spans="3:14" ht="25.5" x14ac:dyDescent="0.2">
      <c r="C51" s="102"/>
      <c r="E51" s="9">
        <v>5020</v>
      </c>
      <c r="F51" s="94" t="s">
        <v>15</v>
      </c>
      <c r="G51" s="38">
        <f>'Benchmarking Calculations'!G17</f>
        <v>144008.57999999999</v>
      </c>
      <c r="H51" s="86">
        <v>209355.78</v>
      </c>
      <c r="I51" s="86">
        <v>221672.94</v>
      </c>
      <c r="J51" s="86">
        <v>196984.21000000002</v>
      </c>
      <c r="K51" s="86">
        <v>63169.430363877487</v>
      </c>
      <c r="L51" s="86">
        <v>247405.26302074527</v>
      </c>
      <c r="M51" s="86"/>
      <c r="N51" s="98" t="s">
        <v>172</v>
      </c>
    </row>
    <row r="52" spans="3:14" ht="25.5" x14ac:dyDescent="0.2">
      <c r="C52" s="102"/>
      <c r="E52" s="9">
        <v>5025</v>
      </c>
      <c r="F52" s="94" t="s">
        <v>16</v>
      </c>
      <c r="G52" s="38">
        <f>'Benchmarking Calculations'!G18</f>
        <v>51928.24</v>
      </c>
      <c r="H52" s="86">
        <v>43045.04</v>
      </c>
      <c r="I52" s="86">
        <v>51488.02</v>
      </c>
      <c r="J52" s="86">
        <v>73177.180000000022</v>
      </c>
      <c r="K52" s="86">
        <v>73276.230000000025</v>
      </c>
      <c r="L52" s="86">
        <v>72851.14810000002</v>
      </c>
      <c r="M52" s="86"/>
      <c r="N52" s="98" t="s">
        <v>172</v>
      </c>
    </row>
    <row r="53" spans="3:14" x14ac:dyDescent="0.2">
      <c r="C53" s="102"/>
      <c r="E53" s="9">
        <v>5035</v>
      </c>
      <c r="F53" s="94" t="s">
        <v>17</v>
      </c>
      <c r="G53" s="38">
        <f>'Benchmarking Calculations'!G19</f>
        <v>0</v>
      </c>
      <c r="H53" s="86">
        <v>0</v>
      </c>
      <c r="I53" s="86">
        <v>0</v>
      </c>
      <c r="J53" s="86"/>
      <c r="K53" s="86"/>
      <c r="L53" s="86"/>
      <c r="M53" s="86"/>
      <c r="N53" s="98" t="s">
        <v>172</v>
      </c>
    </row>
    <row r="54" spans="3:14" ht="25.5" x14ac:dyDescent="0.2">
      <c r="C54" s="102"/>
      <c r="E54" s="9">
        <v>5040</v>
      </c>
      <c r="F54" s="94" t="s">
        <v>18</v>
      </c>
      <c r="G54" s="38">
        <f>'Benchmarking Calculations'!G20</f>
        <v>210174.3</v>
      </c>
      <c r="H54" s="86">
        <v>254439.89</v>
      </c>
      <c r="I54" s="86">
        <v>270058.78000000003</v>
      </c>
      <c r="J54" s="86">
        <v>286561.91000000003</v>
      </c>
      <c r="K54" s="86">
        <v>278352.35763054411</v>
      </c>
      <c r="L54" s="86">
        <v>349694.41567272035</v>
      </c>
      <c r="M54" s="86"/>
      <c r="N54" s="98" t="s">
        <v>172</v>
      </c>
    </row>
    <row r="55" spans="3:14" ht="25.5" x14ac:dyDescent="0.2">
      <c r="C55" s="102"/>
      <c r="E55" s="9">
        <v>5045</v>
      </c>
      <c r="F55" s="94" t="s">
        <v>19</v>
      </c>
      <c r="G55" s="38">
        <f>'Benchmarking Calculations'!G21</f>
        <v>0</v>
      </c>
      <c r="H55" s="86">
        <v>0</v>
      </c>
      <c r="I55" s="86">
        <v>0</v>
      </c>
      <c r="J55" s="86"/>
      <c r="K55" s="86"/>
      <c r="L55" s="86"/>
      <c r="M55" s="86"/>
      <c r="N55" s="98" t="s">
        <v>172</v>
      </c>
    </row>
    <row r="56" spans="3:14" x14ac:dyDescent="0.2">
      <c r="C56" s="102"/>
      <c r="E56" s="9">
        <v>5055</v>
      </c>
      <c r="F56" s="94" t="s">
        <v>20</v>
      </c>
      <c r="G56" s="38">
        <f>'Benchmarking Calculations'!G22</f>
        <v>319.89</v>
      </c>
      <c r="H56" s="86">
        <v>0</v>
      </c>
      <c r="I56" s="86">
        <v>785.01</v>
      </c>
      <c r="J56" s="86">
        <v>1029.01</v>
      </c>
      <c r="K56" s="86">
        <v>1248</v>
      </c>
      <c r="L56" s="86">
        <v>1285.44</v>
      </c>
      <c r="M56" s="86"/>
      <c r="N56" s="98" t="s">
        <v>172</v>
      </c>
    </row>
    <row r="57" spans="3:14" x14ac:dyDescent="0.2">
      <c r="C57" s="102"/>
      <c r="E57" s="9">
        <v>5065</v>
      </c>
      <c r="F57" s="94" t="s">
        <v>21</v>
      </c>
      <c r="G57" s="38">
        <f>'Benchmarking Calculations'!G23</f>
        <v>201399.82</v>
      </c>
      <c r="H57" s="86">
        <v>270883.12</v>
      </c>
      <c r="I57" s="86">
        <v>284235.61</v>
      </c>
      <c r="J57" s="86">
        <v>297975.16000000003</v>
      </c>
      <c r="K57" s="86">
        <v>391989.28000046406</v>
      </c>
      <c r="L57" s="86">
        <v>402502.27449733159</v>
      </c>
      <c r="M57" s="86"/>
      <c r="N57" s="98" t="s">
        <v>172</v>
      </c>
    </row>
    <row r="58" spans="3:14" x14ac:dyDescent="0.2">
      <c r="C58" s="102"/>
      <c r="E58" s="9">
        <v>5070</v>
      </c>
      <c r="F58" s="94" t="s">
        <v>22</v>
      </c>
      <c r="G58" s="38">
        <f>'Benchmarking Calculations'!G24</f>
        <v>0</v>
      </c>
      <c r="H58" s="86">
        <v>0</v>
      </c>
      <c r="I58" s="86">
        <v>0</v>
      </c>
      <c r="J58" s="86"/>
      <c r="K58" s="86"/>
      <c r="L58" s="86"/>
      <c r="M58" s="86"/>
      <c r="N58" s="98" t="s">
        <v>172</v>
      </c>
    </row>
    <row r="59" spans="3:14" ht="25.5" x14ac:dyDescent="0.2">
      <c r="C59" s="102"/>
      <c r="E59" s="9">
        <v>5075</v>
      </c>
      <c r="F59" s="94" t="s">
        <v>23</v>
      </c>
      <c r="G59" s="38">
        <f>'Benchmarking Calculations'!G25</f>
        <v>0</v>
      </c>
      <c r="H59" s="86">
        <v>0</v>
      </c>
      <c r="I59" s="86">
        <v>0</v>
      </c>
      <c r="J59" s="86"/>
      <c r="K59" s="86"/>
      <c r="L59" s="86"/>
      <c r="M59" s="86"/>
      <c r="N59" s="98" t="s">
        <v>172</v>
      </c>
    </row>
    <row r="60" spans="3:14" x14ac:dyDescent="0.2">
      <c r="C60" s="102"/>
      <c r="E60" s="9">
        <v>5085</v>
      </c>
      <c r="F60" s="94" t="s">
        <v>24</v>
      </c>
      <c r="G60" s="38">
        <f>'Benchmarking Calculations'!G26</f>
        <v>190089.74</v>
      </c>
      <c r="H60" s="86">
        <v>114599.58</v>
      </c>
      <c r="I60" s="86">
        <v>79894.42</v>
      </c>
      <c r="J60" s="86">
        <v>84951.200000000012</v>
      </c>
      <c r="K60" s="86">
        <v>104699.24051332001</v>
      </c>
      <c r="L60" s="86">
        <v>110947.54191271961</v>
      </c>
      <c r="M60" s="86"/>
      <c r="N60" s="98" t="s">
        <v>172</v>
      </c>
    </row>
    <row r="61" spans="3:14" ht="25.5" x14ac:dyDescent="0.2">
      <c r="C61" s="102"/>
      <c r="E61" s="9">
        <v>5090</v>
      </c>
      <c r="F61" s="94" t="s">
        <v>25</v>
      </c>
      <c r="G61" s="38">
        <f>'Benchmarking Calculations'!G27</f>
        <v>0</v>
      </c>
      <c r="H61" s="86">
        <v>0</v>
      </c>
      <c r="I61" s="86">
        <v>0</v>
      </c>
      <c r="J61" s="86"/>
      <c r="K61" s="86"/>
      <c r="L61" s="86"/>
      <c r="M61" s="86"/>
      <c r="N61" s="98" t="s">
        <v>172</v>
      </c>
    </row>
    <row r="62" spans="3:14" ht="25.5" x14ac:dyDescent="0.2">
      <c r="C62" s="102"/>
      <c r="E62" s="9">
        <v>5095</v>
      </c>
      <c r="F62" s="94" t="s">
        <v>26</v>
      </c>
      <c r="G62" s="38">
        <f>'Benchmarking Calculations'!G28</f>
        <v>73624.22</v>
      </c>
      <c r="H62" s="86">
        <v>48867.69</v>
      </c>
      <c r="I62" s="86">
        <v>39512.54</v>
      </c>
      <c r="J62" s="86">
        <v>40707.259999999995</v>
      </c>
      <c r="K62" s="86">
        <v>42649.732799999998</v>
      </c>
      <c r="L62" s="86">
        <v>43924.026783999994</v>
      </c>
      <c r="M62" s="86"/>
      <c r="N62" s="98" t="s">
        <v>172</v>
      </c>
    </row>
    <row r="63" spans="3:14" x14ac:dyDescent="0.2">
      <c r="C63" s="102"/>
      <c r="E63" s="70">
        <v>5096</v>
      </c>
      <c r="F63" s="110" t="s">
        <v>27</v>
      </c>
      <c r="G63" s="71">
        <f>'Benchmarking Calculations'!G29</f>
        <v>0</v>
      </c>
      <c r="H63" s="86">
        <v>0</v>
      </c>
      <c r="I63" s="86">
        <v>0</v>
      </c>
      <c r="J63" s="86"/>
      <c r="K63" s="86"/>
      <c r="L63" s="86"/>
      <c r="M63" s="86"/>
      <c r="N63" s="98" t="s">
        <v>172</v>
      </c>
    </row>
    <row r="64" spans="3:14" x14ac:dyDescent="0.2">
      <c r="C64" s="102"/>
      <c r="E64" s="12"/>
      <c r="F64" s="13" t="s">
        <v>28</v>
      </c>
      <c r="G64" s="69">
        <f>'Benchmarking Calculations'!G30</f>
        <v>1529536.94</v>
      </c>
      <c r="H64" s="52">
        <f t="shared" ref="H64:M64" si="6">SUM(H44:H63)</f>
        <v>1729777.5700000003</v>
      </c>
      <c r="I64" s="52">
        <f t="shared" si="6"/>
        <v>1659436.1600000001</v>
      </c>
      <c r="J64" s="52">
        <f t="shared" si="6"/>
        <v>1815317.15</v>
      </c>
      <c r="K64" s="52">
        <f t="shared" si="6"/>
        <v>1649749.3387495326</v>
      </c>
      <c r="L64" s="52">
        <f t="shared" si="6"/>
        <v>1933748.0590375052</v>
      </c>
      <c r="M64" s="52">
        <f t="shared" si="6"/>
        <v>0</v>
      </c>
      <c r="N64" s="98" t="s">
        <v>29</v>
      </c>
    </row>
    <row r="65" spans="3:14" x14ac:dyDescent="0.2">
      <c r="C65" s="102"/>
      <c r="E65" s="9">
        <v>5105</v>
      </c>
      <c r="F65" s="94" t="s">
        <v>30</v>
      </c>
      <c r="G65" s="38">
        <f>'Benchmarking Calculations'!G31</f>
        <v>100150.9</v>
      </c>
      <c r="H65" s="86">
        <v>108460.21</v>
      </c>
      <c r="I65" s="86">
        <v>104046.06</v>
      </c>
      <c r="J65" s="86">
        <v>76060.36</v>
      </c>
      <c r="K65" s="86">
        <v>130461.78316775497</v>
      </c>
      <c r="L65" s="86">
        <v>237462.48469622279</v>
      </c>
      <c r="M65" s="86"/>
      <c r="N65" s="98" t="s">
        <v>172</v>
      </c>
    </row>
    <row r="66" spans="3:14" x14ac:dyDescent="0.2">
      <c r="C66" s="102"/>
      <c r="E66" s="9">
        <v>5110</v>
      </c>
      <c r="F66" s="94" t="s">
        <v>31</v>
      </c>
      <c r="G66" s="38">
        <f>'Benchmarking Calculations'!G32</f>
        <v>40816.160000000003</v>
      </c>
      <c r="H66" s="86">
        <v>35248.97</v>
      </c>
      <c r="I66" s="86">
        <v>15047.06</v>
      </c>
      <c r="J66" s="86">
        <v>29843.780000000002</v>
      </c>
      <c r="K66" s="86">
        <v>28393.716730955155</v>
      </c>
      <c r="L66" s="86">
        <v>29430.600881338305</v>
      </c>
      <c r="M66" s="86"/>
      <c r="N66" s="98" t="s">
        <v>172</v>
      </c>
    </row>
    <row r="67" spans="3:14" x14ac:dyDescent="0.2">
      <c r="C67" s="102"/>
      <c r="E67" s="9">
        <v>5112</v>
      </c>
      <c r="F67" s="94" t="s">
        <v>32</v>
      </c>
      <c r="G67" s="38">
        <f>'Benchmarking Calculations'!G33</f>
        <v>0</v>
      </c>
      <c r="H67" s="86"/>
      <c r="I67" s="86"/>
      <c r="J67" s="86"/>
      <c r="K67" s="86"/>
      <c r="L67" s="86"/>
      <c r="M67" s="86"/>
      <c r="N67" s="98" t="s">
        <v>172</v>
      </c>
    </row>
    <row r="68" spans="3:14" x14ac:dyDescent="0.2">
      <c r="C68" s="102"/>
      <c r="E68" s="9">
        <v>5114</v>
      </c>
      <c r="F68" s="94" t="s">
        <v>33</v>
      </c>
      <c r="G68" s="38">
        <f>'Benchmarking Calculations'!G34</f>
        <v>67643.34</v>
      </c>
      <c r="H68" s="86">
        <v>54177.91</v>
      </c>
      <c r="I68" s="86">
        <v>64083.44</v>
      </c>
      <c r="J68" s="86">
        <v>57392.680000000008</v>
      </c>
      <c r="K68" s="86">
        <v>100956.97363299165</v>
      </c>
      <c r="L68" s="86">
        <v>97712.368109884788</v>
      </c>
      <c r="M68" s="86"/>
      <c r="N68" s="98" t="s">
        <v>172</v>
      </c>
    </row>
    <row r="69" spans="3:14" x14ac:dyDescent="0.2">
      <c r="C69" s="102"/>
      <c r="E69" s="9">
        <v>5120</v>
      </c>
      <c r="F69" s="94" t="s">
        <v>34</v>
      </c>
      <c r="G69" s="38">
        <f>'Benchmarking Calculations'!G35</f>
        <v>84775.66</v>
      </c>
      <c r="H69" s="86">
        <v>116447.92</v>
      </c>
      <c r="I69" s="86">
        <v>116327.59</v>
      </c>
      <c r="J69" s="86">
        <v>125824.92</v>
      </c>
      <c r="K69" s="86">
        <v>149524.5769636076</v>
      </c>
      <c r="L69" s="86">
        <v>153795.59645665227</v>
      </c>
      <c r="M69" s="86"/>
      <c r="N69" s="98" t="s">
        <v>172</v>
      </c>
    </row>
    <row r="70" spans="3:14" x14ac:dyDescent="0.2">
      <c r="C70" s="102"/>
      <c r="E70" s="9">
        <v>5125</v>
      </c>
      <c r="F70" s="94" t="s">
        <v>35</v>
      </c>
      <c r="G70" s="38">
        <f>'Benchmarking Calculations'!G36</f>
        <v>646083.98</v>
      </c>
      <c r="H70" s="86">
        <v>540991.78</v>
      </c>
      <c r="I70" s="86">
        <v>647867.63</v>
      </c>
      <c r="J70" s="86">
        <v>560717.97</v>
      </c>
      <c r="K70" s="86">
        <v>670955.43395175575</v>
      </c>
      <c r="L70" s="86">
        <v>682533.36659666034</v>
      </c>
      <c r="M70" s="86"/>
      <c r="N70" s="98" t="s">
        <v>172</v>
      </c>
    </row>
    <row r="71" spans="3:14" x14ac:dyDescent="0.2">
      <c r="C71" s="102"/>
      <c r="E71" s="9">
        <v>5130</v>
      </c>
      <c r="F71" s="94" t="s">
        <v>36</v>
      </c>
      <c r="G71" s="38">
        <f>'Benchmarking Calculations'!G37</f>
        <v>291756.89</v>
      </c>
      <c r="H71" s="86">
        <v>423998.94</v>
      </c>
      <c r="I71" s="86">
        <v>437270.94</v>
      </c>
      <c r="J71" s="86">
        <v>422631.3299999999</v>
      </c>
      <c r="K71" s="86">
        <v>509069.18206026754</v>
      </c>
      <c r="L71" s="86">
        <v>498385.28713071632</v>
      </c>
      <c r="M71" s="86"/>
      <c r="N71" s="98" t="s">
        <v>172</v>
      </c>
    </row>
    <row r="72" spans="3:14" ht="25.5" x14ac:dyDescent="0.2">
      <c r="C72" s="102"/>
      <c r="E72" s="9">
        <v>5135</v>
      </c>
      <c r="F72" s="94" t="s">
        <v>37</v>
      </c>
      <c r="G72" s="38">
        <f>'Benchmarking Calculations'!G38</f>
        <v>212138.11</v>
      </c>
      <c r="H72" s="86">
        <v>190848.53</v>
      </c>
      <c r="I72" s="86">
        <v>251192.84</v>
      </c>
      <c r="J72" s="86">
        <v>294753.94</v>
      </c>
      <c r="K72" s="86">
        <v>371308.32425076753</v>
      </c>
      <c r="L72" s="86">
        <v>313072.92751788185</v>
      </c>
      <c r="M72" s="86"/>
      <c r="N72" s="98" t="s">
        <v>172</v>
      </c>
    </row>
    <row r="73" spans="3:14" x14ac:dyDescent="0.2">
      <c r="C73" s="102"/>
      <c r="E73" s="9">
        <v>5145</v>
      </c>
      <c r="F73" s="94" t="s">
        <v>38</v>
      </c>
      <c r="G73" s="38">
        <f>'Benchmarking Calculations'!G39</f>
        <v>5691.53</v>
      </c>
      <c r="H73" s="86">
        <v>272.25</v>
      </c>
      <c r="I73" s="86">
        <v>0</v>
      </c>
      <c r="J73" s="86">
        <v>1097.3</v>
      </c>
      <c r="K73" s="86">
        <v>996.53980000000001</v>
      </c>
      <c r="L73" s="86">
        <v>957.5622531424292</v>
      </c>
      <c r="M73" s="86"/>
      <c r="N73" s="98" t="s">
        <v>172</v>
      </c>
    </row>
    <row r="74" spans="3:14" ht="25.5" x14ac:dyDescent="0.2">
      <c r="C74" s="102"/>
      <c r="E74" s="9">
        <v>5150</v>
      </c>
      <c r="F74" s="94" t="s">
        <v>39</v>
      </c>
      <c r="G74" s="38">
        <f>'Benchmarking Calculations'!G40</f>
        <v>176970.61</v>
      </c>
      <c r="H74" s="86">
        <v>59134.68</v>
      </c>
      <c r="I74" s="86">
        <v>39341.160000000003</v>
      </c>
      <c r="J74" s="86">
        <v>57566.780000000006</v>
      </c>
      <c r="K74" s="86">
        <v>87610.542882120964</v>
      </c>
      <c r="L74" s="86">
        <v>88875.333606790402</v>
      </c>
      <c r="M74" s="86"/>
      <c r="N74" s="98" t="s">
        <v>172</v>
      </c>
    </row>
    <row r="75" spans="3:14" x14ac:dyDescent="0.2">
      <c r="C75" s="102"/>
      <c r="E75" s="9">
        <v>5155</v>
      </c>
      <c r="F75" s="94" t="s">
        <v>40</v>
      </c>
      <c r="G75" s="38">
        <f>'Benchmarking Calculations'!G41</f>
        <v>104264.15</v>
      </c>
      <c r="H75" s="86">
        <v>135804.1</v>
      </c>
      <c r="I75" s="86">
        <v>186577.53</v>
      </c>
      <c r="J75" s="86">
        <v>123395.84</v>
      </c>
      <c r="K75" s="86">
        <v>157973.95119954745</v>
      </c>
      <c r="L75" s="86">
        <v>158953.25669401689</v>
      </c>
      <c r="M75" s="86"/>
      <c r="N75" s="98" t="s">
        <v>172</v>
      </c>
    </row>
    <row r="76" spans="3:14" x14ac:dyDescent="0.2">
      <c r="C76" s="102"/>
      <c r="E76" s="9">
        <v>5160</v>
      </c>
      <c r="F76" s="94" t="s">
        <v>41</v>
      </c>
      <c r="G76" s="38">
        <f>'Benchmarking Calculations'!G42</f>
        <v>141791.29999999999</v>
      </c>
      <c r="H76" s="86">
        <v>143685.17000000001</v>
      </c>
      <c r="I76" s="86">
        <v>124619.98</v>
      </c>
      <c r="J76" s="86">
        <v>130980.79</v>
      </c>
      <c r="K76" s="86">
        <v>184215.06054664345</v>
      </c>
      <c r="L76" s="86">
        <v>187202.48818902505</v>
      </c>
      <c r="M76" s="86"/>
      <c r="N76" s="98" t="s">
        <v>172</v>
      </c>
    </row>
    <row r="77" spans="3:14" x14ac:dyDescent="0.2">
      <c r="C77" s="102"/>
      <c r="E77" s="70">
        <v>5175</v>
      </c>
      <c r="F77" s="110" t="s">
        <v>42</v>
      </c>
      <c r="G77" s="71">
        <f>'Benchmarking Calculations'!G43</f>
        <v>118559.34</v>
      </c>
      <c r="H77" s="86">
        <v>122844.05</v>
      </c>
      <c r="I77" s="86">
        <v>121390.47</v>
      </c>
      <c r="J77" s="86">
        <v>129924.21</v>
      </c>
      <c r="K77" s="86">
        <v>133916.74610000002</v>
      </c>
      <c r="L77" s="86">
        <v>135310.87968300001</v>
      </c>
      <c r="M77" s="86"/>
      <c r="N77" s="98" t="s">
        <v>172</v>
      </c>
    </row>
    <row r="78" spans="3:14" x14ac:dyDescent="0.2">
      <c r="C78" s="102"/>
      <c r="E78" s="12"/>
      <c r="F78" s="13" t="s">
        <v>43</v>
      </c>
      <c r="G78" s="69">
        <f>'Benchmarking Calculations'!G44</f>
        <v>1990641.9700000002</v>
      </c>
      <c r="H78" s="52">
        <f>SUM(H65:H77)</f>
        <v>1931914.51</v>
      </c>
      <c r="I78" s="52">
        <f t="shared" ref="I78:M78" si="7">SUM(I65:I77)</f>
        <v>2107764.7000000002</v>
      </c>
      <c r="J78" s="52">
        <f t="shared" si="7"/>
        <v>2010189.9</v>
      </c>
      <c r="K78" s="52">
        <f t="shared" si="7"/>
        <v>2525382.8312864122</v>
      </c>
      <c r="L78" s="52">
        <f t="shared" si="7"/>
        <v>2583692.1518153315</v>
      </c>
      <c r="M78" s="52">
        <f t="shared" si="7"/>
        <v>0</v>
      </c>
      <c r="N78" s="98" t="s">
        <v>29</v>
      </c>
    </row>
    <row r="79" spans="3:14" x14ac:dyDescent="0.2">
      <c r="C79" s="102"/>
      <c r="E79" s="9">
        <v>5305</v>
      </c>
      <c r="F79" s="9" t="s">
        <v>44</v>
      </c>
      <c r="G79" s="38">
        <f>'Benchmarking Calculations'!G45</f>
        <v>0</v>
      </c>
      <c r="H79" s="86"/>
      <c r="I79" s="86">
        <v>0</v>
      </c>
      <c r="J79" s="86"/>
      <c r="K79" s="86"/>
      <c r="L79" s="86"/>
      <c r="M79" s="86"/>
      <c r="N79" s="98" t="s">
        <v>172</v>
      </c>
    </row>
    <row r="80" spans="3:14" x14ac:dyDescent="0.2">
      <c r="C80" s="102"/>
      <c r="E80" s="9">
        <v>5310</v>
      </c>
      <c r="F80" s="9" t="s">
        <v>45</v>
      </c>
      <c r="G80" s="38">
        <f>'Benchmarking Calculations'!G46</f>
        <v>6202.14</v>
      </c>
      <c r="H80" s="86">
        <v>5760</v>
      </c>
      <c r="I80" s="86">
        <v>5890.9</v>
      </c>
      <c r="J80" s="86">
        <v>6162.82</v>
      </c>
      <c r="K80" s="86">
        <v>5990.4000000000005</v>
      </c>
      <c r="L80" s="86">
        <v>6170.112000000001</v>
      </c>
      <c r="M80" s="86"/>
      <c r="N80" s="98" t="s">
        <v>172</v>
      </c>
    </row>
    <row r="81" spans="3:15" x14ac:dyDescent="0.2">
      <c r="C81" s="102"/>
      <c r="E81" s="9">
        <v>5315</v>
      </c>
      <c r="F81" s="9" t="s">
        <v>46</v>
      </c>
      <c r="G81" s="38">
        <f>'Benchmarking Calculations'!G47</f>
        <v>914826.15</v>
      </c>
      <c r="H81" s="86">
        <v>987038</v>
      </c>
      <c r="I81" s="86">
        <v>983917.05</v>
      </c>
      <c r="J81" s="86">
        <v>1001868.93</v>
      </c>
      <c r="K81" s="86">
        <v>1088813.9298342261</v>
      </c>
      <c r="L81" s="86">
        <v>1193889.3724523338</v>
      </c>
      <c r="M81" s="86"/>
      <c r="N81" s="98" t="s">
        <v>172</v>
      </c>
    </row>
    <row r="82" spans="3:15" x14ac:dyDescent="0.2">
      <c r="C82" s="102"/>
      <c r="E82" s="9">
        <v>5320</v>
      </c>
      <c r="F82" s="9" t="s">
        <v>47</v>
      </c>
      <c r="G82" s="38">
        <f>'Benchmarking Calculations'!G48</f>
        <v>372974.66</v>
      </c>
      <c r="H82" s="86">
        <v>369532.72</v>
      </c>
      <c r="I82" s="86">
        <v>330544.93</v>
      </c>
      <c r="J82" s="86">
        <v>336558.07999999996</v>
      </c>
      <c r="K82" s="86">
        <v>405848.68135083927</v>
      </c>
      <c r="L82" s="86">
        <v>392939.90271980199</v>
      </c>
      <c r="M82" s="86"/>
      <c r="N82" s="98" t="s">
        <v>172</v>
      </c>
    </row>
    <row r="83" spans="3:15" x14ac:dyDescent="0.2">
      <c r="C83" s="102"/>
      <c r="E83" s="9">
        <v>5325</v>
      </c>
      <c r="F83" s="9" t="s">
        <v>48</v>
      </c>
      <c r="G83" s="38">
        <f>'Benchmarking Calculations'!G49</f>
        <v>41.19</v>
      </c>
      <c r="H83" s="86">
        <v>-9</v>
      </c>
      <c r="I83" s="86">
        <v>-1.67</v>
      </c>
      <c r="J83" s="86">
        <v>-2.819999999999999</v>
      </c>
      <c r="K83" s="86">
        <v>0</v>
      </c>
      <c r="L83" s="86">
        <v>0</v>
      </c>
      <c r="M83" s="86"/>
      <c r="N83" s="98" t="s">
        <v>172</v>
      </c>
    </row>
    <row r="84" spans="3:15" x14ac:dyDescent="0.2">
      <c r="C84" s="102"/>
      <c r="E84" s="9">
        <v>5330</v>
      </c>
      <c r="F84" s="9" t="s">
        <v>49</v>
      </c>
      <c r="G84" s="38">
        <f>'Benchmarking Calculations'!G50</f>
        <v>0</v>
      </c>
      <c r="H84" s="86">
        <v>0</v>
      </c>
      <c r="I84" s="86">
        <v>0</v>
      </c>
      <c r="J84" s="86"/>
      <c r="K84" s="86"/>
      <c r="L84" s="86"/>
      <c r="M84" s="86"/>
      <c r="N84" s="98" t="s">
        <v>172</v>
      </c>
    </row>
    <row r="85" spans="3:15" x14ac:dyDescent="0.2">
      <c r="C85" s="102"/>
      <c r="E85" s="70">
        <v>5340</v>
      </c>
      <c r="F85" s="70" t="s">
        <v>50</v>
      </c>
      <c r="G85" s="71">
        <f>'Benchmarking Calculations'!G51</f>
        <v>18919.560000000001</v>
      </c>
      <c r="H85" s="86">
        <v>20472.53</v>
      </c>
      <c r="I85" s="86">
        <v>20907.61</v>
      </c>
      <c r="J85" s="86">
        <v>16225.250000000002</v>
      </c>
      <c r="K85" s="86">
        <v>22627.725429680191</v>
      </c>
      <c r="L85" s="86">
        <v>23348.041199862735</v>
      </c>
      <c r="M85" s="86"/>
      <c r="N85" s="98" t="s">
        <v>172</v>
      </c>
    </row>
    <row r="86" spans="3:15" x14ac:dyDescent="0.2">
      <c r="C86" s="102"/>
      <c r="E86" s="12"/>
      <c r="F86" s="13" t="s">
        <v>51</v>
      </c>
      <c r="G86" s="69">
        <f>'Benchmarking Calculations'!G52</f>
        <v>1312963.7</v>
      </c>
      <c r="H86" s="52">
        <f>SUM(H79:H85)</f>
        <v>1382794.25</v>
      </c>
      <c r="I86" s="52">
        <f t="shared" ref="I86:M86" si="8">SUM(I79:I85)</f>
        <v>1341258.8200000003</v>
      </c>
      <c r="J86" s="52">
        <f t="shared" si="8"/>
        <v>1360812.26</v>
      </c>
      <c r="K86" s="52">
        <f t="shared" si="8"/>
        <v>1523280.7366147456</v>
      </c>
      <c r="L86" s="52">
        <f t="shared" si="8"/>
        <v>1616347.4283719985</v>
      </c>
      <c r="M86" s="52">
        <f t="shared" si="8"/>
        <v>0</v>
      </c>
      <c r="N86" s="98" t="s">
        <v>29</v>
      </c>
      <c r="O86" s="17"/>
    </row>
    <row r="87" spans="3:15" x14ac:dyDescent="0.2">
      <c r="C87" s="102"/>
      <c r="E87" s="9">
        <v>5405</v>
      </c>
      <c r="F87" s="9" t="s">
        <v>52</v>
      </c>
      <c r="G87" s="38">
        <f>'Benchmarking Calculations'!G53</f>
        <v>30345.95</v>
      </c>
      <c r="H87" s="86">
        <v>26126.48</v>
      </c>
      <c r="I87" s="86">
        <v>27088.29</v>
      </c>
      <c r="J87" s="86">
        <v>39481.919999999998</v>
      </c>
      <c r="K87" s="86">
        <v>39685.939368081279</v>
      </c>
      <c r="L87" s="86">
        <v>41135.996470106191</v>
      </c>
      <c r="M87" s="86"/>
      <c r="N87" s="98" t="s">
        <v>172</v>
      </c>
    </row>
    <row r="88" spans="3:15" x14ac:dyDescent="0.2">
      <c r="C88" s="102"/>
      <c r="E88" s="9">
        <v>5410</v>
      </c>
      <c r="F88" s="9" t="s">
        <v>53</v>
      </c>
      <c r="G88" s="38">
        <f>'Benchmarking Calculations'!G54</f>
        <v>6811.56</v>
      </c>
      <c r="H88" s="86">
        <v>8869.4699999999993</v>
      </c>
      <c r="I88" s="86">
        <v>17645.29</v>
      </c>
      <c r="J88" s="86">
        <v>12688.48</v>
      </c>
      <c r="K88" s="86">
        <v>16431.108840000001</v>
      </c>
      <c r="L88" s="86">
        <v>15808.922905199999</v>
      </c>
      <c r="M88" s="86"/>
      <c r="N88" s="98" t="s">
        <v>172</v>
      </c>
    </row>
    <row r="89" spans="3:15" x14ac:dyDescent="0.2">
      <c r="C89" s="102"/>
      <c r="E89" s="9">
        <v>5420</v>
      </c>
      <c r="F89" s="9" t="s">
        <v>54</v>
      </c>
      <c r="G89" s="38">
        <f>'Benchmarking Calculations'!G55</f>
        <v>0</v>
      </c>
      <c r="H89" s="86">
        <v>2444.5100000000002</v>
      </c>
      <c r="I89" s="86">
        <v>4149</v>
      </c>
      <c r="J89" s="86">
        <v>898</v>
      </c>
      <c r="K89" s="86">
        <v>4250</v>
      </c>
      <c r="L89" s="86">
        <v>4377.5</v>
      </c>
      <c r="M89" s="86"/>
      <c r="N89" s="98" t="s">
        <v>172</v>
      </c>
    </row>
    <row r="90" spans="3:15" x14ac:dyDescent="0.2">
      <c r="C90" s="102"/>
      <c r="E90" s="70">
        <v>5425</v>
      </c>
      <c r="F90" s="70" t="s">
        <v>55</v>
      </c>
      <c r="G90" s="71">
        <f>'Benchmarking Calculations'!G56</f>
        <v>0</v>
      </c>
      <c r="H90" s="86">
        <v>0</v>
      </c>
      <c r="I90" s="86">
        <v>0</v>
      </c>
      <c r="J90" s="86"/>
      <c r="K90" s="86"/>
      <c r="L90" s="86"/>
      <c r="M90" s="86"/>
      <c r="N90" s="98" t="s">
        <v>172</v>
      </c>
    </row>
    <row r="91" spans="3:15" x14ac:dyDescent="0.2">
      <c r="C91" s="102"/>
      <c r="E91" s="12"/>
      <c r="F91" s="13" t="s">
        <v>56</v>
      </c>
      <c r="G91" s="69">
        <f>'Benchmarking Calculations'!G57</f>
        <v>37157.51</v>
      </c>
      <c r="H91" s="52">
        <f>SUM(H87:H90)</f>
        <v>37440.46</v>
      </c>
      <c r="I91" s="52">
        <f t="shared" ref="I91:M91" si="9">SUM(I87:I90)</f>
        <v>48882.58</v>
      </c>
      <c r="J91" s="52">
        <f t="shared" si="9"/>
        <v>53068.399999999994</v>
      </c>
      <c r="K91" s="52">
        <f t="shared" si="9"/>
        <v>60367.04820808128</v>
      </c>
      <c r="L91" s="52">
        <f t="shared" si="9"/>
        <v>61322.419375306192</v>
      </c>
      <c r="M91" s="52">
        <f t="shared" si="9"/>
        <v>0</v>
      </c>
      <c r="N91" s="98" t="s">
        <v>29</v>
      </c>
    </row>
    <row r="92" spans="3:15" x14ac:dyDescent="0.2">
      <c r="C92" s="102"/>
      <c r="E92" s="9">
        <v>5605</v>
      </c>
      <c r="F92" s="9" t="s">
        <v>57</v>
      </c>
      <c r="G92" s="38">
        <f>'Benchmarking Calculations'!G58</f>
        <v>454291.35</v>
      </c>
      <c r="H92" s="86">
        <v>474474.73</v>
      </c>
      <c r="I92" s="86">
        <v>482796.26</v>
      </c>
      <c r="J92" s="86">
        <v>505280.53</v>
      </c>
      <c r="K92" s="86">
        <v>524489.95661427686</v>
      </c>
      <c r="L92" s="86">
        <v>544141.21940562525</v>
      </c>
      <c r="M92" s="86"/>
      <c r="N92" s="98" t="s">
        <v>172</v>
      </c>
    </row>
    <row r="93" spans="3:15" x14ac:dyDescent="0.2">
      <c r="C93" s="102"/>
      <c r="E93" s="9">
        <v>5610</v>
      </c>
      <c r="F93" s="9" t="s">
        <v>58</v>
      </c>
      <c r="G93" s="38">
        <f>'Benchmarking Calculations'!G59</f>
        <v>374837.19</v>
      </c>
      <c r="H93" s="86">
        <v>396170.56</v>
      </c>
      <c r="I93" s="86">
        <v>431776.37</v>
      </c>
      <c r="J93" s="86">
        <v>441285.65</v>
      </c>
      <c r="K93" s="86">
        <v>467022.34788189089</v>
      </c>
      <c r="L93" s="86">
        <v>517294.72285583633</v>
      </c>
      <c r="M93" s="86"/>
      <c r="N93" s="98" t="s">
        <v>172</v>
      </c>
    </row>
    <row r="94" spans="3:15" x14ac:dyDescent="0.2">
      <c r="C94" s="102"/>
      <c r="E94" s="9">
        <v>5615</v>
      </c>
      <c r="F94" s="9" t="s">
        <v>59</v>
      </c>
      <c r="G94" s="38">
        <f>'Benchmarking Calculations'!G60</f>
        <v>356765.3</v>
      </c>
      <c r="H94" s="86">
        <v>258505.51</v>
      </c>
      <c r="I94" s="86">
        <v>278170.62</v>
      </c>
      <c r="J94" s="86">
        <v>316638.38999999996</v>
      </c>
      <c r="K94" s="86">
        <v>354963.06786466675</v>
      </c>
      <c r="L94" s="86">
        <v>457039.97290841752</v>
      </c>
      <c r="M94" s="86"/>
      <c r="N94" s="98" t="s">
        <v>172</v>
      </c>
    </row>
    <row r="95" spans="3:15" x14ac:dyDescent="0.2">
      <c r="C95" s="102"/>
      <c r="E95" s="9">
        <v>5620</v>
      </c>
      <c r="F95" s="9" t="s">
        <v>60</v>
      </c>
      <c r="G95" s="38">
        <f>'Benchmarking Calculations'!G61</f>
        <v>0</v>
      </c>
      <c r="H95" s="86">
        <v>0</v>
      </c>
      <c r="I95" s="86">
        <v>0</v>
      </c>
      <c r="J95" s="86"/>
      <c r="K95" s="86"/>
      <c r="L95" s="86"/>
      <c r="M95" s="86"/>
      <c r="N95" s="98" t="s">
        <v>172</v>
      </c>
    </row>
    <row r="96" spans="3:15" x14ac:dyDescent="0.2">
      <c r="C96" s="102"/>
      <c r="E96" s="9">
        <v>5625</v>
      </c>
      <c r="F96" s="9" t="s">
        <v>61</v>
      </c>
      <c r="G96" s="38">
        <f>'Benchmarking Calculations'!G62</f>
        <v>0</v>
      </c>
      <c r="H96" s="86">
        <v>0</v>
      </c>
      <c r="I96" s="86">
        <v>0</v>
      </c>
      <c r="J96" s="86"/>
      <c r="K96" s="86"/>
      <c r="L96" s="86"/>
      <c r="M96" s="86"/>
      <c r="N96" s="98" t="s">
        <v>172</v>
      </c>
    </row>
    <row r="97" spans="3:15" x14ac:dyDescent="0.2">
      <c r="C97" s="102"/>
      <c r="E97" s="9">
        <v>5630</v>
      </c>
      <c r="F97" s="9" t="s">
        <v>62</v>
      </c>
      <c r="G97" s="38">
        <f>'Benchmarking Calculations'!G63</f>
        <v>187513.32</v>
      </c>
      <c r="H97" s="86">
        <v>212139.27</v>
      </c>
      <c r="I97" s="86">
        <v>196895.59</v>
      </c>
      <c r="J97" s="86">
        <v>202910.5</v>
      </c>
      <c r="K97" s="86">
        <v>203026.07199999999</v>
      </c>
      <c r="L97" s="86">
        <v>302477.86296</v>
      </c>
      <c r="M97" s="86"/>
      <c r="N97" s="98" t="s">
        <v>172</v>
      </c>
    </row>
    <row r="98" spans="3:15" x14ac:dyDescent="0.2">
      <c r="C98" s="102"/>
      <c r="E98" s="9">
        <v>5640</v>
      </c>
      <c r="F98" s="9" t="s">
        <v>63</v>
      </c>
      <c r="G98" s="38">
        <f>'Benchmarking Calculations'!G64</f>
        <v>0</v>
      </c>
      <c r="H98" s="86">
        <v>0</v>
      </c>
      <c r="I98" s="86">
        <v>0</v>
      </c>
      <c r="J98" s="86"/>
      <c r="K98" s="86"/>
      <c r="L98" s="86"/>
      <c r="M98" s="86"/>
      <c r="N98" s="98" t="s">
        <v>172</v>
      </c>
    </row>
    <row r="99" spans="3:15" x14ac:dyDescent="0.2">
      <c r="C99" s="102"/>
      <c r="E99" s="9">
        <v>5645</v>
      </c>
      <c r="F99" s="9" t="s">
        <v>64</v>
      </c>
      <c r="G99" s="38">
        <f>'Benchmarking Calculations'!G65</f>
        <v>103766</v>
      </c>
      <c r="H99" s="86">
        <v>103766</v>
      </c>
      <c r="I99" s="86">
        <v>103766</v>
      </c>
      <c r="J99" s="86">
        <v>103766</v>
      </c>
      <c r="K99" s="86">
        <v>103766</v>
      </c>
      <c r="L99" s="86">
        <v>52162</v>
      </c>
      <c r="M99" s="86"/>
      <c r="N99" s="98" t="s">
        <v>172</v>
      </c>
    </row>
    <row r="100" spans="3:15" x14ac:dyDescent="0.2">
      <c r="C100" s="102"/>
      <c r="E100" s="9">
        <v>5646</v>
      </c>
      <c r="F100" s="9" t="s">
        <v>65</v>
      </c>
      <c r="G100" s="38">
        <f>'Benchmarking Calculations'!G66</f>
        <v>0</v>
      </c>
      <c r="H100" s="86">
        <v>0</v>
      </c>
      <c r="I100" s="86">
        <v>0</v>
      </c>
      <c r="J100" s="86"/>
      <c r="K100" s="86"/>
      <c r="L100" s="86"/>
      <c r="M100" s="86"/>
      <c r="N100" s="98" t="s">
        <v>172</v>
      </c>
    </row>
    <row r="101" spans="3:15" x14ac:dyDescent="0.2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v>0</v>
      </c>
      <c r="I101" s="86">
        <v>0</v>
      </c>
      <c r="J101" s="86"/>
      <c r="K101" s="86"/>
      <c r="L101" s="86"/>
      <c r="M101" s="86"/>
      <c r="N101" s="98" t="s">
        <v>172</v>
      </c>
    </row>
    <row r="102" spans="3:15" x14ac:dyDescent="0.2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v>0</v>
      </c>
      <c r="I102" s="86">
        <v>0</v>
      </c>
      <c r="J102" s="86"/>
      <c r="K102" s="86"/>
      <c r="L102" s="86"/>
      <c r="M102" s="86"/>
      <c r="N102" s="98" t="s">
        <v>172</v>
      </c>
    </row>
    <row r="103" spans="3:15" x14ac:dyDescent="0.2">
      <c r="C103" s="102"/>
      <c r="E103" s="9">
        <v>5655</v>
      </c>
      <c r="F103" s="9" t="s">
        <v>68</v>
      </c>
      <c r="G103" s="38">
        <f>'Benchmarking Calculations'!G69</f>
        <v>113136.64</v>
      </c>
      <c r="H103" s="86">
        <v>99371.95</v>
      </c>
      <c r="I103" s="86">
        <v>121830.79</v>
      </c>
      <c r="J103" s="86">
        <v>134141.15</v>
      </c>
      <c r="K103" s="86">
        <v>351927.12420000002</v>
      </c>
      <c r="L103" s="86">
        <v>182355.93792600001</v>
      </c>
      <c r="M103" s="86"/>
      <c r="N103" s="98" t="s">
        <v>172</v>
      </c>
    </row>
    <row r="104" spans="3:15" x14ac:dyDescent="0.2">
      <c r="C104" s="102"/>
      <c r="E104" s="9">
        <v>5665</v>
      </c>
      <c r="F104" s="9" t="s">
        <v>69</v>
      </c>
      <c r="G104" s="38">
        <f>'Benchmarking Calculations'!G70</f>
        <v>105301.09</v>
      </c>
      <c r="H104" s="86">
        <v>107387.86</v>
      </c>
      <c r="I104" s="86">
        <v>131180.44</v>
      </c>
      <c r="J104" s="86">
        <v>150224.9</v>
      </c>
      <c r="K104" s="86">
        <v>166345.40659999999</v>
      </c>
      <c r="L104" s="86">
        <v>173659.95655800001</v>
      </c>
      <c r="M104" s="86"/>
      <c r="N104" s="98" t="s">
        <v>172</v>
      </c>
    </row>
    <row r="105" spans="3:15" x14ac:dyDescent="0.2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v>0</v>
      </c>
      <c r="I105" s="86">
        <v>0</v>
      </c>
      <c r="J105" s="86"/>
      <c r="K105" s="86"/>
      <c r="L105" s="86"/>
      <c r="M105" s="86"/>
      <c r="N105" s="98" t="s">
        <v>172</v>
      </c>
    </row>
    <row r="106" spans="3:15" x14ac:dyDescent="0.2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v>0</v>
      </c>
      <c r="I106" s="86">
        <v>0</v>
      </c>
      <c r="J106" s="86"/>
      <c r="K106" s="86"/>
      <c r="L106" s="86"/>
      <c r="M106" s="86"/>
      <c r="N106" s="98" t="s">
        <v>172</v>
      </c>
    </row>
    <row r="107" spans="3:15" x14ac:dyDescent="0.2">
      <c r="C107" s="102"/>
      <c r="E107" s="9">
        <v>5675</v>
      </c>
      <c r="F107" s="9" t="s">
        <v>72</v>
      </c>
      <c r="G107" s="38">
        <f>'Benchmarking Calculations'!G73</f>
        <v>0</v>
      </c>
      <c r="H107" s="86">
        <v>0</v>
      </c>
      <c r="I107" s="86">
        <v>0</v>
      </c>
      <c r="J107" s="86"/>
      <c r="K107" s="86"/>
      <c r="L107" s="86"/>
      <c r="M107" s="86"/>
      <c r="N107" s="98" t="s">
        <v>172</v>
      </c>
    </row>
    <row r="108" spans="3:15" x14ac:dyDescent="0.2">
      <c r="C108" s="102"/>
      <c r="E108" s="70">
        <v>5680</v>
      </c>
      <c r="F108" s="70" t="s">
        <v>73</v>
      </c>
      <c r="G108" s="71">
        <f>'Benchmarking Calculations'!G74</f>
        <v>10926</v>
      </c>
      <c r="H108" s="86">
        <v>11043</v>
      </c>
      <c r="I108" s="86">
        <v>11118</v>
      </c>
      <c r="J108" s="86">
        <v>11429</v>
      </c>
      <c r="K108" s="86">
        <v>11865.36</v>
      </c>
      <c r="L108" s="86">
        <v>12221.320800000001</v>
      </c>
      <c r="M108" s="86"/>
      <c r="N108" s="98" t="s">
        <v>172</v>
      </c>
    </row>
    <row r="109" spans="3:15" x14ac:dyDescent="0.2">
      <c r="C109" s="102"/>
      <c r="E109" s="10"/>
      <c r="F109" s="13" t="s">
        <v>74</v>
      </c>
      <c r="G109" s="69">
        <f>'Benchmarking Calculations'!G75</f>
        <v>1706536.8900000001</v>
      </c>
      <c r="H109" s="52">
        <f>SUM(H92:H108)</f>
        <v>1662858.8800000001</v>
      </c>
      <c r="I109" s="52">
        <f t="shared" ref="I109:M109" si="10">SUM(I92:I108)</f>
        <v>1757534.07</v>
      </c>
      <c r="J109" s="52">
        <f t="shared" si="10"/>
        <v>1865676.1199999999</v>
      </c>
      <c r="K109" s="52">
        <f t="shared" si="10"/>
        <v>2183405.3351608342</v>
      </c>
      <c r="L109" s="52">
        <f t="shared" si="10"/>
        <v>2241352.9934138791</v>
      </c>
      <c r="M109" s="52">
        <f t="shared" si="10"/>
        <v>0</v>
      </c>
      <c r="N109" s="98" t="s">
        <v>29</v>
      </c>
      <c r="O109" s="17"/>
    </row>
    <row r="110" spans="3:15" x14ac:dyDescent="0.2">
      <c r="C110" s="102"/>
      <c r="E110" s="9">
        <v>5635</v>
      </c>
      <c r="F110" s="9" t="s">
        <v>75</v>
      </c>
      <c r="G110" s="38">
        <f>'Benchmarking Calculations'!G76</f>
        <v>0</v>
      </c>
      <c r="H110" s="86">
        <f t="shared" ref="H110" si="11">G110</f>
        <v>0</v>
      </c>
      <c r="I110" s="86">
        <f t="shared" ref="I110:M110" si="12">H110</f>
        <v>0</v>
      </c>
      <c r="J110" s="86">
        <f t="shared" si="12"/>
        <v>0</v>
      </c>
      <c r="K110" s="86">
        <f t="shared" si="12"/>
        <v>0</v>
      </c>
      <c r="L110" s="86">
        <f t="shared" si="12"/>
        <v>0</v>
      </c>
      <c r="M110" s="86">
        <f t="shared" si="12"/>
        <v>0</v>
      </c>
      <c r="N110" s="98" t="s">
        <v>172</v>
      </c>
    </row>
    <row r="111" spans="3:15" x14ac:dyDescent="0.2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f t="shared" ref="H111:M111" si="13">G111</f>
        <v>0</v>
      </c>
      <c r="I111" s="86">
        <f t="shared" si="13"/>
        <v>0</v>
      </c>
      <c r="J111" s="86">
        <f t="shared" si="13"/>
        <v>0</v>
      </c>
      <c r="K111" s="86">
        <f t="shared" si="13"/>
        <v>0</v>
      </c>
      <c r="L111" s="86">
        <f t="shared" si="13"/>
        <v>0</v>
      </c>
      <c r="M111" s="86">
        <f t="shared" si="13"/>
        <v>0</v>
      </c>
      <c r="N111" s="98" t="s">
        <v>172</v>
      </c>
    </row>
    <row r="112" spans="3:15" x14ac:dyDescent="0.2">
      <c r="C112" s="102"/>
      <c r="F112" s="13" t="s">
        <v>77</v>
      </c>
      <c r="G112" s="69">
        <f>'Benchmarking Calculations'!G78</f>
        <v>0</v>
      </c>
      <c r="H112" s="52">
        <f>H110+H111</f>
        <v>0</v>
      </c>
      <c r="I112" s="52">
        <f t="shared" ref="I112:M112" si="14">I110+I111</f>
        <v>0</v>
      </c>
      <c r="J112" s="52">
        <f t="shared" si="14"/>
        <v>0</v>
      </c>
      <c r="K112" s="52">
        <f t="shared" si="14"/>
        <v>0</v>
      </c>
      <c r="L112" s="52">
        <f t="shared" si="14"/>
        <v>0</v>
      </c>
      <c r="M112" s="52">
        <f t="shared" si="14"/>
        <v>0</v>
      </c>
      <c r="N112" s="98" t="s">
        <v>29</v>
      </c>
    </row>
    <row r="113" spans="3:14" x14ac:dyDescent="0.2">
      <c r="C113" s="102"/>
      <c r="E113" s="70">
        <v>5515</v>
      </c>
      <c r="F113" s="70" t="s">
        <v>78</v>
      </c>
      <c r="G113" s="71">
        <f>'Benchmarking Calculations'!G79</f>
        <v>3628.98</v>
      </c>
      <c r="H113" s="86">
        <v>3742</v>
      </c>
      <c r="I113" s="86">
        <v>4407.6899999999996</v>
      </c>
      <c r="J113" s="86">
        <v>6367</v>
      </c>
      <c r="K113" s="86">
        <v>6500</v>
      </c>
      <c r="L113" s="86">
        <v>6695</v>
      </c>
      <c r="M113" s="86"/>
      <c r="N113" s="98" t="s">
        <v>172</v>
      </c>
    </row>
    <row r="114" spans="3:14" x14ac:dyDescent="0.2">
      <c r="C114" s="102"/>
      <c r="E114" s="12"/>
      <c r="F114" s="13" t="s">
        <v>79</v>
      </c>
      <c r="G114" s="69">
        <f>'Benchmarking Calculations'!G80</f>
        <v>3628.98</v>
      </c>
      <c r="H114" s="52">
        <f>H113</f>
        <v>3742</v>
      </c>
      <c r="I114" s="52">
        <f t="shared" ref="I114:M114" si="15">I113</f>
        <v>4407.6899999999996</v>
      </c>
      <c r="J114" s="52">
        <f t="shared" si="15"/>
        <v>6367</v>
      </c>
      <c r="K114" s="52">
        <f t="shared" si="15"/>
        <v>6500</v>
      </c>
      <c r="L114" s="52">
        <f t="shared" si="15"/>
        <v>6695</v>
      </c>
      <c r="M114" s="52">
        <f t="shared" si="15"/>
        <v>0</v>
      </c>
      <c r="N114" s="98" t="s">
        <v>29</v>
      </c>
    </row>
    <row r="115" spans="3:14" x14ac:dyDescent="0.2">
      <c r="C115" s="102"/>
      <c r="E115" s="112" t="s">
        <v>194</v>
      </c>
      <c r="F115" s="13" t="s">
        <v>80</v>
      </c>
      <c r="G115" s="38">
        <f>'Benchmarking Calculations'!G81</f>
        <v>6580465.9900000002</v>
      </c>
      <c r="H115" s="52">
        <f>H64+H78+H86+H91+H109+H112+H114</f>
        <v>6748527.6699999999</v>
      </c>
      <c r="I115" s="52">
        <f t="shared" ref="I115:M115" si="16">I64+I78+I86+I91+I109+I112+I114</f>
        <v>6919284.0200000014</v>
      </c>
      <c r="J115" s="52">
        <f t="shared" si="16"/>
        <v>7111430.8300000001</v>
      </c>
      <c r="K115" s="52">
        <f t="shared" si="16"/>
        <v>7948685.2900196053</v>
      </c>
      <c r="L115" s="52">
        <f t="shared" si="16"/>
        <v>8443158.0520140212</v>
      </c>
      <c r="M115" s="52">
        <f t="shared" si="16"/>
        <v>0</v>
      </c>
      <c r="N115" s="98" t="s">
        <v>29</v>
      </c>
    </row>
    <row r="116" spans="3:14" x14ac:dyDescent="0.2">
      <c r="C116" s="102"/>
      <c r="F116" s="13"/>
      <c r="G116" s="38"/>
      <c r="H116" s="53"/>
      <c r="I116" s="15"/>
      <c r="N116" s="98"/>
    </row>
    <row r="117" spans="3:14" x14ac:dyDescent="0.2">
      <c r="C117" s="102"/>
      <c r="D117" s="8" t="s">
        <v>81</v>
      </c>
      <c r="F117" s="2"/>
      <c r="G117" s="38"/>
      <c r="H117" s="53"/>
      <c r="J117" s="17"/>
      <c r="K117" s="17"/>
      <c r="L117" s="17"/>
      <c r="N117" s="98"/>
    </row>
    <row r="118" spans="3:14" x14ac:dyDescent="0.2">
      <c r="C118" s="102"/>
      <c r="F118" s="9">
        <v>5014</v>
      </c>
      <c r="G118" s="38">
        <f>G47</f>
        <v>0</v>
      </c>
      <c r="H118" s="38">
        <f>H47</f>
        <v>0</v>
      </c>
      <c r="I118" s="38">
        <f t="shared" ref="I118:L118" si="17">I47</f>
        <v>0</v>
      </c>
      <c r="J118" s="38">
        <f t="shared" si="17"/>
        <v>0</v>
      </c>
      <c r="K118" s="38">
        <f t="shared" si="17"/>
        <v>0</v>
      </c>
      <c r="L118" s="38">
        <f t="shared" si="17"/>
        <v>0</v>
      </c>
      <c r="M118" s="38">
        <f t="shared" ref="M118" si="18">M47</f>
        <v>0</v>
      </c>
      <c r="N118" s="98" t="s">
        <v>29</v>
      </c>
    </row>
    <row r="119" spans="3:14" x14ac:dyDescent="0.2">
      <c r="C119" s="102"/>
      <c r="F119" s="9">
        <v>5015</v>
      </c>
      <c r="G119" s="38">
        <f>G48</f>
        <v>0</v>
      </c>
      <c r="H119" s="38">
        <f>H48</f>
        <v>0</v>
      </c>
      <c r="I119" s="38">
        <f t="shared" ref="I119:L119" si="19">I48</f>
        <v>0</v>
      </c>
      <c r="J119" s="38">
        <f t="shared" si="19"/>
        <v>0</v>
      </c>
      <c r="K119" s="38">
        <f t="shared" si="19"/>
        <v>0</v>
      </c>
      <c r="L119" s="38">
        <f t="shared" si="19"/>
        <v>0</v>
      </c>
      <c r="M119" s="38">
        <f t="shared" ref="M119" si="20">M48</f>
        <v>0</v>
      </c>
      <c r="N119" s="98" t="s">
        <v>29</v>
      </c>
    </row>
    <row r="120" spans="3:14" x14ac:dyDescent="0.2">
      <c r="C120" s="102"/>
      <c r="F120" s="9">
        <v>5112</v>
      </c>
      <c r="G120" s="38">
        <f>G67</f>
        <v>0</v>
      </c>
      <c r="H120" s="38">
        <f>H67</f>
        <v>0</v>
      </c>
      <c r="I120" s="38">
        <f t="shared" ref="I120:L120" si="21">I67</f>
        <v>0</v>
      </c>
      <c r="J120" s="38">
        <f t="shared" si="21"/>
        <v>0</v>
      </c>
      <c r="K120" s="38">
        <f t="shared" si="21"/>
        <v>0</v>
      </c>
      <c r="L120" s="38">
        <f t="shared" si="21"/>
        <v>0</v>
      </c>
      <c r="M120" s="38">
        <f t="shared" ref="M120" si="22">M67</f>
        <v>0</v>
      </c>
      <c r="N120" s="98" t="s">
        <v>29</v>
      </c>
    </row>
    <row r="121" spans="3:14" x14ac:dyDescent="0.2">
      <c r="C121" s="102"/>
      <c r="E121" s="112" t="s">
        <v>195</v>
      </c>
      <c r="F121" s="13" t="s">
        <v>82</v>
      </c>
      <c r="G121" s="69">
        <f>'Benchmarking Calculations'!G87</f>
        <v>0</v>
      </c>
      <c r="H121" s="69">
        <f t="shared" ref="H121:L121" si="23">H47+H48+H67</f>
        <v>0</v>
      </c>
      <c r="I121" s="69">
        <f t="shared" si="23"/>
        <v>0</v>
      </c>
      <c r="J121" s="69">
        <f t="shared" si="23"/>
        <v>0</v>
      </c>
      <c r="K121" s="69">
        <f t="shared" si="23"/>
        <v>0</v>
      </c>
      <c r="L121" s="69">
        <f t="shared" si="23"/>
        <v>0</v>
      </c>
      <c r="M121" s="69">
        <f t="shared" ref="M121" si="24">M47+M48+M67</f>
        <v>0</v>
      </c>
      <c r="N121" s="113" t="s">
        <v>29</v>
      </c>
    </row>
    <row r="122" spans="3:14" x14ac:dyDescent="0.2">
      <c r="C122" s="102"/>
      <c r="E122" s="112" t="s">
        <v>196</v>
      </c>
      <c r="F122" s="13" t="s">
        <v>83</v>
      </c>
      <c r="G122" s="69">
        <f>'Benchmarking Calculations'!G88</f>
        <v>0</v>
      </c>
      <c r="H122" s="114"/>
      <c r="I122" s="114"/>
      <c r="J122" s="114"/>
      <c r="K122" s="114"/>
      <c r="L122" s="114"/>
      <c r="M122" s="114"/>
      <c r="N122" s="113" t="s">
        <v>172</v>
      </c>
    </row>
    <row r="123" spans="3:14" ht="13.5" thickBot="1" x14ac:dyDescent="0.2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  <row r="130" spans="12:12" x14ac:dyDescent="0.2">
      <c r="L130" s="17"/>
    </row>
    <row r="131" spans="12:12" x14ac:dyDescent="0.2">
      <c r="L131" s="17"/>
    </row>
  </sheetData>
  <mergeCells count="7">
    <mergeCell ref="O40:O43"/>
    <mergeCell ref="H34:M34"/>
    <mergeCell ref="C2:N2"/>
    <mergeCell ref="C3:N3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I64:M64 H78:M78 H86:M86 H91:M91 H109:M112 H114:M114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68" activePane="bottomLeft" state="frozen"/>
      <selection activeCell="G33" sqref="G33"/>
      <selection pane="bottomLeft" activeCell="L89" sqref="L89"/>
    </sheetView>
  </sheetViews>
  <sheetFormatPr defaultColWidth="9.140625" defaultRowHeight="12.75" outlineLevelRow="1" x14ac:dyDescent="0.2"/>
  <cols>
    <col min="1" max="1" width="6.5703125" customWidth="1"/>
    <col min="2" max="2" width="11.7109375" customWidth="1"/>
    <col min="3" max="3" width="17.28515625" customWidth="1"/>
    <col min="4" max="4" width="7" customWidth="1"/>
    <col min="5" max="5" width="55.42578125" style="2" customWidth="1"/>
    <col min="6" max="6" width="16" style="181" hidden="1" customWidth="1"/>
    <col min="7" max="11" width="16" customWidth="1"/>
    <col min="12" max="12" width="16.28515625" customWidth="1"/>
    <col min="13" max="13" width="16.7109375" customWidth="1"/>
    <col min="14" max="14" width="9.7109375" style="153" hidden="1" customWidth="1"/>
    <col min="15" max="15" width="9.140625" style="72" hidden="1" customWidth="1"/>
    <col min="16" max="16" width="16.140625" style="72" hidden="1" customWidth="1"/>
    <col min="17" max="17" width="15.7109375" hidden="1" customWidth="1"/>
    <col min="18" max="18" width="18.140625" style="72" hidden="1" customWidth="1"/>
    <col min="19" max="19" width="14.28515625" style="72" hidden="1" customWidth="1"/>
    <col min="20" max="20" width="17.140625" style="72" hidden="1" customWidth="1"/>
    <col min="21" max="23" width="14.28515625" style="72" hidden="1" customWidth="1"/>
    <col min="24" max="24" width="17.140625" style="72" hidden="1" customWidth="1"/>
    <col min="25" max="25" width="21.42578125" style="72" hidden="1" customWidth="1"/>
    <col min="26" max="26" width="21" style="72" hidden="1" customWidth="1"/>
    <col min="27" max="27" width="19.42578125" style="72" hidden="1" customWidth="1"/>
    <col min="28" max="29" width="14.28515625" style="72" hidden="1" customWidth="1"/>
    <col min="30" max="30" width="16.42578125" style="72" hidden="1" customWidth="1"/>
    <col min="31" max="31" width="15.42578125" style="72" hidden="1" customWidth="1"/>
    <col min="32" max="32" width="19.28515625" style="72" hidden="1" customWidth="1"/>
    <col min="33" max="33" width="18.7109375" style="72" hidden="1" customWidth="1"/>
    <col min="34" max="34" width="18.140625" style="72" hidden="1" customWidth="1"/>
    <col min="35" max="35" width="14.28515625" style="72" hidden="1" customWidth="1"/>
    <col min="36" max="36" width="18.28515625" style="72" hidden="1" customWidth="1"/>
    <col min="37" max="37" width="14.28515625" style="72" hidden="1" customWidth="1"/>
    <col min="38" max="38" width="17.42578125" style="72" hidden="1" customWidth="1"/>
    <col min="39" max="39" width="16.5703125" style="72" hidden="1" customWidth="1"/>
    <col min="40" max="40" width="18.7109375" style="72" hidden="1" customWidth="1"/>
    <col min="41" max="41" width="16.7109375" style="72" hidden="1" customWidth="1"/>
    <col min="42" max="43" width="13.42578125" style="72" hidden="1" customWidth="1"/>
    <col min="44" max="44" width="19.140625" style="72" hidden="1" customWidth="1"/>
    <col min="45" max="45" width="15.7109375" style="72" hidden="1" customWidth="1"/>
    <col min="46" max="46" width="17.28515625" style="72" hidden="1" customWidth="1"/>
    <col min="47" max="47" width="18" style="72" hidden="1" customWidth="1"/>
    <col min="48" max="48" width="13.42578125" style="72" hidden="1" customWidth="1"/>
    <col min="49" max="49" width="17.28515625" style="72" hidden="1" customWidth="1"/>
    <col min="50" max="50" width="13.42578125" style="72" hidden="1" customWidth="1"/>
    <col min="51" max="51" width="17.28515625" style="72" hidden="1" customWidth="1"/>
    <col min="52" max="52" width="18.140625" style="72" hidden="1" customWidth="1"/>
    <col min="53" max="53" width="21.28515625" style="72" hidden="1" customWidth="1"/>
    <col min="54" max="54" width="18.42578125" style="72" hidden="1" customWidth="1"/>
    <col min="55" max="55" width="18" style="72" hidden="1" customWidth="1"/>
    <col min="56" max="60" width="13.42578125" style="72" hidden="1" customWidth="1"/>
    <col min="61" max="61" width="14.7109375" style="72" hidden="1" customWidth="1"/>
    <col min="62" max="62" width="15.7109375" style="72" hidden="1" customWidth="1"/>
    <col min="63" max="63" width="13.42578125" style="72" hidden="1" customWidth="1"/>
    <col min="64" max="64" width="16.42578125" style="72" hidden="1" customWidth="1"/>
    <col min="65" max="65" width="16.140625" style="72" hidden="1" customWidth="1"/>
    <col min="66" max="69" width="13.42578125" style="72" hidden="1" customWidth="1"/>
    <col min="70" max="70" width="15.28515625" style="72" hidden="1" customWidth="1"/>
    <col min="71" max="71" width="13.42578125" style="72" hidden="1" customWidth="1"/>
    <col min="72" max="72" width="15.7109375" style="72" hidden="1" customWidth="1"/>
    <col min="73" max="73" width="13.42578125" style="72" hidden="1" customWidth="1"/>
    <col min="74" max="74" width="16.140625" style="72" hidden="1" customWidth="1"/>
    <col min="75" max="78" width="13.42578125" style="72" hidden="1" customWidth="1"/>
    <col min="79" max="79" width="17.140625" style="72" hidden="1" customWidth="1"/>
    <col min="80" max="83" width="13.42578125" style="72" hidden="1" customWidth="1"/>
    <col min="84" max="149" width="9.140625" customWidth="1"/>
    <col min="150" max="150" width="9.140625" style="47" customWidth="1"/>
  </cols>
  <sheetData>
    <row r="1" spans="1:150" ht="24" thickBot="1" x14ac:dyDescent="0.4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O1" s="82"/>
      <c r="P1" s="209" t="s">
        <v>262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R2" s="118"/>
    </row>
    <row r="3" spans="1:150" s="120" customFormat="1" ht="75.75" customHeight="1" thickBot="1" x14ac:dyDescent="0.3">
      <c r="B3" s="237" t="s">
        <v>1</v>
      </c>
      <c r="C3" s="237"/>
      <c r="D3" s="141"/>
      <c r="E3" s="65" t="str">
        <f>'Model Inputs'!F5</f>
        <v>Welland Hydro-Electric System Corp.</v>
      </c>
      <c r="F3" s="182"/>
      <c r="G3" s="143"/>
      <c r="N3" s="154"/>
      <c r="O3" s="120">
        <v>1</v>
      </c>
      <c r="P3" s="120" t="s">
        <v>260</v>
      </c>
      <c r="Q3" t="s">
        <v>251</v>
      </c>
      <c r="R3" s="142" t="s">
        <v>199</v>
      </c>
      <c r="S3" s="142" t="s">
        <v>200</v>
      </c>
      <c r="T3" s="142" t="s">
        <v>201</v>
      </c>
      <c r="U3" s="142" t="s">
        <v>202</v>
      </c>
      <c r="V3" s="142" t="s">
        <v>203</v>
      </c>
      <c r="W3" s="142" t="s">
        <v>204</v>
      </c>
      <c r="X3" s="142" t="s">
        <v>205</v>
      </c>
      <c r="Y3" s="142" t="s">
        <v>206</v>
      </c>
      <c r="Z3" s="142" t="s">
        <v>207</v>
      </c>
      <c r="AA3" s="142" t="s">
        <v>208</v>
      </c>
      <c r="AB3" s="142" t="s">
        <v>255</v>
      </c>
      <c r="AC3" s="142" t="s">
        <v>256</v>
      </c>
      <c r="AD3" s="142" t="s">
        <v>209</v>
      </c>
      <c r="AE3" s="142" t="s">
        <v>257</v>
      </c>
      <c r="AF3" s="142" t="s">
        <v>253</v>
      </c>
      <c r="AG3" s="142" t="s">
        <v>254</v>
      </c>
      <c r="AH3" s="142" t="s">
        <v>210</v>
      </c>
      <c r="AI3" s="142" t="s">
        <v>211</v>
      </c>
      <c r="AJ3" s="142" t="s">
        <v>212</v>
      </c>
      <c r="AK3" s="142" t="s">
        <v>213</v>
      </c>
      <c r="AL3" s="142" t="s">
        <v>214</v>
      </c>
      <c r="AM3" s="142" t="s">
        <v>258</v>
      </c>
      <c r="AN3" s="142" t="s">
        <v>215</v>
      </c>
      <c r="AO3" s="142" t="s">
        <v>216</v>
      </c>
      <c r="AP3" s="142" t="s">
        <v>217</v>
      </c>
      <c r="AQ3" s="142" t="s">
        <v>218</v>
      </c>
      <c r="AR3" s="142" t="s">
        <v>219</v>
      </c>
      <c r="AS3" s="142" t="s">
        <v>220</v>
      </c>
      <c r="AT3" s="142" t="s">
        <v>252</v>
      </c>
      <c r="AU3" s="142" t="s">
        <v>221</v>
      </c>
      <c r="AV3" s="142" t="s">
        <v>222</v>
      </c>
      <c r="AW3" s="142" t="s">
        <v>223</v>
      </c>
      <c r="AX3" s="142" t="s">
        <v>224</v>
      </c>
      <c r="AY3" s="142" t="s">
        <v>225</v>
      </c>
      <c r="AZ3" s="142" t="s">
        <v>226</v>
      </c>
      <c r="BA3" s="142" t="s">
        <v>227</v>
      </c>
      <c r="BB3" s="142" t="s">
        <v>228</v>
      </c>
      <c r="BC3" s="142" t="s">
        <v>229</v>
      </c>
      <c r="BD3" s="142" t="s">
        <v>230</v>
      </c>
      <c r="BE3" s="142" t="s">
        <v>231</v>
      </c>
      <c r="BF3" s="142" t="s">
        <v>232</v>
      </c>
      <c r="BG3" s="142" t="s">
        <v>233</v>
      </c>
      <c r="BH3" s="142" t="s">
        <v>234</v>
      </c>
      <c r="BI3" s="142" t="s">
        <v>235</v>
      </c>
      <c r="BJ3" s="142" t="s">
        <v>236</v>
      </c>
      <c r="BK3" s="142" t="s">
        <v>237</v>
      </c>
      <c r="BL3" s="142" t="s">
        <v>238</v>
      </c>
      <c r="BM3" s="142" t="s">
        <v>239</v>
      </c>
      <c r="BN3" s="142" t="s">
        <v>240</v>
      </c>
      <c r="BO3" s="142" t="s">
        <v>241</v>
      </c>
      <c r="BP3" s="142" t="s">
        <v>259</v>
      </c>
      <c r="BQ3" s="142" t="s">
        <v>242</v>
      </c>
      <c r="BR3" s="142" t="s">
        <v>243</v>
      </c>
      <c r="BS3" s="142" t="s">
        <v>244</v>
      </c>
      <c r="BT3" s="142" t="s">
        <v>245</v>
      </c>
      <c r="BU3" s="142" t="s">
        <v>246</v>
      </c>
      <c r="BV3" s="142" t="s">
        <v>247</v>
      </c>
      <c r="BW3" s="142" t="s">
        <v>248</v>
      </c>
      <c r="BX3" s="142"/>
      <c r="BY3" s="142"/>
      <c r="BZ3" s="142"/>
      <c r="CA3" s="142"/>
      <c r="CB3" s="142"/>
      <c r="CC3" s="142"/>
      <c r="ET3" s="177"/>
    </row>
    <row r="4" spans="1:150" s="171" customFormat="1" ht="43.15" customHeight="1" x14ac:dyDescent="0.25">
      <c r="E4" s="172"/>
      <c r="F4" s="238"/>
      <c r="G4" s="239"/>
      <c r="H4" s="240" t="s">
        <v>2</v>
      </c>
      <c r="I4" s="238"/>
      <c r="J4" s="238"/>
      <c r="K4" s="238"/>
      <c r="L4" s="238"/>
      <c r="M4" s="238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249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35" t="s">
        <v>6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309802.61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199054.37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12122.38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21352.75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115660.04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144008.57999999999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51928.24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0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210174.3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319.89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201399.82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0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0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190089.74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73624.22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1529536.94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100150.9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40816.160000000003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67643.34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84775.66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646083.98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291756.89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212138.11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5691.53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176970.61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104264.15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141791.29999999999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118559.34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43</v>
      </c>
      <c r="F44" s="185"/>
      <c r="G44" s="66">
        <f t="shared" si="2"/>
        <v>1990641.9700000002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0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6202.14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914826.15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372974.66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41.19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18919.560000000001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51</v>
      </c>
      <c r="F52" s="185"/>
      <c r="G52" s="66">
        <f t="shared" si="2"/>
        <v>1312963.7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30345.95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6811.56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56</v>
      </c>
      <c r="F57" s="185"/>
      <c r="G57" s="66">
        <f t="shared" si="2"/>
        <v>37157.51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454291.35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374837.19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356765.3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0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187513.32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0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103766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113136.64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105301.09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0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10926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74</v>
      </c>
      <c r="F75" s="185"/>
      <c r="G75" s="66">
        <f t="shared" si="3"/>
        <v>1706536.8900000001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0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85"/>
      <c r="G78" s="66">
        <f t="shared" si="3"/>
        <v>0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3628.98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85"/>
      <c r="G80" s="66">
        <f t="shared" si="3"/>
        <v>3628.98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85"/>
      <c r="G81" s="66">
        <f t="shared" si="3"/>
        <v>6580465.9900000002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84"/>
      <c r="G88" s="66">
        <f t="shared" si="4"/>
        <v>0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84"/>
      <c r="G89" s="66">
        <f t="shared" si="4"/>
        <v>6580465.9900000002</v>
      </c>
      <c r="H89" s="121">
        <f>'Model Inputs'!H31</f>
        <v>6748527.6699999999</v>
      </c>
      <c r="I89" s="122">
        <f>'Model Inputs'!I31</f>
        <v>6919284.0200000014</v>
      </c>
      <c r="J89" s="122">
        <f>'Model Inputs'!J31</f>
        <v>7111430.8300000001</v>
      </c>
      <c r="K89" s="122">
        <f>'Model Inputs'!K31</f>
        <v>7948685.2900196053</v>
      </c>
      <c r="L89" s="122">
        <f>'Model Inputs'!L31</f>
        <v>8443158.0520140212</v>
      </c>
      <c r="M89" s="123">
        <f>'Model Inputs'!M31</f>
        <v>0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84"/>
      <c r="G92" s="66">
        <f>HLOOKUP($E$3,$P$3:$CE$269,O92,FALSE)</f>
        <v>4427375</v>
      </c>
      <c r="H92" s="121">
        <f>'Model Inputs'!H9</f>
        <v>3968109.59</v>
      </c>
      <c r="I92" s="122">
        <f>'Model Inputs'!I9</f>
        <v>4134288.96</v>
      </c>
      <c r="J92" s="122">
        <f>'Model Inputs'!J9</f>
        <v>4824776.1400000006</v>
      </c>
      <c r="K92" s="122">
        <f>'Model Inputs'!K9</f>
        <v>5429450</v>
      </c>
      <c r="L92" s="122">
        <f>'Model Inputs'!L9</f>
        <v>5509562</v>
      </c>
      <c r="M92" s="123">
        <f>'Model Inputs'!M9</f>
        <v>0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84"/>
      <c r="G96" s="66">
        <f>HLOOKUP($E$3,$P$3:$CE$269,O96,FALSE)</f>
        <v>24054</v>
      </c>
      <c r="H96" s="121">
        <f>'Model Inputs'!H13</f>
        <v>24627</v>
      </c>
      <c r="I96" s="122">
        <f>'Model Inputs'!I13</f>
        <v>25063</v>
      </c>
      <c r="J96" s="122">
        <f>'Model Inputs'!J13</f>
        <v>25753</v>
      </c>
      <c r="K96" s="122">
        <f>'Model Inputs'!K13</f>
        <v>26129.625562590238</v>
      </c>
      <c r="L96" s="122">
        <f>'Model Inputs'!L13</f>
        <v>26761.092997118289</v>
      </c>
      <c r="M96" s="123">
        <f>'Model Inputs'!M13</f>
        <v>0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84"/>
      <c r="G97" s="66">
        <f>HLOOKUP($E$3,$P$3:$CE$269,O97,FALSE)</f>
        <v>361736384</v>
      </c>
      <c r="H97" s="121">
        <f>'Model Inputs'!H14</f>
        <v>365670895</v>
      </c>
      <c r="I97" s="122">
        <f>'Model Inputs'!I14</f>
        <v>374393811</v>
      </c>
      <c r="J97" s="122">
        <f>'Model Inputs'!J14</f>
        <v>368103150.48724997</v>
      </c>
      <c r="K97" s="122">
        <f>'Model Inputs'!K14</f>
        <v>382661040.66004932</v>
      </c>
      <c r="L97" s="122">
        <f>'Model Inputs'!L14</f>
        <v>388485804.96409917</v>
      </c>
      <c r="M97" s="123">
        <f>'Model Inputs'!M14</f>
        <v>0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84"/>
      <c r="G98" s="66">
        <f>HLOOKUP($E$3,$P$3:$CE$269,O98,FALSE)</f>
        <v>79771</v>
      </c>
      <c r="H98" s="121">
        <f>'Model Inputs'!H15</f>
        <v>79523</v>
      </c>
      <c r="I98" s="122">
        <f>'Model Inputs'!I15</f>
        <v>76731</v>
      </c>
      <c r="J98" s="122">
        <f>'Model Inputs'!J15</f>
        <v>75441.74612447634</v>
      </c>
      <c r="K98" s="122">
        <f>'Model Inputs'!K15</f>
        <v>78425.34638182426</v>
      </c>
      <c r="L98" s="122">
        <f>'Model Inputs'!L15</f>
        <v>79619.116088167109</v>
      </c>
      <c r="M98" s="123">
        <f>'Model Inputs'!M15</f>
        <v>0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84"/>
      <c r="G99" s="66">
        <f>HLOOKUP($E$3,$P$3:$CE$269,O99,FALSE)</f>
        <v>494</v>
      </c>
      <c r="H99" s="121">
        <f>'Model Inputs'!H16</f>
        <v>497</v>
      </c>
      <c r="I99" s="122">
        <f>'Model Inputs'!I16</f>
        <v>497</v>
      </c>
      <c r="J99" s="122">
        <f>'Model Inputs'!J16</f>
        <v>497</v>
      </c>
      <c r="K99" s="122">
        <f>'Model Inputs'!K16</f>
        <v>497</v>
      </c>
      <c r="L99" s="122">
        <f>'Model Inputs'!L16</f>
        <v>497</v>
      </c>
      <c r="M99" s="123">
        <f>'Model Inputs'!M16</f>
        <v>0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35" t="s">
        <v>93</v>
      </c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84"/>
      <c r="G107" s="15">
        <f>HLOOKUP($E$3,$P$3:$CE$269,O107,FALSE)</f>
        <v>6580465.9900000002</v>
      </c>
      <c r="H107" s="15">
        <f t="shared" ref="H107:J107" si="5">H89</f>
        <v>6748527.6699999999</v>
      </c>
      <c r="I107" s="15">
        <f t="shared" si="5"/>
        <v>6919284.0200000014</v>
      </c>
      <c r="J107" s="15">
        <f t="shared" si="5"/>
        <v>7111430.8300000001</v>
      </c>
      <c r="K107" s="15">
        <f>K89</f>
        <v>7948685.2900196053</v>
      </c>
      <c r="L107" s="15">
        <f t="shared" ref="L107" si="6">L89</f>
        <v>8443158.0520140212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5.0020000000000002E-2</v>
      </c>
      <c r="I110" s="125">
        <f>'Model Inputs'!I22</f>
        <v>5.4651999999999999E-2</v>
      </c>
      <c r="J110" s="125">
        <f>'Model Inputs'!J22</f>
        <v>6.6699999999999995E-2</v>
      </c>
      <c r="K110" s="125">
        <f>'Model Inputs'!K22</f>
        <v>6.5000000000000002E-2</v>
      </c>
      <c r="L110" s="125">
        <f>'Model Inputs'!L22</f>
        <v>6.5000000000000002E-2</v>
      </c>
      <c r="M110" s="126">
        <f>'Model Inputs'!M22</f>
        <v>0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183.59823495633077</v>
      </c>
      <c r="I112" s="128">
        <f>H112*EXP('Model Inputs'!I21)</f>
        <v>194.67610314145958</v>
      </c>
      <c r="J112" s="128">
        <f>I112*EXP('Model Inputs'!J21)</f>
        <v>202.21614862810989</v>
      </c>
      <c r="K112" s="128">
        <f>J112*EXP('Model Inputs'!K21)</f>
        <v>214.50588374253104</v>
      </c>
      <c r="L112" s="128">
        <f>K112*EXP('Model Inputs'!L21)</f>
        <v>227.54253046716391</v>
      </c>
      <c r="M112" s="129">
        <f>L112*EXP('Model Inputs'!M21)</f>
        <v>227.54253046716391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17.250526212294268</v>
      </c>
      <c r="I113" s="15">
        <f t="shared" si="8"/>
        <v>18.969643871026385</v>
      </c>
      <c r="J113" s="15">
        <f>I112*J110+J111*J112</f>
        <v>22.266617301565596</v>
      </c>
      <c r="K113" s="15">
        <f t="shared" si="8"/>
        <v>22.989869724609321</v>
      </c>
      <c r="L113" s="15">
        <f t="shared" si="8"/>
        <v>24.387084591707342</v>
      </c>
      <c r="M113" s="15">
        <f t="shared" si="8"/>
        <v>10.444202148442825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86"/>
      <c r="G114" s="6">
        <f t="shared" si="7"/>
        <v>4427375</v>
      </c>
      <c r="H114" s="130">
        <f>H92</f>
        <v>3968109.59</v>
      </c>
      <c r="I114" s="131">
        <f t="shared" ref="I114:K114" si="9">I92</f>
        <v>4134288.96</v>
      </c>
      <c r="J114" s="131">
        <f>J92</f>
        <v>4824776.1400000006</v>
      </c>
      <c r="K114" s="131">
        <f t="shared" si="9"/>
        <v>5429450</v>
      </c>
      <c r="L114" s="131">
        <f>L92</f>
        <v>5509562</v>
      </c>
      <c r="M114" s="132">
        <f t="shared" ref="M114" si="10">M92</f>
        <v>0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86"/>
      <c r="G116" s="6">
        <f t="shared" si="7"/>
        <v>25098.955056781731</v>
      </c>
      <c r="H116" s="6">
        <f t="shared" ref="H116:K116" si="13">(H114-H115)/H112</f>
        <v>21613.00510837603</v>
      </c>
      <c r="I116" s="6">
        <f t="shared" si="13"/>
        <v>21236.756300776462</v>
      </c>
      <c r="J116" s="6">
        <f>(J114-J115)/J112</f>
        <v>23859.499712226803</v>
      </c>
      <c r="K116" s="6">
        <f t="shared" si="13"/>
        <v>25311.426918792153</v>
      </c>
      <c r="L116" s="6">
        <f>(L114-L115)/L112</f>
        <v>24213.328333337977</v>
      </c>
      <c r="M116" s="6">
        <f t="shared" ref="M116" si="14">(M114-M115)/M112</f>
        <v>0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91"/>
      <c r="G117" s="17">
        <f t="shared" si="7"/>
        <v>13502.720514555058</v>
      </c>
      <c r="H117" s="17">
        <f t="shared" ref="H117:M117" si="15">H111*G118</f>
        <v>14034.987680043261</v>
      </c>
      <c r="I117" s="17">
        <f t="shared" si="15"/>
        <v>14382.818680003735</v>
      </c>
      <c r="J117" s="17">
        <f t="shared" si="15"/>
        <v>14697.414416797203</v>
      </c>
      <c r="K117" s="17">
        <f t="shared" si="15"/>
        <v>15117.954131857419</v>
      </c>
      <c r="L117" s="17">
        <f t="shared" si="15"/>
        <v>15585.834532777722</v>
      </c>
      <c r="M117" s="17">
        <f t="shared" si="15"/>
        <v>15981.836498223438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91"/>
      <c r="G118" s="17">
        <f t="shared" si="7"/>
        <v>305773.15207065927</v>
      </c>
      <c r="H118" s="17">
        <f t="shared" ref="H118:M118" si="16">G118+H116-H117</f>
        <v>313351.16949899204</v>
      </c>
      <c r="I118" s="17">
        <f t="shared" si="16"/>
        <v>320205.10711976473</v>
      </c>
      <c r="J118" s="17">
        <f>I118+J116-J117</f>
        <v>329367.19241519429</v>
      </c>
      <c r="K118" s="17">
        <f>J118+K116-K117</f>
        <v>339560.66520212899</v>
      </c>
      <c r="L118" s="17">
        <f t="shared" si="16"/>
        <v>348188.15900268924</v>
      </c>
      <c r="M118" s="17">
        <f t="shared" si="16"/>
        <v>332206.32250446582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91"/>
      <c r="G119" s="17">
        <f t="shared" si="7"/>
        <v>5294377.6524704406</v>
      </c>
      <c r="H119" s="17">
        <f t="shared" ref="H119:I119" si="17">H113*H118</f>
        <v>5405472.5630954262</v>
      </c>
      <c r="I119" s="17">
        <f t="shared" si="17"/>
        <v>6074176.847745792</v>
      </c>
      <c r="J119" s="17">
        <f>J113*J118</f>
        <v>7333893.2252002498</v>
      </c>
      <c r="K119" s="17">
        <f>K113*K118</f>
        <v>7806455.4565986274</v>
      </c>
      <c r="L119" s="17">
        <f t="shared" ref="L119:M119" si="18">L113*L118</f>
        <v>8491294.0874294285</v>
      </c>
      <c r="M119" s="17">
        <f t="shared" si="18"/>
        <v>3469629.987227432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91"/>
      <c r="G121" s="17">
        <f>HLOOKUP($E$3,$P$3:$CE$269,O121,FALSE)</f>
        <v>11874843.642470442</v>
      </c>
      <c r="H121" s="17">
        <f t="shared" ref="H121:I121" si="19">H107+H119</f>
        <v>12154000.233095426</v>
      </c>
      <c r="I121" s="17">
        <f t="shared" si="19"/>
        <v>12993460.867745794</v>
      </c>
      <c r="J121" s="17">
        <f>J107+J119</f>
        <v>14445324.055200249</v>
      </c>
      <c r="K121" s="17">
        <f>K107+K119</f>
        <v>15755140.746618234</v>
      </c>
      <c r="L121" s="17">
        <f t="shared" ref="L121:M121" si="20">L107+L119</f>
        <v>16934452.13944345</v>
      </c>
      <c r="M121" s="17">
        <f t="shared" si="20"/>
        <v>3469629.987227432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35" t="s">
        <v>108</v>
      </c>
      <c r="B123" s="235"/>
      <c r="C123" s="235"/>
      <c r="D123" s="235"/>
      <c r="E123" s="235"/>
      <c r="F123" s="235"/>
      <c r="G123" s="235"/>
      <c r="H123" s="235"/>
      <c r="I123" s="235"/>
      <c r="J123" s="235"/>
      <c r="K123" s="235"/>
      <c r="L123" s="235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86"/>
      <c r="G128" s="6">
        <f>HLOOKUP($E$3,$P$3:$CE$269,O128,FALSE)</f>
        <v>24054</v>
      </c>
      <c r="H128" s="6">
        <f t="shared" ref="H128:K130" si="21">H96</f>
        <v>24627</v>
      </c>
      <c r="I128" s="6">
        <f t="shared" si="21"/>
        <v>25063</v>
      </c>
      <c r="J128" s="6">
        <f t="shared" si="21"/>
        <v>25753</v>
      </c>
      <c r="K128" s="6">
        <f t="shared" si="21"/>
        <v>26129.625562590238</v>
      </c>
      <c r="L128" s="6">
        <f t="shared" ref="L128:M128" si="22">L96</f>
        <v>26761.092997118289</v>
      </c>
      <c r="M128" s="6">
        <f t="shared" si="22"/>
        <v>0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93"/>
      <c r="G129" s="24">
        <f>HLOOKUP($E$3,$P$3:$CE$269,O129,FALSE)</f>
        <v>361736384</v>
      </c>
      <c r="H129" s="24">
        <f t="shared" si="21"/>
        <v>365670895</v>
      </c>
      <c r="I129" s="24">
        <f t="shared" si="21"/>
        <v>374393811</v>
      </c>
      <c r="J129" s="24">
        <f t="shared" si="21"/>
        <v>368103150.48724997</v>
      </c>
      <c r="K129" s="24">
        <f t="shared" si="21"/>
        <v>382661040.66004932</v>
      </c>
      <c r="L129" s="24">
        <f t="shared" ref="L129:M129" si="23">L97</f>
        <v>388485804.96409917</v>
      </c>
      <c r="M129" s="24">
        <f t="shared" si="23"/>
        <v>0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86"/>
      <c r="G130" s="6">
        <f>HLOOKUP($E$3,$P$3:$CE$269,O130,FALSE)</f>
        <v>79771</v>
      </c>
      <c r="H130" s="6">
        <f t="shared" si="21"/>
        <v>79523</v>
      </c>
      <c r="I130" s="6">
        <f t="shared" si="21"/>
        <v>76731</v>
      </c>
      <c r="J130" s="6">
        <f t="shared" si="21"/>
        <v>75441.74612447634</v>
      </c>
      <c r="K130" s="6">
        <f t="shared" si="21"/>
        <v>78425.34638182426</v>
      </c>
      <c r="L130" s="6">
        <f t="shared" ref="L130:M130" si="24">L98</f>
        <v>79619.116088167109</v>
      </c>
      <c r="M130" s="6">
        <f t="shared" si="24"/>
        <v>0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86"/>
      <c r="G131" s="6">
        <f>HLOOKUP($E$3,$P$3:$CE$269,O131,FALSE)</f>
        <v>104372</v>
      </c>
      <c r="H131" s="6">
        <f t="shared" ref="H131:M131" si="25">MAX(G131,H130)</f>
        <v>104372</v>
      </c>
      <c r="I131" s="6">
        <f t="shared" si="25"/>
        <v>104372</v>
      </c>
      <c r="J131" s="6">
        <f t="shared" si="25"/>
        <v>104372</v>
      </c>
      <c r="K131" s="6">
        <f t="shared" si="25"/>
        <v>104372</v>
      </c>
      <c r="L131" s="6">
        <f t="shared" si="25"/>
        <v>104372</v>
      </c>
      <c r="M131" s="6">
        <f t="shared" si="25"/>
        <v>104372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118.57602063213346</v>
      </c>
      <c r="I134" s="137">
        <f>H134*EXP('Model Inputs'!I21)</f>
        <v>125.73060753103434</v>
      </c>
      <c r="J134" s="137">
        <f>I134*EXP('Model Inputs'!J21)</f>
        <v>130.60030897127382</v>
      </c>
      <c r="K134" s="137">
        <f>J134*EXP('Model Inputs'!K21)</f>
        <v>138.53757418974212</v>
      </c>
      <c r="L134" s="137">
        <f>K134*EXP('Model Inputs'!L21)</f>
        <v>146.95722861268132</v>
      </c>
      <c r="M134" s="138">
        <f>L134*EXP('Model Inputs'!M21)</f>
        <v>146.95722861268132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250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1161.2205278084277</v>
      </c>
      <c r="I135" s="128">
        <f>H135*EXP('Model Inputs'!I20)</f>
        <v>1197.1289526036007</v>
      </c>
      <c r="J135" s="128">
        <f>I135*EXP('Model Inputs'!J20)</f>
        <v>1239.7703372909391</v>
      </c>
      <c r="K135" s="128">
        <f>J135*EXP('Model Inputs'!K20)</f>
        <v>1268.6155028729861</v>
      </c>
      <c r="L135" s="128">
        <f>K135*EXP('Model Inputs'!L20)</f>
        <v>1298.1317956407938</v>
      </c>
      <c r="M135" s="129">
        <f>L135*EXP('Model Inputs'!M20)</f>
        <v>1298.1317956407938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3.3377777545102204E-2</v>
      </c>
      <c r="I136" s="25">
        <f t="shared" ref="I136:M136" si="27">LN(I134/H134)*0.3+LN(I135/H135)*0.7</f>
        <v>3.8894354667321288E-2</v>
      </c>
      <c r="J136" s="25">
        <f t="shared" si="27"/>
        <v>3.5899999999999994E-2</v>
      </c>
      <c r="K136" s="25">
        <f t="shared" si="27"/>
        <v>3.3800000000000052E-2</v>
      </c>
      <c r="L136" s="25">
        <f t="shared" si="27"/>
        <v>3.3800000000000052E-2</v>
      </c>
      <c r="M136" s="25">
        <f t="shared" si="27"/>
        <v>0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94"/>
      <c r="G137" s="15">
        <f>HLOOKUP($E$3,$P$3:$CE$269,O137,FALSE)</f>
        <v>135.62839565652951</v>
      </c>
      <c r="H137" s="15">
        <f t="shared" ref="H137:M137" si="28">G137*EXP(H136)</f>
        <v>140.23176787486267</v>
      </c>
      <c r="I137" s="15">
        <f t="shared" si="28"/>
        <v>145.79344989522173</v>
      </c>
      <c r="J137" s="15">
        <f t="shared" si="28"/>
        <v>151.12251920640475</v>
      </c>
      <c r="K137" s="15">
        <f t="shared" si="28"/>
        <v>156.3177654212727</v>
      </c>
      <c r="L137" s="15">
        <f t="shared" si="28"/>
        <v>161.69161230647646</v>
      </c>
      <c r="M137" s="15">
        <f t="shared" si="28"/>
        <v>161.69161230647646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17.250526212294268</v>
      </c>
      <c r="I139" s="15">
        <f t="shared" si="29"/>
        <v>18.969643871026385</v>
      </c>
      <c r="J139" s="15">
        <f t="shared" si="29"/>
        <v>22.266617301565596</v>
      </c>
      <c r="K139" s="15">
        <f t="shared" si="29"/>
        <v>22.989869724609321</v>
      </c>
      <c r="L139" s="15">
        <f t="shared" ref="L139:M139" si="30">L113</f>
        <v>24.387084591707342</v>
      </c>
      <c r="M139" s="15">
        <f t="shared" si="30"/>
        <v>10.444202148442825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90"/>
      <c r="G142" s="15">
        <f>HLOOKUP($E$3,$P$3:$CE$269,O142,FALSE)</f>
        <v>494</v>
      </c>
      <c r="H142" s="26">
        <f>'Model Inputs'!H16</f>
        <v>497</v>
      </c>
      <c r="I142" s="26">
        <f>'Model Inputs'!I16</f>
        <v>497</v>
      </c>
      <c r="J142" s="26">
        <f>'Model Inputs'!J16</f>
        <v>497</v>
      </c>
      <c r="K142" s="26">
        <f>'Model Inputs'!K16</f>
        <v>497</v>
      </c>
      <c r="L142" s="26">
        <f>'Model Inputs'!L16</f>
        <v>497</v>
      </c>
      <c r="M142" s="26">
        <f>'Model Inputs'!M16</f>
        <v>0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9"/>
      <c r="G143" s="22">
        <f>HLOOKUP($E$3,$P$3:$CE$269,O143,FALSE)</f>
        <v>444.83157894736837</v>
      </c>
      <c r="H143" s="22">
        <f>(G143*19+H142)/20</f>
        <v>447.43999999999994</v>
      </c>
      <c r="I143" s="22">
        <f>(H143*20+I142)/21</f>
        <v>449.79999999999995</v>
      </c>
      <c r="J143" s="22">
        <f>(I143*21+J142)/22</f>
        <v>451.94545454545454</v>
      </c>
      <c r="K143" s="22">
        <f>(J143*22+K142)/23</f>
        <v>453.90434782608691</v>
      </c>
      <c r="L143" s="22">
        <f>(K143*23+L142)/24</f>
        <v>455.7</v>
      </c>
      <c r="M143" s="22">
        <f>(L143*24+M142)/25</f>
        <v>437.47199999999998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86"/>
      <c r="G144" s="6">
        <f>HLOOKUP($E$3,$P$3:$CE$269,O144,FALSE)</f>
        <v>21411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8"/>
      <c r="G145" s="19">
        <f>HLOOKUP($E$3,$P$3:$CE$269,O145,FALSE)</f>
        <v>0.12344122180187754</v>
      </c>
      <c r="H145" s="19">
        <f>'Model Inputs'!H17</f>
        <v>0.13133958103638368</v>
      </c>
      <c r="I145" s="19">
        <f>'Model Inputs'!I17</f>
        <v>0.13648936652609622</v>
      </c>
      <c r="J145" s="19">
        <f>'Model Inputs'!J17</f>
        <v>0.15339484055893937</v>
      </c>
      <c r="K145" s="19">
        <f>'Model Inputs'!K17</f>
        <v>0.16291893553741765</v>
      </c>
      <c r="L145" s="19">
        <f>'Model Inputs'!L17</f>
        <v>0.18061909370972296</v>
      </c>
      <c r="M145" s="19">
        <f>'Model Inputs'!M17</f>
        <v>0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96"/>
      <c r="G152" s="27">
        <f t="shared" si="31"/>
        <v>0.12766296944838101</v>
      </c>
      <c r="H152" s="27">
        <f t="shared" ref="H152:K152" si="33">H113/H137</f>
        <v>0.12301439590840758</v>
      </c>
      <c r="I152" s="27">
        <f t="shared" si="33"/>
        <v>0.13011314215185535</v>
      </c>
      <c r="J152" s="27">
        <f t="shared" si="33"/>
        <v>0.14734149098688337</v>
      </c>
      <c r="K152" s="27">
        <f t="shared" si="33"/>
        <v>0.147071381571072</v>
      </c>
      <c r="L152" s="27">
        <f t="shared" ref="L152:M152" si="34">L113/L137</f>
        <v>0.15082467323959348</v>
      </c>
      <c r="M152" s="27">
        <f t="shared" si="34"/>
        <v>6.459334531618427E-2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91"/>
      <c r="G153" s="17">
        <f t="shared" si="31"/>
        <v>24054</v>
      </c>
      <c r="H153" s="17">
        <f t="shared" ref="H153:K153" si="35">H96</f>
        <v>24627</v>
      </c>
      <c r="I153" s="17">
        <f t="shared" si="35"/>
        <v>25063</v>
      </c>
      <c r="J153" s="17">
        <f t="shared" si="35"/>
        <v>25753</v>
      </c>
      <c r="K153" s="17">
        <f t="shared" si="35"/>
        <v>26129.625562590238</v>
      </c>
      <c r="L153" s="17">
        <f t="shared" ref="L153:M153" si="36">L96</f>
        <v>26761.092997118289</v>
      </c>
      <c r="M153" s="17">
        <f t="shared" si="36"/>
        <v>0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91"/>
      <c r="G154" s="17">
        <f t="shared" si="31"/>
        <v>104372</v>
      </c>
      <c r="H154" s="17">
        <f t="shared" ref="H154:K154" si="37">H131</f>
        <v>104372</v>
      </c>
      <c r="I154" s="17">
        <f t="shared" si="37"/>
        <v>104372</v>
      </c>
      <c r="J154" s="17">
        <f t="shared" si="37"/>
        <v>104372</v>
      </c>
      <c r="K154" s="17">
        <f t="shared" si="37"/>
        <v>104372</v>
      </c>
      <c r="L154" s="17">
        <f t="shared" ref="L154:M154" si="38">L131</f>
        <v>104372</v>
      </c>
      <c r="M154" s="17">
        <f t="shared" si="38"/>
        <v>104372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93"/>
      <c r="G155" s="24">
        <f t="shared" si="31"/>
        <v>361736384</v>
      </c>
      <c r="H155" s="24">
        <f t="shared" ref="H155:K155" si="39">H97</f>
        <v>365670895</v>
      </c>
      <c r="I155" s="24">
        <f t="shared" si="39"/>
        <v>374393811</v>
      </c>
      <c r="J155" s="24">
        <f t="shared" si="39"/>
        <v>368103150.48724997</v>
      </c>
      <c r="K155" s="24">
        <f t="shared" si="39"/>
        <v>382661040.66004932</v>
      </c>
      <c r="L155" s="24">
        <f t="shared" ref="L155:M155" si="40">L97</f>
        <v>388485804.96409917</v>
      </c>
      <c r="M155" s="24">
        <f t="shared" si="40"/>
        <v>0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7"/>
      <c r="G156" s="28">
        <f t="shared" si="31"/>
        <v>444.83157894736837</v>
      </c>
      <c r="H156" s="28">
        <f t="shared" ref="H156:K156" si="41">H143</f>
        <v>447.43999999999994</v>
      </c>
      <c r="I156" s="28">
        <f t="shared" si="41"/>
        <v>449.79999999999995</v>
      </c>
      <c r="J156" s="28">
        <f t="shared" si="41"/>
        <v>451.94545454545454</v>
      </c>
      <c r="K156" s="28">
        <f t="shared" si="41"/>
        <v>453.90434782608691</v>
      </c>
      <c r="L156" s="28">
        <f t="shared" ref="L156:M156" si="42">L143</f>
        <v>455.7</v>
      </c>
      <c r="M156" s="28">
        <f t="shared" si="42"/>
        <v>437.47199999999998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7"/>
      <c r="G157" s="20">
        <f t="shared" si="31"/>
        <v>0.12344122180187754</v>
      </c>
      <c r="H157" s="20">
        <f t="shared" ref="H157:L157" si="43">H145</f>
        <v>0.13133958103638368</v>
      </c>
      <c r="I157" s="20">
        <f t="shared" si="43"/>
        <v>0.13648936652609622</v>
      </c>
      <c r="J157" s="20">
        <f t="shared" si="43"/>
        <v>0.15339484055893937</v>
      </c>
      <c r="K157" s="20">
        <f t="shared" si="43"/>
        <v>0.16291893553741765</v>
      </c>
      <c r="L157" s="20">
        <f t="shared" si="43"/>
        <v>0.18061909370972296</v>
      </c>
      <c r="M157" s="20">
        <f t="shared" ref="M157" si="44">M145</f>
        <v>0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12.815763359841434</v>
      </c>
      <c r="H162" s="32">
        <f t="shared" ref="H162:M179" si="47">G162</f>
        <v>12.815763359841434</v>
      </c>
      <c r="I162" s="32">
        <f t="shared" si="47"/>
        <v>12.815763359841434</v>
      </c>
      <c r="J162" s="32">
        <f t="shared" si="47"/>
        <v>12.815763359841434</v>
      </c>
      <c r="K162" s="32">
        <f t="shared" si="47"/>
        <v>12.815763359841434</v>
      </c>
      <c r="L162" s="32">
        <f t="shared" si="47"/>
        <v>12.815763359841434</v>
      </c>
      <c r="M162" s="32">
        <f t="shared" si="47"/>
        <v>12.815763359841434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8"/>
      <c r="G163" s="32">
        <f t="shared" si="46"/>
        <v>0.62845189561653692</v>
      </c>
      <c r="H163" s="32">
        <f t="shared" si="47"/>
        <v>0.62845189561653692</v>
      </c>
      <c r="I163" s="32">
        <f t="shared" si="47"/>
        <v>0.62845189561653692</v>
      </c>
      <c r="J163" s="32">
        <f t="shared" si="47"/>
        <v>0.62845189561653692</v>
      </c>
      <c r="K163" s="32">
        <f t="shared" si="47"/>
        <v>0.62845189561653692</v>
      </c>
      <c r="L163" s="32">
        <f t="shared" si="47"/>
        <v>0.62845189561653692</v>
      </c>
      <c r="M163" s="32">
        <f t="shared" si="47"/>
        <v>0.62845189561653692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8"/>
      <c r="G164" s="32">
        <f t="shared" si="46"/>
        <v>0.44342744550240265</v>
      </c>
      <c r="H164" s="32">
        <f t="shared" si="47"/>
        <v>0.44342744550240265</v>
      </c>
      <c r="I164" s="32">
        <f t="shared" si="47"/>
        <v>0.44342744550240265</v>
      </c>
      <c r="J164" s="32">
        <f t="shared" si="47"/>
        <v>0.44342744550240265</v>
      </c>
      <c r="K164" s="32">
        <f t="shared" si="47"/>
        <v>0.44342744550240265</v>
      </c>
      <c r="L164" s="32">
        <f t="shared" si="47"/>
        <v>0.44342744550240265</v>
      </c>
      <c r="M164" s="32">
        <f t="shared" si="47"/>
        <v>0.44342744550240265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8"/>
      <c r="G165" s="32">
        <f t="shared" si="46"/>
        <v>0.1623917780574746</v>
      </c>
      <c r="H165" s="32">
        <f t="shared" si="47"/>
        <v>0.1623917780574746</v>
      </c>
      <c r="I165" s="32">
        <f t="shared" si="47"/>
        <v>0.1623917780574746</v>
      </c>
      <c r="J165" s="32">
        <f t="shared" si="47"/>
        <v>0.1623917780574746</v>
      </c>
      <c r="K165" s="32">
        <f t="shared" si="47"/>
        <v>0.1623917780574746</v>
      </c>
      <c r="L165" s="32">
        <f t="shared" si="47"/>
        <v>0.1623917780574746</v>
      </c>
      <c r="M165" s="32">
        <f t="shared" si="47"/>
        <v>0.1623917780574746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8"/>
      <c r="G166" s="32">
        <f t="shared" si="46"/>
        <v>0.10415743115331262</v>
      </c>
      <c r="H166" s="32">
        <f t="shared" si="47"/>
        <v>0.10415743115331262</v>
      </c>
      <c r="I166" s="32">
        <f t="shared" si="47"/>
        <v>0.10415743115331262</v>
      </c>
      <c r="J166" s="32">
        <f t="shared" si="47"/>
        <v>0.10415743115331262</v>
      </c>
      <c r="K166" s="32">
        <f t="shared" si="47"/>
        <v>0.10415743115331262</v>
      </c>
      <c r="L166" s="32">
        <f t="shared" si="47"/>
        <v>0.10415743115331262</v>
      </c>
      <c r="M166" s="32">
        <f t="shared" si="47"/>
        <v>0.10415743115331262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8"/>
      <c r="G167" s="32">
        <f t="shared" si="46"/>
        <v>0.1233185145088953</v>
      </c>
      <c r="H167" s="32">
        <f t="shared" si="47"/>
        <v>0.1233185145088953</v>
      </c>
      <c r="I167" s="32">
        <f t="shared" si="47"/>
        <v>0.1233185145088953</v>
      </c>
      <c r="J167" s="32">
        <f t="shared" si="47"/>
        <v>0.1233185145088953</v>
      </c>
      <c r="K167" s="32">
        <f t="shared" si="47"/>
        <v>0.1233185145088953</v>
      </c>
      <c r="L167" s="32">
        <f t="shared" si="47"/>
        <v>0.1233185145088953</v>
      </c>
      <c r="M167" s="32">
        <f t="shared" si="47"/>
        <v>0.1233185145088953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8"/>
      <c r="G168" s="32">
        <f t="shared" si="46"/>
        <v>-0.3760580341659242</v>
      </c>
      <c r="H168" s="32">
        <f t="shared" si="47"/>
        <v>-0.3760580341659242</v>
      </c>
      <c r="I168" s="32">
        <f t="shared" si="47"/>
        <v>-0.3760580341659242</v>
      </c>
      <c r="J168" s="32">
        <f t="shared" si="47"/>
        <v>-0.3760580341659242</v>
      </c>
      <c r="K168" s="32">
        <f t="shared" si="47"/>
        <v>-0.3760580341659242</v>
      </c>
      <c r="L168" s="32">
        <f t="shared" si="47"/>
        <v>-0.3760580341659242</v>
      </c>
      <c r="M168" s="32">
        <f t="shared" si="47"/>
        <v>-0.3760580341659242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8"/>
      <c r="G169" s="32">
        <f t="shared" si="46"/>
        <v>0.18276575431779585</v>
      </c>
      <c r="H169" s="32">
        <f t="shared" si="47"/>
        <v>0.18276575431779585</v>
      </c>
      <c r="I169" s="32">
        <f t="shared" si="47"/>
        <v>0.18276575431779585</v>
      </c>
      <c r="J169" s="32">
        <f t="shared" si="47"/>
        <v>0.18276575431779585</v>
      </c>
      <c r="K169" s="32">
        <f t="shared" si="47"/>
        <v>0.18276575431779585</v>
      </c>
      <c r="L169" s="32">
        <f t="shared" si="47"/>
        <v>0.18276575431779585</v>
      </c>
      <c r="M169" s="32">
        <f t="shared" si="47"/>
        <v>0.18276575431779585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8"/>
      <c r="G170" s="32">
        <f t="shared" si="46"/>
        <v>0.16373590283611791</v>
      </c>
      <c r="H170" s="32">
        <f t="shared" si="47"/>
        <v>0.16373590283611791</v>
      </c>
      <c r="I170" s="32">
        <f t="shared" si="47"/>
        <v>0.16373590283611791</v>
      </c>
      <c r="J170" s="32">
        <f t="shared" si="47"/>
        <v>0.16373590283611791</v>
      </c>
      <c r="K170" s="32">
        <f t="shared" si="47"/>
        <v>0.16373590283611791</v>
      </c>
      <c r="L170" s="32">
        <f t="shared" si="47"/>
        <v>0.16373590283611791</v>
      </c>
      <c r="M170" s="32">
        <f t="shared" si="47"/>
        <v>0.16373590283611791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8"/>
      <c r="G171" s="32">
        <f t="shared" si="46"/>
        <v>5.5990134811783165E-2</v>
      </c>
      <c r="H171" s="32">
        <f t="shared" si="47"/>
        <v>5.5990134811783165E-2</v>
      </c>
      <c r="I171" s="32">
        <f t="shared" si="47"/>
        <v>5.5990134811783165E-2</v>
      </c>
      <c r="J171" s="32">
        <f t="shared" si="47"/>
        <v>5.5990134811783165E-2</v>
      </c>
      <c r="K171" s="32">
        <f t="shared" si="47"/>
        <v>5.5990134811783165E-2</v>
      </c>
      <c r="L171" s="32">
        <f t="shared" si="47"/>
        <v>5.5990134811783165E-2</v>
      </c>
      <c r="M171" s="32">
        <f t="shared" si="47"/>
        <v>5.5990134811783165E-2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8"/>
      <c r="G172" s="32">
        <f t="shared" si="46"/>
        <v>8.7628386700441263E-3</v>
      </c>
      <c r="H172" s="32">
        <f t="shared" si="47"/>
        <v>8.7628386700441263E-3</v>
      </c>
      <c r="I172" s="32">
        <f t="shared" si="47"/>
        <v>8.7628386700441263E-3</v>
      </c>
      <c r="J172" s="32">
        <f t="shared" si="47"/>
        <v>8.7628386700441263E-3</v>
      </c>
      <c r="K172" s="32">
        <f t="shared" si="47"/>
        <v>8.7628386700441263E-3</v>
      </c>
      <c r="L172" s="32">
        <f t="shared" si="47"/>
        <v>8.7628386700441263E-3</v>
      </c>
      <c r="M172" s="32">
        <f t="shared" si="47"/>
        <v>8.7628386700441263E-3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8"/>
      <c r="G173" s="32">
        <f t="shared" si="46"/>
        <v>-1.367785384319864E-3</v>
      </c>
      <c r="H173" s="32">
        <f t="shared" si="47"/>
        <v>-1.367785384319864E-3</v>
      </c>
      <c r="I173" s="32">
        <f t="shared" si="47"/>
        <v>-1.367785384319864E-3</v>
      </c>
      <c r="J173" s="32">
        <f t="shared" si="47"/>
        <v>-1.367785384319864E-3</v>
      </c>
      <c r="K173" s="32">
        <f t="shared" si="47"/>
        <v>-1.367785384319864E-3</v>
      </c>
      <c r="L173" s="32">
        <f t="shared" si="47"/>
        <v>-1.367785384319864E-3</v>
      </c>
      <c r="M173" s="32">
        <f t="shared" si="47"/>
        <v>-1.367785384319864E-3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8"/>
      <c r="G174" s="32">
        <f t="shared" si="46"/>
        <v>0.14373198907844248</v>
      </c>
      <c r="H174" s="32">
        <f t="shared" si="47"/>
        <v>0.14373198907844248</v>
      </c>
      <c r="I174" s="32">
        <f t="shared" si="47"/>
        <v>0.14373198907844248</v>
      </c>
      <c r="J174" s="32">
        <f t="shared" si="47"/>
        <v>0.14373198907844248</v>
      </c>
      <c r="K174" s="32">
        <f t="shared" si="47"/>
        <v>0.14373198907844248</v>
      </c>
      <c r="L174" s="32">
        <f t="shared" si="47"/>
        <v>0.14373198907844248</v>
      </c>
      <c r="M174" s="32">
        <f t="shared" si="47"/>
        <v>0.14373198907844248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8"/>
      <c r="G175" s="32">
        <f t="shared" si="46"/>
        <v>6.2914230789096276E-2</v>
      </c>
      <c r="H175" s="32">
        <f t="shared" si="47"/>
        <v>6.2914230789096276E-2</v>
      </c>
      <c r="I175" s="32">
        <f t="shared" si="47"/>
        <v>6.2914230789096276E-2</v>
      </c>
      <c r="J175" s="32">
        <f t="shared" si="47"/>
        <v>6.2914230789096276E-2</v>
      </c>
      <c r="K175" s="32">
        <f t="shared" si="47"/>
        <v>6.2914230789096276E-2</v>
      </c>
      <c r="L175" s="32">
        <f t="shared" si="47"/>
        <v>6.2914230789096276E-2</v>
      </c>
      <c r="M175" s="32">
        <f t="shared" si="47"/>
        <v>6.2914230789096276E-2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8"/>
      <c r="G176" s="32">
        <f t="shared" si="46"/>
        <v>-0.19413898408103403</v>
      </c>
      <c r="H176" s="32">
        <f t="shared" si="47"/>
        <v>-0.19413898408103403</v>
      </c>
      <c r="I176" s="32">
        <f t="shared" si="47"/>
        <v>-0.19413898408103403</v>
      </c>
      <c r="J176" s="32">
        <f t="shared" si="47"/>
        <v>-0.19413898408103403</v>
      </c>
      <c r="K176" s="32">
        <f t="shared" si="47"/>
        <v>-0.19413898408103403</v>
      </c>
      <c r="L176" s="32">
        <f t="shared" si="47"/>
        <v>-0.19413898408103403</v>
      </c>
      <c r="M176" s="32">
        <f t="shared" si="47"/>
        <v>-0.19413898408103403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8"/>
      <c r="G177" s="32">
        <f t="shared" si="46"/>
        <v>0.28349120517139337</v>
      </c>
      <c r="H177" s="32">
        <f t="shared" si="47"/>
        <v>0.28349120517139337</v>
      </c>
      <c r="I177" s="32">
        <f t="shared" si="47"/>
        <v>0.28349120517139337</v>
      </c>
      <c r="J177" s="32">
        <f t="shared" si="47"/>
        <v>0.28349120517139337</v>
      </c>
      <c r="K177" s="32">
        <f t="shared" si="47"/>
        <v>0.28349120517139337</v>
      </c>
      <c r="L177" s="32">
        <f t="shared" si="47"/>
        <v>0.28349120517139337</v>
      </c>
      <c r="M177" s="32">
        <f t="shared" si="47"/>
        <v>0.28349120517139337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8"/>
      <c r="G178" s="32">
        <f t="shared" si="46"/>
        <v>1.6231890457665921E-2</v>
      </c>
      <c r="H178" s="32">
        <f t="shared" si="47"/>
        <v>1.6231890457665921E-2</v>
      </c>
      <c r="I178" s="32">
        <f t="shared" si="47"/>
        <v>1.6231890457665921E-2</v>
      </c>
      <c r="J178" s="32">
        <f t="shared" si="47"/>
        <v>1.6231890457665921E-2</v>
      </c>
      <c r="K178" s="32">
        <f t="shared" si="47"/>
        <v>1.6231890457665921E-2</v>
      </c>
      <c r="L178" s="32">
        <f t="shared" si="47"/>
        <v>1.6231890457665921E-2</v>
      </c>
      <c r="M178" s="32">
        <f t="shared" si="47"/>
        <v>1.6231890457665921E-2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8"/>
      <c r="G179" s="32">
        <f t="shared" si="46"/>
        <v>1.6943170190737777E-2</v>
      </c>
      <c r="H179" s="32">
        <f t="shared" si="47"/>
        <v>1.6943170190737777E-2</v>
      </c>
      <c r="I179" s="32">
        <f t="shared" si="47"/>
        <v>1.6943170190737777E-2</v>
      </c>
      <c r="J179" s="32">
        <f t="shared" si="47"/>
        <v>1.6943170190737777E-2</v>
      </c>
      <c r="K179" s="32">
        <f t="shared" si="47"/>
        <v>1.6943170190737777E-2</v>
      </c>
      <c r="L179" s="32">
        <f t="shared" si="47"/>
        <v>1.6943170190737777E-2</v>
      </c>
      <c r="M179" s="32">
        <f t="shared" si="47"/>
        <v>1.6943170190737777E-2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9"/>
      <c r="G206" s="31">
        <f t="shared" si="50"/>
        <v>-0.25290874246324252</v>
      </c>
      <c r="H206" s="31">
        <f t="shared" ref="H206:K209" si="51">LN(H152/H184)</f>
        <v>-0.29000109419254461</v>
      </c>
      <c r="I206" s="31">
        <f t="shared" si="51"/>
        <v>-0.23389808643399845</v>
      </c>
      <c r="J206" s="31">
        <f t="shared" si="51"/>
        <v>-0.10954952205602662</v>
      </c>
      <c r="K206" s="31">
        <f t="shared" si="51"/>
        <v>-0.11138442478463229</v>
      </c>
      <c r="L206" s="31">
        <f t="shared" ref="L206:M206" si="52">LN(L152/L184)</f>
        <v>-8.6184424784632396E-2</v>
      </c>
      <c r="M206" s="31">
        <f t="shared" si="52"/>
        <v>-0.93419109082115515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9"/>
      <c r="G207" s="31">
        <f t="shared" si="50"/>
        <v>-0.9695144177806837</v>
      </c>
      <c r="H207" s="31">
        <f t="shared" si="51"/>
        <v>-0.94597231863486975</v>
      </c>
      <c r="I207" s="31">
        <f t="shared" si="51"/>
        <v>-0.92842306567663335</v>
      </c>
      <c r="J207" s="31">
        <f t="shared" si="51"/>
        <v>-0.901264595491158</v>
      </c>
      <c r="K207" s="31">
        <f t="shared" si="51"/>
        <v>-0.88674597102914743</v>
      </c>
      <c r="L207" s="31">
        <f t="shared" ref="L207:M207" si="53">LN(L153/L185)</f>
        <v>-0.86286664180678374</v>
      </c>
      <c r="M207" s="31" t="e">
        <f t="shared" si="53"/>
        <v>#NUM!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9"/>
      <c r="G208" s="31">
        <f t="shared" si="50"/>
        <v>-1.1959568622468233</v>
      </c>
      <c r="H208" s="31">
        <f t="shared" si="51"/>
        <v>-1.1959568622468233</v>
      </c>
      <c r="I208" s="31">
        <f t="shared" si="51"/>
        <v>-1.1959568622468233</v>
      </c>
      <c r="J208" s="31">
        <f t="shared" si="51"/>
        <v>-1.1959568622468233</v>
      </c>
      <c r="K208" s="31">
        <f t="shared" si="51"/>
        <v>-1.1959568622468233</v>
      </c>
      <c r="L208" s="31">
        <f t="shared" ref="L208:M208" si="54">LN(L154/L186)</f>
        <v>-1.1959568622468233</v>
      </c>
      <c r="M208" s="31">
        <f t="shared" si="54"/>
        <v>-1.1959568622468233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9"/>
      <c r="G209" s="31">
        <f t="shared" si="50"/>
        <v>-1.5056207713602321</v>
      </c>
      <c r="H209" s="31">
        <f t="shared" si="51"/>
        <v>-1.4948027620149535</v>
      </c>
      <c r="I209" s="31">
        <f t="shared" si="51"/>
        <v>-1.4712282828917329</v>
      </c>
      <c r="J209" s="31">
        <f t="shared" si="51"/>
        <v>-1.4881732977805715</v>
      </c>
      <c r="K209" s="31">
        <f t="shared" si="51"/>
        <v>-1.4493869109143827</v>
      </c>
      <c r="L209" s="31">
        <f t="shared" ref="L209:M209" si="55">LN(L155/L187)</f>
        <v>-1.4342798658285985</v>
      </c>
      <c r="M209" s="31" t="e">
        <f t="shared" si="55"/>
        <v>#NUM!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9"/>
      <c r="G210" s="31">
        <f t="shared" si="50"/>
        <v>3.1981416007169368E-2</v>
      </c>
      <c r="H210" s="31">
        <f t="shared" ref="H210:K213" si="56">H206*H206/2</f>
        <v>4.2050317316436561E-2</v>
      </c>
      <c r="I210" s="31">
        <f t="shared" si="56"/>
        <v>2.7354157418743107E-2</v>
      </c>
      <c r="J210" s="31">
        <f t="shared" si="56"/>
        <v>6.000548891351932E-3</v>
      </c>
      <c r="K210" s="31">
        <f t="shared" si="56"/>
        <v>6.2032450423017034E-3</v>
      </c>
      <c r="L210" s="31">
        <f t="shared" ref="L210:M210" si="57">L206*L206/2</f>
        <v>3.7138775377289794E-3</v>
      </c>
      <c r="M210" s="31">
        <f t="shared" si="57"/>
        <v>0.43635649708480989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9"/>
      <c r="G211" s="31">
        <f t="shared" si="50"/>
        <v>0.46997910314230906</v>
      </c>
      <c r="H211" s="31">
        <f t="shared" si="56"/>
        <v>0.44743181381171576</v>
      </c>
      <c r="I211" s="31">
        <f t="shared" si="56"/>
        <v>0.4309846944401991</v>
      </c>
      <c r="J211" s="31">
        <f t="shared" si="56"/>
        <v>0.40613893554292035</v>
      </c>
      <c r="K211" s="31">
        <f t="shared" si="56"/>
        <v>0.39315920856821279</v>
      </c>
      <c r="L211" s="31">
        <f t="shared" ref="L211:M211" si="58">L207*L207/2</f>
        <v>0.37226942077145819</v>
      </c>
      <c r="M211" s="31" t="e">
        <f t="shared" si="58"/>
        <v>#NUM!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9"/>
      <c r="G212" s="31">
        <f t="shared" si="50"/>
        <v>0.71515640817763348</v>
      </c>
      <c r="H212" s="31">
        <f t="shared" si="56"/>
        <v>0.71515640817763348</v>
      </c>
      <c r="I212" s="31">
        <f t="shared" si="56"/>
        <v>0.71515640817763348</v>
      </c>
      <c r="J212" s="31">
        <f t="shared" si="56"/>
        <v>0.71515640817763348</v>
      </c>
      <c r="K212" s="31">
        <f t="shared" si="56"/>
        <v>0.71515640817763348</v>
      </c>
      <c r="L212" s="31">
        <f t="shared" ref="L212:M212" si="59">L208*L208/2</f>
        <v>0.71515640817763348</v>
      </c>
      <c r="M212" s="31">
        <f t="shared" si="59"/>
        <v>0.71515640817763348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9"/>
      <c r="G213" s="31">
        <f t="shared" si="50"/>
        <v>1.1334469535756901</v>
      </c>
      <c r="H213" s="31">
        <f t="shared" si="56"/>
        <v>1.1172176486637668</v>
      </c>
      <c r="I213" s="31">
        <f t="shared" si="56"/>
        <v>1.0822563301902783</v>
      </c>
      <c r="J213" s="31">
        <f t="shared" si="56"/>
        <v>1.1073298821135509</v>
      </c>
      <c r="K213" s="31">
        <f t="shared" si="56"/>
        <v>1.0503612087649683</v>
      </c>
      <c r="L213" s="31">
        <f t="shared" ref="L213:M213" si="60">L209*L209/2</f>
        <v>1.0285793667606511</v>
      </c>
      <c r="M213" s="31" t="e">
        <f t="shared" si="60"/>
        <v>#NUM!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9"/>
      <c r="G214" s="31">
        <f t="shared" si="50"/>
        <v>0.24519867220089545</v>
      </c>
      <c r="H214" s="31">
        <f t="shared" ref="H214:K214" si="61">H206*H207</f>
        <v>0.27433300747997069</v>
      </c>
      <c r="I214" s="31">
        <f t="shared" si="61"/>
        <v>0.21715637846295102</v>
      </c>
      <c r="J214" s="31">
        <f t="shared" si="61"/>
        <v>9.8733105682074523E-2</v>
      </c>
      <c r="K214" s="31">
        <f t="shared" si="61"/>
        <v>9.8769689913171796E-2</v>
      </c>
      <c r="L214" s="31">
        <f t="shared" ref="L214:M214" si="62">L206*L207</f>
        <v>7.4365665189965097E-2</v>
      </c>
      <c r="M214" s="31" t="e">
        <f t="shared" si="62"/>
        <v>#NUM!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9"/>
      <c r="G215" s="31">
        <f t="shared" si="50"/>
        <v>0.30246794607112942</v>
      </c>
      <c r="H215" s="31">
        <f t="shared" ref="H215:K215" si="63">H206*H208</f>
        <v>0.34682879865866112</v>
      </c>
      <c r="I215" s="31">
        <f t="shared" si="63"/>
        <v>0.27973202153714105</v>
      </c>
      <c r="J215" s="31">
        <f t="shared" si="63"/>
        <v>0.13101650265876477</v>
      </c>
      <c r="K215" s="31">
        <f t="shared" si="63"/>
        <v>0.13321096716859612</v>
      </c>
      <c r="L215" s="31">
        <f t="shared" ref="L215:M215" si="64">L206*L208</f>
        <v>0.10307285423997631</v>
      </c>
      <c r="M215" s="31">
        <f t="shared" si="64"/>
        <v>1.1172522457174059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9"/>
      <c r="G216" s="31">
        <f t="shared" si="50"/>
        <v>0.38078465591125349</v>
      </c>
      <c r="H216" s="31">
        <f t="shared" ref="H216:K216" si="65">H206*H209</f>
        <v>0.43349443658637438</v>
      </c>
      <c r="I216" s="31">
        <f t="shared" si="65"/>
        <v>0.34411748007595366</v>
      </c>
      <c r="J216" s="31">
        <f t="shared" si="65"/>
        <v>0.16302867350840258</v>
      </c>
      <c r="K216" s="31">
        <f t="shared" si="65"/>
        <v>0.1614391273625736</v>
      </c>
      <c r="L216" s="31">
        <f t="shared" ref="L216:M216" si="66">L206*L209</f>
        <v>0.12361258521661748</v>
      </c>
      <c r="M216" s="31" t="e">
        <f t="shared" si="66"/>
        <v>#NUM!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9"/>
      <c r="G217" s="31">
        <f t="shared" si="50"/>
        <v>1.1594974209920421</v>
      </c>
      <c r="H217" s="31">
        <f t="shared" ref="H217:K217" si="67">H207*H208</f>
        <v>1.131342085966911</v>
      </c>
      <c r="I217" s="31">
        <f t="shared" si="67"/>
        <v>1.1103539364642028</v>
      </c>
      <c r="J217" s="31">
        <f t="shared" si="67"/>
        <v>1.0778735776777577</v>
      </c>
      <c r="K217" s="31">
        <f t="shared" si="67"/>
        <v>1.0605099291220317</v>
      </c>
      <c r="L217" s="31">
        <f t="shared" ref="L217:M217" si="68">L207*L208</f>
        <v>1.0319512814726948</v>
      </c>
      <c r="M217" s="31" t="e">
        <f t="shared" si="68"/>
        <v>#NUM!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9"/>
      <c r="G218" s="31">
        <f t="shared" si="50"/>
        <v>1.4597210455438192</v>
      </c>
      <c r="H218" s="31">
        <f t="shared" ref="H218:K218" si="69">H207*H209</f>
        <v>1.414042034685093</v>
      </c>
      <c r="I218" s="31">
        <f t="shared" si="69"/>
        <v>1.3659222727125118</v>
      </c>
      <c r="J218" s="31">
        <f t="shared" si="69"/>
        <v>1.3412379052449495</v>
      </c>
      <c r="K218" s="31">
        <f t="shared" si="69"/>
        <v>1.2852380037157107</v>
      </c>
      <c r="L218" s="31">
        <f t="shared" ref="L218:M218" si="70">L207*L209</f>
        <v>1.2375922512386071</v>
      </c>
      <c r="M218" s="31" t="e">
        <f t="shared" si="70"/>
        <v>#NUM!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9"/>
      <c r="G219" s="31">
        <f t="shared" si="50"/>
        <v>1.8006574934496249</v>
      </c>
      <c r="H219" s="31">
        <f t="shared" ref="H219:K219" si="71">H208*H209</f>
        <v>1.7877196209372888</v>
      </c>
      <c r="I219" s="31">
        <f t="shared" si="71"/>
        <v>1.7595255608559786</v>
      </c>
      <c r="J219" s="31">
        <f t="shared" si="71"/>
        <v>1.7797910676931596</v>
      </c>
      <c r="K219" s="31">
        <f t="shared" si="71"/>
        <v>1.7334042221587811</v>
      </c>
      <c r="L219" s="31">
        <f t="shared" ref="L219:M219" si="72">L208*L209</f>
        <v>1.7153368479201654</v>
      </c>
      <c r="M219" s="31" t="e">
        <f t="shared" si="72"/>
        <v>#NUM!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9"/>
      <c r="G220" s="31">
        <f t="shared" si="50"/>
        <v>-1.8117195707843525</v>
      </c>
      <c r="H220" s="31">
        <f t="shared" ref="H220:K220" si="73">LN(H156/H198)</f>
        <v>-1.8058728565222186</v>
      </c>
      <c r="I220" s="31">
        <f t="shared" si="73"/>
        <v>-1.8006122675103355</v>
      </c>
      <c r="J220" s="31">
        <f t="shared" si="73"/>
        <v>-1.7958538102696207</v>
      </c>
      <c r="K220" s="31">
        <f t="shared" si="73"/>
        <v>-1.7915288187996929</v>
      </c>
      <c r="L220" s="31">
        <f t="shared" ref="L220:M220" si="74">LN(L156/L198)</f>
        <v>-1.787580608765714</v>
      </c>
      <c r="M220" s="31">
        <f t="shared" si="74"/>
        <v>-1.828402603285969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7"/>
      <c r="G221" s="20">
        <f t="shared" si="50"/>
        <v>0.95988508399593742</v>
      </c>
      <c r="H221" s="20">
        <f t="shared" ref="H221:K221" si="75">H157/H199</f>
        <v>1.0213031184788779</v>
      </c>
      <c r="I221" s="20">
        <f t="shared" si="75"/>
        <v>1.0613481067348074</v>
      </c>
      <c r="J221" s="20">
        <f t="shared" si="75"/>
        <v>1.1928059141441631</v>
      </c>
      <c r="K221" s="20">
        <f t="shared" si="75"/>
        <v>1.266865750679764</v>
      </c>
      <c r="L221" s="20">
        <f t="shared" ref="L221:M221" si="76">L157/L199</f>
        <v>1.4045030615063994</v>
      </c>
      <c r="M221" s="20">
        <f t="shared" si="76"/>
        <v>0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200"/>
      <c r="G226" s="33">
        <f t="shared" ref="G226:G243" si="79">HLOOKUP($E$3,$P$3:$CE$269,O226,FALSE)</f>
        <v>12.815763359841434</v>
      </c>
      <c r="H226" s="228">
        <f t="shared" ref="H226:K241" si="80">H162*H205</f>
        <v>12.815763359841434</v>
      </c>
      <c r="I226" s="33">
        <f t="shared" si="80"/>
        <v>12.815763359841434</v>
      </c>
      <c r="J226" s="33">
        <f t="shared" si="80"/>
        <v>12.815763359841434</v>
      </c>
      <c r="K226" s="33">
        <f t="shared" si="80"/>
        <v>12.815763359841434</v>
      </c>
      <c r="L226" s="33">
        <f t="shared" ref="L226:M226" si="81">L162*L205</f>
        <v>12.815763359841434</v>
      </c>
      <c r="M226" s="33">
        <f t="shared" si="81"/>
        <v>12.815763359841434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200"/>
      <c r="G227" s="33">
        <f t="shared" si="79"/>
        <v>-0.15894097861901932</v>
      </c>
      <c r="H227" s="228">
        <f t="shared" si="80"/>
        <v>-0.18225173737617453</v>
      </c>
      <c r="I227" s="33">
        <f t="shared" si="80"/>
        <v>-0.14699369580052693</v>
      </c>
      <c r="J227" s="33">
        <f t="shared" si="80"/>
        <v>-6.8846604799995548E-2</v>
      </c>
      <c r="K227" s="33">
        <f t="shared" si="80"/>
        <v>-6.9999752898059736E-2</v>
      </c>
      <c r="L227" s="33">
        <f t="shared" ref="L227:M227" si="82">L163*L206</f>
        <v>-5.4162765128523076E-2</v>
      </c>
      <c r="M227" s="33">
        <f t="shared" si="82"/>
        <v>-0.58709416189463537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200"/>
      <c r="G228" s="33">
        <f t="shared" si="79"/>
        <v>-0.42990930165423774</v>
      </c>
      <c r="H228" s="228">
        <f t="shared" si="80"/>
        <v>-0.41947008876824515</v>
      </c>
      <c r="I228" s="33">
        <f t="shared" si="80"/>
        <v>-0.41168826835849892</v>
      </c>
      <c r="J228" s="33">
        <f t="shared" si="80"/>
        <v>-0.39964545730040041</v>
      </c>
      <c r="K228" s="33">
        <f t="shared" si="80"/>
        <v>-0.39320750074300237</v>
      </c>
      <c r="L228" s="33">
        <f t="shared" ref="L228:M228" si="83">L164*L207</f>
        <v>-0.3826187507856188</v>
      </c>
      <c r="M228" s="33" t="e">
        <f t="shared" si="83"/>
        <v>#NUM!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200"/>
      <c r="G229" s="33">
        <f t="shared" si="79"/>
        <v>-0.19421356134029985</v>
      </c>
      <c r="H229" s="228">
        <f t="shared" si="80"/>
        <v>-0.19421356134029985</v>
      </c>
      <c r="I229" s="33">
        <f t="shared" si="80"/>
        <v>-0.19421356134029985</v>
      </c>
      <c r="J229" s="33">
        <f t="shared" si="80"/>
        <v>-0.19421356134029985</v>
      </c>
      <c r="K229" s="33">
        <f t="shared" si="80"/>
        <v>-0.19421356134029985</v>
      </c>
      <c r="L229" s="33">
        <f t="shared" ref="L229:M229" si="84">L165*L208</f>
        <v>-0.19421356134029985</v>
      </c>
      <c r="M229" s="33">
        <f t="shared" si="84"/>
        <v>-0.19421356134029985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200"/>
      <c r="G230" s="33">
        <f t="shared" si="79"/>
        <v>-0.15682159183595082</v>
      </c>
      <c r="H230" s="228">
        <f t="shared" si="80"/>
        <v>-0.15569481577235408</v>
      </c>
      <c r="I230" s="33">
        <f t="shared" si="80"/>
        <v>-0.15323935858610202</v>
      </c>
      <c r="J230" s="33">
        <f t="shared" si="80"/>
        <v>-0.15500430780777807</v>
      </c>
      <c r="K230" s="33">
        <f t="shared" si="80"/>
        <v>-0.15096441738807725</v>
      </c>
      <c r="L230" s="33">
        <f t="shared" ref="L230:M230" si="85">L166*L209</f>
        <v>-0.14939090637962471</v>
      </c>
      <c r="M230" s="33" t="e">
        <f t="shared" si="85"/>
        <v>#NUM!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200"/>
      <c r="G231" s="33">
        <f t="shared" si="79"/>
        <v>3.9439007138951324E-3</v>
      </c>
      <c r="H231" s="228">
        <f t="shared" si="80"/>
        <v>5.1855826660906334E-3</v>
      </c>
      <c r="I231" s="33">
        <f t="shared" si="80"/>
        <v>3.3732740585218778E-3</v>
      </c>
      <c r="J231" s="33">
        <f t="shared" si="80"/>
        <v>7.3997877551951891E-4</v>
      </c>
      <c r="K231" s="33">
        <f t="shared" si="80"/>
        <v>7.6497496375131549E-4</v>
      </c>
      <c r="L231" s="33">
        <f t="shared" ref="L231:M231" si="86">L167*L210</f>
        <v>4.5798986102069149E-4</v>
      </c>
      <c r="M231" s="33">
        <f t="shared" si="86"/>
        <v>5.3810835016803858E-2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200"/>
      <c r="G232" s="33">
        <f t="shared" si="79"/>
        <v>-0.17673941762676088</v>
      </c>
      <c r="H232" s="228">
        <f t="shared" si="80"/>
        <v>-0.16826032832532764</v>
      </c>
      <c r="I232" s="33">
        <f t="shared" si="80"/>
        <v>-0.16207525694678279</v>
      </c>
      <c r="J232" s="33">
        <f t="shared" si="80"/>
        <v>-0.15273180969851163</v>
      </c>
      <c r="K232" s="33">
        <f t="shared" si="80"/>
        <v>-0.14785067908839269</v>
      </c>
      <c r="L232" s="33">
        <f t="shared" ref="L232:M232" si="87">L168*L211</f>
        <v>-0.13999490655540184</v>
      </c>
      <c r="M232" s="33" t="e">
        <f t="shared" si="87"/>
        <v>#NUM!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200"/>
      <c r="G233" s="33">
        <f t="shared" si="79"/>
        <v>0.1307061003957907</v>
      </c>
      <c r="H233" s="228">
        <f t="shared" si="80"/>
        <v>0.1307061003957907</v>
      </c>
      <c r="I233" s="33">
        <f t="shared" si="80"/>
        <v>0.1307061003957907</v>
      </c>
      <c r="J233" s="33">
        <f t="shared" si="80"/>
        <v>0.1307061003957907</v>
      </c>
      <c r="K233" s="33">
        <f t="shared" si="80"/>
        <v>0.1307061003957907</v>
      </c>
      <c r="L233" s="33">
        <f t="shared" ref="L233:M233" si="88">L169*L212</f>
        <v>0.1307061003957907</v>
      </c>
      <c r="M233" s="33">
        <f t="shared" si="88"/>
        <v>0.1307061003957907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200"/>
      <c r="G234" s="33">
        <f t="shared" si="79"/>
        <v>0.18558596026056307</v>
      </c>
      <c r="H234" s="228">
        <f t="shared" si="80"/>
        <v>0.18292864036840664</v>
      </c>
      <c r="I234" s="33">
        <f t="shared" si="80"/>
        <v>0.17720421732380895</v>
      </c>
      <c r="J234" s="33">
        <f t="shared" si="80"/>
        <v>0.18130965798527426</v>
      </c>
      <c r="K234" s="33">
        <f t="shared" si="80"/>
        <v>0.17198184082116821</v>
      </c>
      <c r="L234" s="33">
        <f t="shared" ref="L234:M234" si="89">L170*L213</f>
        <v>0.16841537125515765</v>
      </c>
      <c r="M234" s="33" t="e">
        <f t="shared" si="89"/>
        <v>#NUM!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200"/>
      <c r="G235" s="33">
        <f t="shared" si="79"/>
        <v>1.3728706712198365E-2</v>
      </c>
      <c r="H235" s="228">
        <f t="shared" si="80"/>
        <v>1.5359942072125479E-2</v>
      </c>
      <c r="I235" s="33">
        <f t="shared" si="80"/>
        <v>1.2158614905379233E-2</v>
      </c>
      <c r="J235" s="33">
        <f t="shared" si="80"/>
        <v>5.5280798975253873E-3</v>
      </c>
      <c r="K235" s="33">
        <f t="shared" si="80"/>
        <v>5.5301282535565087E-3</v>
      </c>
      <c r="L235" s="33">
        <f t="shared" ref="L235:M235" si="90">L171*L214</f>
        <v>4.163743619354076E-3</v>
      </c>
      <c r="M235" s="33" t="e">
        <f t="shared" si="90"/>
        <v>#NUM!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200"/>
      <c r="G236" s="33">
        <f t="shared" si="79"/>
        <v>2.6504778142809144E-3</v>
      </c>
      <c r="H236" s="228">
        <f t="shared" si="80"/>
        <v>3.0392048087710642E-3</v>
      </c>
      <c r="I236" s="33">
        <f t="shared" si="80"/>
        <v>2.451246575575276E-3</v>
      </c>
      <c r="J236" s="33">
        <f t="shared" si="80"/>
        <v>1.148076475912163E-3</v>
      </c>
      <c r="K236" s="33">
        <f t="shared" si="80"/>
        <v>1.1673062143789526E-3</v>
      </c>
      <c r="L236" s="33">
        <f t="shared" ref="L236:M236" si="91">L172*L215</f>
        <v>9.0321079296588609E-4</v>
      </c>
      <c r="M236" s="33">
        <f t="shared" si="91"/>
        <v>9.7903011829661261E-3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200"/>
      <c r="G237" s="33">
        <f t="shared" si="79"/>
        <v>-5.2083168692868096E-4</v>
      </c>
      <c r="H237" s="228">
        <f t="shared" si="80"/>
        <v>-5.9292735454681696E-4</v>
      </c>
      <c r="I237" s="33">
        <f t="shared" si="80"/>
        <v>-4.7067885973687141E-4</v>
      </c>
      <c r="J237" s="33">
        <f t="shared" si="80"/>
        <v>-2.2298823684984806E-4</v>
      </c>
      <c r="K237" s="33">
        <f t="shared" si="80"/>
        <v>-2.208140788638812E-4</v>
      </c>
      <c r="L237" s="33">
        <f t="shared" ref="L237:M237" si="92">L173*L216</f>
        <v>-1.6907548737728309E-4</v>
      </c>
      <c r="M237" s="33" t="e">
        <f t="shared" si="92"/>
        <v>#NUM!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200"/>
      <c r="G238" s="33">
        <f t="shared" si="79"/>
        <v>0.16665687065051041</v>
      </c>
      <c r="H238" s="228">
        <f t="shared" si="80"/>
        <v>0.16261004834417839</v>
      </c>
      <c r="I238" s="33">
        <f t="shared" si="80"/>
        <v>0.1595933798690784</v>
      </c>
      <c r="J238" s="33">
        <f t="shared" si="80"/>
        <v>0.15492491329472119</v>
      </c>
      <c r="K238" s="33">
        <f t="shared" si="80"/>
        <v>0.15242920155014766</v>
      </c>
      <c r="L238" s="33">
        <f t="shared" ref="L238:M238" si="93">L174*L217</f>
        <v>0.14832441031811808</v>
      </c>
      <c r="M238" s="33" t="e">
        <f t="shared" si="93"/>
        <v>#NUM!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200"/>
      <c r="G239" s="33">
        <f t="shared" si="79"/>
        <v>9.1837226747044753E-2</v>
      </c>
      <c r="H239" s="228">
        <f t="shared" si="80"/>
        <v>8.8963366915661229E-2</v>
      </c>
      <c r="I239" s="33">
        <f t="shared" si="80"/>
        <v>8.5935949105401865E-2</v>
      </c>
      <c r="J239" s="33">
        <f t="shared" si="80"/>
        <v>8.4382951113664798E-2</v>
      </c>
      <c r="K239" s="33">
        <f t="shared" si="80"/>
        <v>8.0859760384687604E-2</v>
      </c>
      <c r="L239" s="33">
        <f t="shared" ref="L239:M239" si="94">L175*L218</f>
        <v>7.7862164517222943E-2</v>
      </c>
      <c r="M239" s="33" t="e">
        <f t="shared" si="94"/>
        <v>#NUM!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200"/>
      <c r="G240" s="33">
        <f t="shared" si="79"/>
        <v>-0.34957781645621133</v>
      </c>
      <c r="H240" s="228">
        <f t="shared" si="80"/>
        <v>-0.34706607103049647</v>
      </c>
      <c r="I240" s="33">
        <f t="shared" si="80"/>
        <v>-0.34159250484919129</v>
      </c>
      <c r="J240" s="33">
        <f t="shared" si="80"/>
        <v>-0.34552682975844889</v>
      </c>
      <c r="K240" s="33">
        <f t="shared" si="80"/>
        <v>-0.33652133469168077</v>
      </c>
      <c r="L240" s="33">
        <f t="shared" ref="L240:M240" si="95">L176*L219</f>
        <v>-0.33301375301198405</v>
      </c>
      <c r="M240" s="33" t="e">
        <f t="shared" si="95"/>
        <v>#NUM!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200"/>
      <c r="G241" s="33">
        <f t="shared" si="79"/>
        <v>-0.51360656455425557</v>
      </c>
      <c r="H241" s="228">
        <f t="shared" si="80"/>
        <v>-0.51194907248179045</v>
      </c>
      <c r="I241" s="33">
        <f t="shared" si="80"/>
        <v>-0.51045774176290037</v>
      </c>
      <c r="J241" s="33">
        <f t="shared" si="80"/>
        <v>-0.5091087609849736</v>
      </c>
      <c r="K241" s="33">
        <f t="shared" si="80"/>
        <v>-0.50788266394080772</v>
      </c>
      <c r="L241" s="33">
        <f t="shared" ref="L241:M241" si="96">L177*L220</f>
        <v>-0.5067633811200053</v>
      </c>
      <c r="M241" s="33">
        <f t="shared" si="96"/>
        <v>-0.51833605754405243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200"/>
      <c r="G242" s="33">
        <f t="shared" si="79"/>
        <v>1.5580749535369509E-2</v>
      </c>
      <c r="H242" s="228">
        <f t="shared" ref="H242:K243" si="97">H178*H221</f>
        <v>1.6577680343221747E-2</v>
      </c>
      <c r="I242" s="33">
        <f t="shared" si="97"/>
        <v>1.722768620597051E-2</v>
      </c>
      <c r="J242" s="33">
        <f t="shared" si="97"/>
        <v>1.9361494935644118E-2</v>
      </c>
      <c r="K242" s="33">
        <f t="shared" si="97"/>
        <v>2.0563626089602636E-2</v>
      </c>
      <c r="L242" s="33">
        <f t="shared" ref="L242:M242" si="98">L178*L221</f>
        <v>2.2797739841828295E-2</v>
      </c>
      <c r="M242" s="33">
        <f t="shared" si="98"/>
        <v>0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200"/>
      <c r="G243" s="33">
        <f t="shared" si="79"/>
        <v>0.23720438267032887</v>
      </c>
      <c r="H243" s="228">
        <f t="shared" si="97"/>
        <v>0.25414755286106666</v>
      </c>
      <c r="I243" s="33">
        <f t="shared" si="97"/>
        <v>0.27109072305180443</v>
      </c>
      <c r="J243" s="33">
        <f t="shared" si="97"/>
        <v>0.28803389324254219</v>
      </c>
      <c r="K243" s="33">
        <f t="shared" si="97"/>
        <v>0.30497706343327996</v>
      </c>
      <c r="L243" s="33">
        <f t="shared" ref="L243:M243" si="99">L179*L222</f>
        <v>0.32192023362401778</v>
      </c>
      <c r="M243" s="33">
        <f t="shared" si="99"/>
        <v>0.33886340381475555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96"/>
      <c r="G245" s="27">
        <f>HLOOKUP($E$3,$P$3:$CE$269,O245,FALSE)</f>
        <v>11.683327671567749</v>
      </c>
      <c r="H245" s="227">
        <f t="shared" ref="H245:K245" si="100">SUM(H226:H243)</f>
        <v>11.695782876167511</v>
      </c>
      <c r="I245" s="27">
        <f t="shared" si="100"/>
        <v>11.754773484828721</v>
      </c>
      <c r="J245" s="27">
        <f t="shared" si="100"/>
        <v>11.856598186030769</v>
      </c>
      <c r="K245" s="27">
        <f t="shared" si="100"/>
        <v>11.88388263777861</v>
      </c>
      <c r="L245" s="27">
        <f t="shared" ref="L245:M245" si="101">SUM(L226:L243)</f>
        <v>11.930987224258073</v>
      </c>
      <c r="M245" s="27" t="e">
        <f t="shared" si="101"/>
        <v>#NUM!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86"/>
      <c r="G246" s="6">
        <f>HLOOKUP($E$3,$P$3:$CE$269,O246,FALSE)</f>
        <v>118578.16846379649</v>
      </c>
      <c r="H246" s="6">
        <f t="shared" ref="H246:K246" si="102">EXP(H245)</f>
        <v>120064.3197598736</v>
      </c>
      <c r="I246" s="6">
        <f t="shared" si="102"/>
        <v>127360.06161048003</v>
      </c>
      <c r="J246" s="6">
        <f t="shared" si="102"/>
        <v>141011.70583641849</v>
      </c>
      <c r="K246" s="6">
        <f t="shared" si="102"/>
        <v>144912.10102744747</v>
      </c>
      <c r="L246" s="6">
        <f t="shared" ref="L246:M246" si="103">EXP(L245)</f>
        <v>151901.44847581847</v>
      </c>
      <c r="M246" s="6" t="e">
        <f t="shared" si="103"/>
        <v>#NUM!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90"/>
      <c r="G247" s="15">
        <f>HLOOKUP($E$3,$P$3:$CE$269,O247,FALSE)</f>
        <v>135.62839565652951</v>
      </c>
      <c r="H247" s="15">
        <f t="shared" ref="H247:K247" si="104">H137</f>
        <v>140.23176787486267</v>
      </c>
      <c r="I247" s="15">
        <f t="shared" si="104"/>
        <v>145.79344989522173</v>
      </c>
      <c r="J247" s="15">
        <f t="shared" si="104"/>
        <v>151.12251920640475</v>
      </c>
      <c r="K247" s="15">
        <f t="shared" si="104"/>
        <v>156.3177654212727</v>
      </c>
      <c r="L247" s="15">
        <f t="shared" ref="L247:M247" si="105">L137</f>
        <v>161.69161230647646</v>
      </c>
      <c r="M247" s="15">
        <f t="shared" si="105"/>
        <v>161.69161230647646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86"/>
      <c r="G248" s="6">
        <f>HLOOKUP($E$3,$P$3:$CE$269,O248,FALSE)</f>
        <v>16082566.7486344</v>
      </c>
      <c r="H248" s="6">
        <f t="shared" ref="H248:K248" si="106">H246*H247</f>
        <v>16836831.818619881</v>
      </c>
      <c r="I248" s="6">
        <f t="shared" si="106"/>
        <v>18568262.761059873</v>
      </c>
      <c r="J248" s="6">
        <f t="shared" si="106"/>
        <v>21310044.22359205</v>
      </c>
      <c r="K248" s="6">
        <f t="shared" si="106"/>
        <v>22652335.815112304</v>
      </c>
      <c r="L248" s="6">
        <f t="shared" ref="L248:M248" si="107">L246*L247</f>
        <v>24561190.115744248</v>
      </c>
      <c r="M248" s="6" t="e">
        <f t="shared" si="107"/>
        <v>#NUM!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35" t="s">
        <v>151</v>
      </c>
      <c r="B253" s="235"/>
      <c r="C253" s="235"/>
      <c r="D253" s="235"/>
      <c r="E253" s="235"/>
      <c r="F253" s="235"/>
      <c r="G253" s="235"/>
      <c r="H253" s="235"/>
      <c r="I253" s="235"/>
      <c r="J253" s="235"/>
      <c r="K253" s="235"/>
      <c r="L253" s="235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11874843.642470442</v>
      </c>
      <c r="H256" s="39">
        <f t="shared" ref="H256:K256" si="109">H121</f>
        <v>12154000.233095426</v>
      </c>
      <c r="I256" s="39">
        <f t="shared" si="109"/>
        <v>12993460.867745794</v>
      </c>
      <c r="J256" s="39">
        <f t="shared" si="109"/>
        <v>14445324.055200249</v>
      </c>
      <c r="K256" s="39">
        <f t="shared" si="109"/>
        <v>15755140.746618234</v>
      </c>
      <c r="L256" s="39">
        <f t="shared" ref="L256:M256" si="110">L121</f>
        <v>16934452.13944345</v>
      </c>
      <c r="M256" s="39">
        <f t="shared" si="110"/>
        <v>3469629.987227432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16082566.7486344</v>
      </c>
      <c r="H257" s="39">
        <f t="shared" ref="H257:K257" si="112">H248</f>
        <v>16836831.818619881</v>
      </c>
      <c r="I257" s="39">
        <f t="shared" si="112"/>
        <v>18568262.761059873</v>
      </c>
      <c r="J257" s="39">
        <f t="shared" si="112"/>
        <v>21310044.22359205</v>
      </c>
      <c r="K257" s="39">
        <f t="shared" si="112"/>
        <v>22652335.815112304</v>
      </c>
      <c r="L257" s="39">
        <f t="shared" ref="L257:M257" si="113">L248</f>
        <v>24561190.115744248</v>
      </c>
      <c r="M257" s="39" t="e">
        <f t="shared" si="113"/>
        <v>#NUM!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-4207723.1061639581</v>
      </c>
      <c r="H258" s="17">
        <f t="shared" ref="H258:K258" si="115">H256-H257</f>
        <v>-4682831.5855244547</v>
      </c>
      <c r="I258" s="17">
        <f t="shared" si="115"/>
        <v>-5574801.8933140785</v>
      </c>
      <c r="J258" s="17">
        <f t="shared" si="115"/>
        <v>-6864720.1683918014</v>
      </c>
      <c r="K258" s="17">
        <f t="shared" si="115"/>
        <v>-6897195.0684940703</v>
      </c>
      <c r="L258" s="17">
        <f t="shared" ref="L258:M258" si="116">L256-L257</f>
        <v>-7626737.9763007984</v>
      </c>
      <c r="M258" s="17" t="e">
        <f t="shared" si="116"/>
        <v>#NUM!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203"/>
      <c r="G259" s="40">
        <f>G258/G257</f>
        <v>-0.26163255977291333</v>
      </c>
      <c r="H259" s="40">
        <f t="shared" ref="H259:K259" si="117">H258/H257</f>
        <v>-0.27813021095487234</v>
      </c>
      <c r="I259" s="40">
        <f t="shared" si="117"/>
        <v>-0.30023282011094665</v>
      </c>
      <c r="J259" s="40">
        <f t="shared" si="117"/>
        <v>-0.32213542573468551</v>
      </c>
      <c r="K259" s="40">
        <f t="shared" si="117"/>
        <v>-0.30448052354462574</v>
      </c>
      <c r="L259" s="40">
        <f t="shared" ref="L259:M259" si="118">L258/L257</f>
        <v>-0.31051988687681287</v>
      </c>
      <c r="M259" s="40" t="e">
        <f t="shared" si="118"/>
        <v>#NUM!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-0.30331369179944884</v>
      </c>
      <c r="H261" s="41">
        <f t="shared" si="119"/>
        <v>-0.32591050393681736</v>
      </c>
      <c r="I261" s="41">
        <f t="shared" si="119"/>
        <v>-0.35700759942092775</v>
      </c>
      <c r="J261" s="41">
        <f t="shared" si="119"/>
        <v>-0.38880775396453826</v>
      </c>
      <c r="K261" s="41">
        <f t="shared" si="119"/>
        <v>-0.3630962644803582</v>
      </c>
      <c r="L261" s="41">
        <f t="shared" ref="L261:M261" si="120">LN(L256/L257)</f>
        <v>-0.37181742462566469</v>
      </c>
      <c r="M261" s="41" t="e">
        <f t="shared" si="120"/>
        <v>#NUM!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26">
        <f>Q261-$G$261</f>
        <v>0.25921161372284629</v>
      </c>
      <c r="R275" s="226">
        <f t="shared" ref="R275:BW275" si="121">R261-$G$261</f>
        <v>0.92248568921966045</v>
      </c>
      <c r="S275" s="226">
        <f t="shared" si="121"/>
        <v>0.33136137684965677</v>
      </c>
      <c r="T275" s="226">
        <f t="shared" si="121"/>
        <v>0.25787204994482621</v>
      </c>
      <c r="U275" s="226">
        <f t="shared" si="121"/>
        <v>0.25533378757922442</v>
      </c>
      <c r="V275" s="226">
        <f t="shared" si="121"/>
        <v>0.17319224097598021</v>
      </c>
      <c r="W275" s="226">
        <f t="shared" si="121"/>
        <v>0.41319564032671019</v>
      </c>
      <c r="X275" s="226">
        <f t="shared" si="121"/>
        <v>0.19146209300164463</v>
      </c>
      <c r="Y275" s="226">
        <f t="shared" si="121"/>
        <v>0.49184588441508859</v>
      </c>
      <c r="Z275" s="226">
        <f t="shared" si="121"/>
        <v>-0.24417361288211697</v>
      </c>
      <c r="AA275" s="226">
        <f t="shared" si="121"/>
        <v>-0.28680739650025705</v>
      </c>
      <c r="AB275" s="226">
        <f t="shared" si="121"/>
        <v>0.2607925554910468</v>
      </c>
      <c r="AC275" s="226">
        <f t="shared" si="121"/>
        <v>0.15968353199648805</v>
      </c>
      <c r="AD275" s="226">
        <f t="shared" si="121"/>
        <v>4.9330671727980446E-2</v>
      </c>
      <c r="AE275" s="226">
        <f t="shared" si="121"/>
        <v>0.15014547050193738</v>
      </c>
      <c r="AF275" s="226">
        <f t="shared" si="121"/>
        <v>0.20550545967426231</v>
      </c>
      <c r="AG275" s="226">
        <f t="shared" si="121"/>
        <v>0.28812597772170268</v>
      </c>
      <c r="AH275" s="226">
        <f t="shared" si="121"/>
        <v>4.7816326951812427E-2</v>
      </c>
      <c r="AI275" s="226">
        <f t="shared" si="121"/>
        <v>6.5653207884918463E-2</v>
      </c>
      <c r="AJ275" s="226">
        <f t="shared" si="121"/>
        <v>0.31970390981115326</v>
      </c>
      <c r="AK275" s="226">
        <f t="shared" si="121"/>
        <v>0.18976855977975882</v>
      </c>
      <c r="AL275" s="226">
        <f t="shared" si="121"/>
        <v>0.33355583157316748</v>
      </c>
      <c r="AM275" s="226">
        <f t="shared" si="121"/>
        <v>-4.2078548491162882E-2</v>
      </c>
      <c r="AN275" s="226">
        <f t="shared" si="121"/>
        <v>-3.4703574899609513E-2</v>
      </c>
      <c r="AO275" s="226">
        <f t="shared" si="121"/>
        <v>-1.30693513672136E-2</v>
      </c>
      <c r="AP275" s="226">
        <f t="shared" si="121"/>
        <v>0.12377510573662512</v>
      </c>
      <c r="AQ275" s="226">
        <f t="shared" si="121"/>
        <v>-0.36033265794258679</v>
      </c>
      <c r="AR275" s="226">
        <f t="shared" si="121"/>
        <v>0.46453002259223508</v>
      </c>
      <c r="AS275" s="226">
        <f t="shared" si="121"/>
        <v>0.50149431625817065</v>
      </c>
      <c r="AT275" s="226">
        <f t="shared" si="121"/>
        <v>0.23511221085315576</v>
      </c>
      <c r="AU275" s="226">
        <f t="shared" si="121"/>
        <v>0.2352097596484323</v>
      </c>
      <c r="AV275" s="226">
        <f t="shared" si="121"/>
        <v>8.2628990006129527E-2</v>
      </c>
      <c r="AW275" s="226">
        <f t="shared" si="121"/>
        <v>3.1515509961169197E-2</v>
      </c>
      <c r="AX275" s="226">
        <f t="shared" si="121"/>
        <v>0.134736649387876</v>
      </c>
      <c r="AY275" s="226">
        <f t="shared" si="121"/>
        <v>0.24024137861418338</v>
      </c>
      <c r="AZ275" s="226">
        <f t="shared" si="121"/>
        <v>6.6463958845082327E-2</v>
      </c>
      <c r="BA275" s="226">
        <f t="shared" si="121"/>
        <v>0.1446073758846769</v>
      </c>
      <c r="BB275" s="226">
        <f t="shared" si="121"/>
        <v>0.2749018897151525</v>
      </c>
      <c r="BC275" s="226">
        <f t="shared" si="121"/>
        <v>0.17645689738562254</v>
      </c>
      <c r="BD275" s="226">
        <f t="shared" si="121"/>
        <v>0.31755583665303677</v>
      </c>
      <c r="BE275" s="226">
        <f t="shared" si="121"/>
        <v>-0.11752052439251309</v>
      </c>
      <c r="BF275" s="226">
        <f t="shared" si="121"/>
        <v>0.26505783304071828</v>
      </c>
      <c r="BG275" s="226">
        <f t="shared" si="121"/>
        <v>1.5690977047460419E-2</v>
      </c>
      <c r="BH275" s="226">
        <f t="shared" si="121"/>
        <v>0.28476167115114953</v>
      </c>
      <c r="BI275" s="226">
        <f t="shared" si="121"/>
        <v>0.13714275939154943</v>
      </c>
      <c r="BJ275" s="226">
        <f t="shared" si="121"/>
        <v>6.0511295973774748E-2</v>
      </c>
      <c r="BK275" s="226">
        <f t="shared" si="121"/>
        <v>0.29732947395630244</v>
      </c>
      <c r="BL275" s="226">
        <f t="shared" si="121"/>
        <v>0.31431779143508215</v>
      </c>
      <c r="BM275" s="226">
        <f t="shared" si="121"/>
        <v>0.2784892466855986</v>
      </c>
      <c r="BN275" s="226">
        <f t="shared" si="121"/>
        <v>0.14940256819287384</v>
      </c>
      <c r="BO275" s="226">
        <f t="shared" si="121"/>
        <v>4.4814786764287906E-2</v>
      </c>
      <c r="BP275" s="226">
        <f t="shared" si="121"/>
        <v>0.30811550219850797</v>
      </c>
      <c r="BQ275" s="226">
        <f t="shared" si="121"/>
        <v>0.24814575551726131</v>
      </c>
      <c r="BR275" s="226">
        <f t="shared" si="121"/>
        <v>0.83194637335578503</v>
      </c>
      <c r="BS275" s="226">
        <f t="shared" si="121"/>
        <v>-0.16303978491020027</v>
      </c>
      <c r="BT275" s="226">
        <f t="shared" si="121"/>
        <v>0.3380045689481409</v>
      </c>
      <c r="BU275" s="226">
        <f t="shared" si="121"/>
        <v>0</v>
      </c>
      <c r="BV275" s="226">
        <f t="shared" si="121"/>
        <v>0.33217941760801828</v>
      </c>
      <c r="BW275" s="226">
        <f t="shared" si="121"/>
        <v>0.19271053609640526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zoomScaleNormal="100" workbookViewId="0">
      <selection activeCell="J10" sqref="J1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6" t="s">
        <v>168</v>
      </c>
      <c r="D2" s="236"/>
      <c r="E2" s="236"/>
      <c r="F2" s="236"/>
      <c r="G2" s="236"/>
      <c r="H2" s="236"/>
      <c r="I2" s="236"/>
      <c r="J2" s="236"/>
      <c r="K2" s="236"/>
    </row>
    <row r="3" spans="3:17" ht="23.25" customHeight="1" x14ac:dyDescent="0.25">
      <c r="C3" s="232" t="str">
        <f>'Model Inputs'!F5</f>
        <v>Welland Hydro-Electric System Corp.</v>
      </c>
      <c r="D3" s="232"/>
      <c r="E3" s="232"/>
      <c r="F3" s="232"/>
      <c r="G3" s="232"/>
      <c r="H3" s="232"/>
      <c r="I3" s="232"/>
      <c r="J3" s="232"/>
      <c r="K3" s="232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2" t="s">
        <v>182</v>
      </c>
      <c r="G7" s="2" t="s">
        <v>182</v>
      </c>
      <c r="H7" s="2" t="s">
        <v>182</v>
      </c>
      <c r="I7" s="2" t="s">
        <v>182</v>
      </c>
      <c r="J7" s="2" t="s">
        <v>183</v>
      </c>
      <c r="K7" s="2" t="s">
        <v>184</v>
      </c>
    </row>
    <row r="8" spans="3:17" x14ac:dyDescent="0.2">
      <c r="C8" s="8" t="s">
        <v>163</v>
      </c>
    </row>
    <row r="10" spans="3:17" ht="18.75" customHeight="1" x14ac:dyDescent="0.2">
      <c r="D10" t="s">
        <v>162</v>
      </c>
      <c r="F10" s="54">
        <f>'Benchmarking Calculations'!G121</f>
        <v>11874843.642470442</v>
      </c>
      <c r="G10" s="54">
        <f>'Benchmarking Calculations'!H121</f>
        <v>12154000.233095426</v>
      </c>
      <c r="H10" s="54">
        <f>'Benchmarking Calculations'!I121</f>
        <v>12993460.867745794</v>
      </c>
      <c r="I10" s="53">
        <f>IF(ISNUMBER(I12),'Benchmarking Calculations'!J121,"na")</f>
        <v>14445324.055200249</v>
      </c>
      <c r="J10" s="53">
        <f>IF(ISNUMBER(J12),'Benchmarking Calculations'!K121,"na")</f>
        <v>15755140.746618234</v>
      </c>
      <c r="K10" s="53">
        <f>IF(ISNUMBER(K12),'Benchmarking Calculations'!L121,"na")</f>
        <v>16934452.13944345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150</v>
      </c>
      <c r="F12" s="54">
        <f>'Benchmarking Calculations'!G257</f>
        <v>16082566.7486344</v>
      </c>
      <c r="G12" s="54">
        <f>'Benchmarking Calculations'!H257</f>
        <v>16836831.818619881</v>
      </c>
      <c r="H12" s="54">
        <f>'Benchmarking Calculations'!I257</f>
        <v>18568262.761059873</v>
      </c>
      <c r="I12" s="53">
        <f>IF(ISNUMBER('Benchmarking Calculations'!J257),'Benchmarking Calculations'!J257,"na")</f>
        <v>21310044.22359205</v>
      </c>
      <c r="J12" s="53">
        <f>IF(ISNUMBER('Benchmarking Calculations'!K257),'Benchmarking Calculations'!K257,"na")</f>
        <v>22652335.815112304</v>
      </c>
      <c r="K12" s="53">
        <f>IF(ISNUMBER('Benchmarking Calculations'!L257),'Benchmarking Calculations'!L257,"na")</f>
        <v>24561190.115744248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160</v>
      </c>
      <c r="F14" s="54">
        <f t="shared" ref="F14:H14" si="1">F10-F12</f>
        <v>-4207723.1061639581</v>
      </c>
      <c r="G14" s="54">
        <f t="shared" si="1"/>
        <v>-4682831.5855244547</v>
      </c>
      <c r="H14" s="54">
        <f t="shared" si="1"/>
        <v>-5574801.8933140785</v>
      </c>
      <c r="I14" s="53">
        <f>IF(ISNUMBER(I12),I10-I12,"na")</f>
        <v>-6864720.1683918014</v>
      </c>
      <c r="J14" s="53">
        <f t="shared" ref="J14:K14" si="2">IF(ISNUMBER(J12),J10-J12,"na")</f>
        <v>-6897195.0684940703</v>
      </c>
      <c r="K14" s="53">
        <f t="shared" si="2"/>
        <v>-7626737.9763007984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181</v>
      </c>
      <c r="E16" s="8"/>
      <c r="F16" s="139">
        <f>LN(F10/F12)</f>
        <v>-0.30331369179944884</v>
      </c>
      <c r="G16" s="139">
        <f t="shared" ref="G16:H16" si="3">LN(G10/G12)</f>
        <v>-0.32591050393681736</v>
      </c>
      <c r="H16" s="139">
        <f t="shared" si="3"/>
        <v>-0.35700759942092775</v>
      </c>
      <c r="I16" s="91">
        <f>IF(ISNUMBER(I14),LN(I10/I12),"na")</f>
        <v>-0.38880775396453826</v>
      </c>
      <c r="J16" s="91">
        <f t="shared" ref="J16:K16" si="4">IF(ISNUMBER(J14),LN(J10/J12),"na")</f>
        <v>-0.3630962644803582</v>
      </c>
      <c r="K16" s="91">
        <f t="shared" si="4"/>
        <v>-0.37181742462566469</v>
      </c>
    </row>
    <row r="17" spans="4:11" ht="18.75" customHeight="1" x14ac:dyDescent="0.2">
      <c r="F17" s="108"/>
      <c r="G17" s="108"/>
      <c r="H17" s="108"/>
      <c r="I17" s="56"/>
      <c r="J17" s="56"/>
      <c r="K17" s="56"/>
    </row>
    <row r="18" spans="4:11" ht="18.75" customHeight="1" x14ac:dyDescent="0.2">
      <c r="D18" t="s">
        <v>178</v>
      </c>
      <c r="F18" s="109"/>
      <c r="G18" s="109"/>
      <c r="H18" s="109">
        <f>AVERAGE(F16:H16)</f>
        <v>-0.32874393171906463</v>
      </c>
      <c r="I18" s="43">
        <f>IF(ISNUMBER(I16),AVERAGE(G16:I16),"na")</f>
        <v>-0.35724195244076112</v>
      </c>
      <c r="J18" s="43">
        <f t="shared" ref="J18:K18" si="5">IF(ISNUMBER(J16),AVERAGE(H16:J16),"na")</f>
        <v>-0.36963720595527477</v>
      </c>
      <c r="K18" s="43">
        <f t="shared" si="5"/>
        <v>-0.37457381435685372</v>
      </c>
    </row>
    <row r="19" spans="4:11" ht="18.75" customHeight="1" x14ac:dyDescent="0.2"/>
    <row r="20" spans="4:11" ht="18.75" customHeight="1" x14ac:dyDescent="0.45">
      <c r="D20" t="s">
        <v>161</v>
      </c>
      <c r="F20" s="79"/>
    </row>
    <row r="22" spans="4:11" ht="15" x14ac:dyDescent="0.25">
      <c r="E22" t="s">
        <v>179</v>
      </c>
      <c r="F22" s="92">
        <f>IF(F16&lt;-0.25,1,IF(F16&lt;-0.1,2,IF(F16&lt;0.1,3,IF(F16&lt;0.25,4,5))))</f>
        <v>1</v>
      </c>
      <c r="G22" s="92">
        <f t="shared" ref="G22" si="6">IF(G16&lt;-0.25,1,IF(G16&lt;-0.1,2,IF(G16&lt;0.1,3,IF(G16&lt;0.25,4,5))))</f>
        <v>1</v>
      </c>
      <c r="H22" s="92">
        <f>IF($H$16&lt;-0.25,1,IF($H$16&lt;-0.1,2,IF($H$16&lt;0.1,3,IF($H$16&lt;0.25,4,5))))</f>
        <v>1</v>
      </c>
      <c r="I22" s="92">
        <f>IF(ISNUMBER(I16),IF(I16&lt;-0.25,1,IF(I16&lt;-0.1,2,IF(I16&lt;0.1,3,IF(I16&lt;0.25,4,5)))),"na")</f>
        <v>1</v>
      </c>
      <c r="J22" s="92">
        <f t="shared" ref="J22:K22" si="7">IF(ISNUMBER(J16),IF(J16&lt;-0.25,1,IF(J16&lt;-0.1,2,IF(J16&lt;0.1,3,IF(J16&lt;0.25,4,5)))),"na")</f>
        <v>1</v>
      </c>
      <c r="K22" s="92">
        <f t="shared" si="7"/>
        <v>1</v>
      </c>
    </row>
    <row r="24" spans="4:11" ht="15" x14ac:dyDescent="0.25">
      <c r="E24" t="s">
        <v>155</v>
      </c>
      <c r="H24" s="92">
        <f>IF(H$18&lt;-0.25,1,IF(H$18&lt;-0.1,2,IF(H$18&lt;0.1,3,IF(H$18&lt;0.25,4,5))))</f>
        <v>1</v>
      </c>
      <c r="I24" s="92">
        <f t="shared" ref="I24:K24" si="8">IF(I$18&lt;-0.25,1,IF(I$18&lt;-0.1,2,IF(I$18&lt;0.1,3,IF(I$18&lt;0.25,4,5))))</f>
        <v>1</v>
      </c>
      <c r="J24" s="92">
        <f t="shared" si="8"/>
        <v>1</v>
      </c>
      <c r="K24" s="92">
        <f t="shared" si="8"/>
        <v>1</v>
      </c>
    </row>
    <row r="27" spans="4:11" x14ac:dyDescent="0.2">
      <c r="D27" s="8"/>
      <c r="G27" s="54"/>
      <c r="H27" s="54"/>
    </row>
    <row r="29" spans="4:11" x14ac:dyDescent="0.2">
      <c r="F29" s="85"/>
      <c r="G29" s="17"/>
      <c r="H29" s="17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Jennifer Dionne</cp:lastModifiedBy>
  <cp:lastPrinted>2018-07-25T01:09:59Z</cp:lastPrinted>
  <dcterms:created xsi:type="dcterms:W3CDTF">2016-07-20T15:58:10Z</dcterms:created>
  <dcterms:modified xsi:type="dcterms:W3CDTF">2024-12-13T17:46:53Z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