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https://d.docs.live.net/95f9b79c41025c21/Documents/Utilis/Consulting/ELK/2025 IRM/IRR/"/>
    </mc:Choice>
  </mc:AlternateContent>
  <xr:revisionPtr revIDLastSave="40" documentId="8_{8A823BE0-78DD-453A-AB94-93337696DF14}" xr6:coauthVersionLast="47" xr6:coauthVersionMax="47" xr10:uidLastSave="{3929C379-F8A5-4FD2-90A4-C13AE1875F83}"/>
  <bookViews>
    <workbookView xWindow="-108" yWindow="-108" windowWidth="23256" windowHeight="12456" xr2:uid="{42E49E80-C481-4122-A44C-F527B324BA01}"/>
  </bookViews>
  <sheets>
    <sheet name="1. Information Sheet" sheetId="1" r:id="rId1"/>
    <sheet name="GA 2016" sheetId="2" r:id="rId2"/>
    <sheet name="GA 2017" sheetId="3" r:id="rId3"/>
    <sheet name="GA 2018" sheetId="4" r:id="rId4"/>
    <sheet name="Account 1588" sheetId="5" r:id="rId5"/>
    <sheet name="GA Rates"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I_LDCLIST" localSheetId="5">#REF!</definedName>
    <definedName name="BI_LDCLIST">#REF!</definedName>
    <definedName name="BridgeYear">'[1]LDC Info'!$E$26</definedName>
    <definedName name="contactf" localSheetId="5">#REF!</definedName>
    <definedName name="contactf">#REF!</definedName>
    <definedName name="Cust3a">'[2]6. Class A Consumption Data'!$C$25</definedName>
    <definedName name="CustomerAdministration" localSheetId="5">[2]lists!#REF!</definedName>
    <definedName name="CustomerAdministration">[2]lists!#REF!</definedName>
    <definedName name="EBNUMBER">'[1]LDC Info'!$E$16</definedName>
    <definedName name="G1LD">'[2]6. Class A Consumption Data'!$C$14</definedName>
    <definedName name="G1LDCBR" localSheetId="5">#REF!</definedName>
    <definedName name="G1LDCBR">#REF!</definedName>
    <definedName name="GARate" localSheetId="5">#REF!</definedName>
    <definedName name="GARate">#REF!</definedName>
    <definedName name="Group1Desposing" localSheetId="5">'[2]4. Billing Det. for Def-Var'!#REF!</definedName>
    <definedName name="Group1Desposing">'[2]4. Billing Det. for Def-Var'!#REF!</definedName>
    <definedName name="histdate">[3]Financials!$E$76</definedName>
    <definedName name="Incr2000" localSheetId="5">#REF!</definedName>
    <definedName name="Incr2000">#REF!</definedName>
    <definedName name="Lakeland_SA">'[2]2016 List'!$C$13:$C$14</definedName>
    <definedName name="LDCList">OFFSET('[4]2016 List'!$A$1,0,0,COUNTA('[4]2016 List'!$A:$A),1)</definedName>
    <definedName name="LIMIT" localSheetId="5">#REF!</definedName>
    <definedName name="LIMIT">#REF!</definedName>
    <definedName name="listdata">'[2]4. Billing Det. for Def-Var'!$A$17:$A$20</definedName>
    <definedName name="ListOfLDC" localSheetId="4">OFFSET([5]List!$A$1,0,0,COUNTA([5]List!$A:$A),1)</definedName>
    <definedName name="ListOfLDC">OFFSET([6]List!$A$1,0,0,COUNTA([6]List!$A:$A),1)</definedName>
    <definedName name="man_beg_bud" localSheetId="5">#REF!</definedName>
    <definedName name="man_beg_bud">#REF!</definedName>
    <definedName name="man_end_bud" localSheetId="5">#REF!</definedName>
    <definedName name="man_end_bud">#REF!</definedName>
    <definedName name="man12ACT" localSheetId="5">#REF!</definedName>
    <definedName name="man12ACT">#REF!</definedName>
    <definedName name="MANBUD" localSheetId="5">#REF!</definedName>
    <definedName name="MANBUD">#REF!</definedName>
    <definedName name="manCYACT" localSheetId="5">#REF!</definedName>
    <definedName name="manCYACT">#REF!</definedName>
    <definedName name="manCYBUD" localSheetId="5">#REF!</definedName>
    <definedName name="manCYBUD">#REF!</definedName>
    <definedName name="manCYF" localSheetId="5">#REF!</definedName>
    <definedName name="manCYF">#REF!</definedName>
    <definedName name="MANEND" localSheetId="5">#REF!</definedName>
    <definedName name="MANEND">#REF!</definedName>
    <definedName name="manNYbud" localSheetId="5">#REF!</definedName>
    <definedName name="manNYbud">#REF!</definedName>
    <definedName name="manpower_costs" localSheetId="5">#REF!</definedName>
    <definedName name="manpower_costs">#REF!</definedName>
    <definedName name="manPYACT" localSheetId="5">#REF!</definedName>
    <definedName name="manPYACT">#REF!</definedName>
    <definedName name="MANSTART" localSheetId="5">#REF!</definedName>
    <definedName name="MANSTART">#REF!</definedName>
    <definedName name="mat_beg_bud" localSheetId="5">#REF!</definedName>
    <definedName name="mat_beg_bud">#REF!</definedName>
    <definedName name="mat_end_bud" localSheetId="5">#REF!</definedName>
    <definedName name="mat_end_bud">#REF!</definedName>
    <definedName name="mat12ACT" localSheetId="5">#REF!</definedName>
    <definedName name="mat12ACT">#REF!</definedName>
    <definedName name="MATBUD" localSheetId="5">#REF!</definedName>
    <definedName name="MATBUD">#REF!</definedName>
    <definedName name="matCYACT" localSheetId="5">#REF!</definedName>
    <definedName name="matCYACT">#REF!</definedName>
    <definedName name="matCYBUD" localSheetId="5">#REF!</definedName>
    <definedName name="matCYBUD">#REF!</definedName>
    <definedName name="matCYF" localSheetId="5">#REF!</definedName>
    <definedName name="matCYF">#REF!</definedName>
    <definedName name="MATEND" localSheetId="5">#REF!</definedName>
    <definedName name="MATEND">#REF!</definedName>
    <definedName name="material_costs" localSheetId="5">#REF!</definedName>
    <definedName name="material_costs">#REF!</definedName>
    <definedName name="matNYbud" localSheetId="5">#REF!</definedName>
    <definedName name="matNYbud">#REF!</definedName>
    <definedName name="matPYACT" localSheetId="5">#REF!</definedName>
    <definedName name="matPYACT">#REF!</definedName>
    <definedName name="MATSTART" localSheetId="5">#REF!</definedName>
    <definedName name="MATSTART">#REF!</definedName>
    <definedName name="MidPeak">'[2]17. Regulatory Charges'!$D$24</definedName>
    <definedName name="OffPeak">'[2]17. Regulatory Charges'!$D$23</definedName>
    <definedName name="OnPeak">'[2]17. Regulatory Charges'!$D$25</definedName>
    <definedName name="oth_beg_bud" localSheetId="5">#REF!</definedName>
    <definedName name="oth_beg_bud">#REF!</definedName>
    <definedName name="oth_end_bud" localSheetId="5">#REF!</definedName>
    <definedName name="oth_end_bud">#REF!</definedName>
    <definedName name="oth12ACT" localSheetId="5">#REF!</definedName>
    <definedName name="oth12ACT">#REF!</definedName>
    <definedName name="othCYACT" localSheetId="5">#REF!</definedName>
    <definedName name="othCYACT">#REF!</definedName>
    <definedName name="othCYBUD" localSheetId="5">#REF!</definedName>
    <definedName name="othCYBUD">#REF!</definedName>
    <definedName name="othCYF" localSheetId="5">#REF!</definedName>
    <definedName name="othCYF">#REF!</definedName>
    <definedName name="OTHEND" localSheetId="5">#REF!</definedName>
    <definedName name="OTHEND">#REF!</definedName>
    <definedName name="other_costs" localSheetId="5">#REF!</definedName>
    <definedName name="other_costs">#REF!</definedName>
    <definedName name="OTHERBUD" localSheetId="5">#REF!</definedName>
    <definedName name="OTHERBUD">#REF!</definedName>
    <definedName name="othNYbud" localSheetId="5">#REF!</definedName>
    <definedName name="othNYbud">#REF!</definedName>
    <definedName name="othPYACT" localSheetId="5">#REF!</definedName>
    <definedName name="othPYACT">#REF!</definedName>
    <definedName name="OTHSTART" localSheetId="5">#REF!</definedName>
    <definedName name="OTHSTART">#REF!</definedName>
    <definedName name="print_end" localSheetId="5">#REF!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 localSheetId="5">#REF!</definedName>
    <definedName name="SALBENF">#REF!</definedName>
    <definedName name="salreg" localSheetId="5">#REF!</definedName>
    <definedName name="salreg">#REF!</definedName>
    <definedName name="SALREGF" localSheetId="5">#REF!</definedName>
    <definedName name="SALREGF">#REF!</definedName>
    <definedName name="SME">'[2]17. Regulatory Charges'!$D$33</definedName>
    <definedName name="StartEnd" localSheetId="5">[2]Database!#REF!</definedName>
    <definedName name="StartEnd">[2]Database!#REF!</definedName>
    <definedName name="TEMPA" localSheetId="5">#REF!</definedName>
    <definedName name="TEMPA">#REF!</definedName>
    <definedName name="TestYear">'[1]LDC Info'!$E$24</definedName>
    <definedName name="total_dept" localSheetId="5">#REF!</definedName>
    <definedName name="total_dept">#REF!</definedName>
    <definedName name="total_manpower" localSheetId="5">#REF!</definedName>
    <definedName name="total_manpower">#REF!</definedName>
    <definedName name="total_material" localSheetId="5">#REF!</definedName>
    <definedName name="total_material">#REF!</definedName>
    <definedName name="total_other" localSheetId="5">#REF!</definedName>
    <definedName name="total_other">#REF!</definedName>
    <definedName name="total_transportation" localSheetId="5">#REF!</definedName>
    <definedName name="total_transportation">#REF!</definedName>
    <definedName name="TRANBUD" localSheetId="5">#REF!</definedName>
    <definedName name="TRANBUD">#REF!</definedName>
    <definedName name="TRANEND" localSheetId="5">#REF!</definedName>
    <definedName name="TRANEND">#REF!</definedName>
    <definedName name="transportation_costs" localSheetId="5">#REF!</definedName>
    <definedName name="transportation_costs">#REF!</definedName>
    <definedName name="TRANSTART" localSheetId="5">#REF!</definedName>
    <definedName name="TRANSTART">#REF!</definedName>
    <definedName name="trn_beg_bud" localSheetId="5">#REF!</definedName>
    <definedName name="trn_beg_bud">#REF!</definedName>
    <definedName name="trn_end_bud" localSheetId="5">#REF!</definedName>
    <definedName name="trn_end_bud">#REF!</definedName>
    <definedName name="trn12ACT" localSheetId="5">#REF!</definedName>
    <definedName name="trn12ACT">#REF!</definedName>
    <definedName name="trnCYACT" localSheetId="5">#REF!</definedName>
    <definedName name="trnCYACT">#REF!</definedName>
    <definedName name="trnCYBUD" localSheetId="5">#REF!</definedName>
    <definedName name="trnCYBUD">#REF!</definedName>
    <definedName name="trnCYF" localSheetId="5">#REF!</definedName>
    <definedName name="trnCYF">#REF!</definedName>
    <definedName name="trnNYbud" localSheetId="5">#REF!</definedName>
    <definedName name="trnNYbud">#REF!</definedName>
    <definedName name="trnPYACT" localSheetId="5">#REF!</definedName>
    <definedName name="trnPYACT">#REF!</definedName>
    <definedName name="Units1" localSheetId="5">[2]lists!#REF!</definedName>
    <definedName name="Units1">[2]lists!#REF!</definedName>
    <definedName name="Units2" localSheetId="5">[2]lists!#REF!</definedName>
    <definedName name="Units2">[2]lists!#REF!</definedName>
    <definedName name="Utility">[3]Financials!$A$1</definedName>
    <definedName name="utitliy1">[9]Financials!$A$1</definedName>
    <definedName name="WAGBENF" localSheetId="5">#REF!</definedName>
    <definedName name="WAGBENF">#REF!</definedName>
    <definedName name="wagdob" localSheetId="5">#REF!</definedName>
    <definedName name="wagdob">#REF!</definedName>
    <definedName name="wagdobf" localSheetId="5">#REF!</definedName>
    <definedName name="wagdobf">#REF!</definedName>
    <definedName name="wagreg" localSheetId="5">#REF!</definedName>
    <definedName name="wagreg">#REF!</definedName>
    <definedName name="wagregf" localSheetId="5">#REF!</definedName>
    <definedName name="wagregf">#REF!</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5" l="1"/>
  <c r="G15" i="5" s="1"/>
  <c r="D31" i="1"/>
  <c r="D32" i="1"/>
  <c r="D33" i="1"/>
  <c r="E16" i="5"/>
  <c r="G16" i="5" s="1"/>
  <c r="C45" i="1" s="1"/>
  <c r="E17" i="5"/>
  <c r="G17" i="5" s="1"/>
  <c r="H57" i="4"/>
  <c r="I42" i="4"/>
  <c r="I43" i="4"/>
  <c r="I44" i="4"/>
  <c r="I45" i="4"/>
  <c r="I46" i="4"/>
  <c r="I47" i="4"/>
  <c r="I48" i="4"/>
  <c r="I49" i="4"/>
  <c r="I50" i="4"/>
  <c r="I51" i="4"/>
  <c r="I52" i="4"/>
  <c r="I41" i="4"/>
  <c r="G42" i="4"/>
  <c r="G43" i="4"/>
  <c r="G44" i="4"/>
  <c r="G45" i="4"/>
  <c r="G46" i="4"/>
  <c r="G47" i="4"/>
  <c r="G48" i="4"/>
  <c r="G49" i="4"/>
  <c r="G50" i="4"/>
  <c r="G51" i="4"/>
  <c r="G52" i="4"/>
  <c r="G41" i="4"/>
  <c r="D16" i="4"/>
  <c r="H57" i="3"/>
  <c r="I42" i="3"/>
  <c r="I43" i="3"/>
  <c r="I44" i="3"/>
  <c r="I45" i="3"/>
  <c r="I46" i="3"/>
  <c r="I47" i="3"/>
  <c r="I48" i="3"/>
  <c r="I49" i="3"/>
  <c r="I50" i="3"/>
  <c r="I51" i="3"/>
  <c r="I52" i="3"/>
  <c r="I41" i="3"/>
  <c r="G42" i="3"/>
  <c r="G43" i="3"/>
  <c r="G44" i="3"/>
  <c r="G45" i="3"/>
  <c r="G46" i="3"/>
  <c r="G47" i="3"/>
  <c r="G48" i="3"/>
  <c r="G49" i="3"/>
  <c r="G50" i="3"/>
  <c r="G51" i="3"/>
  <c r="G52" i="3"/>
  <c r="G41" i="3"/>
  <c r="C46" i="1" l="1"/>
  <c r="H17" i="5"/>
  <c r="H16" i="5"/>
  <c r="C44" i="1"/>
  <c r="H15" i="5"/>
  <c r="H57" i="2"/>
  <c r="D14" i="4" l="1"/>
  <c r="D14" i="3"/>
  <c r="E33" i="1"/>
  <c r="E32" i="1"/>
  <c r="E31" i="1"/>
  <c r="D23" i="5"/>
  <c r="C23" i="5"/>
  <c r="E22" i="5"/>
  <c r="G22" i="5" s="1"/>
  <c r="H22" i="5" s="1"/>
  <c r="F21" i="5"/>
  <c r="E21" i="5"/>
  <c r="F20" i="5"/>
  <c r="E20" i="5"/>
  <c r="F19" i="5"/>
  <c r="E19" i="5"/>
  <c r="F18" i="5"/>
  <c r="E18" i="5"/>
  <c r="C90" i="4"/>
  <c r="F33" i="1" s="1"/>
  <c r="E53" i="4"/>
  <c r="D53" i="4"/>
  <c r="C53" i="4"/>
  <c r="F52" i="4"/>
  <c r="J52" i="4" s="1"/>
  <c r="F51" i="4"/>
  <c r="J51" i="4" s="1"/>
  <c r="F50" i="4"/>
  <c r="J50" i="4" s="1"/>
  <c r="F49" i="4"/>
  <c r="F48" i="4"/>
  <c r="H47" i="4"/>
  <c r="F47" i="4"/>
  <c r="F46" i="4"/>
  <c r="H45" i="4"/>
  <c r="F45" i="4"/>
  <c r="F44" i="4"/>
  <c r="H43" i="4"/>
  <c r="F43" i="4"/>
  <c r="F42" i="4"/>
  <c r="J42" i="4" s="1"/>
  <c r="H41" i="4"/>
  <c r="F41" i="4"/>
  <c r="C90" i="3"/>
  <c r="F32" i="1" s="1"/>
  <c r="E53" i="3"/>
  <c r="D53" i="3"/>
  <c r="C53" i="3"/>
  <c r="F52" i="3"/>
  <c r="H52" i="3" s="1"/>
  <c r="F51" i="3"/>
  <c r="F50" i="3"/>
  <c r="H50" i="3" s="1"/>
  <c r="F49" i="3"/>
  <c r="J49" i="3" s="1"/>
  <c r="F48" i="3"/>
  <c r="H48" i="3" s="1"/>
  <c r="F47" i="3"/>
  <c r="F46" i="3"/>
  <c r="H46" i="3" s="1"/>
  <c r="F45" i="3"/>
  <c r="J45" i="3" s="1"/>
  <c r="F44" i="3"/>
  <c r="H44" i="3" s="1"/>
  <c r="F43" i="3"/>
  <c r="F42" i="3"/>
  <c r="H42" i="3" s="1"/>
  <c r="F41" i="3"/>
  <c r="J41" i="3" s="1"/>
  <c r="C90" i="2"/>
  <c r="F31" i="1" s="1"/>
  <c r="E53" i="2"/>
  <c r="D53" i="2"/>
  <c r="C53" i="2"/>
  <c r="I52" i="2"/>
  <c r="G52" i="2"/>
  <c r="F52" i="2"/>
  <c r="I51" i="2"/>
  <c r="G51" i="2"/>
  <c r="F51" i="2"/>
  <c r="I50" i="2"/>
  <c r="G50" i="2"/>
  <c r="F50" i="2"/>
  <c r="J50" i="2" s="1"/>
  <c r="I49" i="2"/>
  <c r="G49" i="2"/>
  <c r="F49" i="2"/>
  <c r="J49" i="2" s="1"/>
  <c r="I48" i="2"/>
  <c r="G48" i="2"/>
  <c r="F48" i="2"/>
  <c r="I47" i="2"/>
  <c r="G47" i="2"/>
  <c r="F47" i="2"/>
  <c r="I46" i="2"/>
  <c r="G46" i="2"/>
  <c r="F46" i="2"/>
  <c r="J46" i="2" s="1"/>
  <c r="I45" i="2"/>
  <c r="G45" i="2"/>
  <c r="F45" i="2"/>
  <c r="I44" i="2"/>
  <c r="G44" i="2"/>
  <c r="F44" i="2"/>
  <c r="I43" i="2"/>
  <c r="G43" i="2"/>
  <c r="F43" i="2"/>
  <c r="I42" i="2"/>
  <c r="G42" i="2"/>
  <c r="F42" i="2"/>
  <c r="J42" i="2" s="1"/>
  <c r="I41" i="2"/>
  <c r="G41" i="2"/>
  <c r="F41" i="2"/>
  <c r="D16" i="2"/>
  <c r="K61" i="2" s="1"/>
  <c r="C52" i="1"/>
  <c r="H49" i="4" l="1"/>
  <c r="H51" i="4"/>
  <c r="H43" i="3"/>
  <c r="H47" i="3"/>
  <c r="K47" i="3" s="1"/>
  <c r="H51" i="3"/>
  <c r="J44" i="4"/>
  <c r="J43" i="4"/>
  <c r="H42" i="2"/>
  <c r="K42" i="2" s="1"/>
  <c r="H46" i="2"/>
  <c r="K46" i="2" s="1"/>
  <c r="H50" i="2"/>
  <c r="K50" i="2" s="1"/>
  <c r="K43" i="4"/>
  <c r="K51" i="4"/>
  <c r="J44" i="2"/>
  <c r="K44" i="2" s="1"/>
  <c r="J48" i="2"/>
  <c r="J52" i="2"/>
  <c r="J47" i="4"/>
  <c r="K47" i="4" s="1"/>
  <c r="J48" i="4"/>
  <c r="J41" i="4"/>
  <c r="J49" i="4"/>
  <c r="H47" i="2"/>
  <c r="J43" i="3"/>
  <c r="J47" i="3"/>
  <c r="J51" i="3"/>
  <c r="K51" i="3" s="1"/>
  <c r="J45" i="4"/>
  <c r="K45" i="4" s="1"/>
  <c r="J46" i="4"/>
  <c r="H44" i="2"/>
  <c r="H48" i="2"/>
  <c r="F53" i="2"/>
  <c r="K63" i="2" s="1"/>
  <c r="H52" i="2"/>
  <c r="K52" i="2" s="1"/>
  <c r="H45" i="2"/>
  <c r="H43" i="2"/>
  <c r="H51" i="2"/>
  <c r="H41" i="3"/>
  <c r="K41" i="3" s="1"/>
  <c r="H45" i="3"/>
  <c r="K45" i="3" s="1"/>
  <c r="H49" i="3"/>
  <c r="K49" i="3" s="1"/>
  <c r="K43" i="3"/>
  <c r="F16" i="4"/>
  <c r="F23" i="5"/>
  <c r="G18" i="5"/>
  <c r="H18" i="5" s="1"/>
  <c r="G20" i="5"/>
  <c r="H20" i="5" s="1"/>
  <c r="G19" i="5"/>
  <c r="H19" i="5" s="1"/>
  <c r="G21" i="5"/>
  <c r="H21" i="5" s="1"/>
  <c r="E23" i="5"/>
  <c r="F17" i="3"/>
  <c r="F17" i="4"/>
  <c r="F15" i="3"/>
  <c r="H39" i="1"/>
  <c r="D39" i="1"/>
  <c r="C39" i="1"/>
  <c r="E39" i="1"/>
  <c r="D18" i="3"/>
  <c r="F18" i="3" s="1"/>
  <c r="F15" i="4"/>
  <c r="K41" i="4"/>
  <c r="F39" i="1"/>
  <c r="J43" i="2"/>
  <c r="J45" i="2"/>
  <c r="J47" i="2"/>
  <c r="J51" i="2"/>
  <c r="F18" i="4"/>
  <c r="J42" i="3"/>
  <c r="K42" i="3" s="1"/>
  <c r="J50" i="3"/>
  <c r="K50" i="3" s="1"/>
  <c r="F53" i="4"/>
  <c r="D14" i="2"/>
  <c r="F16" i="2" s="1"/>
  <c r="H41" i="2"/>
  <c r="H49" i="2"/>
  <c r="K49" i="2" s="1"/>
  <c r="F16" i="3"/>
  <c r="F53" i="3"/>
  <c r="H42" i="4"/>
  <c r="H44" i="4"/>
  <c r="H46" i="4"/>
  <c r="K46" i="4" s="1"/>
  <c r="H48" i="4"/>
  <c r="H50" i="4"/>
  <c r="K50" i="4" s="1"/>
  <c r="H52" i="4"/>
  <c r="K52" i="4" s="1"/>
  <c r="J41" i="2"/>
  <c r="J44" i="3"/>
  <c r="K44" i="3" s="1"/>
  <c r="J46" i="3"/>
  <c r="K46" i="3" s="1"/>
  <c r="J48" i="3"/>
  <c r="K48" i="3" s="1"/>
  <c r="J52" i="3"/>
  <c r="K52" i="3" s="1"/>
  <c r="K43" i="2" l="1"/>
  <c r="G23" i="5"/>
  <c r="K44" i="4"/>
  <c r="K48" i="4"/>
  <c r="K49" i="4"/>
  <c r="J53" i="4"/>
  <c r="H33" i="1" s="1"/>
  <c r="K51" i="2"/>
  <c r="I57" i="2"/>
  <c r="K57" i="2" s="1"/>
  <c r="K47" i="2"/>
  <c r="K48" i="2"/>
  <c r="H53" i="3"/>
  <c r="H53" i="4"/>
  <c r="K45" i="2"/>
  <c r="G39" i="1"/>
  <c r="K53" i="3"/>
  <c r="H53" i="2"/>
  <c r="J53" i="3"/>
  <c r="H32" i="1" s="1"/>
  <c r="I57" i="3"/>
  <c r="K57" i="3" s="1"/>
  <c r="K61" i="3"/>
  <c r="K63" i="3" s="1"/>
  <c r="F18" i="2"/>
  <c r="F15" i="2"/>
  <c r="F17" i="2"/>
  <c r="K42" i="4"/>
  <c r="J53" i="2"/>
  <c r="H31" i="1" s="1"/>
  <c r="K41" i="2"/>
  <c r="I57" i="4"/>
  <c r="K57" i="4" s="1"/>
  <c r="K61" i="4"/>
  <c r="K63" i="4" s="1"/>
  <c r="K53" i="4" l="1"/>
  <c r="K60" i="4" s="1"/>
  <c r="C91" i="4" s="1"/>
  <c r="C92" i="4" s="1"/>
  <c r="C93" i="4" s="1"/>
  <c r="D93" i="4" s="1"/>
  <c r="K53" i="2"/>
  <c r="K60" i="2" s="1"/>
  <c r="C91" i="2" s="1"/>
  <c r="C31" i="1" s="1"/>
  <c r="G31" i="1" s="1"/>
  <c r="I31" i="1" s="1"/>
  <c r="K60" i="3"/>
  <c r="C91" i="3" s="1"/>
  <c r="C33" i="1" l="1"/>
  <c r="G33" i="1" s="1"/>
  <c r="I33" i="1" s="1"/>
  <c r="C92" i="2"/>
  <c r="C93" i="2" s="1"/>
  <c r="D93" i="2" s="1"/>
  <c r="C92" i="3"/>
  <c r="C93" i="3" s="1"/>
  <c r="D93" i="3" s="1"/>
  <c r="C32" i="1"/>
  <c r="G32" i="1" s="1"/>
  <c r="I32" i="1" s="1"/>
</calcChain>
</file>

<file path=xl/sharedStrings.xml><?xml version="1.0" encoding="utf-8"?>
<sst xmlns="http://schemas.openxmlformats.org/spreadsheetml/2006/main" count="553" uniqueCount="159">
  <si>
    <t>Version 1.0</t>
  </si>
  <si>
    <t>Input cells</t>
  </si>
  <si>
    <t>Drop down cells</t>
  </si>
  <si>
    <t xml:space="preserve">Utility Name   </t>
  </si>
  <si>
    <t>E.L.K. Energy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</si>
  <si>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</si>
  <si>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</si>
  <si>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</si>
  <si>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</si>
  <si>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</si>
  <si>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</si>
  <si>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</si>
  <si>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</si>
  <si>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GA Analysis Workform tabs, and information in the Principal Adjustments tab and Account 1588 tab.
For example:
     • Scenario a -If 2022 balances were last approved on a final basis - Select 2022 and a GA Analysis Workform for 2023 will be generated. The input cells required in the Principal Adjustment and Account 1588 tabs will be generated accordingly as well.  
     • Scenario bi - If 2022 balances were last approved on an interim basis and there are no changes to 2022 balances - Select 2022 and a GA Analysis Workform for 2023 will be generated. The input cells required in the Principal Adjustment and Account 1588 tabs will be generated accordingly as well.  
     • Scenario bii - If 2022 balances were last approved on an interim basis, there are changes to 2022 balances, and 2021 balances were last approved for disposition - Select 2021 and GA Analysis Workforms for 2022 and 2023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</si>
  <si>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</si>
  <si>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</si>
  <si>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</si>
  <si>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</si>
  <si>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</si>
  <si>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</si>
  <si>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</si>
  <si>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</si>
  <si>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</si>
  <si>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</si>
  <si>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</si>
  <si>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</si>
  <si>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</si>
  <si>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</si>
  <si>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</si>
  <si>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</si>
  <si>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</si>
  <si>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</si>
  <si>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</si>
  <si>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</si>
  <si>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</si>
  <si>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</si>
  <si>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</si>
  <si>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</si>
  <si>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</si>
  <si>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</si>
  <si>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</si>
  <si>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</si>
  <si>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</si>
  <si>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</si>
  <si>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</si>
  <si>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</si>
  <si>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</si>
  <si>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</si>
  <si>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</si>
  <si>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</si>
  <si>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</si>
  <si>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</si>
  <si>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</si>
  <si>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</si>
  <si>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</si>
  <si>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</si>
  <si>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</si>
  <si>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</si>
  <si>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</si>
  <si>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</si>
  <si>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</si>
  <si>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</si>
  <si>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</si>
  <si>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</si>
  <si>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</si>
  <si>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</si>
  <si>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</si>
  <si>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</si>
  <si>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</si>
  <si>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</si>
  <si>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</si>
  <si>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</si>
  <si>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</si>
  <si>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</si>
  <si>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</si>
  <si>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</si>
  <si>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</si>
  <si>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</si>
  <si>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</si>
  <si>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</si>
  <si>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</si>
  <si>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</si>
  <si>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</si>
  <si>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</si>
  <si>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</si>
  <si>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</si>
  <si>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</si>
  <si>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</si>
  <si>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</si>
  <si>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</si>
  <si>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</si>
  <si>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</si>
  <si>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of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</si>
  <si>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</si>
  <si>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</si>
  <si>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</si>
  <si>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</si>
  <si>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</si>
  <si>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</si>
  <si>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</si>
  <si>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</si>
  <si>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</si>
  <si>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</si>
  <si>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</si>
  <si>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</si>
  <si>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</si>
  <si>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</si>
  <si>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</si>
  <si>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</si>
  <si>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</si>
  <si>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</si>
  <si>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</si>
  <si>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</si>
  <si>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</si>
  <si>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</si>
  <si>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</si>
  <si>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</si>
  <si>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</si>
  <si>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</si>
  <si>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</si>
  <si>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</si>
  <si>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</si>
  <si>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</si>
  <si>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</si>
  <si>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</si>
  <si>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</si>
  <si>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Net Change in Expected GA Balance in the Year Per Analysis</t>
  </si>
  <si>
    <t>1st Estimate</t>
  </si>
  <si>
    <t>Yes</t>
  </si>
  <si>
    <t>**Equal to annual Non-RPP Class B $ GA paid (i.e. non-RPP portion of CT 148 on IESO invoice) divided by Non-RPP Class B Wholesale kWh (as quantified in column O in the table above)</t>
  </si>
  <si>
    <t>Remove difference between prior year accrual/unbilled to actual from load transfers</t>
  </si>
  <si>
    <t>Add difference between current year accrual/unbilled to actual from load transfers</t>
  </si>
  <si>
    <t>4a</t>
  </si>
  <si>
    <t>4b</t>
  </si>
  <si>
    <t>CT 2148 for prior period corrections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</si>
  <si>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</si>
  <si>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</si>
  <si>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</si>
  <si>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</si>
  <si>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</si>
  <si>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</si>
  <si>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</si>
  <si>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</si>
  <si>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</si>
  <si>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</si>
  <si>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</si>
  <si>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</si>
  <si>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</si>
  <si>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</si>
  <si>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GA Purchase Price Variance</t>
  </si>
  <si>
    <t>JANUARY 2016 BILLED AT DEC ACT INSTEAD OF JAN EST</t>
  </si>
  <si>
    <t>GA Rates per IESO website</t>
  </si>
  <si>
    <t>($/kWh)</t>
  </si>
  <si>
    <t>First Estimate</t>
  </si>
  <si>
    <t>Second Estimate</t>
  </si>
  <si>
    <t>Actual</t>
  </si>
  <si>
    <t>Gas Purchase Price Variance (non-rpp portion only)</t>
  </si>
  <si>
    <t>Included in broader principal adjustment</t>
  </si>
  <si>
    <t>See Staff-10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</si>
</sst>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_-&quot;$&quot;* \(#,##0\)_-;_-&quot;$&quot;* &quot;-&quot;??_-;_-@_-"/>
    <numFmt numFmtId="165" formatCode="0.0%"/>
    <numFmt numFmtId="166" formatCode="_-* #,##0_-;_-* \(#,##0\)_-;_-* &quot;-&quot;??_-;_-@_-"/>
    <numFmt numFmtId="167" formatCode="_-* #,##0_-;\-* #,##0_-;_-* &quot;-&quot;??_-;_-@_-"/>
    <numFmt numFmtId="168" formatCode="0.00000"/>
    <numFmt numFmtId="169" formatCode="_-&quot;$&quot;* #,##0_-;\-&quot;$&quot;* #,##0_-;_-&quot;$&quot;* &quot;-&quot;??_-;_-@_-"/>
    <numFmt numFmtId="170" formatCode="0.0000"/>
    <numFmt numFmtId="171" formatCode="_(* #,##0_);_(* \(#,##0\);_(* &quot;-&quot;??_);_(@_)"/>
    <numFmt numFmtId="172" formatCode="&quot;$&quot;#,##0.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hadow/>
      <sz val="36"/>
      <color rgb="FF000000"/>
      <name val="Aptos Narrow"/>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Aptos Narrow"/>
      <family val="2"/>
      <scheme val="minor"/>
    </font>
    <font>
      <b/>
      <sz val="11"/>
      <color rgb="FFFF0000"/>
      <name val="Arial"/>
      <family val="2"/>
    </font>
    <font>
      <sz val="11"/>
      <color rgb="FF000000"/>
      <name val="Aptos Narrow"/>
      <family val="2"/>
      <scheme val="minor"/>
    </font>
    <font>
      <sz val="11"/>
      <color theme="0"/>
      <name val="Arial"/>
      <family val="2"/>
    </font>
    <font>
      <b/>
      <vertAlign val="superscript"/>
      <sz val="12"/>
      <color theme="1"/>
      <name val="Arial"/>
      <family val="2"/>
    </font>
    <font>
      <b/>
      <vertAlign val="superscript"/>
      <sz val="11"/>
      <color theme="1"/>
      <name val="Arial"/>
      <family val="2"/>
    </font>
    <font>
      <sz val="11"/>
      <color theme="0"/>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DEDED"/>
        <bgColor rgb="FF000000"/>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6" fillId="0" borderId="0" xfId="4" applyFont="1" applyAlignment="1">
      <alignment horizontal="left" wrapText="1"/>
    </xf>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4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164" fontId="5" fillId="0" borderId="1" xfId="2" applyNumberFormat="1" applyFont="1" applyFill="1" applyBorder="1" applyAlignment="1">
      <alignment horizontal="center" wrapText="1"/>
    </xf>
    <xf numFmtId="164" fontId="5" fillId="0" borderId="1" xfId="2" applyNumberFormat="1" applyFont="1" applyFill="1" applyBorder="1" applyAlignment="1">
      <alignment horizontal="center"/>
    </xf>
    <xf numFmtId="164" fontId="5" fillId="4" borderId="1" xfId="2" applyNumberFormat="1" applyFont="1" applyFill="1" applyBorder="1" applyAlignment="1">
      <alignment horizontal="center"/>
    </xf>
    <xf numFmtId="165" fontId="5" fillId="0" borderId="12" xfId="3"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164" fontId="5" fillId="0" borderId="3" xfId="2" applyNumberFormat="1" applyFont="1" applyFill="1" applyBorder="1" applyAlignment="1">
      <alignment horizontal="center" wrapText="1"/>
    </xf>
    <xf numFmtId="164" fontId="5" fillId="0" borderId="3" xfId="2" applyNumberFormat="1" applyFont="1" applyFill="1" applyBorder="1" applyAlignment="1">
      <alignment horizontal="center"/>
    </xf>
    <xf numFmtId="164" fontId="5" fillId="4" borderId="3" xfId="2" applyNumberFormat="1" applyFont="1" applyFill="1" applyBorder="1" applyAlignment="1">
      <alignment horizontal="center"/>
    </xf>
    <xf numFmtId="165" fontId="5" fillId="0" borderId="16" xfId="3" applyNumberFormat="1" applyFont="1" applyFill="1" applyBorder="1" applyAlignment="1">
      <alignment horizontal="center"/>
    </xf>
    <xf numFmtId="0" fontId="7" fillId="0" borderId="17" xfId="0" applyFont="1" applyBorder="1"/>
    <xf numFmtId="164" fontId="7" fillId="0" borderId="18" xfId="2" applyNumberFormat="1" applyFont="1" applyBorder="1"/>
    <xf numFmtId="44" fontId="7" fillId="0" borderId="19" xfId="2" applyFont="1" applyBorder="1" applyAlignment="1">
      <alignment horizontal="center"/>
    </xf>
    <xf numFmtId="0" fontId="13" fillId="0" borderId="0" xfId="0" applyFont="1"/>
    <xf numFmtId="0" fontId="7" fillId="0" borderId="17" xfId="0" applyFont="1" applyBorder="1" applyAlignment="1">
      <alignment horizontal="center"/>
    </xf>
    <xf numFmtId="0" fontId="7" fillId="0" borderId="19" xfId="0" applyFont="1" applyBorder="1" applyAlignment="1">
      <alignment horizontal="center"/>
    </xf>
    <xf numFmtId="165" fontId="5" fillId="0" borderId="12" xfId="3" applyNumberFormat="1" applyFont="1" applyBorder="1" applyAlignment="1">
      <alignment horizontal="center"/>
    </xf>
    <xf numFmtId="165" fontId="5" fillId="0" borderId="16" xfId="3" applyNumberFormat="1" applyFont="1" applyBorder="1" applyAlignment="1">
      <alignment horizontal="center"/>
    </xf>
    <xf numFmtId="165" fontId="5" fillId="0" borderId="15" xfId="3" applyNumberFormat="1" applyFont="1" applyBorder="1" applyAlignment="1">
      <alignment horizontal="center"/>
    </xf>
    <xf numFmtId="165"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6" fillId="0" borderId="23"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6" fontId="5" fillId="0" borderId="24" xfId="1" applyNumberFormat="1" applyFont="1" applyFill="1" applyBorder="1" applyAlignment="1">
      <alignment horizontal="center" vertical="center"/>
    </xf>
    <xf numFmtId="9" fontId="5" fillId="0" borderId="1" xfId="5" applyFont="1" applyBorder="1" applyAlignment="1">
      <alignment horizontal="center" vertical="center"/>
    </xf>
    <xf numFmtId="166" fontId="5" fillId="2" borderId="5" xfId="1" applyNumberFormat="1" applyFont="1" applyFill="1" applyBorder="1" applyAlignment="1" applyProtection="1">
      <alignment horizontal="center" vertical="center"/>
      <protection locked="0"/>
    </xf>
    <xf numFmtId="165" fontId="5" fillId="0" borderId="1" xfId="5" applyNumberFormat="1" applyFont="1" applyBorder="1" applyAlignment="1">
      <alignment horizontal="center" vertical="center"/>
    </xf>
    <xf numFmtId="166" fontId="5" fillId="2" borderId="1" xfId="1" applyNumberFormat="1" applyFont="1" applyFill="1" applyBorder="1" applyAlignment="1" applyProtection="1">
      <alignment horizontal="center" vertical="center"/>
      <protection locked="0"/>
    </xf>
    <xf numFmtId="167"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8" xfId="0" applyFont="1" applyBorder="1" applyAlignment="1">
      <alignment horizontal="center" wrapText="1"/>
    </xf>
    <xf numFmtId="0" fontId="8" fillId="0" borderId="18" xfId="0" applyFont="1" applyBorder="1" applyAlignment="1">
      <alignment horizontal="center" wrapText="1"/>
    </xf>
    <xf numFmtId="0" fontId="7" fillId="0" borderId="19"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3" xfId="0" applyFont="1" applyBorder="1"/>
    <xf numFmtId="166" fontId="6" fillId="2" borderId="23" xfId="1" applyNumberFormat="1" applyFont="1" applyFill="1" applyBorder="1" applyProtection="1">
      <protection locked="0"/>
    </xf>
    <xf numFmtId="166" fontId="6" fillId="2" borderId="1" xfId="1" applyNumberFormat="1" applyFont="1" applyFill="1" applyBorder="1" applyProtection="1">
      <protection locked="0"/>
    </xf>
    <xf numFmtId="166" fontId="6" fillId="0" borderId="1" xfId="1" applyNumberFormat="1" applyFont="1" applyFill="1" applyBorder="1"/>
    <xf numFmtId="168" fontId="6" fillId="0" borderId="1" xfId="0" applyNumberFormat="1" applyFont="1" applyBorder="1"/>
    <xf numFmtId="164" fontId="6" fillId="0" borderId="1" xfId="2" applyNumberFormat="1" applyFont="1" applyFill="1" applyBorder="1"/>
    <xf numFmtId="164" fontId="6" fillId="0" borderId="1" xfId="2" applyNumberFormat="1" applyFont="1" applyBorder="1"/>
    <xf numFmtId="164" fontId="6" fillId="0" borderId="12" xfId="2" applyNumberFormat="1" applyFont="1" applyBorder="1"/>
    <xf numFmtId="166" fontId="6" fillId="2" borderId="30" xfId="1" applyNumberFormat="1" applyFont="1" applyFill="1" applyBorder="1" applyProtection="1">
      <protection locked="0"/>
    </xf>
    <xf numFmtId="0" fontId="7" fillId="0" borderId="31" xfId="0" applyFont="1" applyBorder="1" applyAlignment="1">
      <alignment wrapText="1"/>
    </xf>
    <xf numFmtId="166" fontId="8" fillId="0" borderId="24" xfId="1" applyNumberFormat="1" applyFont="1" applyBorder="1"/>
    <xf numFmtId="0" fontId="8" fillId="0" borderId="24" xfId="0" applyFont="1" applyBorder="1"/>
    <xf numFmtId="164" fontId="8" fillId="0" borderId="24" xfId="2" applyNumberFormat="1" applyFont="1" applyBorder="1"/>
    <xf numFmtId="164" fontId="8" fillId="0" borderId="21" xfId="2" applyNumberFormat="1" applyFont="1" applyBorder="1"/>
    <xf numFmtId="0" fontId="7" fillId="0" borderId="0" xfId="0" applyFont="1" applyAlignment="1">
      <alignment wrapText="1"/>
    </xf>
    <xf numFmtId="166" fontId="8" fillId="0" borderId="0" xfId="1" applyNumberFormat="1" applyFont="1" applyBorder="1"/>
    <xf numFmtId="164" fontId="8" fillId="0" borderId="0" xfId="2" applyNumberFormat="1" applyFont="1" applyBorder="1"/>
    <xf numFmtId="166" fontId="7" fillId="0" borderId="8" xfId="1" applyNumberFormat="1" applyFont="1" applyBorder="1" applyAlignment="1">
      <alignment horizontal="center" wrapText="1"/>
    </xf>
    <xf numFmtId="166" fontId="7" fillId="0" borderId="9" xfId="1" applyNumberFormat="1" applyFont="1" applyBorder="1" applyAlignment="1">
      <alignment horizontal="center" wrapText="1"/>
    </xf>
    <xf numFmtId="164" fontId="7" fillId="0" borderId="9" xfId="2" applyNumberFormat="1" applyFont="1" applyBorder="1" applyAlignment="1">
      <alignment horizontal="center" wrapText="1"/>
    </xf>
    <xf numFmtId="164" fontId="7" fillId="0" borderId="10" xfId="2" applyNumberFormat="1" applyFont="1" applyBorder="1" applyAlignment="1">
      <alignment horizontal="center" wrapText="1"/>
    </xf>
    <xf numFmtId="166" fontId="7" fillId="0" borderId="13" xfId="1" applyNumberFormat="1" applyFont="1" applyBorder="1" applyAlignment="1">
      <alignment horizontal="center"/>
    </xf>
    <xf numFmtId="166" fontId="7" fillId="0" borderId="1" xfId="1" applyNumberFormat="1" applyFont="1" applyBorder="1" applyAlignment="1">
      <alignment horizontal="center"/>
    </xf>
    <xf numFmtId="0" fontId="7" fillId="0" borderId="1" xfId="0" quotePrefix="1" applyFont="1" applyBorder="1" applyAlignment="1">
      <alignment horizontal="center"/>
    </xf>
    <xf numFmtId="164" fontId="7" fillId="0" borderId="1" xfId="2" applyNumberFormat="1" applyFont="1" applyBorder="1" applyAlignment="1">
      <alignment horizontal="center"/>
    </xf>
    <xf numFmtId="164" fontId="7" fillId="0" borderId="12" xfId="2" quotePrefix="1" applyNumberFormat="1" applyFont="1" applyBorder="1" applyAlignment="1">
      <alignment horizontal="center"/>
    </xf>
    <xf numFmtId="168" fontId="6" fillId="0" borderId="0" xfId="0" applyNumberFormat="1" applyFont="1"/>
    <xf numFmtId="167" fontId="5" fillId="2" borderId="31" xfId="1" applyNumberFormat="1" applyFont="1" applyFill="1" applyBorder="1" applyProtection="1">
      <protection locked="0"/>
    </xf>
    <xf numFmtId="167" fontId="5" fillId="0" borderId="24" xfId="1" applyNumberFormat="1" applyFont="1" applyBorder="1"/>
    <xf numFmtId="168" fontId="5" fillId="2" borderId="24" xfId="0" applyNumberFormat="1" applyFont="1" applyFill="1" applyBorder="1" applyAlignment="1" applyProtection="1">
      <alignment wrapText="1"/>
      <protection locked="0"/>
    </xf>
    <xf numFmtId="164" fontId="5" fillId="0" borderId="21" xfId="2" applyNumberFormat="1" applyFont="1" applyBorder="1"/>
    <xf numFmtId="0" fontId="14" fillId="0" borderId="0" xfId="0" applyFont="1"/>
    <xf numFmtId="164" fontId="14" fillId="0" borderId="0" xfId="2" applyNumberFormat="1" applyFont="1" applyBorder="1"/>
    <xf numFmtId="0" fontId="14" fillId="0" borderId="6" xfId="0" applyFont="1" applyBorder="1"/>
    <xf numFmtId="164" fontId="7" fillId="0" borderId="28" xfId="2" applyNumberFormat="1" applyFont="1" applyBorder="1" applyAlignment="1">
      <alignment horizontal="right"/>
    </xf>
    <xf numFmtId="164" fontId="7" fillId="0" borderId="15" xfId="2" applyNumberFormat="1" applyFont="1" applyBorder="1"/>
    <xf numFmtId="170" fontId="6" fillId="0" borderId="0" xfId="3" applyNumberFormat="1" applyFont="1" applyFill="1" applyAlignment="1">
      <alignment horizontal="right"/>
    </xf>
    <xf numFmtId="0" fontId="6" fillId="2" borderId="33" xfId="0" applyFont="1" applyFill="1" applyBorder="1" applyAlignment="1" applyProtection="1">
      <alignment horizontal="right"/>
      <protection locked="0"/>
    </xf>
    <xf numFmtId="170" fontId="8" fillId="0" borderId="0" xfId="3" applyNumberFormat="1" applyFont="1" applyFill="1" applyAlignment="1">
      <alignment horizontal="right"/>
    </xf>
    <xf numFmtId="169" fontId="8" fillId="0" borderId="0" xfId="6" applyNumberFormat="1" applyFont="1" applyBorder="1" applyAlignment="1">
      <alignment horizontal="left" wrapText="1"/>
    </xf>
    <xf numFmtId="170" fontId="8" fillId="0" borderId="0" xfId="3" applyNumberFormat="1" applyFont="1" applyFill="1"/>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164" fontId="6" fillId="2" borderId="22" xfId="0" applyNumberFormat="1"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6" fillId="0" borderId="1" xfId="0" applyFont="1" applyBorder="1" applyAlignment="1">
      <alignment horizontal="right"/>
    </xf>
    <xf numFmtId="0" fontId="5" fillId="4"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pplyProtection="1">
      <alignment wrapText="1"/>
      <protection locked="0"/>
    </xf>
    <xf numFmtId="164" fontId="6" fillId="0" borderId="25" xfId="2" applyNumberFormat="1" applyFont="1" applyBorder="1"/>
    <xf numFmtId="44" fontId="6" fillId="0" borderId="0" xfId="2" applyFont="1"/>
    <xf numFmtId="164" fontId="6" fillId="0" borderId="0" xfId="2" applyNumberFormat="1" applyFont="1"/>
    <xf numFmtId="164" fontId="6" fillId="0" borderId="0" xfId="2" applyNumberFormat="1" applyFont="1" applyBorder="1"/>
    <xf numFmtId="165" fontId="6" fillId="0" borderId="41" xfId="3" applyNumberFormat="1" applyFont="1" applyBorder="1"/>
    <xf numFmtId="0" fontId="12" fillId="0" borderId="0" xfId="0" applyFont="1"/>
    <xf numFmtId="44" fontId="6" fillId="0" borderId="0" xfId="2" applyFont="1" applyBorder="1"/>
    <xf numFmtId="9" fontId="6" fillId="0" borderId="0" xfId="3" applyFont="1" applyBorder="1"/>
    <xf numFmtId="166" fontId="5" fillId="0" borderId="24" xfId="1" applyNumberFormat="1" applyFont="1" applyFill="1" applyBorder="1" applyAlignment="1">
      <alignment vertical="center"/>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71" fontId="0" fillId="0" borderId="1" xfId="7" applyNumberFormat="1" applyFont="1" applyBorder="1"/>
    <xf numFmtId="166" fontId="15" fillId="2" borderId="1" xfId="1" applyNumberFormat="1" applyFont="1" applyFill="1" applyBorder="1" applyProtection="1">
      <protection locked="0"/>
    </xf>
    <xf numFmtId="167" fontId="13" fillId="5" borderId="31" xfId="1" applyNumberFormat="1" applyFont="1" applyFill="1" applyBorder="1" applyProtection="1">
      <protection locked="0"/>
    </xf>
    <xf numFmtId="3" fontId="13" fillId="0" borderId="24" xfId="0" applyNumberFormat="1" applyFont="1" applyBorder="1"/>
    <xf numFmtId="172" fontId="13" fillId="2" borderId="24" xfId="0" applyNumberFormat="1" applyFont="1" applyFill="1" applyBorder="1" applyAlignment="1" applyProtection="1">
      <alignment wrapText="1"/>
      <protection locked="0"/>
    </xf>
    <xf numFmtId="170" fontId="6" fillId="0" borderId="0" xfId="3" applyNumberFormat="1" applyFont="1" applyFill="1"/>
    <xf numFmtId="0" fontId="0" fillId="2" borderId="42" xfId="0" applyFill="1" applyBorder="1" applyProtection="1">
      <protection locked="0"/>
    </xf>
    <xf numFmtId="0" fontId="7" fillId="6" borderId="11" xfId="0" applyFont="1" applyFill="1" applyBorder="1" applyAlignment="1">
      <alignment horizontal="center"/>
    </xf>
    <xf numFmtId="164" fontId="5" fillId="6" borderId="1" xfId="2" applyNumberFormat="1" applyFont="1" applyFill="1" applyBorder="1" applyAlignment="1">
      <alignment horizontal="center" wrapText="1"/>
    </xf>
    <xf numFmtId="164" fontId="5" fillId="6" borderId="1" xfId="2" applyNumberFormat="1" applyFont="1" applyFill="1" applyBorder="1" applyAlignment="1">
      <alignment horizontal="center"/>
    </xf>
    <xf numFmtId="0" fontId="16" fillId="0" borderId="0" xfId="0" applyFont="1"/>
    <xf numFmtId="0" fontId="12" fillId="0" borderId="0" xfId="0" applyFont="1" applyAlignment="1">
      <alignment horizontal="left" wrapText="1"/>
    </xf>
    <xf numFmtId="0" fontId="8" fillId="0" borderId="43" xfId="0" applyFont="1" applyBorder="1" applyAlignment="1">
      <alignment horizontal="center"/>
    </xf>
    <xf numFmtId="0" fontId="6" fillId="0" borderId="0" xfId="0" applyFont="1" applyAlignment="1">
      <alignment wrapText="1"/>
    </xf>
    <xf numFmtId="0" fontId="8" fillId="0" borderId="11" xfId="0" applyFont="1" applyBorder="1" applyAlignment="1">
      <alignment horizontal="center" wrapText="1"/>
    </xf>
    <xf numFmtId="0" fontId="8" fillId="0" borderId="23" xfId="0" applyFont="1" applyBorder="1" applyAlignment="1">
      <alignment horizontal="center" wrapText="1"/>
    </xf>
    <xf numFmtId="0" fontId="6" fillId="0" borderId="13" xfId="0" applyFont="1" applyBorder="1" applyAlignment="1">
      <alignment horizontal="center"/>
    </xf>
    <xf numFmtId="167" fontId="6" fillId="2" borderId="1" xfId="1" applyNumberFormat="1" applyFont="1" applyFill="1" applyBorder="1" applyAlignment="1" applyProtection="1">
      <alignment horizontal="center"/>
      <protection locked="0"/>
    </xf>
    <xf numFmtId="167" fontId="6" fillId="0" borderId="1" xfId="1" applyNumberFormat="1" applyFont="1" applyFill="1" applyBorder="1" applyAlignment="1">
      <alignment horizontal="center"/>
    </xf>
    <xf numFmtId="165" fontId="6" fillId="0" borderId="12" xfId="3" applyNumberFormat="1" applyFont="1" applyFill="1" applyBorder="1" applyAlignment="1">
      <alignment horizontal="center"/>
    </xf>
    <xf numFmtId="0" fontId="12" fillId="0" borderId="0" xfId="0" applyFont="1" applyAlignment="1">
      <alignment wrapText="1"/>
    </xf>
    <xf numFmtId="0" fontId="6" fillId="0" borderId="37" xfId="0" applyFont="1" applyBorder="1"/>
    <xf numFmtId="0" fontId="8" fillId="0" borderId="47" xfId="0" applyFont="1" applyBorder="1" applyAlignment="1">
      <alignment horizontal="center"/>
    </xf>
    <xf numFmtId="167" fontId="8" fillId="0" borderId="48" xfId="1" applyNumberFormat="1" applyFont="1" applyFill="1" applyBorder="1" applyAlignment="1">
      <alignment horizontal="center"/>
    </xf>
    <xf numFmtId="165" fontId="8" fillId="0" borderId="49" xfId="3" applyNumberFormat="1" applyFont="1" applyFill="1" applyBorder="1" applyAlignment="1">
      <alignment horizontal="center"/>
    </xf>
    <xf numFmtId="167" fontId="8" fillId="0" borderId="0" xfId="1" applyNumberFormat="1" applyFont="1" applyFill="1" applyBorder="1" applyAlignment="1">
      <alignment horizontal="center"/>
    </xf>
    <xf numFmtId="165" fontId="8" fillId="0" borderId="0" xfId="3" applyNumberFormat="1" applyFont="1" applyFill="1" applyBorder="1" applyAlignment="1">
      <alignment horizontal="center"/>
    </xf>
    <xf numFmtId="0" fontId="6" fillId="0" borderId="0" xfId="0" applyFont="1" applyAlignment="1">
      <alignment horizontal="center"/>
    </xf>
    <xf numFmtId="167" fontId="6" fillId="0" borderId="0" xfId="1" applyNumberFormat="1" applyFont="1" applyFill="1" applyBorder="1" applyAlignment="1">
      <alignment horizontal="center"/>
    </xf>
    <xf numFmtId="0" fontId="10" fillId="0" borderId="0" xfId="0" applyFont="1" applyAlignment="1">
      <alignment horizontal="center"/>
    </xf>
    <xf numFmtId="0" fontId="6" fillId="6" borderId="13" xfId="0" applyFont="1" applyFill="1" applyBorder="1" applyAlignment="1">
      <alignment horizontal="center"/>
    </xf>
    <xf numFmtId="167" fontId="6" fillId="6" borderId="1" xfId="1" applyNumberFormat="1" applyFont="1" applyFill="1" applyBorder="1" applyAlignment="1" applyProtection="1">
      <alignment horizontal="center"/>
      <protection locked="0"/>
    </xf>
    <xf numFmtId="167" fontId="6" fillId="6" borderId="1" xfId="1" applyNumberFormat="1" applyFont="1" applyFill="1" applyBorder="1" applyAlignment="1">
      <alignment horizontal="center"/>
    </xf>
    <xf numFmtId="171" fontId="0" fillId="0" borderId="50" xfId="7"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168" fontId="0" fillId="0" borderId="1" xfId="0" applyNumberFormat="1" applyBorder="1"/>
    <xf numFmtId="0" fontId="0" fillId="0" borderId="1" xfId="0" applyBorder="1"/>
    <xf numFmtId="168" fontId="6" fillId="0" borderId="1" xfId="0" applyNumberFormat="1" applyFont="1" applyBorder="1" applyAlignment="1">
      <alignment wrapText="1"/>
    </xf>
    <xf numFmtId="0" fontId="19" fillId="4" borderId="0" xfId="0" applyFont="1" applyFill="1"/>
    <xf numFmtId="0" fontId="16" fillId="4" borderId="0" xfId="0" applyFont="1" applyFill="1"/>
    <xf numFmtId="165" fontId="5" fillId="6" borderId="12" xfId="3" applyNumberFormat="1" applyFont="1" applyFill="1" applyBorder="1" applyAlignment="1">
      <alignment horizontal="center"/>
    </xf>
    <xf numFmtId="165" fontId="5" fillId="6" borderId="20" xfId="3" applyNumberFormat="1" applyFont="1" applyFill="1" applyBorder="1" applyAlignment="1">
      <alignment horizontal="center"/>
    </xf>
    <xf numFmtId="0" fontId="8" fillId="2" borderId="1" xfId="0" applyFont="1" applyFill="1" applyBorder="1" applyAlignment="1" applyProtection="1">
      <alignment wrapText="1"/>
      <protection locked="0"/>
    </xf>
    <xf numFmtId="164" fontId="8" fillId="2" borderId="22" xfId="0" applyNumberFormat="1" applyFont="1" applyFill="1" applyBorder="1" applyAlignment="1" applyProtection="1">
      <alignment horizont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6" fillId="2" borderId="1" xfId="0" applyFont="1" applyFill="1" applyBorder="1" applyAlignment="1" applyProtection="1">
      <alignment horizontal="left" wrapText="1"/>
      <protection locked="0"/>
    </xf>
    <xf numFmtId="169" fontId="6" fillId="2" borderId="1" xfId="0" applyNumberFormat="1" applyFont="1" applyFill="1" applyBorder="1" applyAlignment="1" applyProtection="1">
      <alignment horizontal="right"/>
      <protection locked="0"/>
    </xf>
    <xf numFmtId="0" fontId="6" fillId="2" borderId="22" xfId="0" applyFont="1" applyFill="1" applyBorder="1" applyAlignment="1" applyProtection="1">
      <alignment horizontal="left" wrapText="1"/>
      <protection locked="0"/>
    </xf>
    <xf numFmtId="0" fontId="6" fillId="2" borderId="40"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5" fillId="0" borderId="0" xfId="0" applyFont="1" applyAlignment="1">
      <alignment horizontal="left" vertical="top" wrapText="1"/>
    </xf>
    <xf numFmtId="169" fontId="8" fillId="0" borderId="0" xfId="6" applyNumberFormat="1" applyFont="1" applyBorder="1" applyAlignment="1">
      <alignment horizontal="right" wrapText="1"/>
    </xf>
    <xf numFmtId="0" fontId="8" fillId="0" borderId="26" xfId="0" applyFont="1" applyBorder="1" applyAlignment="1">
      <alignment horizontal="left" wrapText="1"/>
    </xf>
    <xf numFmtId="0" fontId="6" fillId="2" borderId="34"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2" borderId="36"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0" fontId="7" fillId="0" borderId="22" xfId="0" applyFont="1" applyBorder="1" applyAlignment="1">
      <alignment horizontal="center"/>
    </xf>
    <xf numFmtId="0" fontId="7" fillId="0" borderId="40"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5" fillId="0" borderId="32" xfId="0" applyFont="1" applyBorder="1" applyAlignment="1">
      <alignment horizontal="left"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0" fillId="0" borderId="0" xfId="0"/>
    <xf numFmtId="0" fontId="7" fillId="2" borderId="34" xfId="0" applyFont="1" applyFill="1" applyBorder="1" applyAlignment="1" applyProtection="1">
      <alignment horizontal="center" wrapText="1"/>
      <protection locked="0"/>
    </xf>
    <xf numFmtId="0" fontId="7" fillId="2" borderId="32" xfId="0" applyFont="1" applyFill="1" applyBorder="1" applyAlignment="1" applyProtection="1">
      <alignment horizontal="center" wrapText="1"/>
      <protection locked="0"/>
    </xf>
    <xf numFmtId="0" fontId="7" fillId="2" borderId="35" xfId="0" applyFont="1" applyFill="1" applyBorder="1" applyAlignment="1" applyProtection="1">
      <alignment horizontal="center" wrapText="1"/>
      <protection locked="0"/>
    </xf>
    <xf numFmtId="0" fontId="7" fillId="2" borderId="36"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37" xfId="0" applyFont="1" applyFill="1" applyBorder="1" applyAlignment="1" applyProtection="1">
      <alignment horizontal="center" wrapText="1"/>
      <protection locked="0"/>
    </xf>
    <xf numFmtId="0" fontId="7" fillId="2" borderId="38" xfId="0" applyFont="1" applyFill="1" applyBorder="1" applyAlignment="1" applyProtection="1">
      <alignment horizontal="center" wrapText="1"/>
      <protection locked="0"/>
    </xf>
    <xf numFmtId="0" fontId="7" fillId="2" borderId="26"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12" fillId="0" borderId="0" xfId="0" applyFont="1" applyAlignment="1">
      <alignment horizontal="left" wrapText="1"/>
    </xf>
    <xf numFmtId="0" fontId="8" fillId="0" borderId="32" xfId="0" applyFont="1" applyBorder="1" applyAlignment="1">
      <alignment horizontal="center"/>
    </xf>
    <xf numFmtId="0" fontId="8" fillId="0" borderId="44" xfId="0" applyFont="1" applyBorder="1" applyAlignment="1">
      <alignment horizontal="center"/>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0" borderId="45" xfId="0" applyFont="1" applyBorder="1" applyAlignment="1">
      <alignment horizontal="center" wrapText="1"/>
    </xf>
    <xf numFmtId="0" fontId="8" fillId="0" borderId="46" xfId="0" applyFont="1" applyBorder="1" applyAlignment="1">
      <alignment horizontal="center" wrapText="1"/>
    </xf>
    <xf numFmtId="0" fontId="6" fillId="0" borderId="0" xfId="0" applyFont="1" applyAlignment="1">
      <alignment horizontal="left" wrapText="1"/>
    </xf>
    <xf numFmtId="0" fontId="7" fillId="2" borderId="34"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cellXfs>
  <cellStyles count="8">
    <cellStyle name="Comma" xfId="1" builtinId="3"/>
    <cellStyle name="Comma 3" xfId="7" xr:uid="{857E05F1-0590-4147-925D-16D26A3061B0}"/>
    <cellStyle name="Currency" xfId="2" builtinId="4"/>
    <cellStyle name="Currency 2" xfId="6" xr:uid="{5728DE5E-C5F7-449C-83B7-7959F71888E3}"/>
    <cellStyle name="Normal" xfId="0" builtinId="0"/>
    <cellStyle name="Normal 2" xfId="4" xr:uid="{6D8CEABA-F5F7-43A7-95E7-C6975EACF139}"/>
    <cellStyle name="Percent" xfId="3" builtinId="5"/>
    <cellStyle name="Percent 2" xfId="5" xr:uid="{F010479F-EC44-4286-BF1E-D30EE49AE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8C2BD6-B38B-421B-A934-BDAA1053ED2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73A58D5A-D128-4BB9-8BC2-21EA855F49F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2025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77271F7D-086E-4FB7-9755-7ACA7D29ED43}"/>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08EF3487-D9AB-44C5-B15F-7CA671E99D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0ADF133A-CFBC-486A-9B98-DF1E82B3E47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AAACAD36-7506-482E-9704-3973CD354DB5}"/>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0F3DDEC5-45A9-4143-8664-D9BA562E4B0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6EB13C-E186-4BB6-AD0A-610B51214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FAFF3BC-3814-48E4-9232-EF8B88C112E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63C6D31-BFCA-4373-9E68-2F0B9455B12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FC0222C-93E7-48B2-9000-30FBF01A32E0}"/>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6C247144-A8CB-4D18-A208-4678D8494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D76A2CB-909F-4CD6-8E0B-B945C89B0A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C5C3E25-1B9D-4B71-95F0-F4D30B1C82DE}"/>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36168FE-B220-448B-8AAA-01D1E742B90F}"/>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D0F4943E-E9C2-44D3-B0E4-7A83E7C473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54F9AE-52B6-433D-A754-7C398A1702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844585"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E67BB9C6-2C24-4066-92DC-7CDF2560AA65}"/>
            </a:ext>
          </a:extLst>
        </xdr:cNvPr>
        <xdr:cNvSpPr/>
      </xdr:nvSpPr>
      <xdr:spPr>
        <a:xfrm>
          <a:off x="28575" y="659130"/>
          <a:ext cx="12607290"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A6E4E358-5F32-4BD8-9BD3-F7D3A0E6F118}"/>
            </a:ext>
          </a:extLst>
        </xdr:cNvPr>
        <xdr:cNvSpPr/>
      </xdr:nvSpPr>
      <xdr:spPr>
        <a:xfrm>
          <a:off x="619125" y="116205"/>
          <a:ext cx="10373516"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F7680D7A-30E5-41CB-A11D-1F190E844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etorg7048657-my.sharepoint.com/personal/marc_abramovitz_utilisconsulting_ca/Documents/ELK%202024%20IRM/2025%20IRM/2025_GA_Analysis_Workform_1.0_ELK.xlsb" TargetMode="External"/><Relationship Id="rId1" Type="http://schemas.openxmlformats.org/officeDocument/2006/relationships/externalLinkPath" Target="https://netorg7048657-my.sharepoint.com/personal/marc_abramovitz_utilisconsulting_ca/Documents/ELK%202024%20IRM/2025%20IRM/ELK%202024%20IRM/2025%20IRM/2025_GA_Analysis_Workform_1.0_EL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E.L.K. Energy Inc.</v>
          </cell>
        </row>
        <row r="21">
          <cell r="D21">
            <v>2018</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row r="21">
          <cell r="G21">
            <v>-7.1987011849313724E-3</v>
          </cell>
        </row>
      </sheetData>
      <sheetData sheetId="10"/>
      <sheetData sheetId="11">
        <row r="4">
          <cell r="G4">
            <v>8.3060000000000009E-2</v>
          </cell>
          <cell r="H4">
            <v>8.0920000000000006E-2</v>
          </cell>
          <cell r="J4">
            <v>8.7770000000000001E-2</v>
          </cell>
          <cell r="L4">
            <v>6.7360000000000003E-2</v>
          </cell>
          <cell r="N4">
            <v>6.6869999999999999E-2</v>
          </cell>
          <cell r="P4">
            <v>8.2269999999999996E-2</v>
          </cell>
          <cell r="R4">
            <v>8.4229999999999999E-2</v>
          </cell>
          <cell r="S4">
            <v>9.214E-2</v>
          </cell>
          <cell r="T4">
            <v>9.1789999999999997E-2</v>
          </cell>
        </row>
        <row r="5">
          <cell r="G5">
            <v>8.2360000000000003E-2</v>
          </cell>
          <cell r="H5">
            <v>8.8120000000000004E-2</v>
          </cell>
          <cell r="J5">
            <v>7.3329999999999992E-2</v>
          </cell>
          <cell r="L5">
            <v>8.1670000000000006E-2</v>
          </cell>
          <cell r="N5">
            <v>0.10559</v>
          </cell>
          <cell r="P5">
            <v>8.6389999999999995E-2</v>
          </cell>
          <cell r="R5">
            <v>0.10384</v>
          </cell>
          <cell r="S5">
            <v>9.6780000000000005E-2</v>
          </cell>
          <cell r="T5">
            <v>9.851E-2</v>
          </cell>
        </row>
        <row r="6">
          <cell r="G6">
            <v>7.5749999999999998E-2</v>
          </cell>
          <cell r="H6">
            <v>8.0409999999999995E-2</v>
          </cell>
          <cell r="J6">
            <v>7.8769999999999993E-2</v>
          </cell>
          <cell r="L6">
            <v>9.4810000000000005E-2</v>
          </cell>
          <cell r="N6">
            <v>8.4089999999999998E-2</v>
          </cell>
          <cell r="P6">
            <v>7.1349999999999997E-2</v>
          </cell>
          <cell r="R6">
            <v>9.0219999999999995E-2</v>
          </cell>
          <cell r="S6">
            <v>0.10299</v>
          </cell>
          <cell r="T6">
            <v>0.1061</v>
          </cell>
        </row>
        <row r="7">
          <cell r="G7">
            <v>0.12487999999999999</v>
          </cell>
          <cell r="H7">
            <v>0.12333</v>
          </cell>
          <cell r="J7">
            <v>9.8099999999999993E-2</v>
          </cell>
          <cell r="L7">
            <v>9.9589999999999998E-2</v>
          </cell>
          <cell r="N7">
            <v>6.8739999999999996E-2</v>
          </cell>
          <cell r="P7">
            <v>0.10778</v>
          </cell>
          <cell r="R7">
            <v>0.12114999999999999</v>
          </cell>
          <cell r="S7">
            <v>0.11176999999999999</v>
          </cell>
          <cell r="T7">
            <v>0.11132</v>
          </cell>
        </row>
        <row r="8">
          <cell r="G8">
            <v>0.13049000000000002</v>
          </cell>
          <cell r="H8">
            <v>0.12604000000000001</v>
          </cell>
          <cell r="J8">
            <v>9.3920000000000003E-2</v>
          </cell>
          <cell r="L8">
            <v>0.10793000000000001</v>
          </cell>
          <cell r="N8">
            <v>0.10623</v>
          </cell>
          <cell r="P8">
            <v>0.12307</v>
          </cell>
          <cell r="R8">
            <v>0.10405</v>
          </cell>
          <cell r="S8">
            <v>0.11493</v>
          </cell>
          <cell r="T8">
            <v>0.10749</v>
          </cell>
        </row>
        <row r="9">
          <cell r="G9">
            <v>0.14771999999999999</v>
          </cell>
          <cell r="H9">
            <v>0.13728000000000001</v>
          </cell>
          <cell r="J9">
            <v>0.13336000000000001</v>
          </cell>
          <cell r="L9">
            <v>0.11896</v>
          </cell>
          <cell r="N9">
            <v>0.11954000000000001</v>
          </cell>
          <cell r="P9">
            <v>0.11848</v>
          </cell>
          <cell r="R9">
            <v>0.11650000000000001</v>
          </cell>
          <cell r="S9">
            <v>9.3600000000000003E-2</v>
          </cell>
          <cell r="T9">
            <v>9.5449999999999993E-2</v>
          </cell>
        </row>
        <row r="10">
          <cell r="G10">
            <v>8.8540000000000008E-2</v>
          </cell>
          <cell r="H10">
            <v>9.6450000000000008E-2</v>
          </cell>
          <cell r="J10">
            <v>8.5019999999999998E-2</v>
          </cell>
          <cell r="L10">
            <v>7.7370000000000008E-2</v>
          </cell>
          <cell r="N10">
            <v>0.10651999999999999</v>
          </cell>
          <cell r="P10">
            <v>0.1128</v>
          </cell>
          <cell r="R10">
            <v>7.6670000000000002E-2</v>
          </cell>
          <cell r="S10">
            <v>8.412E-2</v>
          </cell>
          <cell r="T10">
            <v>8.3059999999999995E-2</v>
          </cell>
        </row>
        <row r="11">
          <cell r="G11">
            <v>0.10973999999999999</v>
          </cell>
          <cell r="H11">
            <v>0.12606999999999999</v>
          </cell>
          <cell r="J11">
            <v>7.7900000000000011E-2</v>
          </cell>
          <cell r="L11">
            <v>7.4900000000000008E-2</v>
          </cell>
          <cell r="N11">
            <v>0.115</v>
          </cell>
          <cell r="P11">
            <v>0.10109</v>
          </cell>
          <cell r="R11">
            <v>8.5690000000000002E-2</v>
          </cell>
          <cell r="S11">
            <v>7.0499999999999993E-2</v>
          </cell>
          <cell r="T11">
            <v>7.1029999999999996E-2</v>
          </cell>
        </row>
        <row r="12">
          <cell r="G12">
            <v>0.16391999999999998</v>
          </cell>
          <cell r="H12">
            <v>0.12262999999999999</v>
          </cell>
          <cell r="J12">
            <v>8.4239999999999995E-2</v>
          </cell>
          <cell r="L12">
            <v>8.584E-2</v>
          </cell>
          <cell r="N12">
            <v>0.12739</v>
          </cell>
          <cell r="P12">
            <v>8.8639999999999997E-2</v>
          </cell>
          <cell r="R12">
            <v>7.0599999999999996E-2</v>
          </cell>
          <cell r="S12">
            <v>9.1480000000000006E-2</v>
          </cell>
          <cell r="T12">
            <v>9.5310000000000006E-2</v>
          </cell>
        </row>
        <row r="13">
          <cell r="G13">
            <v>0.11885999999999999</v>
          </cell>
          <cell r="H13">
            <v>0.1368</v>
          </cell>
          <cell r="J13">
            <v>8.9209999999999998E-2</v>
          </cell>
          <cell r="L13">
            <v>0.12059</v>
          </cell>
          <cell r="N13">
            <v>0.10212</v>
          </cell>
          <cell r="P13">
            <v>0.12562999999999999</v>
          </cell>
          <cell r="R13">
            <v>9.7199999999999995E-2</v>
          </cell>
          <cell r="S13">
            <v>0.1178</v>
          </cell>
          <cell r="T13">
            <v>0.11226</v>
          </cell>
        </row>
        <row r="14">
          <cell r="G14">
            <v>0.10109</v>
          </cell>
          <cell r="H14">
            <v>9.9530000000000007E-2</v>
          </cell>
          <cell r="J14">
            <v>0.12235</v>
          </cell>
          <cell r="L14">
            <v>9.8549999999999999E-2</v>
          </cell>
          <cell r="N14">
            <v>0.11164</v>
          </cell>
          <cell r="P14">
            <v>9.7040000000000001E-2</v>
          </cell>
          <cell r="R14">
            <v>0.12271</v>
          </cell>
          <cell r="S14">
            <v>0.115</v>
          </cell>
          <cell r="T14">
            <v>0.11108999999999999</v>
          </cell>
        </row>
        <row r="15">
          <cell r="G15">
            <v>9.0659999999999991E-2</v>
          </cell>
          <cell r="H15">
            <v>9.3209999999999987E-2</v>
          </cell>
          <cell r="J15">
            <v>9.1980000000000006E-2</v>
          </cell>
          <cell r="L15">
            <v>7.4040000000000009E-2</v>
          </cell>
          <cell r="N15">
            <v>8.3909999999999998E-2</v>
          </cell>
          <cell r="P15">
            <v>9.2069999999999999E-2</v>
          </cell>
          <cell r="R15">
            <v>0.10594000000000001</v>
          </cell>
          <cell r="S15">
            <v>7.8719999999999998E-2</v>
          </cell>
          <cell r="T15">
            <v>8.7080000000000005E-2</v>
          </cell>
        </row>
      </sheetData>
      <sheetData sheetId="12">
        <row r="1">
          <cell r="A1" t="str">
            <v>Account 4705</v>
          </cell>
        </row>
        <row r="2">
          <cell r="A2" t="str">
            <v>Time run: 6/16/2023 2:08:39 PM</v>
          </cell>
        </row>
        <row r="4">
          <cell r="A4"/>
          <cell r="B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cell r="H10"/>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C16"/>
          <cell r="D16"/>
          <cell r="E16"/>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C18"/>
          <cell r="D18"/>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cell r="H19"/>
        </row>
        <row r="20">
          <cell r="A20" t="str">
            <v>Enersource Hydro Mississauga Inc.</v>
          </cell>
          <cell r="B20" t="str">
            <v>ED-2003-0017</v>
          </cell>
          <cell r="C20"/>
          <cell r="D20"/>
          <cell r="E20"/>
          <cell r="F20"/>
          <cell r="G20"/>
          <cell r="H20"/>
        </row>
        <row r="21">
          <cell r="A21" t="str">
            <v>Enova Power Corp.</v>
          </cell>
          <cell r="B21" t="str">
            <v>ED-2022-0006</v>
          </cell>
          <cell r="C21"/>
          <cell r="D21"/>
          <cell r="E21"/>
          <cell r="F21"/>
          <cell r="G21"/>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cell r="H26"/>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C30"/>
          <cell r="D30"/>
          <cell r="E30"/>
          <cell r="F30"/>
          <cell r="G30"/>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cell r="E33"/>
          <cell r="F33"/>
          <cell r="G33"/>
          <cell r="H33"/>
        </row>
        <row r="34">
          <cell r="A34" t="str">
            <v>Haldimand County Hydro Inc.</v>
          </cell>
          <cell r="B34" t="str">
            <v>ED-2002-0539</v>
          </cell>
          <cell r="C34"/>
          <cell r="D34"/>
          <cell r="E34"/>
          <cell r="F34"/>
          <cell r="G34"/>
          <cell r="H34"/>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cell r="C37"/>
          <cell r="D37"/>
          <cell r="E37"/>
          <cell r="F37"/>
          <cell r="G37"/>
          <cell r="H37"/>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cell r="C40"/>
          <cell r="D40"/>
          <cell r="E40"/>
          <cell r="F40"/>
          <cell r="G40"/>
          <cell r="H40"/>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cell r="G42"/>
          <cell r="H42"/>
        </row>
        <row r="43">
          <cell r="A43" t="str">
            <v>Hydro One Networks Inc. - 1937680 Ontario Inc. (Peterborough Distribution)</v>
          </cell>
          <cell r="B43" t="str">
            <v>ED-2002-0504</v>
          </cell>
          <cell r="C43">
            <v>46080864.5</v>
          </cell>
          <cell r="D43">
            <v>44871359.960000001</v>
          </cell>
          <cell r="E43">
            <v>46242861.969999999</v>
          </cell>
          <cell r="F43">
            <v>61884632.210000001</v>
          </cell>
          <cell r="G43"/>
          <cell r="H43"/>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cell r="E47"/>
          <cell r="F47"/>
          <cell r="G47"/>
          <cell r="H47"/>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cell r="H49"/>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cell r="D53"/>
          <cell r="E53"/>
          <cell r="F53"/>
          <cell r="G53"/>
          <cell r="H53"/>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cell r="C64"/>
          <cell r="D64"/>
          <cell r="E64"/>
          <cell r="F64"/>
          <cell r="G64"/>
          <cell r="H64"/>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cell r="D69"/>
          <cell r="E69"/>
          <cell r="F69"/>
          <cell r="G69"/>
          <cell r="H69"/>
        </row>
        <row r="70">
          <cell r="A70" t="str">
            <v>Synergy North Corporation</v>
          </cell>
          <cell r="B70" t="str">
            <v>ED-2018-0233</v>
          </cell>
          <cell r="C70"/>
          <cell r="D70"/>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cell r="E71"/>
          <cell r="F71"/>
          <cell r="G71"/>
          <cell r="H71"/>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cell r="E74"/>
          <cell r="F74"/>
          <cell r="G74"/>
          <cell r="H74"/>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cell r="H76"/>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cell r="E79"/>
          <cell r="F79"/>
          <cell r="G79"/>
          <cell r="H79"/>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cell r="E81"/>
          <cell r="F81"/>
          <cell r="G81"/>
          <cell r="H81"/>
        </row>
      </sheetData>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1D13-E7F0-465B-8953-FFD8AD10DFCD}">
  <sheetPr codeName="Sheet7">
    <pageSetUpPr fitToPage="1"/>
  </sheetPr>
  <dimension ref="A5:K52"/>
  <sheetViews>
    <sheetView showGridLines="0" tabSelected="1" zoomScale="85" zoomScaleNormal="85" workbookViewId="0">
      <selection activeCell="C32" sqref="C32"/>
    </sheetView>
  </sheetViews>
  <sheetFormatPr defaultColWidth="9" defaultRowHeight="14.4" x14ac:dyDescent="0.3"/>
  <cols>
    <col min="1" max="1" width="10.33203125" customWidth="1"/>
    <col min="2" max="2" width="54.5546875" customWidth="1"/>
    <col min="3" max="3" width="70.5546875" customWidth="1"/>
    <col min="4" max="4" width="31" customWidth="1"/>
    <col min="5" max="5" width="19" customWidth="1"/>
    <col min="6" max="6" width="24.33203125" customWidth="1"/>
    <col min="7" max="7" width="15.88671875" customWidth="1"/>
    <col min="8" max="8" width="18" customWidth="1"/>
    <col min="9" max="9" width="17.5546875" customWidth="1"/>
    <col min="10" max="10" width="17.33203125" customWidth="1"/>
    <col min="11" max="11" width="18"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5" spans="1:8" ht="47.4" x14ac:dyDescent="0.3">
      <c r="D5" s="1"/>
    </row>
    <row r="10" spans="1:8" x14ac:dyDescent="0.3">
      <c r="D10" s="2" t="s">
        <v>0</v>
      </c>
    </row>
    <row r="11" spans="1:8" x14ac:dyDescent="0.3">
      <c r="H11" s="190">
        <v>2016</v>
      </c>
    </row>
    <row r="12" spans="1:8" s="5" customFormat="1" ht="13.8" x14ac:dyDescent="0.25">
      <c r="A12" s="3"/>
      <c r="B12" s="4"/>
      <c r="C12" s="3"/>
      <c r="H12" s="191">
        <v>2017</v>
      </c>
    </row>
    <row r="13" spans="1:8" s="5" customFormat="1" ht="13.8" x14ac:dyDescent="0.25">
      <c r="A13" s="4"/>
      <c r="B13" s="4"/>
      <c r="C13" s="4"/>
      <c r="H13" s="191">
        <v>2018</v>
      </c>
    </row>
    <row r="14" spans="1:8" s="5" customFormat="1" x14ac:dyDescent="0.3">
      <c r="A14" s="4"/>
      <c r="B14" s="4" t="s">
        <v>1</v>
      </c>
      <c r="C14" s="6"/>
      <c r="D14" s="4"/>
      <c r="E14" s="4"/>
      <c r="F14" s="4"/>
      <c r="H14" s="190">
        <v>2019</v>
      </c>
    </row>
    <row r="15" spans="1:8" s="5" customFormat="1" ht="13.8" x14ac:dyDescent="0.25">
      <c r="A15" s="4"/>
      <c r="B15" s="4" t="s">
        <v>2</v>
      </c>
      <c r="C15" s="7"/>
      <c r="D15" s="4"/>
      <c r="E15" s="4"/>
      <c r="F15" s="4"/>
      <c r="H15" s="191">
        <v>2020</v>
      </c>
    </row>
    <row r="16" spans="1:8" s="5" customFormat="1" thickBot="1" x14ac:dyDescent="0.3">
      <c r="A16" s="4"/>
      <c r="B16" s="8"/>
      <c r="C16" s="8"/>
      <c r="H16" s="191">
        <v>2021</v>
      </c>
    </row>
    <row r="17" spans="1:11" s="5" customFormat="1" ht="15.6" thickTop="1" thickBot="1" x14ac:dyDescent="0.35">
      <c r="A17"/>
      <c r="B17" s="9" t="s">
        <v>3</v>
      </c>
      <c r="C17" s="10" t="s">
        <v>4</v>
      </c>
      <c r="H17" s="190">
        <v>2022</v>
      </c>
    </row>
    <row r="18" spans="1:11" s="5" customFormat="1" ht="13.8" x14ac:dyDescent="0.25">
      <c r="A18" s="4"/>
      <c r="B18" s="8"/>
      <c r="C18" s="8"/>
      <c r="D18" s="4"/>
      <c r="E18" s="4"/>
      <c r="F18" s="4"/>
    </row>
    <row r="19" spans="1:11" s="5" customFormat="1" x14ac:dyDescent="0.3">
      <c r="A19" s="11" t="s">
        <v>5</v>
      </c>
      <c r="B19"/>
      <c r="C19"/>
      <c r="D19"/>
      <c r="E19"/>
      <c r="F19"/>
      <c r="G19"/>
      <c r="H19"/>
      <c r="I19"/>
      <c r="J19"/>
      <c r="K19"/>
    </row>
    <row r="20" spans="1:11" s="5" customFormat="1" ht="34.950000000000003" customHeight="1" x14ac:dyDescent="0.3">
      <c r="A20"/>
      <c r="B20" s="199" t="s">
        <v>6</v>
      </c>
      <c r="C20" s="199"/>
      <c r="D20" s="13" t="s">
        <v>7</v>
      </c>
      <c r="E20" s="14"/>
      <c r="F20" s="15"/>
      <c r="G20" s="16"/>
      <c r="H20" s="16"/>
      <c r="I20" s="16"/>
      <c r="J20" s="16"/>
      <c r="K20" s="16"/>
    </row>
    <row r="21" spans="1:11" s="5" customFormat="1" ht="30" customHeight="1" x14ac:dyDescent="0.3">
      <c r="A21"/>
      <c r="B21" s="199" t="s">
        <v>8</v>
      </c>
      <c r="C21" s="199"/>
      <c r="D21" s="200">
        <v>2016</v>
      </c>
      <c r="E21" s="12"/>
      <c r="F21" s="12"/>
      <c r="G21" s="12"/>
      <c r="H21" s="12"/>
      <c r="I21" s="12"/>
      <c r="J21" s="12"/>
      <c r="K21" s="12"/>
    </row>
    <row r="22" spans="1:11" s="5" customFormat="1" x14ac:dyDescent="0.3">
      <c r="A22"/>
      <c r="B22" s="203" t="s">
        <v>9</v>
      </c>
      <c r="C22" s="203"/>
      <c r="D22" s="201"/>
      <c r="E22" s="14"/>
      <c r="F22" s="15"/>
      <c r="G22" s="16"/>
      <c r="H22" s="16"/>
      <c r="I22" s="16"/>
      <c r="J22" s="16"/>
      <c r="K22" s="16"/>
    </row>
    <row r="23" spans="1:11" s="5" customFormat="1" ht="29.25" customHeight="1" x14ac:dyDescent="0.3">
      <c r="A23"/>
      <c r="B23" s="204" t="s">
        <v>10</v>
      </c>
      <c r="C23" s="204"/>
      <c r="D23" s="201"/>
      <c r="E23" s="17"/>
      <c r="F23" s="17"/>
      <c r="G23" s="17"/>
      <c r="H23" s="17"/>
      <c r="I23" s="17"/>
      <c r="J23" s="17"/>
      <c r="K23" s="12"/>
    </row>
    <row r="24" spans="1:11" s="5" customFormat="1" ht="45.9" customHeight="1" x14ac:dyDescent="0.3">
      <c r="A24"/>
      <c r="B24" s="204" t="s">
        <v>11</v>
      </c>
      <c r="C24" s="204"/>
      <c r="D24" s="202"/>
      <c r="E24" s="18"/>
      <c r="F24" s="18"/>
      <c r="G24" s="18"/>
      <c r="H24" s="18"/>
      <c r="I24" s="18"/>
      <c r="J24" s="18"/>
      <c r="K24" s="19"/>
    </row>
    <row r="25" spans="1:11" s="5" customFormat="1" x14ac:dyDescent="0.3">
      <c r="A25"/>
      <c r="B25" s="20" t="s">
        <v>12</v>
      </c>
      <c r="C25" s="14"/>
      <c r="D25" s="14"/>
      <c r="E25" s="14"/>
      <c r="F25" s="15"/>
      <c r="G25" s="16"/>
      <c r="H25" s="16"/>
      <c r="I25" s="14"/>
      <c r="J25" s="16"/>
      <c r="K25" s="16"/>
    </row>
    <row r="26" spans="1:11" s="5" customFormat="1" thickBot="1" x14ac:dyDescent="0.3">
      <c r="A26" s="4"/>
      <c r="B26" s="21"/>
      <c r="E26" s="4"/>
      <c r="F26" s="4"/>
    </row>
    <row r="27" spans="1:11" s="5" customFormat="1" ht="287.25" customHeight="1" thickBot="1" x14ac:dyDescent="0.3">
      <c r="A27" s="4"/>
      <c r="B27" s="196" t="s">
        <v>13</v>
      </c>
      <c r="C27" s="197"/>
      <c r="E27" s="4"/>
      <c r="F27" s="4"/>
    </row>
    <row r="28" spans="1:11" s="5" customFormat="1" ht="30" customHeight="1" thickBot="1" x14ac:dyDescent="0.3">
      <c r="A28" s="4"/>
      <c r="B28" s="198" t="s">
        <v>14</v>
      </c>
      <c r="C28" s="198"/>
      <c r="E28" s="4"/>
      <c r="F28" s="4"/>
    </row>
    <row r="29" spans="1:11" ht="22.2" hidden="1" customHeight="1" thickBot="1" x14ac:dyDescent="0.35">
      <c r="A29" s="5"/>
      <c r="B29" s="3" t="s">
        <v>15</v>
      </c>
      <c r="C29" s="22"/>
      <c r="D29" s="23"/>
      <c r="E29" s="5"/>
      <c r="F29" s="5"/>
      <c r="G29" s="5"/>
      <c r="H29" s="5"/>
      <c r="I29" s="5"/>
    </row>
    <row r="30" spans="1:11" ht="69.599999999999994" x14ac:dyDescent="0.3">
      <c r="A30" s="5"/>
      <c r="B30" s="24" t="s">
        <v>16</v>
      </c>
      <c r="C30" s="25" t="s">
        <v>17</v>
      </c>
      <c r="D30" s="25" t="s">
        <v>18</v>
      </c>
      <c r="E30" s="25" t="s">
        <v>19</v>
      </c>
      <c r="F30" s="26" t="s">
        <v>20</v>
      </c>
      <c r="G30" s="25" t="s">
        <v>21</v>
      </c>
      <c r="H30" s="27" t="s">
        <v>22</v>
      </c>
      <c r="I30" s="28" t="s">
        <v>23</v>
      </c>
    </row>
    <row r="31" spans="1:11" x14ac:dyDescent="0.3">
      <c r="A31" s="5"/>
      <c r="B31" s="158">
        <v>2016</v>
      </c>
      <c r="C31" s="159">
        <f>'GA 2016'!$C$91</f>
        <v>-376145.24658848991</v>
      </c>
      <c r="D31" s="159">
        <f>'GA 2016'!$C$75</f>
        <v>-422970.78790993977</v>
      </c>
      <c r="E31" s="160">
        <f>SUM('GA 2016'!$C$76:$C$89)</f>
        <v>57878.995922274218</v>
      </c>
      <c r="F31" s="160">
        <f>'GA 2016'!$C$90</f>
        <v>-365091.79198766558</v>
      </c>
      <c r="G31" s="160">
        <f t="shared" ref="G31:G33" si="0">F31-C31</f>
        <v>11053.454600824334</v>
      </c>
      <c r="H31" s="160">
        <f>'GA 2016'!$J$53</f>
        <v>7043103.0961892996</v>
      </c>
      <c r="I31" s="192">
        <f t="shared" ref="I31:I33" si="1">IF(ISERROR(G31/H31),0,G31/H31)</f>
        <v>1.5694012212890724E-3</v>
      </c>
    </row>
    <row r="32" spans="1:11" x14ac:dyDescent="0.3">
      <c r="A32" s="5"/>
      <c r="B32" s="158">
        <v>2017</v>
      </c>
      <c r="C32" s="159">
        <f>'GA 2017'!$C$91</f>
        <v>-578391.32422320219</v>
      </c>
      <c r="D32" s="159">
        <f>'GA 2017'!$C$75</f>
        <v>-548614</v>
      </c>
      <c r="E32" s="160">
        <f>SUM('GA 2017'!$C$76:$C$89)</f>
        <v>-36821</v>
      </c>
      <c r="F32" s="160">
        <f>'GA 2017'!$C$90</f>
        <v>-585435</v>
      </c>
      <c r="G32" s="160">
        <f t="shared" si="0"/>
        <v>-7043.6757767978124</v>
      </c>
      <c r="H32" s="160">
        <f>'GA 2017'!$J$53</f>
        <v>6048162.0306836991</v>
      </c>
      <c r="I32" s="192">
        <f t="shared" si="1"/>
        <v>-1.1645977308583411E-3</v>
      </c>
    </row>
    <row r="33" spans="1:9" x14ac:dyDescent="0.3">
      <c r="A33" s="5"/>
      <c r="B33" s="158">
        <v>2018</v>
      </c>
      <c r="C33" s="159">
        <f>'GA 2018'!$C$91</f>
        <v>-936739.71988984756</v>
      </c>
      <c r="D33" s="159">
        <f>'GA 2018'!$C$75</f>
        <v>-940499</v>
      </c>
      <c r="E33" s="160">
        <f>SUM('GA 2018'!$C$76:$C$89)</f>
        <v>-849.99251905280107</v>
      </c>
      <c r="F33" s="160">
        <f>'GA 2018'!$C$90</f>
        <v>-941348.99251905282</v>
      </c>
      <c r="G33" s="160">
        <f t="shared" si="0"/>
        <v>-4609.2726292052539</v>
      </c>
      <c r="H33" s="160">
        <f>'GA 2018'!$J$53</f>
        <v>4777433.2221286213</v>
      </c>
      <c r="I33" s="192">
        <f t="shared" si="1"/>
        <v>-9.6480105841260878E-4</v>
      </c>
    </row>
    <row r="34" spans="1:9" x14ac:dyDescent="0.3">
      <c r="A34" s="5"/>
      <c r="B34" s="33">
        <v>2019</v>
      </c>
      <c r="C34" s="29">
        <v>-392661.87472957734</v>
      </c>
      <c r="D34" s="29">
        <v>-337114</v>
      </c>
      <c r="E34" s="30">
        <v>-11587</v>
      </c>
      <c r="F34" s="31">
        <v>-348701</v>
      </c>
      <c r="G34" s="30">
        <v>43960.874729577336</v>
      </c>
      <c r="H34" s="30">
        <v>5623102.6725898171</v>
      </c>
      <c r="I34" s="32">
        <v>7.8179036182048581E-3</v>
      </c>
    </row>
    <row r="35" spans="1:9" x14ac:dyDescent="0.3">
      <c r="A35" s="5"/>
      <c r="B35" s="33">
        <v>2020</v>
      </c>
      <c r="C35" s="29">
        <v>-233903.25070253154</v>
      </c>
      <c r="D35" s="29">
        <v>-115615</v>
      </c>
      <c r="E35" s="30">
        <v>-78576.198067767837</v>
      </c>
      <c r="F35" s="31">
        <v>-194191.19806776784</v>
      </c>
      <c r="G35" s="30">
        <v>39712.052634763706</v>
      </c>
      <c r="H35" s="30">
        <v>5298734.7875699997</v>
      </c>
      <c r="I35" s="32">
        <v>7.4946292326088767E-3</v>
      </c>
    </row>
    <row r="36" spans="1:9" ht="15" thickBot="1" x14ac:dyDescent="0.35">
      <c r="A36" s="5"/>
      <c r="B36" s="34">
        <v>2021</v>
      </c>
      <c r="C36" s="29">
        <v>-206809.24544391077</v>
      </c>
      <c r="D36" s="29">
        <v>-453903</v>
      </c>
      <c r="E36" s="30">
        <v>225529</v>
      </c>
      <c r="F36" s="31">
        <v>-228374</v>
      </c>
      <c r="G36" s="30">
        <v>-21564.754556089232</v>
      </c>
      <c r="H36" s="30">
        <v>3543710.1220800001</v>
      </c>
      <c r="I36" s="32">
        <v>-6.0853607696985329E-3</v>
      </c>
    </row>
    <row r="37" spans="1:9" ht="15" thickBot="1" x14ac:dyDescent="0.35">
      <c r="A37" s="5"/>
      <c r="B37" s="35">
        <v>2022</v>
      </c>
      <c r="C37" s="36">
        <v>-102302.11860000003</v>
      </c>
      <c r="D37" s="36">
        <v>646063</v>
      </c>
      <c r="E37" s="37">
        <v>-746058</v>
      </c>
      <c r="F37" s="38">
        <v>-99995</v>
      </c>
      <c r="G37" s="37">
        <v>2307.1186000000307</v>
      </c>
      <c r="H37" s="37">
        <v>2318487.2819499997</v>
      </c>
      <c r="I37" s="39">
        <v>9.9509650881483076E-4</v>
      </c>
    </row>
    <row r="38" spans="1:9" ht="15" thickBot="1" x14ac:dyDescent="0.35">
      <c r="A38" s="5"/>
      <c r="B38" s="35">
        <v>2023</v>
      </c>
      <c r="C38" s="36">
        <v>74509.064290000126</v>
      </c>
      <c r="D38" s="36">
        <v>115111</v>
      </c>
      <c r="E38" s="37">
        <v>-10756</v>
      </c>
      <c r="F38" s="38">
        <v>104355</v>
      </c>
      <c r="G38" s="37">
        <v>29845.935709999874</v>
      </c>
      <c r="H38" s="37">
        <v>3229208.5978299999</v>
      </c>
      <c r="I38" s="39">
        <v>9.2424923338975638E-3</v>
      </c>
    </row>
    <row r="39" spans="1:9" ht="15" thickBot="1" x14ac:dyDescent="0.35">
      <c r="A39" s="5"/>
      <c r="B39" s="40" t="s">
        <v>24</v>
      </c>
      <c r="C39" s="41">
        <f t="shared" ref="C39:H39" si="2">SUM(C34:C38)</f>
        <v>-861167.42518601951</v>
      </c>
      <c r="D39" s="41">
        <f t="shared" si="2"/>
        <v>-145458</v>
      </c>
      <c r="E39" s="41">
        <f t="shared" si="2"/>
        <v>-621448.19806776778</v>
      </c>
      <c r="F39" s="41">
        <f t="shared" si="2"/>
        <v>-766906.19806776778</v>
      </c>
      <c r="G39" s="41">
        <f t="shared" si="2"/>
        <v>94261.227118251714</v>
      </c>
      <c r="H39" s="41">
        <f t="shared" si="2"/>
        <v>20013243.462019816</v>
      </c>
      <c r="I39" s="42" t="s">
        <v>25</v>
      </c>
    </row>
    <row r="40" spans="1:9" hidden="1" x14ac:dyDescent="0.3"/>
    <row r="41" spans="1:9" hidden="1" x14ac:dyDescent="0.3">
      <c r="C41" s="43"/>
    </row>
    <row r="42" spans="1:9" ht="34.950000000000003" customHeight="1" thickBot="1" x14ac:dyDescent="0.35">
      <c r="B42" s="3" t="s">
        <v>26</v>
      </c>
      <c r="C42" s="43"/>
    </row>
    <row r="43" spans="1:9" ht="15" thickBot="1" x14ac:dyDescent="0.35">
      <c r="B43" s="44" t="s">
        <v>16</v>
      </c>
      <c r="C43" s="45" t="s">
        <v>27</v>
      </c>
    </row>
    <row r="44" spans="1:9" x14ac:dyDescent="0.3">
      <c r="B44" s="158">
        <v>2016</v>
      </c>
      <c r="C44" s="193">
        <f>'Account 1588'!G15</f>
        <v>-2.5795301794039514E-2</v>
      </c>
    </row>
    <row r="45" spans="1:9" x14ac:dyDescent="0.3">
      <c r="B45" s="158">
        <v>2017</v>
      </c>
      <c r="C45" s="193">
        <f>'Account 1588'!G16</f>
        <v>-4.8701722308310186E-2</v>
      </c>
    </row>
    <row r="46" spans="1:9" x14ac:dyDescent="0.3">
      <c r="B46" s="158">
        <v>2018</v>
      </c>
      <c r="C46" s="193">
        <f>'Account 1588'!G17</f>
        <v>-8.8011441899464721E-2</v>
      </c>
    </row>
    <row r="47" spans="1:9" x14ac:dyDescent="0.3">
      <c r="B47" s="33">
        <v>2019</v>
      </c>
      <c r="C47" s="46">
        <v>-4.3341755028080242E-2</v>
      </c>
    </row>
    <row r="48" spans="1:9" x14ac:dyDescent="0.3">
      <c r="B48" s="33">
        <v>2020</v>
      </c>
      <c r="C48" s="46">
        <v>1.4751921912358345E-2</v>
      </c>
    </row>
    <row r="49" spans="2:3" ht="15" thickBot="1" x14ac:dyDescent="0.35">
      <c r="B49" s="34">
        <v>2021</v>
      </c>
      <c r="C49" s="47">
        <v>-1.4221612435082737E-2</v>
      </c>
    </row>
    <row r="50" spans="2:3" ht="15" thickBot="1" x14ac:dyDescent="0.35">
      <c r="B50" s="35">
        <v>2022</v>
      </c>
      <c r="C50" s="48">
        <v>-7.6068471824962116E-3</v>
      </c>
    </row>
    <row r="51" spans="2:3" ht="15" thickBot="1" x14ac:dyDescent="0.35">
      <c r="B51" s="35">
        <v>2023</v>
      </c>
      <c r="C51" s="48">
        <v>1.8975351811592284E-3</v>
      </c>
    </row>
    <row r="52" spans="2:3" ht="15" thickBot="1" x14ac:dyDescent="0.35">
      <c r="B52" s="40" t="s">
        <v>24</v>
      </c>
      <c r="C52" s="49">
        <f>'[6]Account 1588'!G21</f>
        <v>-7.1987011849313724E-3</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02B22DB-59EC-4A18-A344-A88A56FCD152}">
      <formula1>$H$11:$H$17</formula1>
    </dataValidation>
    <dataValidation type="list" allowBlank="1" showInputMessage="1" showErrorMessage="1" sqref="C17" xr:uid="{C1341BDD-E108-44D2-B614-F7F4EAD55442}">
      <formula1>ListOfLDC</formula1>
    </dataValidation>
  </dataValidations>
  <pageMargins left="0.25" right="0.25" top="0.75" bottom="0.75" header="0.3" footer="0.3"/>
  <pageSetup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597-2AFA-47BF-9BBA-C5F0DE632E3A}">
  <sheetPr codeName="Sheet4">
    <tabColor rgb="FFFF0000"/>
  </sheetPr>
  <dimension ref="A12:W97"/>
  <sheetViews>
    <sheetView showGridLines="0" topLeftCell="A19" zoomScale="70" zoomScaleNormal="70" workbookViewId="0">
      <selection activeCell="H91" sqref="H91"/>
    </sheetView>
  </sheetViews>
  <sheetFormatPr defaultColWidth="9" defaultRowHeight="14.4" x14ac:dyDescent="0.3"/>
  <cols>
    <col min="1" max="1" width="10.33203125" customWidth="1"/>
    <col min="2" max="2" width="53.88671875" customWidth="1"/>
    <col min="3" max="3" width="28" customWidth="1"/>
    <col min="4" max="4" width="23" customWidth="1"/>
    <col min="5" max="5" width="19" customWidth="1"/>
    <col min="6" max="6" width="24.3320312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31" t="s">
        <v>16</v>
      </c>
      <c r="C13" s="231"/>
      <c r="D13" s="52">
        <v>2016</v>
      </c>
      <c r="E13" s="232"/>
      <c r="F13" s="233"/>
      <c r="G13" s="4"/>
      <c r="H13" s="4"/>
      <c r="I13" s="4"/>
      <c r="J13" s="4"/>
      <c r="K13" s="4"/>
      <c r="L13" s="4"/>
      <c r="M13" s="4"/>
      <c r="N13" s="4"/>
      <c r="O13" s="4"/>
      <c r="P13" s="4"/>
      <c r="Q13" s="4"/>
    </row>
    <row r="14" spans="1:19" s="5" customFormat="1" thickBot="1" x14ac:dyDescent="0.3">
      <c r="A14" s="4"/>
      <c r="B14" s="54" t="s">
        <v>30</v>
      </c>
      <c r="C14" s="55" t="s">
        <v>31</v>
      </c>
      <c r="D14" s="56">
        <f>D15+D16</f>
        <v>238976974.88</v>
      </c>
      <c r="E14" s="55" t="s">
        <v>32</v>
      </c>
      <c r="F14" s="57">
        <v>1</v>
      </c>
      <c r="G14" s="4"/>
      <c r="H14" s="4"/>
      <c r="I14" s="4"/>
      <c r="J14" s="4"/>
      <c r="K14" s="4"/>
      <c r="L14" s="4"/>
      <c r="M14" s="4"/>
      <c r="N14" s="4"/>
      <c r="O14" s="4"/>
      <c r="P14" s="4"/>
      <c r="Q14" s="4"/>
    </row>
    <row r="15" spans="1:19" s="5" customFormat="1" ht="13.8" x14ac:dyDescent="0.25">
      <c r="B15" s="54" t="s">
        <v>33</v>
      </c>
      <c r="C15" s="55" t="s">
        <v>34</v>
      </c>
      <c r="D15" s="58">
        <v>113800386.84999999</v>
      </c>
      <c r="E15" s="55" t="s">
        <v>32</v>
      </c>
      <c r="F15" s="59">
        <f>IFERROR(D15/$D$14,0)</f>
        <v>0.47619812288252361</v>
      </c>
    </row>
    <row r="16" spans="1:19" s="5" customFormat="1" thickBot="1" x14ac:dyDescent="0.3">
      <c r="B16" s="54" t="s">
        <v>35</v>
      </c>
      <c r="C16" s="55" t="s">
        <v>36</v>
      </c>
      <c r="D16" s="56">
        <f>D17+D18</f>
        <v>125176588.03</v>
      </c>
      <c r="E16" s="55" t="s">
        <v>32</v>
      </c>
      <c r="F16" s="59">
        <f>IFERROR(D16/$D$14,0)</f>
        <v>0.52380187711747639</v>
      </c>
    </row>
    <row r="17" spans="1:8" s="5" customFormat="1" ht="13.8" x14ac:dyDescent="0.25">
      <c r="B17" s="54" t="s">
        <v>37</v>
      </c>
      <c r="C17" s="55" t="s">
        <v>38</v>
      </c>
      <c r="D17" s="58"/>
      <c r="E17" s="55" t="s">
        <v>32</v>
      </c>
      <c r="F17" s="59">
        <f>IFERROR(D17/$D$14,0)</f>
        <v>0</v>
      </c>
    </row>
    <row r="18" spans="1:8" s="5" customFormat="1" ht="13.8" x14ac:dyDescent="0.25">
      <c r="B18" s="54" t="s">
        <v>39</v>
      </c>
      <c r="C18" s="55" t="s">
        <v>40</v>
      </c>
      <c r="D18" s="60">
        <v>125176588.03</v>
      </c>
      <c r="E18" s="55" t="s">
        <v>32</v>
      </c>
      <c r="F18" s="59">
        <f>IFERROR(D18/$D$14,0)</f>
        <v>0.52380187711747639</v>
      </c>
    </row>
    <row r="19" spans="1:8" s="5" customFormat="1" ht="34.5" customHeight="1" x14ac:dyDescent="0.25">
      <c r="B19" s="234" t="s">
        <v>41</v>
      </c>
      <c r="C19" s="234"/>
      <c r="D19" s="234"/>
      <c r="E19" s="234"/>
      <c r="F19" s="234"/>
      <c r="G19" s="235"/>
      <c r="H19" s="235"/>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36" t="s">
        <v>45</v>
      </c>
      <c r="C25" s="237"/>
      <c r="D25" s="237"/>
      <c r="E25" s="237"/>
      <c r="F25" s="237"/>
      <c r="G25" s="64" t="s">
        <v>128</v>
      </c>
    </row>
    <row r="26" spans="1:8" s="5" customFormat="1" ht="13.8" x14ac:dyDescent="0.25">
      <c r="E26" s="4"/>
    </row>
    <row r="27" spans="1:8" s="5" customFormat="1" x14ac:dyDescent="0.3">
      <c r="B27" s="236" t="s">
        <v>46</v>
      </c>
      <c r="C27" s="237"/>
      <c r="D27" s="237"/>
      <c r="E27" s="237"/>
      <c r="F27" s="237"/>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2016</v>
      </c>
      <c r="D38" s="4"/>
      <c r="E38" s="4"/>
      <c r="F38" s="67"/>
      <c r="G38" s="63"/>
      <c r="H38" s="63"/>
      <c r="I38" s="63"/>
      <c r="J38" s="63"/>
      <c r="K38" s="63"/>
      <c r="N38"/>
      <c r="O38"/>
      <c r="P38"/>
      <c r="Q38"/>
      <c r="R38"/>
      <c r="S38"/>
      <c r="T38"/>
      <c r="U38"/>
      <c r="V38"/>
      <c r="W38"/>
    </row>
    <row r="39" spans="1:23" s="65" customFormat="1" ht="80.25" customHeight="1" thickBot="1" x14ac:dyDescent="0.35">
      <c r="B39" s="68" t="s">
        <v>49</v>
      </c>
      <c r="C39" s="69" t="s">
        <v>50</v>
      </c>
      <c r="D39" s="70" t="s">
        <v>51</v>
      </c>
      <c r="E39" s="71" t="s">
        <v>52</v>
      </c>
      <c r="F39" s="72" t="s">
        <v>53</v>
      </c>
      <c r="G39" s="73" t="s">
        <v>54</v>
      </c>
      <c r="H39" s="73" t="s">
        <v>55</v>
      </c>
      <c r="I39" s="73" t="s">
        <v>56</v>
      </c>
      <c r="J39" s="73" t="s">
        <v>57</v>
      </c>
      <c r="K39" s="74"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80">
        <v>5686812.2299999995</v>
      </c>
      <c r="D41" s="80"/>
      <c r="E41" s="81"/>
      <c r="F41" s="82">
        <f>C41-D41+E41</f>
        <v>5686812.2299999995</v>
      </c>
      <c r="G41" s="83">
        <f>IF($C$23="1st Estimate",'[6]GA Rates'!R4,IF($C$23="2nd Estimate",'[6]GA Rates'!S4,IF($C$23="Actual",'[6]GA Rates'!T4,0)))</f>
        <v>8.4229999999999999E-2</v>
      </c>
      <c r="H41" s="84">
        <f>F41*G41</f>
        <v>479000.19413289998</v>
      </c>
      <c r="I41" s="83">
        <f>'[6]GA Rates'!T4</f>
        <v>9.1789999999999997E-2</v>
      </c>
      <c r="J41" s="85">
        <f>F41*I41</f>
        <v>521992.49459169991</v>
      </c>
      <c r="K41" s="86">
        <f>J41-H41</f>
        <v>42992.300458799931</v>
      </c>
      <c r="N41"/>
      <c r="O41"/>
      <c r="P41"/>
      <c r="Q41"/>
      <c r="R41"/>
      <c r="S41"/>
      <c r="T41"/>
      <c r="U41"/>
      <c r="V41"/>
      <c r="W41"/>
    </row>
    <row r="42" spans="1:23" s="5" customFormat="1" x14ac:dyDescent="0.3">
      <c r="B42" s="79" t="s">
        <v>69</v>
      </c>
      <c r="C42" s="80">
        <v>6089173.8100000005</v>
      </c>
      <c r="D42" s="80"/>
      <c r="E42" s="81"/>
      <c r="F42" s="82">
        <f t="shared" ref="F42:F52" si="0">C42-D42+E42</f>
        <v>6089173.8100000005</v>
      </c>
      <c r="G42" s="83">
        <f>IF($C$23="1st Estimate",'[6]GA Rates'!R5,IF($C$23="2nd Estimate",'[6]GA Rates'!S5,IF($C$23="Actual",'[6]GA Rates'!T5,0)))</f>
        <v>0.10384</v>
      </c>
      <c r="H42" s="84">
        <f t="shared" ref="H42:H52" si="1">F42*G42</f>
        <v>632299.80843040009</v>
      </c>
      <c r="I42" s="83">
        <f>'[6]GA Rates'!T5</f>
        <v>9.851E-2</v>
      </c>
      <c r="J42" s="85">
        <f t="shared" ref="J42:J52" si="2">F42*I42</f>
        <v>599844.51202310005</v>
      </c>
      <c r="K42" s="86">
        <f t="shared" ref="K42:K52" si="3">J42-H42</f>
        <v>-32455.296407300048</v>
      </c>
      <c r="N42"/>
      <c r="O42"/>
      <c r="P42"/>
      <c r="Q42"/>
      <c r="R42"/>
      <c r="S42"/>
      <c r="T42"/>
      <c r="U42"/>
      <c r="V42"/>
      <c r="W42"/>
    </row>
    <row r="43" spans="1:23" s="5" customFormat="1" x14ac:dyDescent="0.3">
      <c r="B43" s="79" t="s">
        <v>70</v>
      </c>
      <c r="C43" s="80">
        <v>6541390.6400000006</v>
      </c>
      <c r="D43" s="80"/>
      <c r="E43" s="81"/>
      <c r="F43" s="82">
        <f t="shared" si="0"/>
        <v>6541390.6400000006</v>
      </c>
      <c r="G43" s="83">
        <f>IF($C$23="1st Estimate",'[6]GA Rates'!R6,IF($C$23="2nd Estimate",'[6]GA Rates'!S6,IF($C$23="Actual",'[6]GA Rates'!T6,0)))</f>
        <v>9.0219999999999995E-2</v>
      </c>
      <c r="H43" s="84">
        <f t="shared" si="1"/>
        <v>590164.26354079996</v>
      </c>
      <c r="I43" s="83">
        <f>'[6]GA Rates'!T6</f>
        <v>0.1061</v>
      </c>
      <c r="J43" s="85">
        <f t="shared" si="2"/>
        <v>694041.5469040001</v>
      </c>
      <c r="K43" s="86">
        <f t="shared" si="3"/>
        <v>103877.28336320014</v>
      </c>
      <c r="N43"/>
      <c r="O43"/>
      <c r="P43"/>
      <c r="Q43"/>
      <c r="R43"/>
      <c r="S43"/>
      <c r="T43"/>
      <c r="U43"/>
      <c r="V43"/>
      <c r="W43"/>
    </row>
    <row r="44" spans="1:23" s="5" customFormat="1" x14ac:dyDescent="0.3">
      <c r="B44" s="79" t="s">
        <v>71</v>
      </c>
      <c r="C44" s="80">
        <v>5258608.18</v>
      </c>
      <c r="D44" s="80"/>
      <c r="E44" s="81"/>
      <c r="F44" s="82">
        <f t="shared" si="0"/>
        <v>5258608.18</v>
      </c>
      <c r="G44" s="83">
        <f>IF($C$23="1st Estimate",'[6]GA Rates'!R7,IF($C$23="2nd Estimate",'[6]GA Rates'!S7,IF($C$23="Actual",'[6]GA Rates'!T7,0)))</f>
        <v>0.12114999999999999</v>
      </c>
      <c r="H44" s="84">
        <f t="shared" si="1"/>
        <v>637080.38100699999</v>
      </c>
      <c r="I44" s="83">
        <f>'[6]GA Rates'!T7</f>
        <v>0.11132</v>
      </c>
      <c r="J44" s="85">
        <f t="shared" si="2"/>
        <v>585388.2625976</v>
      </c>
      <c r="K44" s="86">
        <f t="shared" si="3"/>
        <v>-51692.118409399991</v>
      </c>
      <c r="N44"/>
      <c r="O44"/>
      <c r="P44"/>
      <c r="Q44"/>
      <c r="R44"/>
      <c r="S44"/>
      <c r="T44"/>
      <c r="U44"/>
      <c r="V44"/>
      <c r="W44"/>
    </row>
    <row r="45" spans="1:23" s="5" customFormat="1" x14ac:dyDescent="0.3">
      <c r="B45" s="79" t="s">
        <v>72</v>
      </c>
      <c r="C45" s="80">
        <v>6063377.4699999997</v>
      </c>
      <c r="D45" s="80"/>
      <c r="E45" s="81"/>
      <c r="F45" s="82">
        <f t="shared" si="0"/>
        <v>6063377.4699999997</v>
      </c>
      <c r="G45" s="83">
        <f>IF($C$23="1st Estimate",'[6]GA Rates'!R8,IF($C$23="2nd Estimate",'[6]GA Rates'!S8,IF($C$23="Actual",'[6]GA Rates'!T8,0)))</f>
        <v>0.10405</v>
      </c>
      <c r="H45" s="84">
        <f t="shared" si="1"/>
        <v>630894.42575349996</v>
      </c>
      <c r="I45" s="83">
        <f>'[6]GA Rates'!T8</f>
        <v>0.10749</v>
      </c>
      <c r="J45" s="85">
        <f t="shared" si="2"/>
        <v>651752.44425029994</v>
      </c>
      <c r="K45" s="86">
        <f t="shared" si="3"/>
        <v>20858.018496799981</v>
      </c>
      <c r="N45"/>
      <c r="O45"/>
      <c r="P45"/>
      <c r="Q45"/>
      <c r="R45"/>
      <c r="S45"/>
      <c r="T45"/>
      <c r="U45"/>
      <c r="V45"/>
      <c r="W45"/>
    </row>
    <row r="46" spans="1:23" s="5" customFormat="1" x14ac:dyDescent="0.3">
      <c r="B46" s="79" t="s">
        <v>73</v>
      </c>
      <c r="C46" s="80">
        <v>6118584.5600000005</v>
      </c>
      <c r="D46" s="80"/>
      <c r="E46" s="81"/>
      <c r="F46" s="82">
        <f t="shared" si="0"/>
        <v>6118584.5600000005</v>
      </c>
      <c r="G46" s="83">
        <f>IF($C$23="1st Estimate",'[6]GA Rates'!R9,IF($C$23="2nd Estimate",'[6]GA Rates'!S9,IF($C$23="Actual",'[6]GA Rates'!T9,0)))</f>
        <v>0.11650000000000001</v>
      </c>
      <c r="H46" s="84">
        <f t="shared" si="1"/>
        <v>712815.10124000011</v>
      </c>
      <c r="I46" s="83">
        <f>'[6]GA Rates'!T9</f>
        <v>9.5449999999999993E-2</v>
      </c>
      <c r="J46" s="85">
        <f t="shared" si="2"/>
        <v>584018.89625200001</v>
      </c>
      <c r="K46" s="86">
        <f t="shared" si="3"/>
        <v>-128796.2049880001</v>
      </c>
      <c r="N46"/>
      <c r="O46"/>
      <c r="P46"/>
      <c r="Q46"/>
      <c r="R46"/>
      <c r="S46"/>
      <c r="T46"/>
      <c r="U46"/>
      <c r="V46"/>
      <c r="W46"/>
    </row>
    <row r="47" spans="1:23" s="5" customFormat="1" x14ac:dyDescent="0.3">
      <c r="B47" s="79" t="s">
        <v>74</v>
      </c>
      <c r="C47" s="81">
        <v>5815240.080000001</v>
      </c>
      <c r="D47" s="80"/>
      <c r="E47" s="81"/>
      <c r="F47" s="82">
        <f t="shared" si="0"/>
        <v>5815240.080000001</v>
      </c>
      <c r="G47" s="83">
        <f>IF($C$23="1st Estimate",'[6]GA Rates'!R10,IF($C$23="2nd Estimate",'[6]GA Rates'!S10,IF($C$23="Actual",'[6]GA Rates'!T10,0)))</f>
        <v>7.6670000000000002E-2</v>
      </c>
      <c r="H47" s="84">
        <f t="shared" si="1"/>
        <v>445854.45693360007</v>
      </c>
      <c r="I47" s="83">
        <f>'[6]GA Rates'!T10</f>
        <v>8.3059999999999995E-2</v>
      </c>
      <c r="J47" s="85">
        <f t="shared" si="2"/>
        <v>483013.84104480006</v>
      </c>
      <c r="K47" s="86">
        <f t="shared" si="3"/>
        <v>37159.384111199994</v>
      </c>
      <c r="N47"/>
      <c r="O47"/>
      <c r="P47"/>
      <c r="Q47"/>
      <c r="R47"/>
      <c r="S47"/>
      <c r="T47"/>
      <c r="U47"/>
      <c r="V47"/>
      <c r="W47"/>
    </row>
    <row r="48" spans="1:23" s="5" customFormat="1" x14ac:dyDescent="0.3">
      <c r="B48" s="79" t="s">
        <v>75</v>
      </c>
      <c r="C48" s="81">
        <v>7203071.4899999993</v>
      </c>
      <c r="D48" s="80"/>
      <c r="E48" s="81"/>
      <c r="F48" s="82">
        <f t="shared" si="0"/>
        <v>7203071.4899999993</v>
      </c>
      <c r="G48" s="83">
        <f>IF($C$23="1st Estimate",'[6]GA Rates'!R11,IF($C$23="2nd Estimate",'[6]GA Rates'!S11,IF($C$23="Actual",'[6]GA Rates'!T11,0)))</f>
        <v>8.5690000000000002E-2</v>
      </c>
      <c r="H48" s="84">
        <f t="shared" si="1"/>
        <v>617231.19597809995</v>
      </c>
      <c r="I48" s="83">
        <f>'[6]GA Rates'!T11</f>
        <v>7.1029999999999996E-2</v>
      </c>
      <c r="J48" s="85">
        <f t="shared" si="2"/>
        <v>511634.16793469992</v>
      </c>
      <c r="K48" s="86">
        <f t="shared" si="3"/>
        <v>-105597.02804340003</v>
      </c>
      <c r="N48"/>
      <c r="O48"/>
      <c r="P48"/>
      <c r="Q48"/>
      <c r="R48"/>
      <c r="S48"/>
      <c r="T48"/>
      <c r="U48"/>
      <c r="V48"/>
      <c r="W48"/>
    </row>
    <row r="49" spans="2:23" s="5" customFormat="1" x14ac:dyDescent="0.3">
      <c r="B49" s="79" t="s">
        <v>76</v>
      </c>
      <c r="C49" s="81">
        <v>5767103.8999999994</v>
      </c>
      <c r="D49" s="80"/>
      <c r="E49" s="81"/>
      <c r="F49" s="82">
        <f t="shared" si="0"/>
        <v>5767103.8999999994</v>
      </c>
      <c r="G49" s="83">
        <f>IF($C$23="1st Estimate",'[6]GA Rates'!R12,IF($C$23="2nd Estimate",'[6]GA Rates'!S12,IF($C$23="Actual",'[6]GA Rates'!T12,0)))</f>
        <v>7.0599999999999996E-2</v>
      </c>
      <c r="H49" s="84">
        <f t="shared" si="1"/>
        <v>407157.53533999994</v>
      </c>
      <c r="I49" s="83">
        <f>'[6]GA Rates'!T12</f>
        <v>9.5310000000000006E-2</v>
      </c>
      <c r="J49" s="85">
        <f t="shared" si="2"/>
        <v>549662.67270899995</v>
      </c>
      <c r="K49" s="86">
        <f t="shared" si="3"/>
        <v>142505.137369</v>
      </c>
      <c r="N49"/>
      <c r="O49"/>
      <c r="P49"/>
      <c r="Q49"/>
      <c r="R49"/>
      <c r="S49"/>
      <c r="T49"/>
      <c r="U49"/>
      <c r="V49"/>
      <c r="W49"/>
    </row>
    <row r="50" spans="2:23" s="5" customFormat="1" x14ac:dyDescent="0.3">
      <c r="B50" s="79" t="s">
        <v>77</v>
      </c>
      <c r="C50" s="81">
        <v>5947565.169999999</v>
      </c>
      <c r="D50" s="80"/>
      <c r="E50" s="81"/>
      <c r="F50" s="82">
        <f t="shared" si="0"/>
        <v>5947565.169999999</v>
      </c>
      <c r="G50" s="83">
        <f>IF($C$23="1st Estimate",'[6]GA Rates'!R13,IF($C$23="2nd Estimate",'[6]GA Rates'!S13,IF($C$23="Actual",'[6]GA Rates'!T13,0)))</f>
        <v>9.7199999999999995E-2</v>
      </c>
      <c r="H50" s="84">
        <f t="shared" si="1"/>
        <v>578103.33452399983</v>
      </c>
      <c r="I50" s="83">
        <f>'[6]GA Rates'!T13</f>
        <v>0.11226</v>
      </c>
      <c r="J50" s="85">
        <f t="shared" si="2"/>
        <v>667673.66598419985</v>
      </c>
      <c r="K50" s="86">
        <f t="shared" si="3"/>
        <v>89570.331460200017</v>
      </c>
      <c r="N50"/>
      <c r="O50"/>
      <c r="P50"/>
      <c r="Q50"/>
      <c r="R50"/>
      <c r="S50"/>
      <c r="T50"/>
      <c r="U50"/>
      <c r="V50"/>
      <c r="W50"/>
    </row>
    <row r="51" spans="2:23" s="5" customFormat="1" x14ac:dyDescent="0.3">
      <c r="B51" s="79" t="s">
        <v>78</v>
      </c>
      <c r="C51" s="81">
        <v>6087059.6699999999</v>
      </c>
      <c r="D51" s="80"/>
      <c r="E51" s="81"/>
      <c r="F51" s="82">
        <f t="shared" si="0"/>
        <v>6087059.6699999999</v>
      </c>
      <c r="G51" s="83">
        <f>IF($C$23="1st Estimate",'[6]GA Rates'!R14,IF($C$23="2nd Estimate",'[6]GA Rates'!S14,IF($C$23="Actual",'[6]GA Rates'!T14,0)))</f>
        <v>0.12271</v>
      </c>
      <c r="H51" s="84">
        <f t="shared" si="1"/>
        <v>746943.09210569994</v>
      </c>
      <c r="I51" s="83">
        <f>'[6]GA Rates'!T14</f>
        <v>0.11108999999999999</v>
      </c>
      <c r="J51" s="85">
        <f t="shared" si="2"/>
        <v>676211.45874029992</v>
      </c>
      <c r="K51" s="86">
        <f t="shared" si="3"/>
        <v>-70731.633365400019</v>
      </c>
      <c r="N51"/>
      <c r="O51"/>
      <c r="P51"/>
      <c r="Q51"/>
      <c r="R51"/>
      <c r="S51"/>
      <c r="T51"/>
      <c r="U51"/>
      <c r="V51"/>
      <c r="W51"/>
    </row>
    <row r="52" spans="2:23" s="5" customFormat="1" x14ac:dyDescent="0.3">
      <c r="B52" s="79" t="s">
        <v>79</v>
      </c>
      <c r="C52" s="87">
        <v>5947050.2200000007</v>
      </c>
      <c r="D52" s="80"/>
      <c r="E52" s="81"/>
      <c r="F52" s="82">
        <f t="shared" si="0"/>
        <v>5947050.2200000007</v>
      </c>
      <c r="G52" s="83">
        <f>IF($C$23="1st Estimate",'[6]GA Rates'!R15,IF($C$23="2nd Estimate",'[6]GA Rates'!S15,IF($C$23="Actual",'[6]GA Rates'!T15,0)))</f>
        <v>0.10594000000000001</v>
      </c>
      <c r="H52" s="84">
        <f t="shared" si="1"/>
        <v>630030.50030680012</v>
      </c>
      <c r="I52" s="83">
        <f>'[6]GA Rates'!T15</f>
        <v>8.7080000000000005E-2</v>
      </c>
      <c r="J52" s="85">
        <f t="shared" si="2"/>
        <v>517869.13315760007</v>
      </c>
      <c r="K52" s="86">
        <f t="shared" si="3"/>
        <v>-112161.36714920006</v>
      </c>
      <c r="N52"/>
      <c r="O52"/>
      <c r="P52"/>
      <c r="Q52"/>
      <c r="R52"/>
      <c r="S52"/>
      <c r="T52"/>
      <c r="U52"/>
      <c r="V52"/>
      <c r="W52"/>
    </row>
    <row r="53" spans="2:23" s="5" customFormat="1" ht="28.8" thickBot="1" x14ac:dyDescent="0.35">
      <c r="B53" s="88" t="s">
        <v>80</v>
      </c>
      <c r="C53" s="89">
        <f>SUM(C41:C52)</f>
        <v>72525037.420000002</v>
      </c>
      <c r="D53" s="89">
        <f>SUM(D41:D52)</f>
        <v>0</v>
      </c>
      <c r="E53" s="89">
        <f>SUM(E41:E52)</f>
        <v>0</v>
      </c>
      <c r="F53" s="89">
        <f>SUM(F41:F52)</f>
        <v>72525037.420000002</v>
      </c>
      <c r="G53" s="90"/>
      <c r="H53" s="91">
        <f>SUM(H41:H52)</f>
        <v>7107574.2892927993</v>
      </c>
      <c r="I53" s="90"/>
      <c r="J53" s="91">
        <f>SUM(J41:J52)</f>
        <v>7043103.0961892996</v>
      </c>
      <c r="K53" s="92">
        <f>SUM(K41:K52)</f>
        <v>-64471.193103500176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thickBot="1" x14ac:dyDescent="0.3">
      <c r="G57" s="106">
        <v>131305819.55606219</v>
      </c>
      <c r="H57" s="107">
        <f>F53+62115978</f>
        <v>134641015.42000002</v>
      </c>
      <c r="I57" s="107">
        <f>G57-H57</f>
        <v>-3335195.863937825</v>
      </c>
      <c r="J57" s="108">
        <v>9.3450000000000005E-2</v>
      </c>
      <c r="K57" s="109">
        <f>I57*J57</f>
        <v>-311674.05348498974</v>
      </c>
      <c r="O57" s="105"/>
      <c r="P57" s="105"/>
      <c r="Q57" s="105"/>
      <c r="R57" s="105"/>
      <c r="S57" s="105"/>
      <c r="T57" s="105"/>
      <c r="U57" s="105"/>
      <c r="V57" s="105"/>
      <c r="W57" s="105"/>
    </row>
    <row r="58" spans="2:23" s="5" customFormat="1" ht="27.6" customHeight="1" x14ac:dyDescent="0.25">
      <c r="G58" s="230" t="s">
        <v>91</v>
      </c>
      <c r="H58" s="230"/>
      <c r="I58" s="230"/>
      <c r="J58" s="230"/>
      <c r="K58" s="230"/>
      <c r="O58" s="105"/>
      <c r="P58" s="105"/>
      <c r="Q58" s="105"/>
      <c r="R58" s="105"/>
      <c r="S58" s="105"/>
      <c r="T58" s="105"/>
      <c r="U58" s="105"/>
      <c r="V58" s="105"/>
      <c r="W58" s="105"/>
    </row>
    <row r="59" spans="2:23" s="5" customFormat="1" ht="55.2" customHeight="1" thickBot="1" x14ac:dyDescent="0.3">
      <c r="G59" s="210" t="s">
        <v>92</v>
      </c>
      <c r="H59" s="210"/>
      <c r="I59" s="210"/>
      <c r="J59" s="210"/>
      <c r="K59" s="210"/>
      <c r="O59" s="105"/>
      <c r="P59" s="105"/>
      <c r="Q59" s="105"/>
      <c r="R59" s="105"/>
      <c r="S59" s="105"/>
      <c r="T59" s="105"/>
      <c r="U59" s="105"/>
      <c r="V59" s="105"/>
      <c r="W59" s="105"/>
    </row>
    <row r="60" spans="2:23" s="5" customFormat="1" thickBot="1" x14ac:dyDescent="0.3">
      <c r="G60" s="110"/>
      <c r="H60" s="111"/>
      <c r="I60" s="112"/>
      <c r="J60" s="113" t="s">
        <v>93</v>
      </c>
      <c r="K60" s="114">
        <f>K53+K57</f>
        <v>-376145.24658848991</v>
      </c>
      <c r="O60" s="105"/>
      <c r="P60" s="105"/>
      <c r="Q60" s="105"/>
      <c r="R60" s="105"/>
      <c r="S60" s="105"/>
      <c r="T60" s="105"/>
      <c r="U60" s="105"/>
      <c r="V60" s="105"/>
      <c r="W60" s="105"/>
    </row>
    <row r="61" spans="2:23" s="5" customFormat="1" ht="41.4" customHeight="1" x14ac:dyDescent="0.25">
      <c r="H61" s="211" t="s">
        <v>94</v>
      </c>
      <c r="I61" s="211"/>
      <c r="J61" s="211"/>
      <c r="K61" s="115">
        <f>IFERROR(H57/D16,0)</f>
        <v>1.0756086065209873</v>
      </c>
      <c r="O61" s="105"/>
      <c r="P61" s="105"/>
      <c r="Q61" s="105"/>
      <c r="R61" s="105"/>
      <c r="S61" s="105"/>
      <c r="T61" s="105"/>
      <c r="U61" s="105"/>
      <c r="V61" s="105"/>
      <c r="W61" s="105"/>
    </row>
    <row r="62" spans="2:23" s="5" customFormat="1" ht="30" customHeight="1" x14ac:dyDescent="0.25">
      <c r="H62" s="211" t="s">
        <v>95</v>
      </c>
      <c r="I62" s="211"/>
      <c r="J62" s="211"/>
      <c r="K62" s="116">
        <v>1.081</v>
      </c>
      <c r="O62" s="105"/>
      <c r="P62" s="105"/>
      <c r="Q62" s="105"/>
      <c r="R62" s="105"/>
      <c r="S62" s="105"/>
      <c r="T62" s="105"/>
      <c r="U62" s="105"/>
      <c r="V62" s="105"/>
      <c r="W62" s="105"/>
    </row>
    <row r="63" spans="2:23" s="5" customFormat="1" ht="13.8" x14ac:dyDescent="0.25">
      <c r="H63" s="211" t="s">
        <v>96</v>
      </c>
      <c r="I63" s="211"/>
      <c r="J63" s="211"/>
      <c r="K63" s="117">
        <f>K61-K62</f>
        <v>-5.3913934790126294E-3</v>
      </c>
      <c r="O63" s="105"/>
      <c r="P63" s="105"/>
      <c r="Q63" s="105"/>
      <c r="R63" s="105"/>
      <c r="S63" s="105"/>
      <c r="T63" s="105"/>
      <c r="U63" s="105"/>
      <c r="V63" s="105"/>
      <c r="W63" s="105"/>
    </row>
    <row r="64" spans="2:23" s="5" customFormat="1" ht="27" customHeight="1" thickBot="1" x14ac:dyDescent="0.3">
      <c r="B64" s="212" t="s">
        <v>97</v>
      </c>
      <c r="C64" s="212"/>
      <c r="D64" s="212"/>
      <c r="H64" s="118"/>
      <c r="I64" s="118"/>
      <c r="J64" s="118"/>
      <c r="K64" s="119"/>
      <c r="O64" s="105"/>
      <c r="P64" s="105"/>
      <c r="Q64" s="105"/>
      <c r="R64" s="105"/>
      <c r="S64" s="105"/>
      <c r="T64" s="105"/>
      <c r="U64" s="105"/>
      <c r="V64" s="105"/>
      <c r="W64" s="105"/>
    </row>
    <row r="65" spans="1:23" s="5" customFormat="1" thickBot="1" x14ac:dyDescent="0.3">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25">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25">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25">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25">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25">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
      <c r="B71" s="219"/>
      <c r="C71" s="220"/>
      <c r="D71" s="221"/>
      <c r="E71" s="120"/>
      <c r="F71" s="219"/>
      <c r="G71" s="220"/>
      <c r="H71" s="220"/>
      <c r="I71" s="220"/>
      <c r="J71" s="220"/>
      <c r="K71" s="221"/>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2" t="s">
        <v>102</v>
      </c>
      <c r="E74" s="222"/>
      <c r="F74" s="222"/>
      <c r="G74" s="222"/>
      <c r="H74" s="222"/>
      <c r="I74" s="223" t="s">
        <v>103</v>
      </c>
      <c r="J74" s="223"/>
      <c r="K74" s="223"/>
    </row>
    <row r="75" spans="1:23" s="5" customFormat="1" ht="54.6" customHeight="1" x14ac:dyDescent="0.25">
      <c r="A75" s="224" t="s">
        <v>104</v>
      </c>
      <c r="B75" s="225"/>
      <c r="C75" s="128">
        <v>-422970.78790993977</v>
      </c>
      <c r="D75" s="226"/>
      <c r="E75" s="227"/>
      <c r="F75" s="227"/>
      <c r="G75" s="227"/>
      <c r="H75" s="228"/>
      <c r="I75" s="129" t="s">
        <v>105</v>
      </c>
      <c r="J75" s="229" t="s">
        <v>106</v>
      </c>
      <c r="K75" s="229"/>
    </row>
    <row r="76" spans="1:23" s="5" customFormat="1" ht="27.6" x14ac:dyDescent="0.25">
      <c r="A76" s="130" t="s">
        <v>107</v>
      </c>
      <c r="B76" s="131" t="s">
        <v>108</v>
      </c>
      <c r="C76" s="128"/>
      <c r="D76" s="205"/>
      <c r="E76" s="205"/>
      <c r="F76" s="205"/>
      <c r="G76" s="205"/>
      <c r="H76" s="205"/>
      <c r="I76" s="64"/>
      <c r="J76" s="206"/>
      <c r="K76" s="206"/>
    </row>
    <row r="77" spans="1:23" s="5" customFormat="1" ht="27.6" x14ac:dyDescent="0.25">
      <c r="A77" s="130" t="s">
        <v>109</v>
      </c>
      <c r="B77" s="131" t="s">
        <v>110</v>
      </c>
      <c r="C77" s="128"/>
      <c r="D77" s="207"/>
      <c r="E77" s="208"/>
      <c r="F77" s="208"/>
      <c r="G77" s="208"/>
      <c r="H77" s="209"/>
      <c r="I77" s="64"/>
      <c r="J77" s="206"/>
      <c r="K77" s="206"/>
      <c r="L77" s="4"/>
      <c r="M77" s="4"/>
      <c r="N77" s="4"/>
      <c r="O77" s="4"/>
    </row>
    <row r="78" spans="1:23" s="5" customFormat="1" ht="27.6" x14ac:dyDescent="0.25">
      <c r="A78" s="130" t="s">
        <v>111</v>
      </c>
      <c r="B78" s="131" t="s">
        <v>112</v>
      </c>
      <c r="C78" s="128"/>
      <c r="D78" s="205"/>
      <c r="E78" s="205"/>
      <c r="F78" s="205"/>
      <c r="G78" s="205"/>
      <c r="H78" s="205"/>
      <c r="I78" s="64"/>
      <c r="J78" s="206"/>
      <c r="K78" s="206"/>
      <c r="L78" s="4"/>
      <c r="M78" s="4"/>
      <c r="N78" s="4"/>
      <c r="O78" s="4"/>
    </row>
    <row r="79" spans="1:23" s="5" customFormat="1" ht="27.6" x14ac:dyDescent="0.25">
      <c r="A79" s="130" t="s">
        <v>113</v>
      </c>
      <c r="B79" s="131" t="s">
        <v>114</v>
      </c>
      <c r="C79" s="128"/>
      <c r="D79" s="207"/>
      <c r="E79" s="208"/>
      <c r="F79" s="208"/>
      <c r="G79" s="208"/>
      <c r="H79" s="209"/>
      <c r="I79" s="64"/>
      <c r="J79" s="206"/>
      <c r="K79" s="206"/>
      <c r="L79" s="4"/>
      <c r="M79" s="4"/>
      <c r="N79" s="4"/>
      <c r="O79" s="4"/>
    </row>
    <row r="80" spans="1:23" s="5" customFormat="1" ht="27.6" x14ac:dyDescent="0.25">
      <c r="A80" s="130" t="s">
        <v>115</v>
      </c>
      <c r="B80" s="131" t="s">
        <v>116</v>
      </c>
      <c r="C80" s="128"/>
      <c r="D80" s="205"/>
      <c r="E80" s="205"/>
      <c r="F80" s="205"/>
      <c r="G80" s="205"/>
      <c r="H80" s="205"/>
      <c r="I80" s="64"/>
      <c r="J80" s="206"/>
      <c r="K80" s="206"/>
      <c r="L80" s="4"/>
      <c r="M80" s="4"/>
      <c r="N80" s="4"/>
      <c r="O80" s="4"/>
    </row>
    <row r="81" spans="1:15" s="5" customFormat="1" ht="27.6" x14ac:dyDescent="0.25">
      <c r="A81" s="130" t="s">
        <v>117</v>
      </c>
      <c r="B81" s="131" t="s">
        <v>118</v>
      </c>
      <c r="C81" s="128"/>
      <c r="D81" s="205"/>
      <c r="E81" s="205"/>
      <c r="F81" s="205"/>
      <c r="G81" s="205"/>
      <c r="H81" s="205"/>
      <c r="I81" s="64"/>
      <c r="J81" s="206"/>
      <c r="K81" s="206"/>
      <c r="L81" s="4"/>
      <c r="M81" s="4"/>
      <c r="N81" s="4"/>
      <c r="O81" s="4"/>
    </row>
    <row r="82" spans="1:15" s="5" customFormat="1" ht="33.75" customHeight="1" x14ac:dyDescent="0.25">
      <c r="A82" s="130">
        <v>4</v>
      </c>
      <c r="B82" s="131" t="s">
        <v>119</v>
      </c>
      <c r="C82" s="128"/>
      <c r="D82" s="205"/>
      <c r="E82" s="205"/>
      <c r="F82" s="205"/>
      <c r="G82" s="205"/>
      <c r="H82" s="205"/>
      <c r="I82" s="64"/>
      <c r="J82" s="206"/>
      <c r="K82" s="206"/>
      <c r="L82" s="4"/>
      <c r="M82" s="4"/>
      <c r="N82" s="4"/>
      <c r="O82" s="4"/>
    </row>
    <row r="83" spans="1:15" s="5" customFormat="1" ht="27.6" x14ac:dyDescent="0.25">
      <c r="A83" s="130" t="s">
        <v>120</v>
      </c>
      <c r="B83" s="131" t="s">
        <v>121</v>
      </c>
      <c r="C83" s="128"/>
      <c r="D83" s="205"/>
      <c r="E83" s="205"/>
      <c r="F83" s="205"/>
      <c r="G83" s="205"/>
      <c r="H83" s="205"/>
      <c r="I83" s="64"/>
      <c r="J83" s="206"/>
      <c r="K83" s="206"/>
      <c r="L83" s="4"/>
      <c r="M83" s="4"/>
      <c r="N83" s="4"/>
      <c r="O83" s="4"/>
    </row>
    <row r="84" spans="1:15" s="5" customFormat="1" ht="27.6" x14ac:dyDescent="0.25">
      <c r="A84" s="132" t="s">
        <v>122</v>
      </c>
      <c r="B84" s="133" t="s">
        <v>123</v>
      </c>
      <c r="C84" s="128"/>
      <c r="D84" s="205"/>
      <c r="E84" s="205"/>
      <c r="F84" s="205"/>
      <c r="G84" s="205"/>
      <c r="H84" s="205"/>
      <c r="I84" s="64"/>
      <c r="J84" s="206"/>
      <c r="K84" s="206"/>
    </row>
    <row r="85" spans="1:15" s="5" customFormat="1" ht="27.6" x14ac:dyDescent="0.25">
      <c r="A85" s="132">
        <v>6</v>
      </c>
      <c r="B85" s="134" t="s">
        <v>124</v>
      </c>
      <c r="C85" s="128"/>
      <c r="D85" s="205"/>
      <c r="E85" s="205"/>
      <c r="F85" s="205"/>
      <c r="G85" s="205"/>
      <c r="H85" s="205"/>
      <c r="I85" s="64"/>
      <c r="J85" s="206"/>
      <c r="K85" s="206"/>
    </row>
    <row r="86" spans="1:15" s="5" customFormat="1" ht="13.8" x14ac:dyDescent="0.25">
      <c r="A86" s="132">
        <v>7</v>
      </c>
      <c r="B86" s="135" t="s">
        <v>149</v>
      </c>
      <c r="C86" s="128">
        <v>3202.7852150741664</v>
      </c>
      <c r="D86" s="205"/>
      <c r="E86" s="205"/>
      <c r="F86" s="205"/>
      <c r="G86" s="205"/>
      <c r="H86" s="205"/>
      <c r="I86" s="64" t="s">
        <v>128</v>
      </c>
      <c r="J86" s="206" t="s">
        <v>157</v>
      </c>
      <c r="K86" s="206"/>
    </row>
    <row r="87" spans="1:15" s="5" customFormat="1" ht="27.6" x14ac:dyDescent="0.25">
      <c r="A87" s="132">
        <v>8</v>
      </c>
      <c r="B87" s="135" t="s">
        <v>150</v>
      </c>
      <c r="C87" s="128">
        <v>54676.210707200051</v>
      </c>
      <c r="D87" s="207"/>
      <c r="E87" s="208"/>
      <c r="F87" s="208"/>
      <c r="G87" s="208"/>
      <c r="H87" s="209"/>
      <c r="I87" s="64" t="s">
        <v>128</v>
      </c>
      <c r="J87" s="206" t="s">
        <v>157</v>
      </c>
      <c r="K87" s="206"/>
    </row>
    <row r="88" spans="1:15" s="5" customFormat="1" ht="13.8" x14ac:dyDescent="0.25">
      <c r="A88" s="132">
        <v>9</v>
      </c>
      <c r="B88" s="194"/>
      <c r="C88" s="195"/>
      <c r="D88" s="205"/>
      <c r="E88" s="205"/>
      <c r="F88" s="205"/>
      <c r="G88" s="205"/>
      <c r="H88" s="205"/>
      <c r="I88" s="64"/>
      <c r="J88" s="206"/>
      <c r="K88" s="206"/>
    </row>
    <row r="89" spans="1:15" s="5" customFormat="1" ht="13.8" x14ac:dyDescent="0.25">
      <c r="A89" s="132">
        <v>10</v>
      </c>
      <c r="B89" s="135"/>
      <c r="C89" s="128"/>
      <c r="D89" s="205"/>
      <c r="E89" s="205"/>
      <c r="F89" s="205"/>
      <c r="G89" s="205"/>
      <c r="H89" s="205"/>
      <c r="I89" s="64"/>
      <c r="J89" s="206"/>
      <c r="K89" s="206"/>
    </row>
    <row r="90" spans="1:15" s="5" customFormat="1" ht="13.8" x14ac:dyDescent="0.25">
      <c r="A90" s="5" t="s">
        <v>125</v>
      </c>
      <c r="B90" s="65" t="s">
        <v>20</v>
      </c>
      <c r="C90" s="136">
        <f>SUM(C75:C89)</f>
        <v>-365091.79198766558</v>
      </c>
      <c r="D90" s="137"/>
      <c r="E90" s="137"/>
      <c r="F90" s="137"/>
      <c r="G90" s="137"/>
    </row>
    <row r="91" spans="1:15" s="5" customFormat="1" ht="27.6" x14ac:dyDescent="0.25">
      <c r="B91" s="93" t="s">
        <v>126</v>
      </c>
      <c r="C91" s="138">
        <f>K60</f>
        <v>-376145.24658848991</v>
      </c>
      <c r="D91" s="137"/>
      <c r="E91" s="137"/>
      <c r="F91" s="137"/>
      <c r="G91" s="137"/>
    </row>
    <row r="92" spans="1:15" s="5" customFormat="1" ht="13.8" x14ac:dyDescent="0.25">
      <c r="B92" s="93" t="s">
        <v>21</v>
      </c>
      <c r="C92" s="139">
        <f>C90-C91</f>
        <v>11053.454600824334</v>
      </c>
    </row>
    <row r="93" spans="1:15" s="5" customFormat="1" ht="28.2" thickBot="1" x14ac:dyDescent="0.3">
      <c r="B93" s="93" t="s">
        <v>23</v>
      </c>
      <c r="C93" s="140">
        <f>IF(ISERROR(C92/J53),0,C92/J53)</f>
        <v>1.5694012212890724E-3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7 I76:I89 G25" xr:uid="{21E34A0B-E8C2-41AB-80C7-B29F8D72EA4A}">
      <formula1>"Yes,No"</formula1>
    </dataValidation>
    <dataValidation type="list" sqref="C23" xr:uid="{F6C0C4FD-5B19-40C9-AC46-88861D24A007}">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6F14-8AE2-4B55-8415-35FECC37E391}">
  <sheetPr codeName="Sheet22">
    <tabColor rgb="FFFF0000"/>
  </sheetPr>
  <dimension ref="A12:W97"/>
  <sheetViews>
    <sheetView showGridLines="0" topLeftCell="A75" zoomScale="70" zoomScaleNormal="70" workbookViewId="0">
      <selection activeCell="E93" sqref="E93"/>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31" t="s">
        <v>16</v>
      </c>
      <c r="C13" s="231"/>
      <c r="D13" s="52">
        <v>2019</v>
      </c>
      <c r="E13" s="232"/>
      <c r="F13" s="233"/>
      <c r="G13" s="4"/>
      <c r="H13" s="4"/>
      <c r="I13" s="4"/>
      <c r="J13" s="4"/>
      <c r="K13" s="4"/>
      <c r="L13" s="4"/>
      <c r="M13" s="4"/>
      <c r="N13" s="4"/>
      <c r="O13" s="4"/>
      <c r="P13" s="4"/>
      <c r="Q13" s="4"/>
    </row>
    <row r="14" spans="1:19" s="5" customFormat="1" thickBot="1" x14ac:dyDescent="0.3">
      <c r="A14" s="4"/>
      <c r="B14" s="54" t="s">
        <v>30</v>
      </c>
      <c r="C14" s="55" t="s">
        <v>31</v>
      </c>
      <c r="D14" s="144">
        <f>D15+D16</f>
        <v>230438296.90999997</v>
      </c>
      <c r="E14" s="55" t="s">
        <v>32</v>
      </c>
      <c r="F14" s="57">
        <v>1</v>
      </c>
      <c r="G14" s="4"/>
      <c r="H14" s="4"/>
      <c r="I14" s="4"/>
      <c r="J14" s="4"/>
      <c r="K14" s="4"/>
      <c r="L14" s="4"/>
      <c r="M14" s="4"/>
      <c r="N14" s="4"/>
      <c r="O14" s="4"/>
      <c r="P14" s="4"/>
      <c r="Q14" s="4"/>
    </row>
    <row r="15" spans="1:19" s="5" customFormat="1" thickBot="1" x14ac:dyDescent="0.3">
      <c r="B15" s="54" t="s">
        <v>33</v>
      </c>
      <c r="C15" s="55" t="s">
        <v>34</v>
      </c>
      <c r="D15" s="144">
        <v>108979163.84999999</v>
      </c>
      <c r="E15" s="55" t="s">
        <v>32</v>
      </c>
      <c r="F15" s="59">
        <f>IFERROR(D15/$D$14,0)</f>
        <v>0.47292123449672485</v>
      </c>
    </row>
    <row r="16" spans="1:19" s="5" customFormat="1" thickBot="1" x14ac:dyDescent="0.3">
      <c r="B16" s="54" t="s">
        <v>35</v>
      </c>
      <c r="C16" s="55" t="s">
        <v>36</v>
      </c>
      <c r="D16" s="144">
        <v>121459133.05999999</v>
      </c>
      <c r="E16" s="55" t="s">
        <v>32</v>
      </c>
      <c r="F16" s="59">
        <f>IFERROR(D16/$D$14,0)</f>
        <v>0.52707876550327526</v>
      </c>
    </row>
    <row r="17" spans="1:8" s="5" customFormat="1" thickBot="1" x14ac:dyDescent="0.3">
      <c r="B17" s="54" t="s">
        <v>37</v>
      </c>
      <c r="C17" s="55" t="s">
        <v>38</v>
      </c>
      <c r="D17" s="144">
        <v>9065794.9199999999</v>
      </c>
      <c r="E17" s="55" t="s">
        <v>32</v>
      </c>
      <c r="F17" s="59">
        <f>IFERROR(D17/$D$14,0)</f>
        <v>3.9341528910625208E-2</v>
      </c>
    </row>
    <row r="18" spans="1:8" s="5" customFormat="1" thickBot="1" x14ac:dyDescent="0.3">
      <c r="B18" s="54" t="s">
        <v>39</v>
      </c>
      <c r="C18" s="55" t="s">
        <v>40</v>
      </c>
      <c r="D18" s="144">
        <f>D16-D17</f>
        <v>112393338.13999999</v>
      </c>
      <c r="E18" s="55" t="s">
        <v>32</v>
      </c>
      <c r="F18" s="59">
        <f>IFERROR(D18/$D$14,0)</f>
        <v>0.48773723659265</v>
      </c>
    </row>
    <row r="19" spans="1:8" s="5" customFormat="1" ht="34.5" customHeight="1" x14ac:dyDescent="0.25">
      <c r="B19" s="234" t="s">
        <v>41</v>
      </c>
      <c r="C19" s="234"/>
      <c r="D19" s="234"/>
      <c r="E19" s="234"/>
      <c r="F19" s="234"/>
      <c r="G19" s="235"/>
      <c r="H19" s="235"/>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36" t="s">
        <v>45</v>
      </c>
      <c r="C25" s="237"/>
      <c r="D25" s="237"/>
      <c r="E25" s="237"/>
      <c r="F25" s="237"/>
      <c r="G25" s="64" t="s">
        <v>128</v>
      </c>
    </row>
    <row r="26" spans="1:8" s="5" customFormat="1" ht="13.8" x14ac:dyDescent="0.25">
      <c r="E26" s="4"/>
    </row>
    <row r="27" spans="1:8" s="5" customFormat="1" x14ac:dyDescent="0.3">
      <c r="B27" s="236" t="s">
        <v>46</v>
      </c>
      <c r="C27" s="237"/>
      <c r="D27" s="237"/>
      <c r="E27" s="237"/>
      <c r="F27" s="237"/>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2017</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84">
        <v>6060949.709999999</v>
      </c>
      <c r="D41" s="152"/>
      <c r="E41" s="81"/>
      <c r="F41" s="82">
        <f>C41-D41+E41</f>
        <v>6060949.709999999</v>
      </c>
      <c r="G41" s="83">
        <f>IF($C$23="1st Estimate",'[6]GA Rates'!N4,IF($C$23="2nd Estimate",'[6]GA Rates'!G4,IF($C$23="Actual",'[6]GA Rates'!H4,0)))</f>
        <v>6.6869999999999999E-2</v>
      </c>
      <c r="H41" s="84">
        <f>F41*G41</f>
        <v>405295.70710769994</v>
      </c>
      <c r="I41" s="83">
        <f>'[6]GA Rates'!P4</f>
        <v>8.2269999999999996E-2</v>
      </c>
      <c r="J41" s="85">
        <f>F41*I41</f>
        <v>498634.33264169988</v>
      </c>
      <c r="K41" s="86">
        <f>J41-H41</f>
        <v>93338.625533999933</v>
      </c>
      <c r="N41"/>
      <c r="O41"/>
      <c r="P41"/>
      <c r="Q41"/>
      <c r="R41"/>
      <c r="S41"/>
      <c r="T41"/>
      <c r="U41"/>
      <c r="V41"/>
      <c r="W41"/>
    </row>
    <row r="42" spans="1:23" s="5" customFormat="1" x14ac:dyDescent="0.3">
      <c r="B42" s="79" t="s">
        <v>69</v>
      </c>
      <c r="C42" s="184">
        <v>5108637.9500000011</v>
      </c>
      <c r="D42" s="152"/>
      <c r="E42" s="81"/>
      <c r="F42" s="82">
        <f t="shared" ref="F42:F52" si="0">C42-D42+E42</f>
        <v>5108637.9500000011</v>
      </c>
      <c r="G42" s="83">
        <f>IF($C$23="1st Estimate",'[6]GA Rates'!N5,IF($C$23="2nd Estimate",'[6]GA Rates'!G5,IF($C$23="Actual",'[6]GA Rates'!H5,0)))</f>
        <v>0.10559</v>
      </c>
      <c r="H42" s="84">
        <f t="shared" ref="H42:H52" si="1">F42*G42</f>
        <v>539421.08114050014</v>
      </c>
      <c r="I42" s="83">
        <f>'[6]GA Rates'!P5</f>
        <v>8.6389999999999995E-2</v>
      </c>
      <c r="J42" s="85">
        <f t="shared" ref="J42:J52" si="2">F42*I42</f>
        <v>441335.23250050005</v>
      </c>
      <c r="K42" s="86">
        <f t="shared" ref="K42:K52" si="3">J42-H42</f>
        <v>-98085.848640000098</v>
      </c>
      <c r="N42"/>
      <c r="O42"/>
      <c r="P42"/>
      <c r="Q42"/>
      <c r="R42"/>
      <c r="S42"/>
      <c r="T42"/>
      <c r="U42"/>
      <c r="V42"/>
      <c r="W42"/>
    </row>
    <row r="43" spans="1:23" s="5" customFormat="1" x14ac:dyDescent="0.3">
      <c r="B43" s="79" t="s">
        <v>70</v>
      </c>
      <c r="C43" s="184">
        <v>6592821.8000000017</v>
      </c>
      <c r="D43" s="152"/>
      <c r="E43" s="81"/>
      <c r="F43" s="82">
        <f t="shared" si="0"/>
        <v>6592821.8000000017</v>
      </c>
      <c r="G43" s="83">
        <f>IF($C$23="1st Estimate",'[6]GA Rates'!N6,IF($C$23="2nd Estimate",'[6]GA Rates'!G6,IF($C$23="Actual",'[6]GA Rates'!H6,0)))</f>
        <v>8.4089999999999998E-2</v>
      </c>
      <c r="H43" s="84">
        <f t="shared" si="1"/>
        <v>554390.38516200008</v>
      </c>
      <c r="I43" s="83">
        <f>'[6]GA Rates'!P6</f>
        <v>7.1349999999999997E-2</v>
      </c>
      <c r="J43" s="85">
        <f t="shared" si="2"/>
        <v>470397.83543000009</v>
      </c>
      <c r="K43" s="86">
        <f t="shared" si="3"/>
        <v>-83992.549731999985</v>
      </c>
      <c r="N43"/>
      <c r="O43"/>
      <c r="P43"/>
      <c r="Q43"/>
      <c r="R43"/>
      <c r="S43"/>
      <c r="T43"/>
      <c r="U43"/>
      <c r="V43"/>
      <c r="W43"/>
    </row>
    <row r="44" spans="1:23" s="5" customFormat="1" x14ac:dyDescent="0.3">
      <c r="B44" s="79" t="s">
        <v>71</v>
      </c>
      <c r="C44" s="184">
        <v>4879163.200000002</v>
      </c>
      <c r="D44" s="152"/>
      <c r="E44" s="81"/>
      <c r="F44" s="82">
        <f t="shared" si="0"/>
        <v>4879163.200000002</v>
      </c>
      <c r="G44" s="83">
        <f>IF($C$23="1st Estimate",'[6]GA Rates'!N7,IF($C$23="2nd Estimate",'[6]GA Rates'!G7,IF($C$23="Actual",'[6]GA Rates'!H7,0)))</f>
        <v>6.8739999999999996E-2</v>
      </c>
      <c r="H44" s="84">
        <f t="shared" si="1"/>
        <v>335393.67836800014</v>
      </c>
      <c r="I44" s="83">
        <f>'[6]GA Rates'!P7</f>
        <v>0.10778</v>
      </c>
      <c r="J44" s="85">
        <f t="shared" si="2"/>
        <v>525876.20969600021</v>
      </c>
      <c r="K44" s="86">
        <f t="shared" si="3"/>
        <v>190482.53132800007</v>
      </c>
      <c r="N44"/>
      <c r="O44"/>
      <c r="P44"/>
      <c r="Q44"/>
      <c r="R44"/>
      <c r="S44"/>
      <c r="T44"/>
      <c r="U44"/>
      <c r="V44"/>
      <c r="W44"/>
    </row>
    <row r="45" spans="1:23" s="5" customFormat="1" x14ac:dyDescent="0.3">
      <c r="B45" s="79" t="s">
        <v>72</v>
      </c>
      <c r="C45" s="184">
        <v>5924082.3000000035</v>
      </c>
      <c r="D45" s="152"/>
      <c r="E45" s="81"/>
      <c r="F45" s="82">
        <f t="shared" si="0"/>
        <v>5924082.3000000035</v>
      </c>
      <c r="G45" s="83">
        <f>IF($C$23="1st Estimate",'[6]GA Rates'!N8,IF($C$23="2nd Estimate",'[6]GA Rates'!G8,IF($C$23="Actual",'[6]GA Rates'!H8,0)))</f>
        <v>0.10623</v>
      </c>
      <c r="H45" s="84">
        <f t="shared" si="1"/>
        <v>629315.26272900042</v>
      </c>
      <c r="I45" s="83">
        <f>'[6]GA Rates'!P8</f>
        <v>0.12307</v>
      </c>
      <c r="J45" s="85">
        <f t="shared" si="2"/>
        <v>729076.80866100045</v>
      </c>
      <c r="K45" s="86">
        <f t="shared" si="3"/>
        <v>99761.545932000037</v>
      </c>
      <c r="N45"/>
      <c r="O45"/>
      <c r="P45"/>
      <c r="Q45"/>
      <c r="R45"/>
      <c r="S45"/>
      <c r="T45"/>
      <c r="U45"/>
      <c r="V45"/>
      <c r="W45"/>
    </row>
    <row r="46" spans="1:23" s="5" customFormat="1" x14ac:dyDescent="0.3">
      <c r="B46" s="79" t="s">
        <v>73</v>
      </c>
      <c r="C46" s="184">
        <v>5837624.6599999983</v>
      </c>
      <c r="D46" s="152"/>
      <c r="E46" s="81"/>
      <c r="F46" s="82">
        <f t="shared" si="0"/>
        <v>5837624.6599999983</v>
      </c>
      <c r="G46" s="83">
        <f>IF($C$23="1st Estimate",'[6]GA Rates'!N9,IF($C$23="2nd Estimate",'[6]GA Rates'!G9,IF($C$23="Actual",'[6]GA Rates'!H9,0)))</f>
        <v>0.11954000000000001</v>
      </c>
      <c r="H46" s="84">
        <f t="shared" si="1"/>
        <v>697829.65185639984</v>
      </c>
      <c r="I46" s="83">
        <f>'[6]GA Rates'!P9</f>
        <v>0.11848</v>
      </c>
      <c r="J46" s="85">
        <f t="shared" si="2"/>
        <v>691641.76971679984</v>
      </c>
      <c r="K46" s="86">
        <f t="shared" si="3"/>
        <v>-6187.8821395999985</v>
      </c>
      <c r="N46"/>
      <c r="O46"/>
      <c r="P46"/>
      <c r="Q46"/>
      <c r="R46"/>
      <c r="S46"/>
      <c r="T46"/>
      <c r="U46"/>
      <c r="V46"/>
      <c r="W46"/>
    </row>
    <row r="47" spans="1:23" s="5" customFormat="1" x14ac:dyDescent="0.3">
      <c r="B47" s="79" t="s">
        <v>74</v>
      </c>
      <c r="C47" s="184">
        <v>4427286.12</v>
      </c>
      <c r="D47" s="152"/>
      <c r="E47" s="81"/>
      <c r="F47" s="82">
        <f t="shared" si="0"/>
        <v>4427286.12</v>
      </c>
      <c r="G47" s="83">
        <f>IF($C$23="1st Estimate",'[6]GA Rates'!N10,IF($C$23="2nd Estimate",'[6]GA Rates'!G10,IF($C$23="Actual",'[6]GA Rates'!H10,0)))</f>
        <v>0.10651999999999999</v>
      </c>
      <c r="H47" s="84">
        <f t="shared" si="1"/>
        <v>471594.51750239998</v>
      </c>
      <c r="I47" s="83">
        <f>'[6]GA Rates'!P10</f>
        <v>0.1128</v>
      </c>
      <c r="J47" s="85">
        <f t="shared" si="2"/>
        <v>499397.87433600001</v>
      </c>
      <c r="K47" s="86">
        <f t="shared" si="3"/>
        <v>27803.356833600032</v>
      </c>
      <c r="N47"/>
      <c r="O47"/>
      <c r="P47"/>
      <c r="Q47"/>
      <c r="R47"/>
      <c r="S47"/>
      <c r="T47"/>
      <c r="U47"/>
      <c r="V47"/>
      <c r="W47"/>
    </row>
    <row r="48" spans="1:23" s="5" customFormat="1" x14ac:dyDescent="0.3">
      <c r="B48" s="79" t="s">
        <v>75</v>
      </c>
      <c r="C48" s="184">
        <v>4623367.0699999975</v>
      </c>
      <c r="D48" s="152"/>
      <c r="E48" s="81"/>
      <c r="F48" s="82">
        <f t="shared" si="0"/>
        <v>4623367.0699999975</v>
      </c>
      <c r="G48" s="83">
        <f>IF($C$23="1st Estimate",'[6]GA Rates'!N11,IF($C$23="2nd Estimate",'[6]GA Rates'!G11,IF($C$23="Actual",'[6]GA Rates'!H11,0)))</f>
        <v>0.115</v>
      </c>
      <c r="H48" s="84">
        <f t="shared" si="1"/>
        <v>531687.21304999979</v>
      </c>
      <c r="I48" s="83">
        <f>'[6]GA Rates'!P11</f>
        <v>0.10109</v>
      </c>
      <c r="J48" s="85">
        <f t="shared" si="2"/>
        <v>467376.17710629973</v>
      </c>
      <c r="K48" s="86">
        <f t="shared" si="3"/>
        <v>-64311.035943700059</v>
      </c>
      <c r="N48"/>
      <c r="O48"/>
      <c r="P48"/>
      <c r="Q48"/>
      <c r="R48"/>
      <c r="S48"/>
      <c r="T48"/>
      <c r="U48"/>
      <c r="V48"/>
      <c r="W48"/>
    </row>
    <row r="49" spans="2:23" s="5" customFormat="1" x14ac:dyDescent="0.3">
      <c r="B49" s="79" t="s">
        <v>76</v>
      </c>
      <c r="C49" s="184">
        <v>3922550.1199999969</v>
      </c>
      <c r="D49" s="152"/>
      <c r="E49" s="81"/>
      <c r="F49" s="82">
        <f t="shared" si="0"/>
        <v>3922550.1199999969</v>
      </c>
      <c r="G49" s="83">
        <f>IF($C$23="1st Estimate",'[6]GA Rates'!N12,IF($C$23="2nd Estimate",'[6]GA Rates'!G12,IF($C$23="Actual",'[6]GA Rates'!H12,0)))</f>
        <v>0.12739</v>
      </c>
      <c r="H49" s="84">
        <f t="shared" si="1"/>
        <v>499693.65978679963</v>
      </c>
      <c r="I49" s="83">
        <f>'[6]GA Rates'!P12</f>
        <v>8.8639999999999997E-2</v>
      </c>
      <c r="J49" s="85">
        <f t="shared" si="2"/>
        <v>347694.84263679973</v>
      </c>
      <c r="K49" s="86">
        <f t="shared" si="3"/>
        <v>-151998.8171499999</v>
      </c>
      <c r="N49"/>
      <c r="O49"/>
      <c r="P49"/>
      <c r="Q49"/>
      <c r="R49"/>
      <c r="S49"/>
      <c r="T49"/>
      <c r="U49"/>
      <c r="V49"/>
      <c r="W49"/>
    </row>
    <row r="50" spans="2:23" s="5" customFormat="1" x14ac:dyDescent="0.3">
      <c r="B50" s="79" t="s">
        <v>77</v>
      </c>
      <c r="C50" s="184">
        <v>4375979.4100000011</v>
      </c>
      <c r="D50" s="152"/>
      <c r="E50" s="81"/>
      <c r="F50" s="82">
        <f t="shared" si="0"/>
        <v>4375979.4100000011</v>
      </c>
      <c r="G50" s="83">
        <f>IF($C$23="1st Estimate",'[6]GA Rates'!N13,IF($C$23="2nd Estimate",'[6]GA Rates'!G13,IF($C$23="Actual",'[6]GA Rates'!H13,0)))</f>
        <v>0.10212</v>
      </c>
      <c r="H50" s="84">
        <f t="shared" si="1"/>
        <v>446875.01734920015</v>
      </c>
      <c r="I50" s="83">
        <f>'[6]GA Rates'!P13</f>
        <v>0.12562999999999999</v>
      </c>
      <c r="J50" s="85">
        <f t="shared" si="2"/>
        <v>549754.29327830009</v>
      </c>
      <c r="K50" s="86">
        <f t="shared" si="3"/>
        <v>102879.27592909994</v>
      </c>
      <c r="N50"/>
      <c r="O50"/>
      <c r="P50"/>
      <c r="Q50"/>
      <c r="R50"/>
      <c r="S50"/>
      <c r="T50"/>
      <c r="U50"/>
      <c r="V50"/>
      <c r="W50"/>
    </row>
    <row r="51" spans="2:23" s="5" customFormat="1" x14ac:dyDescent="0.3">
      <c r="B51" s="79" t="s">
        <v>78</v>
      </c>
      <c r="C51" s="184">
        <v>4377300.4699999988</v>
      </c>
      <c r="D51" s="152"/>
      <c r="E51" s="81"/>
      <c r="F51" s="82">
        <f t="shared" si="0"/>
        <v>4377300.4699999988</v>
      </c>
      <c r="G51" s="83">
        <f>IF($C$23="1st Estimate",'[6]GA Rates'!N14,IF($C$23="2nd Estimate",'[6]GA Rates'!G14,IF($C$23="Actual",'[6]GA Rates'!H14,0)))</f>
        <v>0.11164</v>
      </c>
      <c r="H51" s="84">
        <f t="shared" si="1"/>
        <v>488681.82447079988</v>
      </c>
      <c r="I51" s="83">
        <f>'[6]GA Rates'!P14</f>
        <v>9.7040000000000001E-2</v>
      </c>
      <c r="J51" s="85">
        <f t="shared" si="2"/>
        <v>424773.23760879989</v>
      </c>
      <c r="K51" s="86">
        <f t="shared" si="3"/>
        <v>-63908.586861999996</v>
      </c>
      <c r="N51"/>
      <c r="O51"/>
      <c r="P51"/>
      <c r="Q51"/>
      <c r="R51"/>
      <c r="S51"/>
      <c r="T51"/>
      <c r="U51"/>
      <c r="V51"/>
      <c r="W51"/>
    </row>
    <row r="52" spans="2:23" s="5" customFormat="1" x14ac:dyDescent="0.3">
      <c r="B52" s="79" t="s">
        <v>79</v>
      </c>
      <c r="C52" s="184">
        <v>4368452.4499999993</v>
      </c>
      <c r="D52" s="152"/>
      <c r="E52" s="81"/>
      <c r="F52" s="82">
        <f t="shared" si="0"/>
        <v>4368452.4499999993</v>
      </c>
      <c r="G52" s="83">
        <f>IF($C$23="1st Estimate",'[6]GA Rates'!N15,IF($C$23="2nd Estimate",'[6]GA Rates'!G15,IF($C$23="Actual",'[6]GA Rates'!H15,0)))</f>
        <v>8.3909999999999998E-2</v>
      </c>
      <c r="H52" s="84">
        <f t="shared" si="1"/>
        <v>366556.84507949994</v>
      </c>
      <c r="I52" s="83">
        <f>'[6]GA Rates'!P15</f>
        <v>9.2069999999999999E-2</v>
      </c>
      <c r="J52" s="85">
        <f t="shared" si="2"/>
        <v>402203.41707149992</v>
      </c>
      <c r="K52" s="86">
        <f t="shared" si="3"/>
        <v>35646.571991999983</v>
      </c>
      <c r="N52"/>
      <c r="O52"/>
      <c r="P52"/>
      <c r="Q52"/>
      <c r="R52"/>
      <c r="S52"/>
      <c r="T52"/>
      <c r="U52"/>
      <c r="V52"/>
      <c r="W52"/>
    </row>
    <row r="53" spans="2:23" s="5" customFormat="1" ht="28.8" thickBot="1" x14ac:dyDescent="0.35">
      <c r="B53" s="88" t="s">
        <v>80</v>
      </c>
      <c r="C53" s="89">
        <f>SUM(C41:C52)</f>
        <v>60498215.260000005</v>
      </c>
      <c r="D53" s="89">
        <f>SUM(D41:D52)</f>
        <v>0</v>
      </c>
      <c r="E53" s="89">
        <f>SUM(E41:E52)</f>
        <v>0</v>
      </c>
      <c r="F53" s="89">
        <f>SUM(F41:F52)</f>
        <v>60498215.260000005</v>
      </c>
      <c r="G53" s="90"/>
      <c r="H53" s="91">
        <f>SUM(H41:H52)</f>
        <v>5966734.8436022997</v>
      </c>
      <c r="I53" s="90"/>
      <c r="J53" s="91">
        <f>SUM(J41:J52)</f>
        <v>6048162.0306836991</v>
      </c>
      <c r="K53" s="92">
        <f>SUM(K41:K52)</f>
        <v>81427.187081399956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113792068.30857918</v>
      </c>
      <c r="H57" s="154">
        <f>F53+60258743</f>
        <v>120756958.26000001</v>
      </c>
      <c r="I57" s="107">
        <f>G57-H57</f>
        <v>-6964889.9514208287</v>
      </c>
      <c r="J57" s="155">
        <v>9.4734951435951981E-2</v>
      </c>
      <c r="K57" s="109">
        <f>I57*J57</f>
        <v>-659818.51130460214</v>
      </c>
      <c r="O57" s="105"/>
      <c r="P57" s="105"/>
      <c r="Q57" s="105"/>
      <c r="R57" s="105"/>
      <c r="S57" s="105"/>
      <c r="T57" s="105"/>
      <c r="U57" s="105"/>
      <c r="V57" s="105"/>
      <c r="W57" s="105"/>
    </row>
    <row r="58" spans="2:23" s="5" customFormat="1" ht="35.700000000000003" customHeight="1" x14ac:dyDescent="0.25">
      <c r="G58" s="230" t="s">
        <v>91</v>
      </c>
      <c r="H58" s="230"/>
      <c r="I58" s="230"/>
      <c r="J58" s="230"/>
      <c r="K58" s="230"/>
      <c r="O58" s="105"/>
      <c r="P58" s="105"/>
      <c r="Q58" s="105"/>
      <c r="R58" s="105"/>
      <c r="S58" s="105"/>
      <c r="T58" s="105"/>
      <c r="U58" s="105"/>
      <c r="V58" s="105"/>
      <c r="W58" s="105"/>
    </row>
    <row r="59" spans="2:23" s="5" customFormat="1" ht="47.4" customHeight="1" thickBot="1" x14ac:dyDescent="0.3">
      <c r="G59" s="210" t="s">
        <v>129</v>
      </c>
      <c r="H59" s="210"/>
      <c r="I59" s="210"/>
      <c r="J59" s="210"/>
      <c r="K59" s="210"/>
      <c r="O59" s="105"/>
      <c r="P59" s="105"/>
      <c r="Q59" s="105"/>
      <c r="R59" s="105"/>
      <c r="S59" s="105"/>
      <c r="T59" s="105"/>
      <c r="U59" s="105"/>
      <c r="V59" s="105"/>
      <c r="W59" s="105"/>
    </row>
    <row r="60" spans="2:23" s="5" customFormat="1" thickBot="1" x14ac:dyDescent="0.3">
      <c r="G60" s="110"/>
      <c r="H60" s="111"/>
      <c r="I60" s="112"/>
      <c r="J60" s="113" t="s">
        <v>93</v>
      </c>
      <c r="K60" s="114">
        <f>K53+K57</f>
        <v>-578391.32422320219</v>
      </c>
      <c r="O60" s="105"/>
      <c r="P60" s="105"/>
      <c r="Q60" s="105"/>
      <c r="R60" s="105"/>
      <c r="S60" s="105"/>
      <c r="T60" s="105"/>
      <c r="U60" s="105"/>
      <c r="V60" s="105"/>
      <c r="W60" s="105"/>
    </row>
    <row r="61" spans="2:23" s="5" customFormat="1" ht="45.6" customHeight="1" x14ac:dyDescent="0.25">
      <c r="H61" s="211" t="s">
        <v>94</v>
      </c>
      <c r="I61" s="211"/>
      <c r="J61" s="211"/>
      <c r="K61" s="156">
        <f>IFERROR(H57/D18,0)</f>
        <v>1.0744138421227607</v>
      </c>
      <c r="O61" s="105"/>
      <c r="P61" s="105"/>
      <c r="Q61" s="105"/>
      <c r="R61" s="105"/>
      <c r="S61" s="105"/>
      <c r="T61" s="105"/>
      <c r="U61" s="105"/>
      <c r="V61" s="105"/>
      <c r="W61" s="105"/>
    </row>
    <row r="62" spans="2:23" s="5" customFormat="1" ht="30" customHeight="1" x14ac:dyDescent="0.25">
      <c r="H62" s="211" t="s">
        <v>95</v>
      </c>
      <c r="I62" s="211"/>
      <c r="J62" s="211"/>
      <c r="K62" s="116">
        <v>1.081</v>
      </c>
      <c r="O62" s="105"/>
      <c r="P62" s="105"/>
      <c r="Q62" s="105"/>
      <c r="R62" s="105"/>
      <c r="S62" s="105"/>
      <c r="T62" s="105"/>
      <c r="U62" s="105"/>
      <c r="V62" s="105"/>
      <c r="W62" s="105"/>
    </row>
    <row r="63" spans="2:23" s="5" customFormat="1" ht="13.8" x14ac:dyDescent="0.25">
      <c r="H63" s="211" t="s">
        <v>96</v>
      </c>
      <c r="I63" s="211"/>
      <c r="J63" s="211"/>
      <c r="K63" s="119">
        <f>K61-K62</f>
        <v>-6.5861578772392626E-3</v>
      </c>
      <c r="O63" s="105"/>
      <c r="P63" s="105"/>
      <c r="Q63" s="105"/>
      <c r="R63" s="105"/>
      <c r="S63" s="105"/>
      <c r="T63" s="105"/>
      <c r="U63" s="105"/>
      <c r="V63" s="105"/>
      <c r="W63" s="105"/>
    </row>
    <row r="64" spans="2:23" s="5" customFormat="1" ht="26.7" customHeight="1" thickBot="1" x14ac:dyDescent="0.3">
      <c r="B64" s="212" t="s">
        <v>97</v>
      </c>
      <c r="C64" s="212"/>
      <c r="D64" s="212"/>
      <c r="H64" s="118"/>
      <c r="I64" s="118"/>
      <c r="J64" s="118"/>
      <c r="K64" s="119"/>
      <c r="O64" s="105"/>
      <c r="P64" s="105"/>
      <c r="Q64" s="105"/>
      <c r="R64" s="105"/>
      <c r="S64" s="105"/>
      <c r="T64" s="105"/>
      <c r="U64" s="105"/>
      <c r="V64" s="105"/>
      <c r="W64" s="105"/>
    </row>
    <row r="65" spans="1:23" s="5" customFormat="1" thickBot="1" x14ac:dyDescent="0.3">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25">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25">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25">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25">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25">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
      <c r="B71" s="219"/>
      <c r="C71" s="220"/>
      <c r="D71" s="221"/>
      <c r="E71" s="120"/>
      <c r="F71" s="219"/>
      <c r="G71" s="220"/>
      <c r="H71" s="220"/>
      <c r="I71" s="220"/>
      <c r="J71" s="220"/>
      <c r="K71" s="221"/>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2" t="s">
        <v>102</v>
      </c>
      <c r="E74" s="222"/>
      <c r="F74" s="222"/>
      <c r="G74" s="222"/>
      <c r="H74" s="222"/>
      <c r="I74" s="223" t="s">
        <v>103</v>
      </c>
      <c r="J74" s="223"/>
      <c r="K74" s="223"/>
    </row>
    <row r="75" spans="1:23" s="5" customFormat="1" ht="56.4" customHeight="1" x14ac:dyDescent="0.25">
      <c r="A75" s="224" t="s">
        <v>104</v>
      </c>
      <c r="B75" s="225"/>
      <c r="C75" s="128">
        <v>-548614</v>
      </c>
      <c r="D75" s="226"/>
      <c r="E75" s="227"/>
      <c r="F75" s="227"/>
      <c r="G75" s="227"/>
      <c r="H75" s="228"/>
      <c r="I75" s="129" t="s">
        <v>105</v>
      </c>
      <c r="J75" s="229" t="s">
        <v>106</v>
      </c>
      <c r="K75" s="229"/>
    </row>
    <row r="76" spans="1:23" s="5" customFormat="1" ht="27.6" x14ac:dyDescent="0.25">
      <c r="A76" s="130" t="s">
        <v>107</v>
      </c>
      <c r="B76" s="131" t="s">
        <v>108</v>
      </c>
      <c r="C76" s="128"/>
      <c r="D76" s="205"/>
      <c r="E76" s="205"/>
      <c r="F76" s="205"/>
      <c r="G76" s="205"/>
      <c r="H76" s="205"/>
      <c r="I76" s="64"/>
      <c r="J76" s="206"/>
      <c r="K76" s="206"/>
    </row>
    <row r="77" spans="1:23" s="5" customFormat="1" ht="27.6" x14ac:dyDescent="0.25">
      <c r="A77" s="130" t="s">
        <v>109</v>
      </c>
      <c r="B77" s="131" t="s">
        <v>110</v>
      </c>
      <c r="C77" s="128"/>
      <c r="D77" s="207"/>
      <c r="E77" s="208"/>
      <c r="F77" s="208"/>
      <c r="G77" s="208"/>
      <c r="H77" s="209"/>
      <c r="I77" s="64"/>
      <c r="J77" s="206"/>
      <c r="K77" s="206"/>
      <c r="L77" s="4"/>
      <c r="M77" s="4"/>
      <c r="N77" s="4"/>
      <c r="O77" s="4"/>
    </row>
    <row r="78" spans="1:23" s="5" customFormat="1" ht="27.6" x14ac:dyDescent="0.25">
      <c r="A78" s="130" t="s">
        <v>111</v>
      </c>
      <c r="B78" s="131" t="s">
        <v>112</v>
      </c>
      <c r="C78" s="128"/>
      <c r="D78" s="205"/>
      <c r="E78" s="205"/>
      <c r="F78" s="205"/>
      <c r="G78" s="205"/>
      <c r="H78" s="205"/>
      <c r="I78" s="64"/>
      <c r="J78" s="206"/>
      <c r="K78" s="206"/>
      <c r="L78" s="4"/>
      <c r="M78" s="4"/>
      <c r="N78" s="4"/>
      <c r="O78" s="4"/>
    </row>
    <row r="79" spans="1:23" s="5" customFormat="1" ht="27.6" x14ac:dyDescent="0.25">
      <c r="A79" s="130" t="s">
        <v>113</v>
      </c>
      <c r="B79" s="131" t="s">
        <v>114</v>
      </c>
      <c r="C79" s="128"/>
      <c r="D79" s="207"/>
      <c r="E79" s="208"/>
      <c r="F79" s="208"/>
      <c r="G79" s="208"/>
      <c r="H79" s="209"/>
      <c r="I79" s="64"/>
      <c r="J79" s="206"/>
      <c r="K79" s="206"/>
      <c r="L79" s="4"/>
      <c r="M79" s="4"/>
      <c r="N79" s="4"/>
      <c r="O79" s="4"/>
    </row>
    <row r="80" spans="1:23" s="5" customFormat="1" ht="27.6" x14ac:dyDescent="0.25">
      <c r="A80" s="130" t="s">
        <v>115</v>
      </c>
      <c r="B80" s="131" t="s">
        <v>130</v>
      </c>
      <c r="C80" s="128"/>
      <c r="D80" s="205"/>
      <c r="E80" s="205"/>
      <c r="F80" s="205"/>
      <c r="G80" s="205"/>
      <c r="H80" s="205"/>
      <c r="I80" s="64"/>
      <c r="J80" s="206"/>
      <c r="K80" s="206"/>
      <c r="L80" s="4"/>
      <c r="M80" s="4"/>
      <c r="N80" s="4"/>
      <c r="O80" s="4"/>
    </row>
    <row r="81" spans="1:15" s="5" customFormat="1" ht="27.6" x14ac:dyDescent="0.25">
      <c r="A81" s="130" t="s">
        <v>117</v>
      </c>
      <c r="B81" s="131" t="s">
        <v>131</v>
      </c>
      <c r="C81" s="128"/>
      <c r="D81" s="205"/>
      <c r="E81" s="205"/>
      <c r="F81" s="205"/>
      <c r="G81" s="205"/>
      <c r="H81" s="205"/>
      <c r="I81" s="64"/>
      <c r="J81" s="206"/>
      <c r="K81" s="206"/>
      <c r="L81" s="4"/>
      <c r="M81" s="4"/>
      <c r="N81" s="4"/>
      <c r="O81" s="4"/>
    </row>
    <row r="82" spans="1:15" s="5" customFormat="1" ht="33.75" customHeight="1" x14ac:dyDescent="0.25">
      <c r="A82" s="130" t="s">
        <v>132</v>
      </c>
      <c r="B82" s="131" t="s">
        <v>121</v>
      </c>
      <c r="C82" s="128"/>
      <c r="D82" s="205"/>
      <c r="E82" s="205"/>
      <c r="F82" s="205"/>
      <c r="G82" s="205"/>
      <c r="H82" s="205"/>
      <c r="I82" s="64"/>
      <c r="J82" s="206"/>
      <c r="K82" s="206"/>
      <c r="L82" s="4"/>
      <c r="M82" s="4"/>
      <c r="N82" s="4"/>
      <c r="O82" s="4"/>
    </row>
    <row r="83" spans="1:15" s="5" customFormat="1" ht="27.6" x14ac:dyDescent="0.25">
      <c r="A83" s="132" t="s">
        <v>133</v>
      </c>
      <c r="B83" s="131" t="s">
        <v>123</v>
      </c>
      <c r="C83" s="128"/>
      <c r="D83" s="205"/>
      <c r="E83" s="205"/>
      <c r="F83" s="205"/>
      <c r="G83" s="205"/>
      <c r="H83" s="205"/>
      <c r="I83" s="64"/>
      <c r="J83" s="206"/>
      <c r="K83" s="206"/>
      <c r="L83" s="4"/>
      <c r="M83" s="4"/>
      <c r="N83" s="4"/>
      <c r="O83" s="4"/>
    </row>
    <row r="84" spans="1:15" s="5" customFormat="1" ht="13.8" x14ac:dyDescent="0.25">
      <c r="A84" s="132">
        <v>5</v>
      </c>
      <c r="B84" s="134" t="s">
        <v>134</v>
      </c>
      <c r="C84" s="128"/>
      <c r="D84" s="205"/>
      <c r="E84" s="205"/>
      <c r="F84" s="205"/>
      <c r="G84" s="205"/>
      <c r="H84" s="205"/>
      <c r="I84" s="64"/>
      <c r="J84" s="206"/>
      <c r="K84" s="206"/>
    </row>
    <row r="85" spans="1:15" s="5" customFormat="1" ht="13.8" x14ac:dyDescent="0.25">
      <c r="A85" s="132">
        <v>6</v>
      </c>
      <c r="B85" s="135" t="s">
        <v>156</v>
      </c>
      <c r="C85" s="128">
        <v>-36821</v>
      </c>
      <c r="D85" s="205"/>
      <c r="E85" s="205"/>
      <c r="F85" s="205"/>
      <c r="G85" s="205"/>
      <c r="H85" s="205"/>
      <c r="I85" s="64" t="s">
        <v>128</v>
      </c>
      <c r="J85" s="206" t="s">
        <v>157</v>
      </c>
      <c r="K85" s="206"/>
    </row>
    <row r="86" spans="1:15" s="5" customFormat="1" x14ac:dyDescent="0.3">
      <c r="A86" s="132">
        <v>7</v>
      </c>
      <c r="B86" s="157"/>
      <c r="C86" s="128"/>
      <c r="D86" s="205"/>
      <c r="E86" s="205"/>
      <c r="F86" s="205"/>
      <c r="G86" s="205"/>
      <c r="H86" s="205"/>
      <c r="I86" s="64"/>
      <c r="J86" s="206"/>
      <c r="K86" s="206"/>
    </row>
    <row r="87" spans="1:15" s="5" customFormat="1" ht="13.8" x14ac:dyDescent="0.25">
      <c r="A87" s="132">
        <v>8</v>
      </c>
      <c r="B87" s="135"/>
      <c r="C87" s="128"/>
      <c r="D87" s="207"/>
      <c r="E87" s="208"/>
      <c r="F87" s="208"/>
      <c r="G87" s="208"/>
      <c r="H87" s="209"/>
      <c r="I87" s="64"/>
      <c r="J87" s="206"/>
      <c r="K87" s="206"/>
    </row>
    <row r="88" spans="1:15" s="5" customFormat="1" ht="13.8" x14ac:dyDescent="0.25">
      <c r="A88" s="132">
        <v>9</v>
      </c>
      <c r="B88" s="135"/>
      <c r="C88" s="128"/>
      <c r="D88" s="205"/>
      <c r="E88" s="205"/>
      <c r="F88" s="205"/>
      <c r="G88" s="205"/>
      <c r="H88" s="205"/>
      <c r="I88" s="64"/>
      <c r="J88" s="206"/>
      <c r="K88" s="206"/>
    </row>
    <row r="89" spans="1:15" s="5" customFormat="1" ht="13.8" x14ac:dyDescent="0.25">
      <c r="A89" s="132">
        <v>10</v>
      </c>
      <c r="B89" s="135"/>
      <c r="C89" s="128"/>
      <c r="D89" s="205"/>
      <c r="E89" s="205"/>
      <c r="F89" s="205"/>
      <c r="G89" s="205"/>
      <c r="H89" s="205"/>
      <c r="I89" s="64"/>
      <c r="J89" s="206"/>
      <c r="K89" s="206"/>
    </row>
    <row r="90" spans="1:15" s="5" customFormat="1" ht="13.8" x14ac:dyDescent="0.25">
      <c r="A90" s="5" t="s">
        <v>125</v>
      </c>
      <c r="B90" s="65" t="s">
        <v>20</v>
      </c>
      <c r="C90" s="136">
        <f>SUM(C75:C89)</f>
        <v>-585435</v>
      </c>
      <c r="D90" s="137"/>
      <c r="E90" s="137"/>
      <c r="F90" s="137"/>
      <c r="G90" s="137"/>
    </row>
    <row r="91" spans="1:15" s="5" customFormat="1" ht="27.6" x14ac:dyDescent="0.25">
      <c r="B91" s="93" t="s">
        <v>126</v>
      </c>
      <c r="C91" s="138">
        <f>K60</f>
        <v>-578391.32422320219</v>
      </c>
      <c r="D91" s="137"/>
      <c r="E91" s="137"/>
      <c r="F91" s="137"/>
      <c r="G91" s="137"/>
    </row>
    <row r="92" spans="1:15" s="5" customFormat="1" ht="13.8" x14ac:dyDescent="0.25">
      <c r="B92" s="93" t="s">
        <v>21</v>
      </c>
      <c r="C92" s="139">
        <f>C90-C91</f>
        <v>-7043.6757767978124</v>
      </c>
    </row>
    <row r="93" spans="1:15" s="5" customFormat="1" ht="28.2" thickBot="1" x14ac:dyDescent="0.3">
      <c r="B93" s="93" t="s">
        <v>23</v>
      </c>
      <c r="C93" s="140">
        <f>IF(ISERROR(C92/J53),0,C92/J53)</f>
        <v>-1.1645977308583411E-3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sqref="C23" xr:uid="{47032659-1B0A-4481-984F-79D1B4CCEF84}">
      <formula1>"1st Estimate, 2nd Estimate, Actual"</formula1>
    </dataValidation>
    <dataValidation type="list" allowBlank="1" showInputMessage="1" showErrorMessage="1" sqref="G27 I76:I89 G25" xr:uid="{DE69B014-A8E8-47FD-92BC-ACA616430C2D}">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62CA-59B4-459F-9DD7-4129E33DB0E8}">
  <sheetPr codeName="Sheet21">
    <tabColor rgb="FFFF0000"/>
  </sheetPr>
  <dimension ref="A12:W97"/>
  <sheetViews>
    <sheetView showGridLines="0" topLeftCell="A73" zoomScale="70" zoomScaleNormal="70" workbookViewId="0">
      <selection activeCell="E93" sqref="E93"/>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31" t="s">
        <v>16</v>
      </c>
      <c r="C13" s="231"/>
      <c r="D13" s="52">
        <v>2019</v>
      </c>
      <c r="E13" s="232"/>
      <c r="F13" s="233"/>
      <c r="G13" s="4"/>
      <c r="H13" s="4"/>
      <c r="I13" s="4"/>
      <c r="J13" s="4"/>
      <c r="K13" s="4"/>
      <c r="L13" s="4"/>
      <c r="M13" s="4"/>
      <c r="N13" s="4"/>
      <c r="O13" s="4"/>
      <c r="P13" s="4"/>
      <c r="Q13" s="4"/>
    </row>
    <row r="14" spans="1:19" s="5" customFormat="1" thickBot="1" x14ac:dyDescent="0.3">
      <c r="A14" s="4"/>
      <c r="B14" s="54" t="s">
        <v>30</v>
      </c>
      <c r="C14" s="55" t="s">
        <v>31</v>
      </c>
      <c r="D14" s="144">
        <f>D15+D16</f>
        <v>248201620.03099999</v>
      </c>
      <c r="E14" s="55" t="s">
        <v>32</v>
      </c>
      <c r="F14" s="57">
        <v>1</v>
      </c>
      <c r="G14" s="4"/>
      <c r="H14" s="4"/>
      <c r="I14" s="4"/>
      <c r="J14" s="4"/>
      <c r="K14" s="4"/>
      <c r="L14" s="4"/>
      <c r="M14" s="4"/>
      <c r="N14" s="4"/>
      <c r="O14" s="4"/>
      <c r="P14" s="4"/>
      <c r="Q14" s="4"/>
    </row>
    <row r="15" spans="1:19" s="5" customFormat="1" thickBot="1" x14ac:dyDescent="0.3">
      <c r="B15" s="54" t="s">
        <v>33</v>
      </c>
      <c r="C15" s="55" t="s">
        <v>34</v>
      </c>
      <c r="D15" s="144">
        <v>120782532.83999999</v>
      </c>
      <c r="E15" s="55" t="s">
        <v>32</v>
      </c>
      <c r="F15" s="59">
        <f>IFERROR(D15/$D$14,0)</f>
        <v>0.48663071911019129</v>
      </c>
    </row>
    <row r="16" spans="1:19" s="5" customFormat="1" thickBot="1" x14ac:dyDescent="0.3">
      <c r="B16" s="54" t="s">
        <v>35</v>
      </c>
      <c r="C16" s="55" t="s">
        <v>36</v>
      </c>
      <c r="D16" s="144">
        <f>SUM(D17:D18)</f>
        <v>127419087.191</v>
      </c>
      <c r="E16" s="55" t="s">
        <v>32</v>
      </c>
      <c r="F16" s="59">
        <f>IFERROR(D16/$D$14,0)</f>
        <v>0.51336928088980871</v>
      </c>
    </row>
    <row r="17" spans="1:8" s="5" customFormat="1" thickBot="1" x14ac:dyDescent="0.3">
      <c r="B17" s="54" t="s">
        <v>37</v>
      </c>
      <c r="C17" s="55" t="s">
        <v>38</v>
      </c>
      <c r="D17" s="144">
        <v>17484405.890000001</v>
      </c>
      <c r="E17" s="55" t="s">
        <v>32</v>
      </c>
      <c r="F17" s="59">
        <f>IFERROR(D17/$D$14,0)</f>
        <v>7.0444366510646575E-2</v>
      </c>
    </row>
    <row r="18" spans="1:8" s="5" customFormat="1" thickBot="1" x14ac:dyDescent="0.3">
      <c r="B18" s="54" t="s">
        <v>39</v>
      </c>
      <c r="C18" s="55" t="s">
        <v>40</v>
      </c>
      <c r="D18" s="144">
        <v>109934681.301</v>
      </c>
      <c r="E18" s="55" t="s">
        <v>32</v>
      </c>
      <c r="F18" s="59">
        <f>IFERROR(D18/$D$14,0)</f>
        <v>0.44292491437916209</v>
      </c>
    </row>
    <row r="19" spans="1:8" s="5" customFormat="1" ht="34.5" customHeight="1" x14ac:dyDescent="0.25">
      <c r="B19" s="234" t="s">
        <v>41</v>
      </c>
      <c r="C19" s="234"/>
      <c r="D19" s="234"/>
      <c r="E19" s="234"/>
      <c r="F19" s="234"/>
      <c r="G19" s="235"/>
      <c r="H19" s="235"/>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36" t="s">
        <v>45</v>
      </c>
      <c r="C25" s="237"/>
      <c r="D25" s="237"/>
      <c r="E25" s="237"/>
      <c r="F25" s="237"/>
      <c r="G25" s="64" t="s">
        <v>128</v>
      </c>
    </row>
    <row r="26" spans="1:8" s="5" customFormat="1" ht="13.8" x14ac:dyDescent="0.25">
      <c r="E26" s="4"/>
    </row>
    <row r="27" spans="1:8" s="5" customFormat="1" x14ac:dyDescent="0.3">
      <c r="B27" s="236" t="s">
        <v>46</v>
      </c>
      <c r="C27" s="237"/>
      <c r="D27" s="237"/>
      <c r="E27" s="237"/>
      <c r="F27" s="237"/>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2018</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51">
        <v>4989787.0603869995</v>
      </c>
      <c r="D41" s="152"/>
      <c r="E41" s="81"/>
      <c r="F41" s="82">
        <f>C41-D41+E41</f>
        <v>4989787.0603869995</v>
      </c>
      <c r="G41" s="83">
        <f>IF($C$23="1st Estimate",'[6]GA Rates'!J4,IF($C$23="2nd Estimate",'[6]GA Rates'!G4,IF($C$23="Actual",'[6]GA Rates'!H4,0)))</f>
        <v>8.7770000000000001E-2</v>
      </c>
      <c r="H41" s="84">
        <f>F41*G41</f>
        <v>437953.61029016692</v>
      </c>
      <c r="I41" s="83">
        <f>'[6]GA Rates'!L4</f>
        <v>6.7360000000000003E-2</v>
      </c>
      <c r="J41" s="85">
        <f>F41*I41</f>
        <v>336112.0563876683</v>
      </c>
      <c r="K41" s="86">
        <f>J41-H41</f>
        <v>-101841.55390249862</v>
      </c>
      <c r="N41"/>
      <c r="O41"/>
      <c r="P41"/>
      <c r="Q41"/>
      <c r="R41"/>
      <c r="S41"/>
      <c r="T41"/>
      <c r="U41"/>
      <c r="V41"/>
      <c r="W41"/>
    </row>
    <row r="42" spans="1:23" s="5" customFormat="1" x14ac:dyDescent="0.3">
      <c r="B42" s="79" t="s">
        <v>69</v>
      </c>
      <c r="C42" s="151">
        <v>3403589.7369690007</v>
      </c>
      <c r="D42" s="152"/>
      <c r="E42" s="81"/>
      <c r="F42" s="82">
        <f t="shared" ref="F42:F52" si="0">C42-D42+E42</f>
        <v>3403589.7369690007</v>
      </c>
      <c r="G42" s="83">
        <f>IF($C$23="1st Estimate",'[6]GA Rates'!J5,IF($C$23="2nd Estimate",'[6]GA Rates'!G5,IF($C$23="Actual",'[6]GA Rates'!H5,0)))</f>
        <v>7.3329999999999992E-2</v>
      </c>
      <c r="H42" s="84">
        <f t="shared" ref="H42:H52" si="1">F42*G42</f>
        <v>249585.2354119368</v>
      </c>
      <c r="I42" s="83">
        <f>'[6]GA Rates'!L5</f>
        <v>8.1670000000000006E-2</v>
      </c>
      <c r="J42" s="85">
        <f t="shared" ref="J42:J52" si="2">F42*I42</f>
        <v>277971.17381825828</v>
      </c>
      <c r="K42" s="86">
        <f t="shared" ref="K42:K52" si="3">J42-H42</f>
        <v>28385.938406321482</v>
      </c>
      <c r="N42"/>
      <c r="O42"/>
      <c r="P42"/>
      <c r="Q42"/>
      <c r="R42"/>
      <c r="S42"/>
      <c r="T42"/>
      <c r="U42"/>
      <c r="V42"/>
      <c r="W42"/>
    </row>
    <row r="43" spans="1:23" s="5" customFormat="1" x14ac:dyDescent="0.3">
      <c r="B43" s="79" t="s">
        <v>70</v>
      </c>
      <c r="C43" s="151">
        <v>4450104.9443820007</v>
      </c>
      <c r="D43" s="152"/>
      <c r="E43" s="81"/>
      <c r="F43" s="82">
        <f t="shared" si="0"/>
        <v>4450104.9443820007</v>
      </c>
      <c r="G43" s="83">
        <f>IF($C$23="1st Estimate",'[6]GA Rates'!J6,IF($C$23="2nd Estimate",'[6]GA Rates'!G6,IF($C$23="Actual",'[6]GA Rates'!H6,0)))</f>
        <v>7.8769999999999993E-2</v>
      </c>
      <c r="H43" s="84">
        <f t="shared" si="1"/>
        <v>350534.76646897016</v>
      </c>
      <c r="I43" s="83">
        <f>'[6]GA Rates'!L6</f>
        <v>9.4810000000000005E-2</v>
      </c>
      <c r="J43" s="85">
        <f t="shared" si="2"/>
        <v>421914.44977685751</v>
      </c>
      <c r="K43" s="86">
        <f t="shared" si="3"/>
        <v>71379.683307887346</v>
      </c>
      <c r="N43"/>
      <c r="O43"/>
      <c r="P43"/>
      <c r="Q43"/>
      <c r="R43"/>
      <c r="S43"/>
      <c r="T43"/>
      <c r="U43"/>
      <c r="V43"/>
      <c r="W43"/>
    </row>
    <row r="44" spans="1:23" s="5" customFormat="1" x14ac:dyDescent="0.3">
      <c r="B44" s="79" t="s">
        <v>71</v>
      </c>
      <c r="C44" s="151">
        <v>4003257.0272450005</v>
      </c>
      <c r="D44" s="152"/>
      <c r="E44" s="81"/>
      <c r="F44" s="82">
        <f t="shared" si="0"/>
        <v>4003257.0272450005</v>
      </c>
      <c r="G44" s="83">
        <f>IF($C$23="1st Estimate",'[6]GA Rates'!J7,IF($C$23="2nd Estimate",'[6]GA Rates'!G7,IF($C$23="Actual",'[6]GA Rates'!H7,0)))</f>
        <v>9.8099999999999993E-2</v>
      </c>
      <c r="H44" s="84">
        <f t="shared" si="1"/>
        <v>392719.51437273453</v>
      </c>
      <c r="I44" s="83">
        <f>'[6]GA Rates'!L7</f>
        <v>9.9589999999999998E-2</v>
      </c>
      <c r="J44" s="85">
        <f t="shared" si="2"/>
        <v>398684.36734332959</v>
      </c>
      <c r="K44" s="86">
        <f t="shared" si="3"/>
        <v>5964.8529705950641</v>
      </c>
      <c r="N44"/>
      <c r="O44"/>
      <c r="P44"/>
      <c r="Q44"/>
      <c r="R44"/>
      <c r="S44"/>
      <c r="T44"/>
      <c r="U44"/>
      <c r="V44"/>
      <c r="W44"/>
    </row>
    <row r="45" spans="1:23" s="5" customFormat="1" x14ac:dyDescent="0.3">
      <c r="B45" s="79" t="s">
        <v>72</v>
      </c>
      <c r="C45" s="151">
        <v>4469435.1722179996</v>
      </c>
      <c r="D45" s="152"/>
      <c r="E45" s="81"/>
      <c r="F45" s="82">
        <f t="shared" si="0"/>
        <v>4469435.1722179996</v>
      </c>
      <c r="G45" s="83">
        <f>IF($C$23="1st Estimate",'[6]GA Rates'!J8,IF($C$23="2nd Estimate",'[6]GA Rates'!G8,IF($C$23="Actual",'[6]GA Rates'!H8,0)))</f>
        <v>9.3920000000000003E-2</v>
      </c>
      <c r="H45" s="84">
        <f t="shared" si="1"/>
        <v>419769.35137471452</v>
      </c>
      <c r="I45" s="83">
        <f>'[6]GA Rates'!L8</f>
        <v>0.10793000000000001</v>
      </c>
      <c r="J45" s="85">
        <f t="shared" si="2"/>
        <v>482386.13813748874</v>
      </c>
      <c r="K45" s="86">
        <f t="shared" si="3"/>
        <v>62616.786762774223</v>
      </c>
      <c r="N45"/>
      <c r="O45"/>
      <c r="P45"/>
      <c r="Q45"/>
      <c r="R45"/>
      <c r="S45"/>
      <c r="T45"/>
      <c r="U45"/>
      <c r="V45"/>
      <c r="W45"/>
    </row>
    <row r="46" spans="1:23" s="5" customFormat="1" x14ac:dyDescent="0.3">
      <c r="B46" s="79" t="s">
        <v>73</v>
      </c>
      <c r="C46" s="151">
        <v>4348875.8973019999</v>
      </c>
      <c r="D46" s="152"/>
      <c r="E46" s="81"/>
      <c r="F46" s="82">
        <f t="shared" si="0"/>
        <v>4348875.8973019999</v>
      </c>
      <c r="G46" s="83">
        <f>IF($C$23="1st Estimate",'[6]GA Rates'!J9,IF($C$23="2nd Estimate",'[6]GA Rates'!G9,IF($C$23="Actual",'[6]GA Rates'!H9,0)))</f>
        <v>0.13336000000000001</v>
      </c>
      <c r="H46" s="84">
        <f t="shared" si="1"/>
        <v>579966.08966419473</v>
      </c>
      <c r="I46" s="83">
        <f>'[6]GA Rates'!L9</f>
        <v>0.11896</v>
      </c>
      <c r="J46" s="85">
        <f t="shared" si="2"/>
        <v>517342.27674304589</v>
      </c>
      <c r="K46" s="86">
        <f t="shared" si="3"/>
        <v>-62623.812921148841</v>
      </c>
      <c r="N46"/>
      <c r="O46"/>
      <c r="P46"/>
      <c r="Q46"/>
      <c r="R46"/>
      <c r="S46"/>
      <c r="T46"/>
      <c r="U46"/>
      <c r="V46"/>
      <c r="W46"/>
    </row>
    <row r="47" spans="1:23" s="5" customFormat="1" x14ac:dyDescent="0.3">
      <c r="B47" s="79" t="s">
        <v>74</v>
      </c>
      <c r="C47" s="151">
        <v>4436286.1992520001</v>
      </c>
      <c r="D47" s="152"/>
      <c r="E47" s="81"/>
      <c r="F47" s="82">
        <f t="shared" si="0"/>
        <v>4436286.1992520001</v>
      </c>
      <c r="G47" s="83">
        <f>IF($C$23="1st Estimate",'[6]GA Rates'!J10,IF($C$23="2nd Estimate",'[6]GA Rates'!G10,IF($C$23="Actual",'[6]GA Rates'!H10,0)))</f>
        <v>8.5019999999999998E-2</v>
      </c>
      <c r="H47" s="84">
        <f t="shared" si="1"/>
        <v>377173.05266040505</v>
      </c>
      <c r="I47" s="83">
        <f>'[6]GA Rates'!L10</f>
        <v>7.7370000000000008E-2</v>
      </c>
      <c r="J47" s="85">
        <f t="shared" si="2"/>
        <v>343235.46323612728</v>
      </c>
      <c r="K47" s="86">
        <f t="shared" si="3"/>
        <v>-33937.589424277772</v>
      </c>
      <c r="N47"/>
      <c r="O47"/>
      <c r="P47"/>
      <c r="Q47"/>
      <c r="R47"/>
      <c r="S47"/>
      <c r="T47"/>
      <c r="U47"/>
      <c r="V47"/>
      <c r="W47"/>
    </row>
    <row r="48" spans="1:23" s="5" customFormat="1" x14ac:dyDescent="0.3">
      <c r="B48" s="79" t="s">
        <v>75</v>
      </c>
      <c r="C48" s="151">
        <v>4818622.8156700004</v>
      </c>
      <c r="D48" s="152"/>
      <c r="E48" s="81"/>
      <c r="F48" s="82">
        <f t="shared" si="0"/>
        <v>4818622.8156700004</v>
      </c>
      <c r="G48" s="83">
        <f>IF($C$23="1st Estimate",'[6]GA Rates'!J11,IF($C$23="2nd Estimate",'[6]GA Rates'!G11,IF($C$23="Actual",'[6]GA Rates'!H11,0)))</f>
        <v>7.7900000000000011E-2</v>
      </c>
      <c r="H48" s="84">
        <f t="shared" si="1"/>
        <v>375370.71734069311</v>
      </c>
      <c r="I48" s="83">
        <f>'[6]GA Rates'!L11</f>
        <v>7.4900000000000008E-2</v>
      </c>
      <c r="J48" s="85">
        <f t="shared" si="2"/>
        <v>360914.84889368305</v>
      </c>
      <c r="K48" s="86">
        <f t="shared" si="3"/>
        <v>-14455.868447010056</v>
      </c>
      <c r="N48"/>
      <c r="O48"/>
      <c r="P48"/>
      <c r="Q48"/>
      <c r="R48"/>
      <c r="S48"/>
      <c r="T48"/>
      <c r="U48"/>
      <c r="V48"/>
      <c r="W48"/>
    </row>
    <row r="49" spans="2:23" s="5" customFormat="1" x14ac:dyDescent="0.3">
      <c r="B49" s="79" t="s">
        <v>76</v>
      </c>
      <c r="C49" s="151">
        <v>4111557.4902100009</v>
      </c>
      <c r="D49" s="152"/>
      <c r="E49" s="81"/>
      <c r="F49" s="82">
        <f t="shared" si="0"/>
        <v>4111557.4902100009</v>
      </c>
      <c r="G49" s="83">
        <f>IF($C$23="1st Estimate",'[6]GA Rates'!J12,IF($C$23="2nd Estimate",'[6]GA Rates'!G12,IF($C$23="Actual",'[6]GA Rates'!H12,0)))</f>
        <v>8.4239999999999995E-2</v>
      </c>
      <c r="H49" s="84">
        <f t="shared" si="1"/>
        <v>346357.60297529044</v>
      </c>
      <c r="I49" s="83">
        <f>'[6]GA Rates'!L12</f>
        <v>8.584E-2</v>
      </c>
      <c r="J49" s="85">
        <f t="shared" si="2"/>
        <v>352936.0949596265</v>
      </c>
      <c r="K49" s="86">
        <f t="shared" si="3"/>
        <v>6578.4919843360549</v>
      </c>
      <c r="N49"/>
      <c r="O49"/>
      <c r="P49"/>
      <c r="Q49"/>
      <c r="R49"/>
      <c r="S49"/>
      <c r="T49"/>
      <c r="U49"/>
      <c r="V49"/>
      <c r="W49"/>
    </row>
    <row r="50" spans="2:23" s="5" customFormat="1" x14ac:dyDescent="0.3">
      <c r="B50" s="79" t="s">
        <v>77</v>
      </c>
      <c r="C50" s="151">
        <v>4725322.4037439991</v>
      </c>
      <c r="D50" s="152"/>
      <c r="E50" s="81"/>
      <c r="F50" s="82">
        <f t="shared" si="0"/>
        <v>4725322.4037439991</v>
      </c>
      <c r="G50" s="83">
        <f>IF($C$23="1st Estimate",'[6]GA Rates'!J13,IF($C$23="2nd Estimate",'[6]GA Rates'!G13,IF($C$23="Actual",'[6]GA Rates'!H13,0)))</f>
        <v>8.9209999999999998E-2</v>
      </c>
      <c r="H50" s="84">
        <f t="shared" si="1"/>
        <v>421546.01163800212</v>
      </c>
      <c r="I50" s="83">
        <f>'[6]GA Rates'!L13</f>
        <v>0.12059</v>
      </c>
      <c r="J50" s="85">
        <f t="shared" si="2"/>
        <v>569826.62866748881</v>
      </c>
      <c r="K50" s="86">
        <f t="shared" si="3"/>
        <v>148280.61702948669</v>
      </c>
      <c r="N50"/>
      <c r="O50"/>
      <c r="P50"/>
      <c r="Q50"/>
      <c r="R50"/>
      <c r="S50"/>
      <c r="T50"/>
      <c r="U50"/>
      <c r="V50"/>
      <c r="W50"/>
    </row>
    <row r="51" spans="2:23" s="5" customFormat="1" x14ac:dyDescent="0.3">
      <c r="B51" s="79" t="s">
        <v>78</v>
      </c>
      <c r="C51" s="151">
        <v>4138216.0148789999</v>
      </c>
      <c r="D51" s="152"/>
      <c r="E51" s="81"/>
      <c r="F51" s="82">
        <f t="shared" si="0"/>
        <v>4138216.0148789999</v>
      </c>
      <c r="G51" s="83">
        <f>IF($C$23="1st Estimate",'[6]GA Rates'!J14,IF($C$23="2nd Estimate",'[6]GA Rates'!G14,IF($C$23="Actual",'[6]GA Rates'!H14,0)))</f>
        <v>0.12235</v>
      </c>
      <c r="H51" s="84">
        <f t="shared" si="1"/>
        <v>506310.72942044563</v>
      </c>
      <c r="I51" s="83">
        <f>'[6]GA Rates'!L14</f>
        <v>9.8549999999999999E-2</v>
      </c>
      <c r="J51" s="85">
        <f t="shared" si="2"/>
        <v>407821.18826632545</v>
      </c>
      <c r="K51" s="86">
        <f t="shared" si="3"/>
        <v>-98489.541154120176</v>
      </c>
      <c r="N51"/>
      <c r="O51"/>
      <c r="P51"/>
      <c r="Q51"/>
      <c r="R51"/>
      <c r="S51"/>
      <c r="T51"/>
      <c r="U51"/>
      <c r="V51"/>
      <c r="W51"/>
    </row>
    <row r="52" spans="2:23" s="5" customFormat="1" x14ac:dyDescent="0.3">
      <c r="B52" s="79" t="s">
        <v>79</v>
      </c>
      <c r="C52" s="151">
        <v>4163810.5875029997</v>
      </c>
      <c r="D52" s="152"/>
      <c r="E52" s="81"/>
      <c r="F52" s="82">
        <f t="shared" si="0"/>
        <v>4163810.5875029997</v>
      </c>
      <c r="G52" s="83">
        <f>IF($C$23="1st Estimate",'[6]GA Rates'!J15,IF($C$23="2nd Estimate",'[6]GA Rates'!G15,IF($C$23="Actual",'[6]GA Rates'!H15,0)))</f>
        <v>9.1980000000000006E-2</v>
      </c>
      <c r="H52" s="84">
        <f t="shared" si="1"/>
        <v>382987.29783852596</v>
      </c>
      <c r="I52" s="83">
        <f>'[6]GA Rates'!L15</f>
        <v>7.4040000000000009E-2</v>
      </c>
      <c r="J52" s="85">
        <f t="shared" si="2"/>
        <v>308288.53589872213</v>
      </c>
      <c r="K52" s="86">
        <f t="shared" si="3"/>
        <v>-74698.761939803837</v>
      </c>
      <c r="N52"/>
      <c r="O52"/>
      <c r="P52"/>
      <c r="Q52"/>
      <c r="R52"/>
      <c r="S52"/>
      <c r="T52"/>
      <c r="U52"/>
      <c r="V52"/>
      <c r="W52"/>
    </row>
    <row r="53" spans="2:23" s="5" customFormat="1" ht="28.8" thickBot="1" x14ac:dyDescent="0.35">
      <c r="B53" s="88" t="s">
        <v>80</v>
      </c>
      <c r="C53" s="89">
        <f>SUM(C41:C52)</f>
        <v>52058865.349761009</v>
      </c>
      <c r="D53" s="89">
        <f>SUM(D41:D52)</f>
        <v>0</v>
      </c>
      <c r="E53" s="89">
        <f>SUM(E41:E52)</f>
        <v>0</v>
      </c>
      <c r="F53" s="89">
        <f>SUM(F41:F52)</f>
        <v>52058865.349761009</v>
      </c>
      <c r="G53" s="90"/>
      <c r="H53" s="91">
        <f>SUM(H41:H52)</f>
        <v>4840273.9794560792</v>
      </c>
      <c r="I53" s="90"/>
      <c r="J53" s="91">
        <f>SUM(J41:J52)</f>
        <v>4777433.2221286213</v>
      </c>
      <c r="K53" s="92">
        <f>SUM(K41:K52)</f>
        <v>-62840.757327458443</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107632108.74505177</v>
      </c>
      <c r="H57" s="154">
        <f>F53+66200166</f>
        <v>118259031.34976101</v>
      </c>
      <c r="I57" s="107">
        <f>G57-H57</f>
        <v>-10626922.604709238</v>
      </c>
      <c r="J57" s="155">
        <v>8.2234433717916375E-2</v>
      </c>
      <c r="K57" s="109">
        <f>I57*J57</f>
        <v>-873898.96256238909</v>
      </c>
      <c r="O57" s="105"/>
      <c r="P57" s="105"/>
      <c r="Q57" s="105"/>
      <c r="R57" s="105"/>
      <c r="S57" s="105"/>
      <c r="T57" s="105"/>
      <c r="U57" s="105"/>
      <c r="V57" s="105"/>
      <c r="W57" s="105"/>
    </row>
    <row r="58" spans="2:23" s="5" customFormat="1" ht="35.700000000000003" customHeight="1" x14ac:dyDescent="0.25">
      <c r="G58" s="230" t="s">
        <v>91</v>
      </c>
      <c r="H58" s="230"/>
      <c r="I58" s="230"/>
      <c r="J58" s="230"/>
      <c r="K58" s="230"/>
      <c r="O58" s="105"/>
      <c r="P58" s="105"/>
      <c r="Q58" s="105"/>
      <c r="R58" s="105"/>
      <c r="S58" s="105"/>
      <c r="T58" s="105"/>
      <c r="U58" s="105"/>
      <c r="V58" s="105"/>
      <c r="W58" s="105"/>
    </row>
    <row r="59" spans="2:23" s="5" customFormat="1" ht="47.4" customHeight="1" thickBot="1" x14ac:dyDescent="0.3">
      <c r="G59" s="210" t="s">
        <v>129</v>
      </c>
      <c r="H59" s="210"/>
      <c r="I59" s="210"/>
      <c r="J59" s="210"/>
      <c r="K59" s="210"/>
      <c r="O59" s="105"/>
      <c r="P59" s="105"/>
      <c r="Q59" s="105"/>
      <c r="R59" s="105"/>
      <c r="S59" s="105"/>
      <c r="T59" s="105"/>
      <c r="U59" s="105"/>
      <c r="V59" s="105"/>
      <c r="W59" s="105"/>
    </row>
    <row r="60" spans="2:23" s="5" customFormat="1" thickBot="1" x14ac:dyDescent="0.3">
      <c r="G60" s="110"/>
      <c r="H60" s="111"/>
      <c r="I60" s="112"/>
      <c r="J60" s="113" t="s">
        <v>93</v>
      </c>
      <c r="K60" s="114">
        <f>K53+K57</f>
        <v>-936739.71988984756</v>
      </c>
      <c r="O60" s="105"/>
      <c r="P60" s="105"/>
      <c r="Q60" s="105"/>
      <c r="R60" s="105"/>
      <c r="S60" s="105"/>
      <c r="T60" s="105"/>
      <c r="U60" s="105"/>
      <c r="V60" s="105"/>
      <c r="W60" s="105"/>
    </row>
    <row r="61" spans="2:23" s="5" customFormat="1" ht="45.6" customHeight="1" x14ac:dyDescent="0.25">
      <c r="H61" s="211" t="s">
        <v>94</v>
      </c>
      <c r="I61" s="211"/>
      <c r="J61" s="211"/>
      <c r="K61" s="156">
        <f>IFERROR(H57/D18,0)</f>
        <v>1.0757208730697916</v>
      </c>
      <c r="O61" s="105"/>
      <c r="P61" s="105"/>
      <c r="Q61" s="105"/>
      <c r="R61" s="105"/>
      <c r="S61" s="105"/>
      <c r="T61" s="105"/>
      <c r="U61" s="105"/>
      <c r="V61" s="105"/>
      <c r="W61" s="105"/>
    </row>
    <row r="62" spans="2:23" s="5" customFormat="1" ht="30" customHeight="1" x14ac:dyDescent="0.25">
      <c r="H62" s="211" t="s">
        <v>95</v>
      </c>
      <c r="I62" s="211"/>
      <c r="J62" s="211"/>
      <c r="K62" s="116">
        <v>1.081</v>
      </c>
      <c r="O62" s="105"/>
      <c r="P62" s="105"/>
      <c r="Q62" s="105"/>
      <c r="R62" s="105"/>
      <c r="S62" s="105"/>
      <c r="T62" s="105"/>
      <c r="U62" s="105"/>
      <c r="V62" s="105"/>
      <c r="W62" s="105"/>
    </row>
    <row r="63" spans="2:23" s="5" customFormat="1" ht="13.8" x14ac:dyDescent="0.25">
      <c r="H63" s="211" t="s">
        <v>96</v>
      </c>
      <c r="I63" s="211"/>
      <c r="J63" s="211"/>
      <c r="K63" s="119">
        <f>K61-K62</f>
        <v>-5.2791269302083776E-3</v>
      </c>
      <c r="O63" s="105"/>
      <c r="P63" s="105"/>
      <c r="Q63" s="105"/>
      <c r="R63" s="105"/>
      <c r="S63" s="105"/>
      <c r="T63" s="105"/>
      <c r="U63" s="105"/>
      <c r="V63" s="105"/>
      <c r="W63" s="105"/>
    </row>
    <row r="64" spans="2:23" s="5" customFormat="1" ht="26.7" customHeight="1" thickBot="1" x14ac:dyDescent="0.3">
      <c r="B64" s="212" t="s">
        <v>97</v>
      </c>
      <c r="C64" s="212"/>
      <c r="D64" s="212"/>
      <c r="H64" s="118"/>
      <c r="I64" s="118"/>
      <c r="J64" s="118"/>
      <c r="K64" s="119"/>
      <c r="O64" s="105"/>
      <c r="P64" s="105"/>
      <c r="Q64" s="105"/>
      <c r="R64" s="105"/>
      <c r="S64" s="105"/>
      <c r="T64" s="105"/>
      <c r="U64" s="105"/>
      <c r="V64" s="105"/>
      <c r="W64" s="105"/>
    </row>
    <row r="65" spans="1:23" s="5" customFormat="1" thickBot="1" x14ac:dyDescent="0.3">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25">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25">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25">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25">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25">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
      <c r="B71" s="219"/>
      <c r="C71" s="220"/>
      <c r="D71" s="221"/>
      <c r="E71" s="120"/>
      <c r="F71" s="219"/>
      <c r="G71" s="220"/>
      <c r="H71" s="220"/>
      <c r="I71" s="220"/>
      <c r="J71" s="220"/>
      <c r="K71" s="221"/>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2" t="s">
        <v>102</v>
      </c>
      <c r="E74" s="222"/>
      <c r="F74" s="222"/>
      <c r="G74" s="222"/>
      <c r="H74" s="222"/>
      <c r="I74" s="223" t="s">
        <v>103</v>
      </c>
      <c r="J74" s="223"/>
      <c r="K74" s="223"/>
    </row>
    <row r="75" spans="1:23" s="5" customFormat="1" ht="56.4" customHeight="1" x14ac:dyDescent="0.25">
      <c r="A75" s="224" t="s">
        <v>104</v>
      </c>
      <c r="B75" s="225"/>
      <c r="C75" s="128">
        <v>-940499</v>
      </c>
      <c r="D75" s="226"/>
      <c r="E75" s="227"/>
      <c r="F75" s="227"/>
      <c r="G75" s="227"/>
      <c r="H75" s="228"/>
      <c r="I75" s="129" t="s">
        <v>105</v>
      </c>
      <c r="J75" s="229" t="s">
        <v>106</v>
      </c>
      <c r="K75" s="229"/>
    </row>
    <row r="76" spans="1:23" s="5" customFormat="1" ht="27.6" x14ac:dyDescent="0.25">
      <c r="A76" s="130" t="s">
        <v>107</v>
      </c>
      <c r="B76" s="131" t="s">
        <v>108</v>
      </c>
      <c r="C76" s="128"/>
      <c r="D76" s="205"/>
      <c r="E76" s="205"/>
      <c r="F76" s="205"/>
      <c r="G76" s="205"/>
      <c r="H76" s="205"/>
      <c r="I76" s="64"/>
      <c r="J76" s="206"/>
      <c r="K76" s="206"/>
    </row>
    <row r="77" spans="1:23" s="5" customFormat="1" ht="27.6" x14ac:dyDescent="0.25">
      <c r="A77" s="130" t="s">
        <v>109</v>
      </c>
      <c r="B77" s="131" t="s">
        <v>110</v>
      </c>
      <c r="C77" s="128"/>
      <c r="D77" s="207"/>
      <c r="E77" s="208"/>
      <c r="F77" s="208"/>
      <c r="G77" s="208"/>
      <c r="H77" s="209"/>
      <c r="I77" s="64"/>
      <c r="J77" s="206"/>
      <c r="K77" s="206"/>
      <c r="L77" s="4"/>
      <c r="M77" s="4"/>
      <c r="N77" s="4"/>
      <c r="O77" s="4"/>
    </row>
    <row r="78" spans="1:23" s="5" customFormat="1" ht="27.6" x14ac:dyDescent="0.25">
      <c r="A78" s="130" t="s">
        <v>111</v>
      </c>
      <c r="B78" s="131" t="s">
        <v>112</v>
      </c>
      <c r="C78" s="128"/>
      <c r="D78" s="205"/>
      <c r="E78" s="205"/>
      <c r="F78" s="205"/>
      <c r="G78" s="205"/>
      <c r="H78" s="205"/>
      <c r="I78" s="64"/>
      <c r="J78" s="206"/>
      <c r="K78" s="206"/>
      <c r="L78" s="4"/>
      <c r="M78" s="4"/>
      <c r="N78" s="4"/>
      <c r="O78" s="4"/>
    </row>
    <row r="79" spans="1:23" s="5" customFormat="1" ht="27.6" x14ac:dyDescent="0.25">
      <c r="A79" s="130" t="s">
        <v>113</v>
      </c>
      <c r="B79" s="131" t="s">
        <v>114</v>
      </c>
      <c r="C79" s="128"/>
      <c r="D79" s="207"/>
      <c r="E79" s="208"/>
      <c r="F79" s="208"/>
      <c r="G79" s="208"/>
      <c r="H79" s="209"/>
      <c r="I79" s="64"/>
      <c r="J79" s="206"/>
      <c r="K79" s="206"/>
      <c r="L79" s="4"/>
      <c r="M79" s="4"/>
      <c r="N79" s="4"/>
      <c r="O79" s="4"/>
    </row>
    <row r="80" spans="1:23" s="5" customFormat="1" ht="27.6" x14ac:dyDescent="0.25">
      <c r="A80" s="130" t="s">
        <v>115</v>
      </c>
      <c r="B80" s="131" t="s">
        <v>130</v>
      </c>
      <c r="C80" s="128"/>
      <c r="D80" s="205"/>
      <c r="E80" s="205"/>
      <c r="F80" s="205"/>
      <c r="G80" s="205"/>
      <c r="H80" s="205"/>
      <c r="I80" s="64"/>
      <c r="J80" s="206"/>
      <c r="K80" s="206"/>
      <c r="L80" s="4"/>
      <c r="M80" s="4"/>
      <c r="N80" s="4"/>
      <c r="O80" s="4"/>
    </row>
    <row r="81" spans="1:15" s="5" customFormat="1" ht="27.6" x14ac:dyDescent="0.25">
      <c r="A81" s="130" t="s">
        <v>117</v>
      </c>
      <c r="B81" s="131" t="s">
        <v>131</v>
      </c>
      <c r="C81" s="128"/>
      <c r="D81" s="205"/>
      <c r="E81" s="205"/>
      <c r="F81" s="205"/>
      <c r="G81" s="205"/>
      <c r="H81" s="205"/>
      <c r="I81" s="64"/>
      <c r="J81" s="206"/>
      <c r="K81" s="206"/>
      <c r="L81" s="4"/>
      <c r="M81" s="4"/>
      <c r="N81" s="4"/>
      <c r="O81" s="4"/>
    </row>
    <row r="82" spans="1:15" s="5" customFormat="1" ht="33.75" customHeight="1" x14ac:dyDescent="0.25">
      <c r="A82" s="130" t="s">
        <v>132</v>
      </c>
      <c r="B82" s="131" t="s">
        <v>121</v>
      </c>
      <c r="C82" s="128"/>
      <c r="D82" s="205"/>
      <c r="E82" s="205"/>
      <c r="F82" s="205"/>
      <c r="G82" s="205"/>
      <c r="H82" s="205"/>
      <c r="I82" s="64"/>
      <c r="J82" s="206"/>
      <c r="K82" s="206"/>
      <c r="L82" s="4"/>
      <c r="M82" s="4"/>
      <c r="N82" s="4"/>
      <c r="O82" s="4"/>
    </row>
    <row r="83" spans="1:15" s="5" customFormat="1" ht="27.6" x14ac:dyDescent="0.25">
      <c r="A83" s="132" t="s">
        <v>133</v>
      </c>
      <c r="B83" s="131" t="s">
        <v>123</v>
      </c>
      <c r="C83" s="128"/>
      <c r="D83" s="205"/>
      <c r="E83" s="205"/>
      <c r="F83" s="205"/>
      <c r="G83" s="205"/>
      <c r="H83" s="205"/>
      <c r="I83" s="64"/>
      <c r="J83" s="206"/>
      <c r="K83" s="206"/>
      <c r="L83" s="4"/>
      <c r="M83" s="4"/>
      <c r="N83" s="4"/>
      <c r="O83" s="4"/>
    </row>
    <row r="84" spans="1:15" s="5" customFormat="1" ht="13.8" x14ac:dyDescent="0.25">
      <c r="A84" s="132">
        <v>5</v>
      </c>
      <c r="B84" s="134" t="s">
        <v>134</v>
      </c>
      <c r="C84" s="128"/>
      <c r="D84" s="205"/>
      <c r="E84" s="205"/>
      <c r="F84" s="205"/>
      <c r="G84" s="205"/>
      <c r="H84" s="205"/>
      <c r="I84" s="64"/>
      <c r="J84" s="206"/>
      <c r="K84" s="206"/>
    </row>
    <row r="85" spans="1:15" s="5" customFormat="1" ht="13.8" x14ac:dyDescent="0.25">
      <c r="A85" s="132">
        <v>6</v>
      </c>
      <c r="B85" s="135" t="s">
        <v>149</v>
      </c>
      <c r="C85" s="128">
        <v>-849.99251905280107</v>
      </c>
      <c r="D85" s="205"/>
      <c r="E85" s="205"/>
      <c r="F85" s="205"/>
      <c r="G85" s="205"/>
      <c r="H85" s="205"/>
      <c r="I85" s="64" t="s">
        <v>128</v>
      </c>
      <c r="J85" s="206" t="s">
        <v>157</v>
      </c>
      <c r="K85" s="206"/>
    </row>
    <row r="86" spans="1:15" s="5" customFormat="1" x14ac:dyDescent="0.3">
      <c r="A86" s="132">
        <v>7</v>
      </c>
      <c r="B86" s="157"/>
      <c r="C86" s="128"/>
      <c r="D86" s="205"/>
      <c r="E86" s="205"/>
      <c r="F86" s="205"/>
      <c r="G86" s="205"/>
      <c r="H86" s="205"/>
      <c r="I86" s="64"/>
      <c r="J86" s="206"/>
      <c r="K86" s="206"/>
    </row>
    <row r="87" spans="1:15" s="5" customFormat="1" ht="13.8" x14ac:dyDescent="0.25">
      <c r="A87" s="132">
        <v>8</v>
      </c>
      <c r="B87" s="135"/>
      <c r="C87" s="128"/>
      <c r="D87" s="207"/>
      <c r="E87" s="208"/>
      <c r="F87" s="208"/>
      <c r="G87" s="208"/>
      <c r="H87" s="209"/>
      <c r="I87" s="64"/>
      <c r="J87" s="206"/>
      <c r="K87" s="206"/>
    </row>
    <row r="88" spans="1:15" s="5" customFormat="1" ht="13.8" x14ac:dyDescent="0.25">
      <c r="A88" s="132">
        <v>9</v>
      </c>
      <c r="B88" s="135"/>
      <c r="C88" s="128"/>
      <c r="D88" s="205"/>
      <c r="E88" s="205"/>
      <c r="F88" s="205"/>
      <c r="G88" s="205"/>
      <c r="H88" s="205"/>
      <c r="I88" s="64"/>
      <c r="J88" s="206"/>
      <c r="K88" s="206"/>
    </row>
    <row r="89" spans="1:15" s="5" customFormat="1" ht="13.8" x14ac:dyDescent="0.25">
      <c r="A89" s="132">
        <v>10</v>
      </c>
      <c r="B89" s="135"/>
      <c r="C89" s="128"/>
      <c r="D89" s="205"/>
      <c r="E89" s="205"/>
      <c r="F89" s="205"/>
      <c r="G89" s="205"/>
      <c r="H89" s="205"/>
      <c r="I89" s="64"/>
      <c r="J89" s="206"/>
      <c r="K89" s="206"/>
    </row>
    <row r="90" spans="1:15" s="5" customFormat="1" ht="13.8" x14ac:dyDescent="0.25">
      <c r="A90" s="5" t="s">
        <v>125</v>
      </c>
      <c r="B90" s="65" t="s">
        <v>20</v>
      </c>
      <c r="C90" s="136">
        <f>SUM(C75:C89)</f>
        <v>-941348.99251905282</v>
      </c>
      <c r="D90" s="137"/>
      <c r="E90" s="137"/>
      <c r="F90" s="137"/>
      <c r="G90" s="137"/>
    </row>
    <row r="91" spans="1:15" s="5" customFormat="1" ht="27.6" x14ac:dyDescent="0.25">
      <c r="B91" s="93" t="s">
        <v>126</v>
      </c>
      <c r="C91" s="138">
        <f>K60</f>
        <v>-936739.71988984756</v>
      </c>
      <c r="D91" s="137"/>
      <c r="E91" s="137"/>
      <c r="F91" s="137"/>
      <c r="G91" s="137"/>
    </row>
    <row r="92" spans="1:15" s="5" customFormat="1" ht="13.8" x14ac:dyDescent="0.25">
      <c r="B92" s="93" t="s">
        <v>21</v>
      </c>
      <c r="C92" s="139">
        <f>C90-C91</f>
        <v>-4609.2726292052539</v>
      </c>
    </row>
    <row r="93" spans="1:15" s="5" customFormat="1" ht="28.2" thickBot="1" x14ac:dyDescent="0.3">
      <c r="B93" s="93" t="s">
        <v>23</v>
      </c>
      <c r="C93" s="140">
        <f>IF(ISERROR(C92/J53),0,C92/J53)</f>
        <v>-9.6480105841260878E-4</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7 I76:I89 G25" xr:uid="{92BE3304-3115-4A78-8BDD-1619B0A7EA81}">
      <formula1>"Yes,No"</formula1>
    </dataValidation>
    <dataValidation type="list" sqref="C23" xr:uid="{0685397C-3813-40A6-B758-30C1A8B062A3}">
      <formula1>"1st Estimate, 2nd Estimate, Actual"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B61-1950-451E-B23A-A15D6D2E055C}">
  <sheetPr codeName="Sheet12"/>
  <dimension ref="A7:W81"/>
  <sheetViews>
    <sheetView showGridLines="0" zoomScale="70" zoomScaleNormal="70" workbookViewId="0">
      <selection activeCell="K55" sqref="K55"/>
    </sheetView>
  </sheetViews>
  <sheetFormatPr defaultColWidth="8.88671875" defaultRowHeight="13.8" x14ac:dyDescent="0.25"/>
  <cols>
    <col min="1" max="1" width="8.88671875" style="5"/>
    <col min="2" max="2" width="14.5546875" style="5" customWidth="1"/>
    <col min="3" max="3" width="26.6640625" style="5" bestFit="1" customWidth="1"/>
    <col min="4" max="4" width="20.33203125" style="5" bestFit="1" customWidth="1"/>
    <col min="5" max="5" width="28.33203125" style="5" bestFit="1" customWidth="1"/>
    <col min="6" max="6" width="27.88671875" style="5" bestFit="1" customWidth="1"/>
    <col min="7" max="7" width="22.6640625" style="5" customWidth="1"/>
    <col min="8" max="21" width="8.88671875" style="5"/>
    <col min="22" max="22" width="0" style="5" hidden="1" customWidth="1"/>
    <col min="23" max="23" width="75.44140625" style="5" customWidth="1"/>
    <col min="24" max="16384" width="8.88671875" style="5"/>
  </cols>
  <sheetData>
    <row r="7" spans="1:23" x14ac:dyDescent="0.25">
      <c r="V7" s="161" t="s">
        <v>135</v>
      </c>
    </row>
    <row r="10" spans="1:23" x14ac:dyDescent="0.25">
      <c r="R10" s="247"/>
      <c r="S10" s="247"/>
      <c r="T10" s="247"/>
      <c r="U10" s="247"/>
      <c r="V10" s="247"/>
      <c r="W10" s="247"/>
    </row>
    <row r="11" spans="1:23" x14ac:dyDescent="0.25">
      <c r="A11" s="5" t="s">
        <v>136</v>
      </c>
      <c r="B11" s="62" t="s">
        <v>137</v>
      </c>
      <c r="F11" s="141"/>
      <c r="R11" s="247"/>
      <c r="S11" s="247"/>
      <c r="T11" s="247"/>
      <c r="U11" s="247"/>
      <c r="V11" s="247"/>
      <c r="W11" s="247"/>
    </row>
    <row r="12" spans="1:23" ht="14.4" thickBot="1" x14ac:dyDescent="0.3">
      <c r="R12" s="247"/>
      <c r="S12" s="247"/>
      <c r="T12" s="247"/>
      <c r="U12" s="247"/>
      <c r="V12" s="247"/>
      <c r="W12" s="247"/>
    </row>
    <row r="13" spans="1:23" x14ac:dyDescent="0.25">
      <c r="B13" s="163"/>
      <c r="C13" s="248" t="s">
        <v>138</v>
      </c>
      <c r="D13" s="248"/>
      <c r="E13" s="249"/>
      <c r="F13" s="250" t="s">
        <v>139</v>
      </c>
      <c r="G13" s="252" t="s">
        <v>140</v>
      </c>
    </row>
    <row r="14" spans="1:23" s="164" customFormat="1" ht="31.95" customHeight="1" x14ac:dyDescent="0.3">
      <c r="B14" s="165" t="s">
        <v>16</v>
      </c>
      <c r="C14" s="126" t="s">
        <v>141</v>
      </c>
      <c r="D14" s="127" t="s">
        <v>142</v>
      </c>
      <c r="E14" s="166" t="s">
        <v>143</v>
      </c>
      <c r="F14" s="251"/>
      <c r="G14" s="253"/>
    </row>
    <row r="15" spans="1:23" ht="13.95" customHeight="1" x14ac:dyDescent="0.25">
      <c r="B15" s="181">
        <v>2016</v>
      </c>
      <c r="C15" s="182">
        <v>-450378.84389808128</v>
      </c>
      <c r="D15" s="182">
        <v>63285.645797605408</v>
      </c>
      <c r="E15" s="169">
        <f t="shared" ref="E15:E17" si="0">SUM(C15:D15)</f>
        <v>-387093.19810047589</v>
      </c>
      <c r="F15" s="183">
        <v>15006345</v>
      </c>
      <c r="G15" s="170">
        <f t="shared" ref="G15:G17" si="1">IFERROR(E15/F15,0)</f>
        <v>-2.5795301794039514E-2</v>
      </c>
      <c r="H15" s="141" t="str">
        <f t="shared" ref="H15:H22" si="2">IF(ABS(G15)&gt;0.01,$V$7,"")</f>
        <v>The annual Account 1588 balance relative to cost of power is expected to be small. If it is greater than +/-1%, provide an explanation in the text box below.</v>
      </c>
      <c r="O15" s="171"/>
      <c r="P15" s="171"/>
      <c r="Q15" s="171"/>
      <c r="R15" s="171"/>
      <c r="S15" s="171"/>
      <c r="T15" s="171"/>
    </row>
    <row r="16" spans="1:23" ht="13.95" customHeight="1" x14ac:dyDescent="0.25">
      <c r="B16" s="181">
        <v>2017</v>
      </c>
      <c r="C16" s="182">
        <v>27021.723329860717</v>
      </c>
      <c r="D16" s="182">
        <v>-705748.64864197187</v>
      </c>
      <c r="E16" s="169">
        <f t="shared" si="0"/>
        <v>-678726.92531211115</v>
      </c>
      <c r="F16" s="183">
        <v>13936404.98</v>
      </c>
      <c r="G16" s="170">
        <f t="shared" si="1"/>
        <v>-4.8701722308310186E-2</v>
      </c>
      <c r="H16" s="141" t="str">
        <f t="shared" si="2"/>
        <v>The annual Account 1588 balance relative to cost of power is expected to be small. If it is greater than +/-1%, provide an explanation in the text box below.</v>
      </c>
      <c r="O16" s="171"/>
      <c r="P16" s="171"/>
      <c r="Q16" s="171"/>
      <c r="R16" s="171"/>
      <c r="S16" s="171"/>
      <c r="T16" s="171"/>
    </row>
    <row r="17" spans="1:20" ht="13.95" customHeight="1" x14ac:dyDescent="0.25">
      <c r="B17" s="181">
        <v>2018</v>
      </c>
      <c r="C17" s="182">
        <v>-984957.40244890703</v>
      </c>
      <c r="D17" s="182">
        <v>-149557.6036530179</v>
      </c>
      <c r="E17" s="169">
        <f t="shared" si="0"/>
        <v>-1134515.0061019249</v>
      </c>
      <c r="F17" s="183">
        <v>12890539.93</v>
      </c>
      <c r="G17" s="170">
        <f t="shared" si="1"/>
        <v>-8.8011441899464721E-2</v>
      </c>
      <c r="H17" s="141" t="str">
        <f t="shared" si="2"/>
        <v>The annual Account 1588 balance relative to cost of power is expected to be small. If it is greater than +/-1%, provide an explanation in the text box below.</v>
      </c>
      <c r="O17" s="171"/>
      <c r="P17" s="171"/>
      <c r="Q17" s="171"/>
      <c r="R17" s="171"/>
      <c r="S17" s="171"/>
      <c r="T17" s="171"/>
    </row>
    <row r="18" spans="1:20" x14ac:dyDescent="0.25">
      <c r="B18" s="167">
        <v>2019</v>
      </c>
      <c r="C18" s="168">
        <v>-896143</v>
      </c>
      <c r="D18" s="168">
        <v>342335</v>
      </c>
      <c r="E18" s="169">
        <f>SUM(C18:D18)</f>
        <v>-553808</v>
      </c>
      <c r="F18" s="169">
        <f>IFERROR(VLOOKUP('[6]1. Information Sheet'!$C$17,'[6]4705'!$A:$H,5,FALSE),0)</f>
        <v>12777701.310000001</v>
      </c>
      <c r="G18" s="170">
        <f t="shared" ref="G18:G23" si="3">IFERROR(E18/F18,0)</f>
        <v>-4.3341755028080242E-2</v>
      </c>
      <c r="H18" s="141" t="str">
        <f t="shared" si="2"/>
        <v>The annual Account 1588 balance relative to cost of power is expected to be small. If it is greater than +/-1%, provide an explanation in the text box below.</v>
      </c>
      <c r="O18" s="171"/>
      <c r="P18" s="171"/>
      <c r="Q18" s="171"/>
      <c r="R18" s="171"/>
      <c r="S18" s="171"/>
      <c r="T18" s="171"/>
    </row>
    <row r="19" spans="1:20" x14ac:dyDescent="0.25">
      <c r="B19" s="167">
        <v>2020</v>
      </c>
      <c r="C19" s="168">
        <v>-837254</v>
      </c>
      <c r="D19" s="168">
        <v>1173175</v>
      </c>
      <c r="E19" s="169">
        <f>SUM(C19:D19)</f>
        <v>335921</v>
      </c>
      <c r="F19" s="169">
        <f>IFERROR(VLOOKUP('[6]1. Information Sheet'!$C$17,'[6]4705'!$A:$H,6,FALSE),0)</f>
        <v>17463622.809999999</v>
      </c>
      <c r="G19" s="170">
        <f t="shared" si="3"/>
        <v>1.9235470420699039E-2</v>
      </c>
      <c r="H19" s="141" t="str">
        <f t="shared" si="2"/>
        <v>The annual Account 1588 balance relative to cost of power is expected to be small. If it is greater than +/-1%, provide an explanation in the text box below.</v>
      </c>
      <c r="I19" s="162"/>
      <c r="J19" s="162"/>
      <c r="K19" s="162"/>
      <c r="L19" s="162"/>
      <c r="M19" s="162"/>
      <c r="N19" s="162"/>
      <c r="O19" s="171"/>
      <c r="P19" s="171"/>
      <c r="Q19" s="171"/>
      <c r="R19" s="171"/>
      <c r="S19" s="171"/>
      <c r="T19" s="171"/>
    </row>
    <row r="20" spans="1:20" x14ac:dyDescent="0.25">
      <c r="B20" s="167">
        <v>2021</v>
      </c>
      <c r="C20" s="168">
        <v>-4185219</v>
      </c>
      <c r="D20" s="168">
        <v>3966527</v>
      </c>
      <c r="E20" s="169">
        <f>SUM(C20:D20)</f>
        <v>-218692</v>
      </c>
      <c r="F20" s="169">
        <f>IFERROR(VLOOKUP('[6]1. Information Sheet'!$C$17,'[6]4705'!$A:$H,7,FALSE),0)</f>
        <v>14884669.439999999</v>
      </c>
      <c r="G20" s="170">
        <f t="shared" si="3"/>
        <v>-1.4692432430666058E-2</v>
      </c>
      <c r="H20" s="141" t="str">
        <f t="shared" si="2"/>
        <v>The annual Account 1588 balance relative to cost of power is expected to be small. If it is greater than +/-1%, provide an explanation in the text box below.</v>
      </c>
      <c r="I20" s="162"/>
      <c r="J20" s="162"/>
      <c r="K20" s="162"/>
      <c r="L20" s="162"/>
      <c r="M20" s="162"/>
      <c r="N20" s="162"/>
      <c r="O20" s="171"/>
      <c r="P20" s="171"/>
      <c r="Q20" s="171"/>
      <c r="R20" s="171"/>
      <c r="S20" s="171"/>
      <c r="T20" s="171"/>
    </row>
    <row r="21" spans="1:20" x14ac:dyDescent="0.25">
      <c r="A21" s="172"/>
      <c r="B21" s="53">
        <v>2022</v>
      </c>
      <c r="C21" s="168">
        <v>-2701510</v>
      </c>
      <c r="D21" s="168">
        <v>2836403</v>
      </c>
      <c r="E21" s="169">
        <f>SUM(C21:D21)</f>
        <v>134893</v>
      </c>
      <c r="F21" s="169">
        <f>IFERROR(VLOOKUP('[6]1. Information Sheet'!$C$17,'[6]4705'!$A:$H,8,FALSE),0)</f>
        <v>22814971.280000001</v>
      </c>
      <c r="G21" s="170">
        <f t="shared" si="3"/>
        <v>5.91247730906633E-3</v>
      </c>
      <c r="H21" s="141" t="str">
        <f t="shared" si="2"/>
        <v/>
      </c>
      <c r="I21" s="162"/>
      <c r="J21" s="162"/>
      <c r="K21" s="162"/>
      <c r="L21" s="162"/>
      <c r="M21" s="162"/>
      <c r="N21" s="162"/>
      <c r="O21" s="171"/>
      <c r="P21" s="171"/>
      <c r="Q21" s="171"/>
      <c r="R21" s="171"/>
      <c r="S21" s="171"/>
      <c r="T21" s="171"/>
    </row>
    <row r="22" spans="1:20" x14ac:dyDescent="0.25">
      <c r="A22" s="172"/>
      <c r="B22" s="53">
        <v>2023</v>
      </c>
      <c r="C22" s="168">
        <v>-7747121</v>
      </c>
      <c r="D22" s="168">
        <v>7784347</v>
      </c>
      <c r="E22" s="169">
        <f>SUM(C22:D22)</f>
        <v>37226</v>
      </c>
      <c r="F22" s="168">
        <v>21144272</v>
      </c>
      <c r="G22" s="170">
        <f t="shared" si="3"/>
        <v>1.7605713736561846E-3</v>
      </c>
      <c r="H22" s="141" t="str">
        <f t="shared" si="2"/>
        <v/>
      </c>
      <c r="I22" s="162"/>
      <c r="J22" s="162"/>
      <c r="K22" s="162"/>
      <c r="L22" s="162"/>
      <c r="M22" s="162"/>
      <c r="N22" s="162"/>
      <c r="O22" s="171"/>
      <c r="P22" s="171"/>
      <c r="Q22" s="171"/>
      <c r="R22" s="171"/>
      <c r="S22" s="171"/>
      <c r="T22" s="171"/>
    </row>
    <row r="23" spans="1:20" ht="14.4" thickBot="1" x14ac:dyDescent="0.3">
      <c r="A23" s="172"/>
      <c r="B23" s="173" t="s">
        <v>144</v>
      </c>
      <c r="C23" s="174">
        <f>SUM(C15:C22)</f>
        <v>-17775561.523017127</v>
      </c>
      <c r="D23" s="174">
        <f>SUM(D15:D22)</f>
        <v>15310766.393502615</v>
      </c>
      <c r="E23" s="174">
        <f>SUM(E15:E22)</f>
        <v>-2464795.1295145117</v>
      </c>
      <c r="F23" s="174">
        <f>IF('[6]1. Information Sheet'!D21=2022,F22,IF('[6]1. Information Sheet'!D21=2021,SUM(F21:F22),IF('[6]1. Information Sheet'!D21=2020,SUM(F20:F22),IF('[6]1. Information Sheet'!D21=2019,SUM(F19:F22),IF('[6]1. Information Sheet'!D21=2018,SUM(F18:F22),IF('[6]1. Information Sheet'!D21=2016,SUM(F15:F22),0))))))</f>
        <v>89085236.840000004</v>
      </c>
      <c r="G23" s="175">
        <f t="shared" si="3"/>
        <v>-2.7667829339011178E-2</v>
      </c>
      <c r="I23" s="141"/>
    </row>
    <row r="24" spans="1:20" x14ac:dyDescent="0.25">
      <c r="B24" s="66"/>
      <c r="C24" s="176"/>
      <c r="D24" s="176"/>
      <c r="E24" s="176"/>
      <c r="F24" s="176"/>
      <c r="G24" s="177"/>
      <c r="I24" s="141"/>
    </row>
    <row r="25" spans="1:20" x14ac:dyDescent="0.25">
      <c r="B25" s="178"/>
      <c r="C25" s="179"/>
      <c r="D25" s="179"/>
      <c r="E25" s="179"/>
      <c r="F25" s="179"/>
      <c r="G25" s="179"/>
    </row>
    <row r="26" spans="1:20" x14ac:dyDescent="0.25">
      <c r="B26" s="63" t="s">
        <v>145</v>
      </c>
      <c r="C26" s="179"/>
      <c r="D26" s="179"/>
      <c r="E26" s="179"/>
      <c r="F26" s="179"/>
      <c r="G26" s="179"/>
    </row>
    <row r="27" spans="1:20" ht="47.1" customHeight="1" x14ac:dyDescent="0.25">
      <c r="B27" s="254" t="s">
        <v>146</v>
      </c>
      <c r="C27" s="254"/>
      <c r="D27" s="254"/>
      <c r="E27" s="254"/>
      <c r="F27" s="254"/>
      <c r="G27" s="254"/>
    </row>
    <row r="28" spans="1:20" ht="28.2" customHeight="1" x14ac:dyDescent="0.25">
      <c r="B28" s="254" t="s">
        <v>147</v>
      </c>
      <c r="C28" s="254"/>
      <c r="D28" s="254"/>
      <c r="E28" s="254"/>
      <c r="F28" s="254"/>
      <c r="G28" s="254"/>
    </row>
    <row r="30" spans="1:20" x14ac:dyDescent="0.25">
      <c r="B30" s="141"/>
      <c r="C30" s="141"/>
    </row>
    <row r="31" spans="1:20" x14ac:dyDescent="0.25">
      <c r="B31" s="141"/>
      <c r="C31" s="141"/>
    </row>
    <row r="32" spans="1:20" x14ac:dyDescent="0.25">
      <c r="B32" s="141"/>
      <c r="C32" s="141"/>
    </row>
    <row r="33" spans="2:9" ht="16.95" customHeight="1" x14ac:dyDescent="0.25">
      <c r="B33" s="3" t="s">
        <v>148</v>
      </c>
      <c r="C33" s="141"/>
    </row>
    <row r="34" spans="2:9" ht="15.6" customHeight="1" x14ac:dyDescent="0.25">
      <c r="B34" s="3"/>
      <c r="C34" s="141"/>
    </row>
    <row r="35" spans="2:9" hidden="1" x14ac:dyDescent="0.25">
      <c r="B35" s="180">
        <v>2016</v>
      </c>
      <c r="C35" s="141"/>
    </row>
    <row r="36" spans="2:9" hidden="1" x14ac:dyDescent="0.25">
      <c r="B36" s="238"/>
      <c r="C36" s="239"/>
      <c r="D36" s="239"/>
      <c r="E36" s="239"/>
      <c r="F36" s="239"/>
      <c r="G36" s="240"/>
    </row>
    <row r="37" spans="2:9" s="164" customFormat="1" hidden="1" x14ac:dyDescent="0.25">
      <c r="B37" s="241"/>
      <c r="C37" s="242"/>
      <c r="D37" s="242"/>
      <c r="E37" s="242"/>
      <c r="F37" s="242"/>
      <c r="G37" s="243"/>
      <c r="I37" s="141"/>
    </row>
    <row r="38" spans="2:9" s="164" customFormat="1" hidden="1" x14ac:dyDescent="0.25">
      <c r="B38" s="241"/>
      <c r="C38" s="242"/>
      <c r="D38" s="242"/>
      <c r="E38" s="242"/>
      <c r="F38" s="242"/>
      <c r="G38" s="243"/>
    </row>
    <row r="39" spans="2:9" s="164" customFormat="1" hidden="1" x14ac:dyDescent="0.25">
      <c r="B39" s="241"/>
      <c r="C39" s="242"/>
      <c r="D39" s="242"/>
      <c r="E39" s="242"/>
      <c r="F39" s="242"/>
      <c r="G39" s="243"/>
    </row>
    <row r="40" spans="2:9" s="164" customFormat="1" hidden="1" x14ac:dyDescent="0.25">
      <c r="B40" s="241"/>
      <c r="C40" s="242"/>
      <c r="D40" s="242"/>
      <c r="E40" s="242"/>
      <c r="F40" s="242"/>
      <c r="G40" s="243"/>
    </row>
    <row r="41" spans="2:9" s="164" customFormat="1" ht="14.4" hidden="1" thickBot="1" x14ac:dyDescent="0.3">
      <c r="B41" s="244"/>
      <c r="C41" s="245"/>
      <c r="D41" s="245"/>
      <c r="E41" s="245"/>
      <c r="F41" s="245"/>
      <c r="G41" s="246"/>
    </row>
    <row r="43" spans="2:9" ht="14.4" thickBot="1" x14ac:dyDescent="0.3">
      <c r="B43" s="180">
        <v>2016</v>
      </c>
      <c r="C43" s="141"/>
    </row>
    <row r="44" spans="2:9" ht="14.25" customHeight="1" x14ac:dyDescent="0.25">
      <c r="B44" s="255"/>
      <c r="C44" s="256"/>
      <c r="D44" s="256"/>
      <c r="E44" s="256"/>
      <c r="F44" s="256"/>
      <c r="G44" s="257"/>
    </row>
    <row r="45" spans="2:9" ht="14.25" customHeight="1" x14ac:dyDescent="0.25">
      <c r="B45" s="258"/>
      <c r="C45" s="259"/>
      <c r="D45" s="259"/>
      <c r="E45" s="259"/>
      <c r="F45" s="259"/>
      <c r="G45" s="260"/>
    </row>
    <row r="46" spans="2:9" ht="14.25" customHeight="1" x14ac:dyDescent="0.25">
      <c r="B46" s="258"/>
      <c r="C46" s="259"/>
      <c r="D46" s="259"/>
      <c r="E46" s="259"/>
      <c r="F46" s="259"/>
      <c r="G46" s="260"/>
    </row>
    <row r="47" spans="2:9" ht="14.25" customHeight="1" x14ac:dyDescent="0.25">
      <c r="B47" s="258"/>
      <c r="C47" s="259"/>
      <c r="D47" s="259"/>
      <c r="E47" s="259"/>
      <c r="F47" s="259"/>
      <c r="G47" s="260"/>
    </row>
    <row r="48" spans="2:9" ht="14.25" customHeight="1" x14ac:dyDescent="0.25">
      <c r="B48" s="258"/>
      <c r="C48" s="259"/>
      <c r="D48" s="259"/>
      <c r="E48" s="259"/>
      <c r="F48" s="259"/>
      <c r="G48" s="260"/>
    </row>
    <row r="49" spans="2:7" ht="15" customHeight="1" thickBot="1" x14ac:dyDescent="0.3">
      <c r="B49" s="261"/>
      <c r="C49" s="262"/>
      <c r="D49" s="262"/>
      <c r="E49" s="262"/>
      <c r="F49" s="262"/>
      <c r="G49" s="263"/>
    </row>
    <row r="50" spans="2:7" hidden="1" x14ac:dyDescent="0.25"/>
    <row r="51" spans="2:7" ht="14.4" thickBot="1" x14ac:dyDescent="0.3">
      <c r="B51" s="180">
        <v>2017</v>
      </c>
      <c r="C51" s="141"/>
    </row>
    <row r="52" spans="2:7" ht="14.25" customHeight="1" x14ac:dyDescent="0.25">
      <c r="B52" s="255" t="s">
        <v>158</v>
      </c>
      <c r="C52" s="256"/>
      <c r="D52" s="256"/>
      <c r="E52" s="256"/>
      <c r="F52" s="256"/>
      <c r="G52" s="257"/>
    </row>
    <row r="53" spans="2:7" ht="14.25" customHeight="1" x14ac:dyDescent="0.25">
      <c r="B53" s="258"/>
      <c r="C53" s="259"/>
      <c r="D53" s="259"/>
      <c r="E53" s="259"/>
      <c r="F53" s="259"/>
      <c r="G53" s="260"/>
    </row>
    <row r="54" spans="2:7" ht="14.25" customHeight="1" x14ac:dyDescent="0.25">
      <c r="B54" s="258"/>
      <c r="C54" s="259"/>
      <c r="D54" s="259"/>
      <c r="E54" s="259"/>
      <c r="F54" s="259"/>
      <c r="G54" s="260"/>
    </row>
    <row r="55" spans="2:7" ht="14.25" customHeight="1" x14ac:dyDescent="0.25">
      <c r="B55" s="258"/>
      <c r="C55" s="259"/>
      <c r="D55" s="259"/>
      <c r="E55" s="259"/>
      <c r="F55" s="259"/>
      <c r="G55" s="260"/>
    </row>
    <row r="56" spans="2:7" ht="14.25" customHeight="1" x14ac:dyDescent="0.25">
      <c r="B56" s="258"/>
      <c r="C56" s="259"/>
      <c r="D56" s="259"/>
      <c r="E56" s="259"/>
      <c r="F56" s="259"/>
      <c r="G56" s="260"/>
    </row>
    <row r="57" spans="2:7" ht="15" customHeight="1" thickBot="1" x14ac:dyDescent="0.3">
      <c r="B57" s="261"/>
      <c r="C57" s="262"/>
      <c r="D57" s="262"/>
      <c r="E57" s="262"/>
      <c r="F57" s="262"/>
      <c r="G57" s="263"/>
    </row>
    <row r="58" spans="2:7" hidden="1" x14ac:dyDescent="0.25"/>
    <row r="59" spans="2:7" ht="14.4" thickBot="1" x14ac:dyDescent="0.3">
      <c r="B59" s="180">
        <v>2018</v>
      </c>
      <c r="C59" s="141"/>
    </row>
    <row r="60" spans="2:7" ht="14.25" customHeight="1" x14ac:dyDescent="0.25">
      <c r="B60" s="255" t="s">
        <v>158</v>
      </c>
      <c r="C60" s="256"/>
      <c r="D60" s="256"/>
      <c r="E60" s="256"/>
      <c r="F60" s="256"/>
      <c r="G60" s="257"/>
    </row>
    <row r="61" spans="2:7" ht="14.25" customHeight="1" x14ac:dyDescent="0.25">
      <c r="B61" s="258"/>
      <c r="C61" s="259"/>
      <c r="D61" s="259"/>
      <c r="E61" s="259"/>
      <c r="F61" s="259"/>
      <c r="G61" s="260"/>
    </row>
    <row r="62" spans="2:7" ht="14.25" customHeight="1" x14ac:dyDescent="0.25">
      <c r="B62" s="258"/>
      <c r="C62" s="259"/>
      <c r="D62" s="259"/>
      <c r="E62" s="259"/>
      <c r="F62" s="259"/>
      <c r="G62" s="260"/>
    </row>
    <row r="63" spans="2:7" ht="14.25" customHeight="1" x14ac:dyDescent="0.25">
      <c r="B63" s="258"/>
      <c r="C63" s="259"/>
      <c r="D63" s="259"/>
      <c r="E63" s="259"/>
      <c r="F63" s="259"/>
      <c r="G63" s="260"/>
    </row>
    <row r="64" spans="2:7" ht="14.25" customHeight="1" x14ac:dyDescent="0.25">
      <c r="B64" s="258"/>
      <c r="C64" s="259"/>
      <c r="D64" s="259"/>
      <c r="E64" s="259"/>
      <c r="F64" s="259"/>
      <c r="G64" s="260"/>
    </row>
    <row r="65" spans="2:7" ht="15" customHeight="1" thickBot="1" x14ac:dyDescent="0.3">
      <c r="B65" s="261"/>
      <c r="C65" s="262"/>
      <c r="D65" s="262"/>
      <c r="E65" s="262"/>
      <c r="F65" s="262"/>
      <c r="G65" s="263"/>
    </row>
    <row r="66" spans="2:7" hidden="1" x14ac:dyDescent="0.25"/>
    <row r="67" spans="2:7" hidden="1" x14ac:dyDescent="0.25">
      <c r="B67" s="180">
        <v>2020</v>
      </c>
      <c r="C67" s="141"/>
    </row>
    <row r="68" spans="2:7" ht="14.25" hidden="1" customHeight="1" x14ac:dyDescent="0.25">
      <c r="B68" s="238"/>
      <c r="C68" s="239"/>
      <c r="D68" s="239"/>
      <c r="E68" s="239"/>
      <c r="F68" s="239"/>
      <c r="G68" s="240"/>
    </row>
    <row r="69" spans="2:7" ht="14.25" hidden="1" customHeight="1" x14ac:dyDescent="0.25">
      <c r="B69" s="241"/>
      <c r="C69" s="242"/>
      <c r="D69" s="242"/>
      <c r="E69" s="242"/>
      <c r="F69" s="242"/>
      <c r="G69" s="243"/>
    </row>
    <row r="70" spans="2:7" ht="14.25" hidden="1" customHeight="1" x14ac:dyDescent="0.25">
      <c r="B70" s="241"/>
      <c r="C70" s="242"/>
      <c r="D70" s="242"/>
      <c r="E70" s="242"/>
      <c r="F70" s="242"/>
      <c r="G70" s="243"/>
    </row>
    <row r="71" spans="2:7" ht="14.25" hidden="1" customHeight="1" x14ac:dyDescent="0.25">
      <c r="B71" s="241"/>
      <c r="C71" s="242"/>
      <c r="D71" s="242"/>
      <c r="E71" s="242"/>
      <c r="F71" s="242"/>
      <c r="G71" s="243"/>
    </row>
    <row r="72" spans="2:7" ht="14.25" hidden="1" customHeight="1" x14ac:dyDescent="0.25">
      <c r="B72" s="241"/>
      <c r="C72" s="242"/>
      <c r="D72" s="242"/>
      <c r="E72" s="242"/>
      <c r="F72" s="242"/>
      <c r="G72" s="243"/>
    </row>
    <row r="73" spans="2:7" ht="15" hidden="1" customHeight="1" thickBot="1" x14ac:dyDescent="0.3">
      <c r="B73" s="244"/>
      <c r="C73" s="245"/>
      <c r="D73" s="245"/>
      <c r="E73" s="245"/>
      <c r="F73" s="245"/>
      <c r="G73" s="246"/>
    </row>
    <row r="74" spans="2:7" hidden="1" x14ac:dyDescent="0.25"/>
    <row r="75" spans="2:7" hidden="1" x14ac:dyDescent="0.25">
      <c r="B75" s="180">
        <v>2021</v>
      </c>
      <c r="C75" s="141"/>
    </row>
    <row r="76" spans="2:7" ht="14.25" hidden="1" customHeight="1" x14ac:dyDescent="0.25">
      <c r="B76" s="238"/>
      <c r="C76" s="239"/>
      <c r="D76" s="239"/>
      <c r="E76" s="239"/>
      <c r="F76" s="239"/>
      <c r="G76" s="240"/>
    </row>
    <row r="77" spans="2:7" ht="14.25" hidden="1" customHeight="1" x14ac:dyDescent="0.25">
      <c r="B77" s="241"/>
      <c r="C77" s="242"/>
      <c r="D77" s="242"/>
      <c r="E77" s="242"/>
      <c r="F77" s="242"/>
      <c r="G77" s="243"/>
    </row>
    <row r="78" spans="2:7" ht="14.25" hidden="1" customHeight="1" x14ac:dyDescent="0.25">
      <c r="B78" s="241"/>
      <c r="C78" s="242"/>
      <c r="D78" s="242"/>
      <c r="E78" s="242"/>
      <c r="F78" s="242"/>
      <c r="G78" s="243"/>
    </row>
    <row r="79" spans="2:7" ht="14.25" hidden="1" customHeight="1" x14ac:dyDescent="0.25">
      <c r="B79" s="241"/>
      <c r="C79" s="242"/>
      <c r="D79" s="242"/>
      <c r="E79" s="242"/>
      <c r="F79" s="242"/>
      <c r="G79" s="243"/>
    </row>
    <row r="80" spans="2:7" ht="14.25" hidden="1" customHeight="1" x14ac:dyDescent="0.25">
      <c r="B80" s="241"/>
      <c r="C80" s="242"/>
      <c r="D80" s="242"/>
      <c r="E80" s="242"/>
      <c r="F80" s="242"/>
      <c r="G80" s="243"/>
    </row>
    <row r="81" spans="2:7" ht="14.25" hidden="1" customHeight="1" thickBot="1" x14ac:dyDescent="0.3">
      <c r="B81" s="244"/>
      <c r="C81" s="245"/>
      <c r="D81" s="245"/>
      <c r="E81" s="245"/>
      <c r="F81" s="245"/>
      <c r="G81" s="246"/>
    </row>
  </sheetData>
  <mergeCells count="12">
    <mergeCell ref="B76:G81"/>
    <mergeCell ref="R10:W12"/>
    <mergeCell ref="C13:E13"/>
    <mergeCell ref="F13:F14"/>
    <mergeCell ref="G13:G14"/>
    <mergeCell ref="B27:G27"/>
    <mergeCell ref="B28:G28"/>
    <mergeCell ref="B36:G41"/>
    <mergeCell ref="B44:G49"/>
    <mergeCell ref="B52:G57"/>
    <mergeCell ref="B60:G65"/>
    <mergeCell ref="B68:G73"/>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305D-7B57-411B-8322-0EB5615CA1D7}">
  <sheetPr codeName="Sheet9"/>
  <dimension ref="A1:AB31"/>
  <sheetViews>
    <sheetView workbookViewId="0">
      <selection activeCell="L4" sqref="L4"/>
    </sheetView>
  </sheetViews>
  <sheetFormatPr defaultRowHeight="14.4" x14ac:dyDescent="0.3"/>
  <cols>
    <col min="1" max="5" width="12.33203125" customWidth="1"/>
    <col min="6" max="6" width="10.5546875" customWidth="1"/>
    <col min="7" max="7" width="10.33203125" customWidth="1"/>
    <col min="8" max="8" width="10.33203125" bestFit="1" customWidth="1"/>
    <col min="9" max="9" width="11.33203125" bestFit="1" customWidth="1"/>
    <col min="10" max="10" width="10.5546875" customWidth="1"/>
    <col min="11" max="11" width="10" customWidth="1"/>
    <col min="12" max="12" width="11.33203125" bestFit="1" customWidth="1"/>
    <col min="13" max="13" width="10.5546875" customWidth="1"/>
    <col min="14" max="14" width="10.33203125" customWidth="1"/>
    <col min="15" max="15" width="10" customWidth="1"/>
    <col min="16" max="16" width="11.33203125" bestFit="1" customWidth="1"/>
    <col min="17" max="17" width="9.88671875" customWidth="1"/>
    <col min="18" max="18" width="10" customWidth="1"/>
    <col min="19" max="19" width="9.6640625" customWidth="1"/>
    <col min="21" max="21" width="9.33203125" customWidth="1"/>
    <col min="22" max="22" width="9.6640625" bestFit="1" customWidth="1"/>
    <col min="23" max="23" width="9.88671875" customWidth="1"/>
    <col min="26" max="26" width="10.88671875" customWidth="1"/>
    <col min="27" max="27" width="9.6640625" customWidth="1"/>
  </cols>
  <sheetData>
    <row r="1" spans="1:28" x14ac:dyDescent="0.3">
      <c r="A1" s="62" t="s">
        <v>151</v>
      </c>
      <c r="B1" s="62"/>
      <c r="C1" s="62"/>
      <c r="D1" s="62"/>
      <c r="E1" s="62"/>
      <c r="F1" s="62"/>
      <c r="G1" s="62"/>
      <c r="H1" s="62"/>
      <c r="I1" s="5"/>
      <c r="J1" s="5"/>
      <c r="K1" s="5"/>
      <c r="L1" s="5"/>
      <c r="M1" s="5"/>
      <c r="N1" s="5"/>
      <c r="O1" s="5"/>
      <c r="P1" s="5"/>
      <c r="Q1" s="5"/>
      <c r="R1" s="5"/>
      <c r="S1" s="5"/>
    </row>
    <row r="2" spans="1:28" x14ac:dyDescent="0.3">
      <c r="A2" s="123"/>
      <c r="B2" s="123">
        <v>2020</v>
      </c>
      <c r="C2" s="123"/>
      <c r="D2" s="123"/>
      <c r="E2" s="123"/>
      <c r="F2" s="124">
        <v>2019</v>
      </c>
      <c r="G2" s="124"/>
      <c r="H2" s="124"/>
      <c r="I2" s="123"/>
      <c r="J2" s="124">
        <v>2018</v>
      </c>
      <c r="K2" s="124"/>
      <c r="L2" s="124"/>
      <c r="M2" s="124"/>
      <c r="N2" s="124">
        <v>2017</v>
      </c>
      <c r="O2" s="124"/>
      <c r="P2" s="124"/>
      <c r="Q2" s="124"/>
      <c r="R2" s="124">
        <v>2016</v>
      </c>
      <c r="S2" s="124"/>
      <c r="T2" s="124"/>
      <c r="U2" s="124"/>
      <c r="V2" s="124">
        <v>2015</v>
      </c>
      <c r="W2" s="124"/>
      <c r="X2" s="124"/>
      <c r="Y2" s="124"/>
      <c r="Z2" s="124">
        <v>2014</v>
      </c>
      <c r="AA2" s="124"/>
      <c r="AB2" s="124"/>
    </row>
    <row r="3" spans="1:28" ht="32.25" customHeight="1" x14ac:dyDescent="0.3">
      <c r="A3" s="185" t="s">
        <v>152</v>
      </c>
      <c r="B3" s="186" t="s">
        <v>153</v>
      </c>
      <c r="C3" s="186" t="s">
        <v>154</v>
      </c>
      <c r="D3" s="186" t="s">
        <v>155</v>
      </c>
      <c r="E3" s="185" t="s">
        <v>152</v>
      </c>
      <c r="F3" s="186" t="s">
        <v>153</v>
      </c>
      <c r="G3" s="186" t="s">
        <v>154</v>
      </c>
      <c r="H3" s="186" t="s">
        <v>155</v>
      </c>
      <c r="I3" s="185" t="s">
        <v>152</v>
      </c>
      <c r="J3" s="186" t="s">
        <v>153</v>
      </c>
      <c r="K3" s="186" t="s">
        <v>154</v>
      </c>
      <c r="L3" s="186" t="s">
        <v>155</v>
      </c>
      <c r="M3" s="185" t="s">
        <v>152</v>
      </c>
      <c r="N3" s="186" t="s">
        <v>153</v>
      </c>
      <c r="O3" s="186" t="s">
        <v>154</v>
      </c>
      <c r="P3" s="186" t="s">
        <v>155</v>
      </c>
      <c r="Q3" s="185" t="s">
        <v>152</v>
      </c>
      <c r="R3" s="186" t="s">
        <v>153</v>
      </c>
      <c r="S3" s="186" t="s">
        <v>154</v>
      </c>
      <c r="T3" s="186" t="s">
        <v>155</v>
      </c>
      <c r="U3" s="185" t="s">
        <v>152</v>
      </c>
      <c r="V3" s="186" t="s">
        <v>153</v>
      </c>
      <c r="W3" s="186" t="s">
        <v>154</v>
      </c>
      <c r="X3" s="186" t="s">
        <v>155</v>
      </c>
      <c r="Y3" s="185" t="s">
        <v>152</v>
      </c>
      <c r="Z3" s="186" t="s">
        <v>153</v>
      </c>
      <c r="AA3" s="186" t="s">
        <v>154</v>
      </c>
      <c r="AB3" s="186" t="s">
        <v>155</v>
      </c>
    </row>
    <row r="4" spans="1:28" x14ac:dyDescent="0.3">
      <c r="A4" s="123" t="s">
        <v>68</v>
      </c>
      <c r="B4" s="187">
        <v>8.3229999999999998E-2</v>
      </c>
      <c r="C4" s="187">
        <v>9.9930000000000005E-2</v>
      </c>
      <c r="D4" s="187">
        <v>0.10231999999999999</v>
      </c>
      <c r="E4" s="123" t="s">
        <v>68</v>
      </c>
      <c r="F4" s="188">
        <v>6.7409999999999998E-2</v>
      </c>
      <c r="G4" s="188">
        <v>8.3060000000000009E-2</v>
      </c>
      <c r="H4" s="188">
        <v>8.0920000000000006E-2</v>
      </c>
      <c r="I4" s="123" t="s">
        <v>68</v>
      </c>
      <c r="J4" s="189">
        <v>8.7770000000000001E-2</v>
      </c>
      <c r="K4" s="189">
        <v>6.3700000000000007E-2</v>
      </c>
      <c r="L4" s="189">
        <v>6.7360000000000003E-2</v>
      </c>
      <c r="M4" s="123" t="s">
        <v>68</v>
      </c>
      <c r="N4" s="189">
        <v>6.6869999999999999E-2</v>
      </c>
      <c r="O4" s="189">
        <v>8.677E-2</v>
      </c>
      <c r="P4" s="189">
        <v>8.2269999999999996E-2</v>
      </c>
      <c r="Q4" s="123" t="s">
        <v>68</v>
      </c>
      <c r="R4" s="189">
        <v>8.4229999999999999E-2</v>
      </c>
      <c r="S4" s="189">
        <v>9.214E-2</v>
      </c>
      <c r="T4" s="189">
        <v>9.1789999999999997E-2</v>
      </c>
      <c r="U4" s="123" t="s">
        <v>68</v>
      </c>
      <c r="V4" s="189">
        <v>5.5490000000000005E-2</v>
      </c>
      <c r="W4" s="189">
        <v>6.1609999999999998E-2</v>
      </c>
      <c r="X4" s="189">
        <v>5.0680000000000003E-2</v>
      </c>
      <c r="Y4" s="123" t="s">
        <v>68</v>
      </c>
      <c r="Z4" s="189">
        <v>3.6260000000000001E-2</v>
      </c>
      <c r="AA4" s="189">
        <v>1.806E-2</v>
      </c>
      <c r="AB4" s="189">
        <v>1.261E-2</v>
      </c>
    </row>
    <row r="5" spans="1:28" x14ac:dyDescent="0.3">
      <c r="A5" s="123" t="s">
        <v>69</v>
      </c>
      <c r="B5" s="187">
        <v>0.12451000000000001</v>
      </c>
      <c r="C5" s="187">
        <v>0.11434999999999999</v>
      </c>
      <c r="D5" s="187">
        <v>0.11331000000000001</v>
      </c>
      <c r="E5" s="123" t="s">
        <v>69</v>
      </c>
      <c r="F5" s="188">
        <v>9.6569999999999989E-2</v>
      </c>
      <c r="G5" s="188">
        <v>8.2360000000000003E-2</v>
      </c>
      <c r="H5" s="188">
        <v>8.8120000000000004E-2</v>
      </c>
      <c r="I5" s="123" t="s">
        <v>69</v>
      </c>
      <c r="J5" s="189">
        <v>7.3329999999999992E-2</v>
      </c>
      <c r="K5" s="189">
        <v>7.7049999999999993E-2</v>
      </c>
      <c r="L5" s="189">
        <v>8.1670000000000006E-2</v>
      </c>
      <c r="M5" s="123" t="s">
        <v>69</v>
      </c>
      <c r="N5" s="83">
        <v>0.10559</v>
      </c>
      <c r="O5" s="83">
        <v>8.43E-2</v>
      </c>
      <c r="P5" s="83">
        <v>8.6389999999999995E-2</v>
      </c>
      <c r="Q5" s="123" t="s">
        <v>69</v>
      </c>
      <c r="R5" s="83">
        <v>0.10384</v>
      </c>
      <c r="S5" s="83">
        <v>9.6780000000000005E-2</v>
      </c>
      <c r="T5" s="83">
        <v>9.851E-2</v>
      </c>
      <c r="U5" s="123" t="s">
        <v>69</v>
      </c>
      <c r="V5" s="83">
        <v>6.9809999999999997E-2</v>
      </c>
      <c r="W5" s="83">
        <v>4.095E-2</v>
      </c>
      <c r="X5" s="83">
        <v>3.9609999999999999E-2</v>
      </c>
      <c r="Y5" s="123" t="s">
        <v>69</v>
      </c>
      <c r="Z5" s="83">
        <v>2.231E-2</v>
      </c>
      <c r="AA5" s="83">
        <v>1.1180000000000001E-2</v>
      </c>
      <c r="AB5" s="83">
        <v>1.3300000000000001E-2</v>
      </c>
    </row>
    <row r="6" spans="1:28" x14ac:dyDescent="0.3">
      <c r="A6" s="123" t="s">
        <v>70</v>
      </c>
      <c r="B6" s="187">
        <v>0.10432</v>
      </c>
      <c r="C6" s="187">
        <v>0.11212000000000001</v>
      </c>
      <c r="D6" s="187">
        <v>0.11942</v>
      </c>
      <c r="E6" s="123" t="s">
        <v>70</v>
      </c>
      <c r="F6" s="188">
        <v>8.1049999999999997E-2</v>
      </c>
      <c r="G6" s="188">
        <v>7.5749999999999998E-2</v>
      </c>
      <c r="H6" s="188">
        <v>8.0409999999999995E-2</v>
      </c>
      <c r="I6" s="123" t="s">
        <v>70</v>
      </c>
      <c r="J6" s="189">
        <v>7.8769999999999993E-2</v>
      </c>
      <c r="K6" s="189">
        <v>8.5949999999999999E-2</v>
      </c>
      <c r="L6" s="189">
        <v>9.4810000000000005E-2</v>
      </c>
      <c r="M6" s="123" t="s">
        <v>70</v>
      </c>
      <c r="N6" s="83">
        <v>8.4089999999999998E-2</v>
      </c>
      <c r="O6" s="83">
        <v>6.8860000000000005E-2</v>
      </c>
      <c r="P6" s="83">
        <v>7.1349999999999997E-2</v>
      </c>
      <c r="Q6" s="123" t="s">
        <v>70</v>
      </c>
      <c r="R6" s="83">
        <v>9.0219999999999995E-2</v>
      </c>
      <c r="S6" s="83">
        <v>0.10299</v>
      </c>
      <c r="T6" s="83">
        <v>0.1061</v>
      </c>
      <c r="U6" s="123" t="s">
        <v>70</v>
      </c>
      <c r="V6" s="83">
        <v>3.6040000000000003E-2</v>
      </c>
      <c r="W6" s="83">
        <v>5.74E-2</v>
      </c>
      <c r="X6" s="83">
        <v>6.2899999999999998E-2</v>
      </c>
      <c r="Y6" s="123" t="s">
        <v>70</v>
      </c>
      <c r="Z6" s="83">
        <v>1.103E-2</v>
      </c>
      <c r="AA6" s="83">
        <v>-8.0000000000000002E-3</v>
      </c>
      <c r="AB6" s="83">
        <v>-2.7E-4</v>
      </c>
    </row>
    <row r="7" spans="1:28" x14ac:dyDescent="0.3">
      <c r="A7" s="123" t="s">
        <v>71</v>
      </c>
      <c r="B7" s="187">
        <v>0.13707</v>
      </c>
      <c r="C7" s="187">
        <v>0.115</v>
      </c>
      <c r="D7" s="187">
        <v>0.115</v>
      </c>
      <c r="E7" s="123" t="s">
        <v>71</v>
      </c>
      <c r="F7" s="188">
        <v>8.1290000000000001E-2</v>
      </c>
      <c r="G7" s="188">
        <v>0.12487999999999999</v>
      </c>
      <c r="H7" s="188">
        <v>0.12333</v>
      </c>
      <c r="I7" s="123" t="s">
        <v>71</v>
      </c>
      <c r="J7" s="189">
        <v>9.8099999999999993E-2</v>
      </c>
      <c r="K7" s="189">
        <v>0.10074</v>
      </c>
      <c r="L7" s="189">
        <v>9.9589999999999998E-2</v>
      </c>
      <c r="M7" s="123" t="s">
        <v>71</v>
      </c>
      <c r="N7" s="83">
        <v>6.8739999999999996E-2</v>
      </c>
      <c r="O7" s="83">
        <v>0.10218000000000001</v>
      </c>
      <c r="P7" s="83">
        <v>0.10778</v>
      </c>
      <c r="Q7" s="123" t="s">
        <v>71</v>
      </c>
      <c r="R7" s="83">
        <v>0.12114999999999999</v>
      </c>
      <c r="S7" s="83">
        <v>0.11176999999999999</v>
      </c>
      <c r="T7" s="83">
        <v>0.11132</v>
      </c>
      <c r="U7" s="123" t="s">
        <v>71</v>
      </c>
      <c r="V7" s="83">
        <v>6.7049999999999998E-2</v>
      </c>
      <c r="W7" s="83">
        <v>9.2679999999999998E-2</v>
      </c>
      <c r="X7" s="83">
        <v>9.5590000000000008E-2</v>
      </c>
      <c r="Y7" s="123" t="s">
        <v>71</v>
      </c>
      <c r="Z7" s="83">
        <v>-9.6500000000000006E-3</v>
      </c>
      <c r="AA7" s="83">
        <v>5.4530000000000002E-2</v>
      </c>
      <c r="AB7" s="83">
        <v>5.1979999999999998E-2</v>
      </c>
    </row>
    <row r="8" spans="1:28" x14ac:dyDescent="0.3">
      <c r="A8" s="123" t="s">
        <v>72</v>
      </c>
      <c r="B8" s="187">
        <v>9.2930000000000013E-2</v>
      </c>
      <c r="C8" s="187">
        <v>0.115</v>
      </c>
      <c r="D8" s="187">
        <v>0.115</v>
      </c>
      <c r="E8" s="123" t="s">
        <v>72</v>
      </c>
      <c r="F8" s="188">
        <v>0.12859999999999999</v>
      </c>
      <c r="G8" s="188">
        <v>0.13049000000000002</v>
      </c>
      <c r="H8" s="188">
        <v>0.12604000000000001</v>
      </c>
      <c r="I8" s="123" t="s">
        <v>72</v>
      </c>
      <c r="J8" s="189">
        <v>9.3920000000000003E-2</v>
      </c>
      <c r="K8" s="189">
        <v>0.13199</v>
      </c>
      <c r="L8" s="189">
        <v>0.10793000000000001</v>
      </c>
      <c r="M8" s="123" t="s">
        <v>72</v>
      </c>
      <c r="N8" s="83">
        <v>0.10623</v>
      </c>
      <c r="O8" s="83">
        <v>0.12776000000000001</v>
      </c>
      <c r="P8" s="83">
        <v>0.12307</v>
      </c>
      <c r="Q8" s="123" t="s">
        <v>72</v>
      </c>
      <c r="R8" s="83">
        <v>0.10405</v>
      </c>
      <c r="S8" s="83">
        <v>0.11493</v>
      </c>
      <c r="T8" s="83">
        <v>0.10749</v>
      </c>
      <c r="U8" s="123" t="s">
        <v>72</v>
      </c>
      <c r="V8" s="83">
        <v>9.4159999999999994E-2</v>
      </c>
      <c r="W8" s="83">
        <v>9.7299999999999998E-2</v>
      </c>
      <c r="X8" s="83">
        <v>9.6680000000000002E-2</v>
      </c>
      <c r="Y8" s="123" t="s">
        <v>72</v>
      </c>
      <c r="Z8" s="83">
        <v>5.3560000000000003E-2</v>
      </c>
      <c r="AA8" s="83">
        <v>7.3520000000000002E-2</v>
      </c>
      <c r="AB8" s="83">
        <v>7.1959999999999996E-2</v>
      </c>
    </row>
    <row r="9" spans="1:28" x14ac:dyDescent="0.3">
      <c r="A9" s="123" t="s">
        <v>73</v>
      </c>
      <c r="B9" s="187">
        <v>0.115</v>
      </c>
      <c r="C9" s="187">
        <v>0.115</v>
      </c>
      <c r="D9" s="187">
        <v>0.115</v>
      </c>
      <c r="E9" s="123" t="s">
        <v>73</v>
      </c>
      <c r="F9" s="188">
        <v>0.12444</v>
      </c>
      <c r="G9" s="188">
        <v>0.14771999999999999</v>
      </c>
      <c r="H9" s="188">
        <v>0.13728000000000001</v>
      </c>
      <c r="I9" s="123" t="s">
        <v>73</v>
      </c>
      <c r="J9" s="189">
        <v>0.13336000000000001</v>
      </c>
      <c r="K9" s="189">
        <v>0.10238999999999999</v>
      </c>
      <c r="L9" s="189">
        <v>0.11896</v>
      </c>
      <c r="M9" s="123" t="s">
        <v>73</v>
      </c>
      <c r="N9" s="83">
        <v>0.11954000000000001</v>
      </c>
      <c r="O9" s="83">
        <v>0.12562999999999999</v>
      </c>
      <c r="P9" s="83">
        <v>0.11848</v>
      </c>
      <c r="Q9" s="123" t="s">
        <v>73</v>
      </c>
      <c r="R9" s="83">
        <v>0.11650000000000001</v>
      </c>
      <c r="S9" s="83">
        <v>9.3600000000000003E-2</v>
      </c>
      <c r="T9" s="83">
        <v>9.5449999999999993E-2</v>
      </c>
      <c r="U9" s="123" t="s">
        <v>73</v>
      </c>
      <c r="V9" s="83">
        <v>9.2280000000000001E-2</v>
      </c>
      <c r="W9" s="83">
        <v>9.7680000000000003E-2</v>
      </c>
      <c r="X9" s="83">
        <v>9.5400000000000013E-2</v>
      </c>
      <c r="Y9" s="123" t="s">
        <v>73</v>
      </c>
      <c r="Z9" s="83">
        <v>7.1900000000000006E-2</v>
      </c>
      <c r="AA9" s="83">
        <v>6.6640000000000005E-2</v>
      </c>
      <c r="AB9" s="83">
        <v>6.0249999999999998E-2</v>
      </c>
    </row>
    <row r="10" spans="1:28" x14ac:dyDescent="0.3">
      <c r="A10" s="123" t="s">
        <v>74</v>
      </c>
      <c r="B10" s="187">
        <v>0.10305</v>
      </c>
      <c r="C10" s="187">
        <v>9.493E-2</v>
      </c>
      <c r="D10" s="187">
        <v>9.9019999999999997E-2</v>
      </c>
      <c r="E10" s="123" t="s">
        <v>74</v>
      </c>
      <c r="F10" s="188">
        <v>0.13527</v>
      </c>
      <c r="G10" s="188">
        <v>8.8540000000000008E-2</v>
      </c>
      <c r="H10" s="188">
        <v>9.6450000000000008E-2</v>
      </c>
      <c r="I10" s="123" t="s">
        <v>74</v>
      </c>
      <c r="J10" s="189">
        <v>8.5019999999999998E-2</v>
      </c>
      <c r="K10" s="189">
        <v>8.1230000000000011E-2</v>
      </c>
      <c r="L10" s="189">
        <v>7.7370000000000008E-2</v>
      </c>
      <c r="M10" s="123" t="s">
        <v>74</v>
      </c>
      <c r="N10" s="83">
        <v>0.10651999999999999</v>
      </c>
      <c r="O10" s="83">
        <v>0.10197000000000001</v>
      </c>
      <c r="P10" s="83">
        <v>0.1128</v>
      </c>
      <c r="Q10" s="123" t="s">
        <v>74</v>
      </c>
      <c r="R10" s="83">
        <v>7.6670000000000002E-2</v>
      </c>
      <c r="S10" s="83">
        <v>8.412E-2</v>
      </c>
      <c r="T10" s="83">
        <v>8.3059999999999995E-2</v>
      </c>
      <c r="U10" s="123" t="s">
        <v>74</v>
      </c>
      <c r="V10" s="83">
        <v>8.8880000000000001E-2</v>
      </c>
      <c r="W10" s="83">
        <v>8.4129999999999996E-2</v>
      </c>
      <c r="X10" s="83">
        <v>7.8829999999999997E-2</v>
      </c>
      <c r="Y10" s="123" t="s">
        <v>74</v>
      </c>
      <c r="Z10" s="83">
        <v>5.9760000000000001E-2</v>
      </c>
      <c r="AA10" s="83">
        <v>5.7529999999999998E-2</v>
      </c>
      <c r="AB10" s="83">
        <v>6.2560000000000004E-2</v>
      </c>
    </row>
    <row r="11" spans="1:28" x14ac:dyDescent="0.3">
      <c r="A11" s="123" t="s">
        <v>75</v>
      </c>
      <c r="B11" s="187">
        <v>0.10231999999999999</v>
      </c>
      <c r="C11" s="187">
        <v>0.10621999999999999</v>
      </c>
      <c r="D11" s="187">
        <v>0.10348</v>
      </c>
      <c r="E11" s="123" t="s">
        <v>75</v>
      </c>
      <c r="F11" s="188">
        <v>7.2109999999999994E-2</v>
      </c>
      <c r="G11" s="188">
        <v>0.10973999999999999</v>
      </c>
      <c r="H11" s="188">
        <v>0.12606999999999999</v>
      </c>
      <c r="I11" s="123" t="s">
        <v>75</v>
      </c>
      <c r="J11" s="189">
        <v>7.7900000000000011E-2</v>
      </c>
      <c r="K11" s="189">
        <v>7.324E-2</v>
      </c>
      <c r="L11" s="189">
        <v>7.4900000000000008E-2</v>
      </c>
      <c r="M11" s="123" t="s">
        <v>75</v>
      </c>
      <c r="N11" s="83">
        <v>0.115</v>
      </c>
      <c r="O11" s="83">
        <v>0.10476000000000001</v>
      </c>
      <c r="P11" s="83">
        <v>0.10109</v>
      </c>
      <c r="Q11" s="123" t="s">
        <v>75</v>
      </c>
      <c r="R11" s="83">
        <v>8.5690000000000002E-2</v>
      </c>
      <c r="S11" s="83">
        <v>7.0499999999999993E-2</v>
      </c>
      <c r="T11" s="83">
        <v>7.1029999999999996E-2</v>
      </c>
      <c r="U11" s="123" t="s">
        <v>75</v>
      </c>
      <c r="V11" s="83">
        <v>8.8050000000000003E-2</v>
      </c>
      <c r="W11" s="83">
        <v>7.3550000000000004E-2</v>
      </c>
      <c r="X11" s="83">
        <v>8.0099999999999991E-2</v>
      </c>
      <c r="Y11" s="123" t="s">
        <v>75</v>
      </c>
      <c r="Z11" s="83">
        <v>6.1079999999999995E-2</v>
      </c>
      <c r="AA11" s="83">
        <v>6.8970000000000004E-2</v>
      </c>
      <c r="AB11" s="83">
        <v>6.7610000000000003E-2</v>
      </c>
    </row>
    <row r="12" spans="1:28" x14ac:dyDescent="0.3">
      <c r="A12" s="123" t="s">
        <v>76</v>
      </c>
      <c r="B12" s="187">
        <v>0.11573</v>
      </c>
      <c r="C12" s="187">
        <v>0.12792000000000001</v>
      </c>
      <c r="D12" s="187">
        <v>0.12176000000000001</v>
      </c>
      <c r="E12" s="123" t="s">
        <v>76</v>
      </c>
      <c r="F12" s="188">
        <v>0.12934000000000001</v>
      </c>
      <c r="G12" s="188">
        <v>0.16391999999999998</v>
      </c>
      <c r="H12" s="188">
        <v>0.12262999999999999</v>
      </c>
      <c r="I12" s="123" t="s">
        <v>76</v>
      </c>
      <c r="J12" s="189">
        <v>8.4239999999999995E-2</v>
      </c>
      <c r="K12" s="189">
        <v>8.6599999999999996E-2</v>
      </c>
      <c r="L12" s="189">
        <v>8.584E-2</v>
      </c>
      <c r="M12" s="123" t="s">
        <v>76</v>
      </c>
      <c r="N12" s="83">
        <v>0.12739</v>
      </c>
      <c r="O12" s="83">
        <v>9.8949999999999996E-2</v>
      </c>
      <c r="P12" s="83">
        <v>8.8639999999999997E-2</v>
      </c>
      <c r="Q12" s="123" t="s">
        <v>76</v>
      </c>
      <c r="R12" s="83">
        <v>7.0599999999999996E-2</v>
      </c>
      <c r="S12" s="83">
        <v>9.1480000000000006E-2</v>
      </c>
      <c r="T12" s="83">
        <v>9.5310000000000006E-2</v>
      </c>
      <c r="U12" s="123" t="s">
        <v>76</v>
      </c>
      <c r="V12" s="83">
        <v>8.270000000000001E-2</v>
      </c>
      <c r="W12" s="83">
        <v>7.1910000000000002E-2</v>
      </c>
      <c r="X12" s="83">
        <v>6.7030000000000006E-2</v>
      </c>
      <c r="Y12" s="123" t="s">
        <v>76</v>
      </c>
      <c r="Z12" s="83">
        <v>8.0489999999999992E-2</v>
      </c>
      <c r="AA12" s="83">
        <v>8.072E-2</v>
      </c>
      <c r="AB12" s="83">
        <v>7.9629999999999992E-2</v>
      </c>
    </row>
    <row r="13" spans="1:28" x14ac:dyDescent="0.3">
      <c r="A13" s="123" t="s">
        <v>77</v>
      </c>
      <c r="B13" s="187">
        <v>0.14953999999999998</v>
      </c>
      <c r="C13" s="187">
        <v>0.13266</v>
      </c>
      <c r="D13" s="187">
        <v>0.12806000000000001</v>
      </c>
      <c r="E13" s="123" t="s">
        <v>77</v>
      </c>
      <c r="F13" s="188">
        <v>0.17877999999999999</v>
      </c>
      <c r="G13" s="188">
        <v>0.11885999999999999</v>
      </c>
      <c r="H13" s="188">
        <v>0.1368</v>
      </c>
      <c r="I13" s="123" t="s">
        <v>77</v>
      </c>
      <c r="J13" s="189">
        <v>8.9209999999999998E-2</v>
      </c>
      <c r="K13" s="189">
        <v>0.11998</v>
      </c>
      <c r="L13" s="189">
        <v>0.12059</v>
      </c>
      <c r="M13" s="123" t="s">
        <v>77</v>
      </c>
      <c r="N13" s="83">
        <v>0.10212</v>
      </c>
      <c r="O13" s="83">
        <v>0.11973</v>
      </c>
      <c r="P13" s="83">
        <v>0.12562999999999999</v>
      </c>
      <c r="Q13" s="123" t="s">
        <v>77</v>
      </c>
      <c r="R13" s="83">
        <v>9.7199999999999995E-2</v>
      </c>
      <c r="S13" s="83">
        <v>0.1178</v>
      </c>
      <c r="T13" s="83">
        <v>0.11226</v>
      </c>
      <c r="U13" s="123" t="s">
        <v>77</v>
      </c>
      <c r="V13" s="83">
        <v>6.3710000000000003E-2</v>
      </c>
      <c r="W13" s="83">
        <v>7.1929999999999994E-2</v>
      </c>
      <c r="X13" s="83">
        <v>7.5439999999999993E-2</v>
      </c>
      <c r="Y13" s="123" t="s">
        <v>77</v>
      </c>
      <c r="Z13" s="83">
        <v>7.492E-2</v>
      </c>
      <c r="AA13" s="83">
        <v>0.10135</v>
      </c>
      <c r="AB13" s="83">
        <v>0.10014000000000001</v>
      </c>
    </row>
    <row r="14" spans="1:28" x14ac:dyDescent="0.3">
      <c r="A14" s="123" t="s">
        <v>78</v>
      </c>
      <c r="B14" s="187">
        <v>0.1167</v>
      </c>
      <c r="C14" s="187">
        <v>0.1142</v>
      </c>
      <c r="D14" s="187">
        <v>0.11705</v>
      </c>
      <c r="E14" s="123" t="s">
        <v>78</v>
      </c>
      <c r="F14" s="188">
        <v>0.10726999999999999</v>
      </c>
      <c r="G14" s="188">
        <v>0.10109</v>
      </c>
      <c r="H14" s="188">
        <v>9.9530000000000007E-2</v>
      </c>
      <c r="I14" s="123" t="s">
        <v>78</v>
      </c>
      <c r="J14" s="189">
        <v>0.12235</v>
      </c>
      <c r="K14" s="189">
        <v>0.10540000000000001</v>
      </c>
      <c r="L14" s="189">
        <v>9.8549999999999999E-2</v>
      </c>
      <c r="M14" s="123" t="s">
        <v>78</v>
      </c>
      <c r="N14" s="83">
        <v>0.11164</v>
      </c>
      <c r="O14" s="83">
        <v>9.6689999999999998E-2</v>
      </c>
      <c r="P14" s="83">
        <v>9.7040000000000001E-2</v>
      </c>
      <c r="Q14" s="123" t="s">
        <v>78</v>
      </c>
      <c r="R14" s="83">
        <v>0.12271</v>
      </c>
      <c r="S14" s="83">
        <v>0.115</v>
      </c>
      <c r="T14" s="83">
        <v>0.11108999999999999</v>
      </c>
      <c r="U14" s="123" t="s">
        <v>78</v>
      </c>
      <c r="V14" s="83">
        <v>7.6230000000000006E-2</v>
      </c>
      <c r="W14" s="83">
        <v>0.12447999999999999</v>
      </c>
      <c r="X14" s="83">
        <v>0.11320000000000001</v>
      </c>
      <c r="Y14" s="123" t="s">
        <v>78</v>
      </c>
      <c r="Z14" s="83">
        <v>9.9010000000000001E-2</v>
      </c>
      <c r="AA14" s="83">
        <v>8.5040000000000004E-2</v>
      </c>
      <c r="AB14" s="83">
        <v>8.231999999999999E-2</v>
      </c>
    </row>
    <row r="15" spans="1:28" x14ac:dyDescent="0.3">
      <c r="A15" s="123" t="s">
        <v>79</v>
      </c>
      <c r="B15" s="187">
        <v>0.10704000000000001</v>
      </c>
      <c r="C15" s="187">
        <v>0.10031</v>
      </c>
      <c r="D15" s="187">
        <v>0.10557999999999999</v>
      </c>
      <c r="E15" s="123" t="s">
        <v>79</v>
      </c>
      <c r="F15" s="188">
        <v>8.5690000000000002E-2</v>
      </c>
      <c r="G15" s="188">
        <v>9.0659999999999991E-2</v>
      </c>
      <c r="H15" s="188">
        <v>9.3209999999999987E-2</v>
      </c>
      <c r="I15" s="123" t="s">
        <v>79</v>
      </c>
      <c r="J15" s="189">
        <v>9.1980000000000006E-2</v>
      </c>
      <c r="K15" s="189">
        <v>7.0669999999999997E-2</v>
      </c>
      <c r="L15" s="189">
        <v>7.4040000000000009E-2</v>
      </c>
      <c r="M15" s="123" t="s">
        <v>79</v>
      </c>
      <c r="N15" s="83">
        <v>8.3909999999999998E-2</v>
      </c>
      <c r="O15" s="83">
        <v>9.6689999999999998E-2</v>
      </c>
      <c r="P15" s="83">
        <v>9.2069999999999999E-2</v>
      </c>
      <c r="Q15" s="123" t="s">
        <v>79</v>
      </c>
      <c r="R15" s="83">
        <v>0.10594000000000001</v>
      </c>
      <c r="S15" s="83">
        <v>7.8719999999999998E-2</v>
      </c>
      <c r="T15" s="83">
        <v>8.7080000000000005E-2</v>
      </c>
      <c r="U15" s="123" t="s">
        <v>79</v>
      </c>
      <c r="V15" s="83">
        <v>0.11462</v>
      </c>
      <c r="W15" s="83">
        <v>8.8090000000000002E-2</v>
      </c>
      <c r="X15" s="83">
        <v>9.4709999999999989E-2</v>
      </c>
      <c r="Y15" s="123" t="s">
        <v>79</v>
      </c>
      <c r="Z15" s="83">
        <v>7.3180000000000009E-2</v>
      </c>
      <c r="AA15" s="83">
        <v>5.7889999999999997E-2</v>
      </c>
      <c r="AB15" s="83">
        <v>7.4439999999999992E-2</v>
      </c>
    </row>
    <row r="18" spans="1:12" x14ac:dyDescent="0.3">
      <c r="A18" s="123"/>
      <c r="B18" s="123">
        <v>2021</v>
      </c>
      <c r="C18" s="123"/>
      <c r="D18" s="123"/>
      <c r="E18" s="123"/>
      <c r="F18" s="123">
        <v>2022</v>
      </c>
      <c r="G18" s="123"/>
      <c r="H18" s="123"/>
      <c r="I18" s="123"/>
      <c r="J18" s="123">
        <v>2023</v>
      </c>
      <c r="K18" s="123"/>
      <c r="L18" s="123"/>
    </row>
    <row r="19" spans="1:12" ht="28.2" x14ac:dyDescent="0.3">
      <c r="A19" s="185" t="s">
        <v>152</v>
      </c>
      <c r="B19" s="186" t="s">
        <v>153</v>
      </c>
      <c r="C19" s="186" t="s">
        <v>154</v>
      </c>
      <c r="D19" s="186" t="s">
        <v>155</v>
      </c>
      <c r="E19" s="185" t="s">
        <v>152</v>
      </c>
      <c r="F19" s="186" t="s">
        <v>153</v>
      </c>
      <c r="G19" s="186" t="s">
        <v>154</v>
      </c>
      <c r="H19" s="186" t="s">
        <v>155</v>
      </c>
      <c r="I19" s="185" t="s">
        <v>152</v>
      </c>
      <c r="J19" s="186" t="s">
        <v>153</v>
      </c>
      <c r="K19" s="186" t="s">
        <v>154</v>
      </c>
      <c r="L19" s="186" t="s">
        <v>155</v>
      </c>
    </row>
    <row r="20" spans="1:12" x14ac:dyDescent="0.3">
      <c r="A20" s="123" t="s">
        <v>68</v>
      </c>
      <c r="B20" s="187">
        <v>9.0919999999999987E-2</v>
      </c>
      <c r="C20" s="187">
        <v>9.1820000000000013E-2</v>
      </c>
      <c r="D20" s="187">
        <v>8.7980000000000003E-2</v>
      </c>
      <c r="E20" s="123" t="s">
        <v>68</v>
      </c>
      <c r="F20" s="187">
        <v>4.829E-2</v>
      </c>
      <c r="G20" s="187">
        <v>4.514E-2</v>
      </c>
      <c r="H20" s="187">
        <v>4.3529999999999999E-2</v>
      </c>
      <c r="I20" s="123" t="s">
        <v>68</v>
      </c>
      <c r="J20" s="187">
        <v>3.1379999999999998E-2</v>
      </c>
      <c r="K20" s="187">
        <v>5.1450000000000003E-2</v>
      </c>
      <c r="L20" s="187">
        <v>5.3770000000000005E-2</v>
      </c>
    </row>
    <row r="21" spans="1:12" x14ac:dyDescent="0.3">
      <c r="A21" s="123" t="s">
        <v>69</v>
      </c>
      <c r="B21" s="187">
        <v>0.10485000000000001</v>
      </c>
      <c r="C21" s="187">
        <v>4.2559999999999994E-2</v>
      </c>
      <c r="D21" s="187">
        <v>5.7510000000000006E-2</v>
      </c>
      <c r="E21" s="123" t="s">
        <v>69</v>
      </c>
      <c r="F21" s="187">
        <v>5.0189999999999999E-2</v>
      </c>
      <c r="G21" s="187">
        <v>5.3249999999999999E-2</v>
      </c>
      <c r="H21" s="187">
        <v>5.246E-2</v>
      </c>
      <c r="I21" s="123" t="s">
        <v>69</v>
      </c>
      <c r="J21" s="187">
        <v>6.2850000000000003E-2</v>
      </c>
      <c r="K21" s="187">
        <v>8.3699999999999997E-2</v>
      </c>
      <c r="L21" s="187">
        <v>8.2489999999999994E-2</v>
      </c>
    </row>
    <row r="22" spans="1:12" x14ac:dyDescent="0.3">
      <c r="A22" s="123" t="s">
        <v>70</v>
      </c>
      <c r="B22" s="187">
        <v>8.4199999999999997E-2</v>
      </c>
      <c r="C22" s="187">
        <v>9.8390000000000005E-2</v>
      </c>
      <c r="D22" s="187">
        <v>9.6679999999999988E-2</v>
      </c>
      <c r="E22" s="123" t="s">
        <v>70</v>
      </c>
      <c r="F22" s="187">
        <v>5.5E-2</v>
      </c>
      <c r="G22" s="187">
        <v>5.3859999999999998E-2</v>
      </c>
      <c r="H22" s="187">
        <v>5.9409999999999998E-2</v>
      </c>
      <c r="I22" s="123" t="s">
        <v>70</v>
      </c>
      <c r="J22" s="187">
        <v>6.9889999999999994E-2</v>
      </c>
      <c r="K22" s="187">
        <v>6.8640000000000007E-2</v>
      </c>
      <c r="L22" s="187">
        <v>8.0310000000000006E-2</v>
      </c>
    </row>
    <row r="23" spans="1:12" x14ac:dyDescent="0.3">
      <c r="A23" s="123" t="s">
        <v>71</v>
      </c>
      <c r="B23" s="187">
        <v>6.9690000000000002E-2</v>
      </c>
      <c r="C23" s="187">
        <v>0.12595999999999999</v>
      </c>
      <c r="D23" s="187">
        <v>0.11589000000000001</v>
      </c>
      <c r="E23" s="123" t="s">
        <v>71</v>
      </c>
      <c r="F23" s="187">
        <v>5.9150000000000001E-2</v>
      </c>
      <c r="G23" s="187">
        <v>8.6400000000000005E-2</v>
      </c>
      <c r="H23" s="187">
        <v>8.2930000000000004E-2</v>
      </c>
      <c r="I23" s="123" t="s">
        <v>71</v>
      </c>
      <c r="J23" s="187">
        <v>8.2489999999999994E-2</v>
      </c>
      <c r="K23" s="187">
        <v>0.11617</v>
      </c>
      <c r="L23" s="187">
        <v>9.8530000000000006E-2</v>
      </c>
    </row>
    <row r="24" spans="1:12" x14ac:dyDescent="0.3">
      <c r="A24" s="123" t="s">
        <v>72</v>
      </c>
      <c r="B24" s="187">
        <v>0.10531</v>
      </c>
      <c r="C24" s="187">
        <v>0.10690999999999999</v>
      </c>
      <c r="D24" s="187">
        <v>0.10675</v>
      </c>
      <c r="E24" s="123" t="s">
        <v>72</v>
      </c>
      <c r="F24" s="187">
        <v>5.9679999999999997E-2</v>
      </c>
      <c r="G24" s="187">
        <v>8.6849999999999997E-2</v>
      </c>
      <c r="H24" s="187">
        <v>8.4750000000000006E-2</v>
      </c>
      <c r="I24" s="123" t="s">
        <v>72</v>
      </c>
      <c r="J24" s="187">
        <v>8.2489999999999994E-2</v>
      </c>
      <c r="K24" s="187">
        <v>9.3840000000000007E-2</v>
      </c>
      <c r="L24" s="187">
        <v>9.962E-2</v>
      </c>
    </row>
    <row r="25" spans="1:12" x14ac:dyDescent="0.3">
      <c r="A25" s="123" t="s">
        <v>73</v>
      </c>
      <c r="B25" s="187">
        <v>0.11352000000000001</v>
      </c>
      <c r="C25" s="187">
        <v>9.4890000000000002E-2</v>
      </c>
      <c r="D25" s="187">
        <v>9.2159999999999992E-2</v>
      </c>
      <c r="E25" s="123" t="s">
        <v>73</v>
      </c>
      <c r="F25" s="187">
        <v>8.2930000000000004E-2</v>
      </c>
      <c r="G25" s="187">
        <v>8.7639999999999996E-2</v>
      </c>
      <c r="H25" s="187">
        <v>7.868E-2</v>
      </c>
      <c r="I25" s="123" t="s">
        <v>73</v>
      </c>
      <c r="J25" s="187">
        <v>9.8530000000000006E-2</v>
      </c>
      <c r="K25" s="187">
        <v>8.9719999999999994E-2</v>
      </c>
      <c r="L25" s="187">
        <v>8.2930000000000004E-2</v>
      </c>
    </row>
    <row r="26" spans="1:12" x14ac:dyDescent="0.3">
      <c r="A26" s="123" t="s">
        <v>74</v>
      </c>
      <c r="B26" s="187">
        <v>7.6120000000000007E-2</v>
      </c>
      <c r="C26" s="187">
        <v>7.8200000000000006E-2</v>
      </c>
      <c r="D26" s="187">
        <v>7.9179999999999987E-2</v>
      </c>
      <c r="E26" s="123" t="s">
        <v>74</v>
      </c>
      <c r="F26" s="187">
        <v>8.4750000000000006E-2</v>
      </c>
      <c r="G26" s="187">
        <v>3.7039999999999997E-2</v>
      </c>
      <c r="H26" s="187">
        <v>4.0079999999999998E-2</v>
      </c>
      <c r="I26" s="123" t="s">
        <v>74</v>
      </c>
      <c r="J26" s="187">
        <v>9.962E-2</v>
      </c>
      <c r="K26" s="187">
        <v>5.1049999999999998E-2</v>
      </c>
      <c r="L26" s="187">
        <v>4.9489999999999999E-2</v>
      </c>
    </row>
    <row r="27" spans="1:12" x14ac:dyDescent="0.3">
      <c r="A27" s="123" t="s">
        <v>75</v>
      </c>
      <c r="B27" s="187">
        <v>8.7340000000000001E-2</v>
      </c>
      <c r="C27" s="187">
        <v>5.33E-2</v>
      </c>
      <c r="D27" s="187">
        <v>5.1069999999999997E-2</v>
      </c>
      <c r="E27" s="123" t="s">
        <v>75</v>
      </c>
      <c r="F27" s="187">
        <v>4.8710000000000003E-2</v>
      </c>
      <c r="G27" s="187">
        <v>3.4000000000000002E-4</v>
      </c>
      <c r="H27" s="187">
        <v>4.9899999999999996E-3</v>
      </c>
      <c r="I27" s="123" t="s">
        <v>75</v>
      </c>
      <c r="J27" s="187">
        <v>5.3770000000000005E-2</v>
      </c>
      <c r="K27" s="187">
        <v>5.1540000000000002E-2</v>
      </c>
      <c r="L27" s="187">
        <v>7.6060000000000003E-2</v>
      </c>
    </row>
    <row r="28" spans="1:12" x14ac:dyDescent="0.3">
      <c r="A28" s="123" t="s">
        <v>76</v>
      </c>
      <c r="B28" s="187">
        <v>5.5189999999999996E-2</v>
      </c>
      <c r="C28" s="187">
        <v>7.2419999999999984E-2</v>
      </c>
      <c r="D28" s="187">
        <v>8.2339999999999997E-2</v>
      </c>
      <c r="E28" s="123" t="s">
        <v>76</v>
      </c>
      <c r="F28" s="187">
        <v>4.0079999999999998E-2</v>
      </c>
      <c r="G28" s="187">
        <v>2.7550000000000002E-2</v>
      </c>
      <c r="H28" s="187">
        <v>3.2410000000000001E-2</v>
      </c>
      <c r="I28" s="123" t="s">
        <v>76</v>
      </c>
      <c r="J28" s="187">
        <v>5.8369999999999998E-2</v>
      </c>
      <c r="K28" s="187">
        <v>7.4540000000000009E-2</v>
      </c>
      <c r="L28" s="187">
        <v>5.0930000000000003E-2</v>
      </c>
    </row>
    <row r="29" spans="1:12" x14ac:dyDescent="0.3">
      <c r="A29" s="123" t="s">
        <v>77</v>
      </c>
      <c r="B29" s="187">
        <v>7.4020000000000016E-2</v>
      </c>
      <c r="C29" s="187">
        <v>6.8640000000000007E-2</v>
      </c>
      <c r="D29" s="187">
        <v>5.8400000000000001E-2</v>
      </c>
      <c r="E29" s="123" t="s">
        <v>77</v>
      </c>
      <c r="F29" s="187">
        <v>4.9899999999999996E-3</v>
      </c>
      <c r="G29" s="187">
        <v>6.8029999999999993E-2</v>
      </c>
      <c r="H29" s="187">
        <v>5.7709999999999997E-2</v>
      </c>
      <c r="I29" s="123" t="s">
        <v>77</v>
      </c>
      <c r="J29" s="187">
        <v>7.3319999999999996E-2</v>
      </c>
      <c r="K29" s="187">
        <v>8.4330000000000002E-2</v>
      </c>
      <c r="L29" s="187">
        <v>8.498E-2</v>
      </c>
    </row>
    <row r="30" spans="1:12" x14ac:dyDescent="0.3">
      <c r="A30" s="123" t="s">
        <v>78</v>
      </c>
      <c r="B30" s="187">
        <v>6.341999999999999E-2</v>
      </c>
      <c r="C30" s="187">
        <v>5.8449999999999995E-2</v>
      </c>
      <c r="D30" s="187">
        <v>6.0120000000000007E-2</v>
      </c>
      <c r="E30" s="123" t="s">
        <v>78</v>
      </c>
      <c r="F30" s="187">
        <v>4.7390000000000002E-2</v>
      </c>
      <c r="G30" s="187">
        <v>6.719E-2</v>
      </c>
      <c r="H30" s="187">
        <v>6.9889999999999994E-2</v>
      </c>
      <c r="I30" s="123" t="s">
        <v>78</v>
      </c>
      <c r="J30" s="187">
        <v>7.0400000000000004E-2</v>
      </c>
      <c r="K30" s="187">
        <v>8.2879999999999995E-2</v>
      </c>
      <c r="L30" s="187">
        <v>7.0900000000000005E-2</v>
      </c>
    </row>
    <row r="31" spans="1:12" x14ac:dyDescent="0.3">
      <c r="A31" s="123" t="s">
        <v>79</v>
      </c>
      <c r="B31" s="187">
        <v>5.4430000000000006E-2</v>
      </c>
      <c r="C31" s="187">
        <v>5.9179999999999996E-2</v>
      </c>
      <c r="D31" s="187">
        <v>6.515E-2</v>
      </c>
      <c r="E31" s="123" t="s">
        <v>79</v>
      </c>
      <c r="F31" s="187">
        <v>5.9619999999999999E-2</v>
      </c>
      <c r="G31" s="187">
        <v>3.5810000000000002E-2</v>
      </c>
      <c r="H31" s="187">
        <v>3.4270000000000002E-2</v>
      </c>
      <c r="I31" s="123" t="s">
        <v>79</v>
      </c>
      <c r="J31" s="187">
        <v>8.3400000000000002E-2</v>
      </c>
      <c r="K31" s="187">
        <v>6.7589999999999997E-2</v>
      </c>
      <c r="L31" s="187">
        <v>6.6220000000000001E-2</v>
      </c>
    </row>
  </sheetData>
  <sheetProtection algorithmName="SHA-512" hashValue="9sdb17y7zNKTIspdBtQo/Jt20pRSmQ9+2ENQJ8oZJGv1BbwW+fIpcOI0e066A8RaeH5lnZ/3VCyJTy0F1+AvWQ==" saltValue="NLN9d8gHVeqzuU4YSie9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2820BC222D64D8DC9A2DA070C4654" ma:contentTypeVersion="4" ma:contentTypeDescription="Create a new document." ma:contentTypeScope="" ma:versionID="0f680be39e736a13f1a0da5019821b7a">
  <xsd:schema xmlns:xsd="http://www.w3.org/2001/XMLSchema" xmlns:xs="http://www.w3.org/2001/XMLSchema" xmlns:p="http://schemas.microsoft.com/office/2006/metadata/properties" xmlns:ns2="350538af-ac85-4a7e-a050-2815b534ee5b" targetNamespace="http://schemas.microsoft.com/office/2006/metadata/properties" ma:root="true" ma:fieldsID="507bb29b80f45b56f8875f2500c939bc" ns2:_="">
    <xsd:import namespace="350538af-ac85-4a7e-a050-2815b534e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538af-ac85-4a7e-a050-2815b534e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F110D2-BEB6-40E1-BAAE-4D45DD9455D6}"/>
</file>

<file path=customXml/itemProps2.xml><?xml version="1.0" encoding="utf-8"?>
<ds:datastoreItem xmlns:ds="http://schemas.openxmlformats.org/officeDocument/2006/customXml" ds:itemID="{3BFDA1EA-375A-4373-9641-D23CDB25613C}"/>
</file>

<file path=customXml/itemProps3.xml><?xml version="1.0" encoding="utf-8"?>
<ds:datastoreItem xmlns:ds="http://schemas.openxmlformats.org/officeDocument/2006/customXml" ds:itemID="{4E83CBA6-AF09-4481-AA4F-2C9C5A708E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2016</vt:lpstr>
      <vt:lpstr>GA 2017</vt:lpstr>
      <vt:lpstr>GA 2018</vt:lpstr>
      <vt:lpstr>Account 1588</vt:lpstr>
      <vt:lpstr>GA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Abramovitz</dc:creator>
  <cp:lastModifiedBy>Brandon Ott</cp:lastModifiedBy>
  <dcterms:created xsi:type="dcterms:W3CDTF">2024-11-15T16:27:56Z</dcterms:created>
  <dcterms:modified xsi:type="dcterms:W3CDTF">2025-01-27T19:53:54Z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0x010100F172820BC222D64D8DC9A2DA070C4654</vt:lpwstr>
  </property>
</Properties>
</file>