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2025 Dx Licences\National Grid CNPI\"/>
    </mc:Choice>
  </mc:AlternateContent>
  <xr:revisionPtr revIDLastSave="0" documentId="13_ncr:1_{73A42CA5-7BBB-4F9F-BC07-79FF3E233887}" xr6:coauthVersionLast="47" xr6:coauthVersionMax="47" xr10:uidLastSave="{00000000-0000-0000-0000-000000000000}"/>
  <bookViews>
    <workbookView xWindow="28680" yWindow="-120" windowWidth="29040" windowHeight="15720" xr2:uid="{FDB76FA9-49CE-403F-B753-D6923BEC5E5E}"/>
  </bookViews>
  <sheets>
    <sheet name="Data for 2nd TU" sheetId="1" r:id="rId1"/>
    <sheet name="RPP 2nd TU" sheetId="2" r:id="rId2"/>
    <sheet name="RPP vs non-RPP TU JE" sheetId="3" r:id="rId3"/>
    <sheet name="Final RSVA Balances" sheetId="4" r:id="rId4"/>
  </sheets>
  <definedNames>
    <definedName name="_xlnm.Print_Area" localSheetId="0">'Data for 2nd TU'!$A$1:$D$112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C26" i="4"/>
  <c r="D25" i="4"/>
  <c r="C16" i="4"/>
  <c r="F15" i="4"/>
  <c r="F8" i="4"/>
  <c r="D48" i="4" s="1"/>
  <c r="C8" i="4"/>
  <c r="B8" i="4"/>
  <c r="C7" i="4"/>
  <c r="B7" i="3"/>
  <c r="B6" i="3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D5" i="2"/>
  <c r="B5" i="2"/>
  <c r="C100" i="1"/>
  <c r="B100" i="1"/>
  <c r="D99" i="1"/>
  <c r="G7" i="4" s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B76" i="1"/>
  <c r="B75" i="1"/>
  <c r="D73" i="1"/>
  <c r="C72" i="1"/>
  <c r="B72" i="1" s="1"/>
  <c r="C71" i="1"/>
  <c r="B71" i="1" s="1"/>
  <c r="C48" i="1"/>
  <c r="B44" i="1" s="1"/>
  <c r="B23" i="1" s="1"/>
  <c r="D34" i="1"/>
  <c r="C98" i="1" s="1"/>
  <c r="C10" i="1"/>
  <c r="C62" i="1" s="1"/>
  <c r="C9" i="1"/>
  <c r="C63" i="1" s="1"/>
  <c r="D63" i="1" s="1"/>
  <c r="B63" i="1" s="1"/>
  <c r="D7" i="1"/>
  <c r="C70" i="1" s="1"/>
  <c r="B70" i="1" s="1"/>
  <c r="D6" i="1"/>
  <c r="D5" i="1"/>
  <c r="D93" i="1" l="1"/>
  <c r="D86" i="1"/>
  <c r="D87" i="1"/>
  <c r="D91" i="1"/>
  <c r="D100" i="1"/>
  <c r="D89" i="1"/>
  <c r="D90" i="1"/>
  <c r="G8" i="4"/>
  <c r="G9" i="4" s="1"/>
  <c r="D85" i="1"/>
  <c r="D9" i="1"/>
  <c r="D88" i="1"/>
  <c r="C94" i="1"/>
  <c r="D47" i="4"/>
  <c r="D92" i="1"/>
  <c r="C64" i="1"/>
  <c r="D62" i="1"/>
  <c r="B39" i="1"/>
  <c r="B43" i="1"/>
  <c r="B22" i="1" s="1"/>
  <c r="E24" i="4"/>
  <c r="C33" i="1"/>
  <c r="B47" i="1"/>
  <c r="B26" i="1" s="1"/>
  <c r="C73" i="1"/>
  <c r="B73" i="1" s="1"/>
  <c r="C78" i="1"/>
  <c r="B78" i="1" s="1"/>
  <c r="B41" i="1"/>
  <c r="B20" i="1" s="1"/>
  <c r="B45" i="1"/>
  <c r="B24" i="1" s="1"/>
  <c r="C107" i="1"/>
  <c r="B107" i="1" s="1"/>
  <c r="B42" i="1"/>
  <c r="B21" i="1" s="1"/>
  <c r="B46" i="1"/>
  <c r="B25" i="1" s="1"/>
  <c r="B40" i="1"/>
  <c r="B19" i="1" s="1"/>
  <c r="D94" i="1" l="1"/>
  <c r="D7" i="4"/>
  <c r="B54" i="1"/>
  <c r="D8" i="4"/>
  <c r="E8" i="4" s="1"/>
  <c r="B62" i="1"/>
  <c r="D64" i="1"/>
  <c r="G18" i="4" s="1"/>
  <c r="I18" i="4" s="1"/>
  <c r="B48" i="1"/>
  <c r="B18" i="1"/>
  <c r="C35" i="1"/>
  <c r="B33" i="1" s="1"/>
  <c r="B6" i="4"/>
  <c r="B9" i="4" s="1"/>
  <c r="D33" i="1"/>
  <c r="E38" i="4" l="1"/>
  <c r="B64" i="1"/>
  <c r="B12" i="1"/>
  <c r="D35" i="1"/>
  <c r="D31" i="1" s="1"/>
  <c r="C6" i="4"/>
  <c r="C106" i="1"/>
  <c r="C108" i="1" s="1"/>
  <c r="B98" i="1"/>
  <c r="D98" i="1" s="1"/>
  <c r="D17" i="4"/>
  <c r="D16" i="4"/>
  <c r="D37" i="4"/>
  <c r="E7" i="4"/>
  <c r="C31" i="1"/>
  <c r="B34" i="1"/>
  <c r="B13" i="1" s="1"/>
  <c r="C13" i="1" s="1"/>
  <c r="B27" i="1"/>
  <c r="B35" i="1" l="1"/>
  <c r="D36" i="4"/>
  <c r="E16" i="4"/>
  <c r="I16" i="4" s="1"/>
  <c r="D101" i="1"/>
  <c r="C9" i="4"/>
  <c r="B14" i="1"/>
  <c r="C12" i="1"/>
  <c r="C7" i="3"/>
  <c r="D13" i="1"/>
  <c r="C17" i="4"/>
  <c r="B17" i="4"/>
  <c r="B25" i="4" s="1"/>
  <c r="C76" i="1"/>
  <c r="D76" i="1" s="1"/>
  <c r="C14" i="1" l="1"/>
  <c r="C6" i="3"/>
  <c r="C75" i="1"/>
  <c r="D75" i="1" s="1"/>
  <c r="B15" i="4"/>
  <c r="D12" i="1"/>
  <c r="C23" i="1"/>
  <c r="G10" i="2" s="1"/>
  <c r="C20" i="1"/>
  <c r="G7" i="2" s="1"/>
  <c r="C19" i="1"/>
  <c r="G6" i="2" s="1"/>
  <c r="C26" i="1"/>
  <c r="G13" i="2" s="1"/>
  <c r="C22" i="1"/>
  <c r="G9" i="2" s="1"/>
  <c r="C25" i="1"/>
  <c r="G12" i="2" s="1"/>
  <c r="C24" i="1"/>
  <c r="G11" i="2" s="1"/>
  <c r="C21" i="1"/>
  <c r="G8" i="2" s="1"/>
  <c r="C18" i="1"/>
  <c r="B26" i="4"/>
  <c r="C47" i="4"/>
  <c r="E47" i="4" s="1"/>
  <c r="E25" i="4"/>
  <c r="E26" i="4" s="1"/>
  <c r="E44" i="4" s="1"/>
  <c r="C48" i="4"/>
  <c r="E48" i="4" s="1"/>
  <c r="E17" i="4"/>
  <c r="I17" i="4" s="1"/>
  <c r="C37" i="4"/>
  <c r="E37" i="4" s="1"/>
  <c r="C36" i="4"/>
  <c r="E36" i="4" s="1"/>
  <c r="E49" i="4" l="1"/>
  <c r="F49" i="4" s="1"/>
  <c r="J11" i="2"/>
  <c r="H11" i="2"/>
  <c r="H12" i="2"/>
  <c r="J12" i="2"/>
  <c r="J6" i="2"/>
  <c r="H6" i="2"/>
  <c r="J7" i="2"/>
  <c r="H7" i="2"/>
  <c r="J13" i="2"/>
  <c r="H13" i="2"/>
  <c r="G15" i="4"/>
  <c r="G19" i="4" s="1"/>
  <c r="B19" i="4"/>
  <c r="C15" i="4"/>
  <c r="D14" i="1"/>
  <c r="E8" i="3"/>
  <c r="C8" i="3"/>
  <c r="D7" i="3" s="1"/>
  <c r="J9" i="2"/>
  <c r="H9" i="2"/>
  <c r="J10" i="2"/>
  <c r="H10" i="2"/>
  <c r="G5" i="2"/>
  <c r="C27" i="1"/>
  <c r="J8" i="2"/>
  <c r="H8" i="2"/>
  <c r="B106" i="1"/>
  <c r="E7" i="3" l="1"/>
  <c r="D6" i="3"/>
  <c r="D8" i="3" s="1"/>
  <c r="G14" i="2"/>
  <c r="J5" i="2"/>
  <c r="H5" i="2"/>
  <c r="B53" i="1"/>
  <c r="D106" i="1"/>
  <c r="D108" i="1" s="1"/>
  <c r="B108" i="1" s="1"/>
  <c r="C35" i="4"/>
  <c r="C19" i="4"/>
  <c r="C34" i="4"/>
  <c r="E6" i="3" l="1"/>
  <c r="C11" i="2"/>
  <c r="C6" i="2"/>
  <c r="D15" i="4"/>
  <c r="E15" i="4" s="1"/>
  <c r="C9" i="2"/>
  <c r="C12" i="2"/>
  <c r="C7" i="2"/>
  <c r="C10" i="2"/>
  <c r="C13" i="2"/>
  <c r="C5" i="2"/>
  <c r="C8" i="2"/>
  <c r="H14" i="2"/>
  <c r="B14" i="2" s="1"/>
  <c r="D6" i="4" s="1"/>
  <c r="J14" i="2"/>
  <c r="E8" i="2" l="1"/>
  <c r="I8" i="2"/>
  <c r="E13" i="2"/>
  <c r="I13" i="2"/>
  <c r="E5" i="2"/>
  <c r="I5" i="2"/>
  <c r="E10" i="2"/>
  <c r="I10" i="2"/>
  <c r="E7" i="2"/>
  <c r="I7" i="2"/>
  <c r="E12" i="2"/>
  <c r="I12" i="2"/>
  <c r="E9" i="2"/>
  <c r="I9" i="2"/>
  <c r="E19" i="4"/>
  <c r="E6" i="2"/>
  <c r="I6" i="2"/>
  <c r="D35" i="4"/>
  <c r="E35" i="4" s="1"/>
  <c r="E6" i="4"/>
  <c r="E9" i="4" s="1"/>
  <c r="E11" i="2"/>
  <c r="I11" i="2"/>
  <c r="F12" i="2" l="1"/>
  <c r="F11" i="2"/>
  <c r="K7" i="2"/>
  <c r="K10" i="2"/>
  <c r="F6" i="2"/>
  <c r="F10" i="2"/>
  <c r="I14" i="2"/>
  <c r="K5" i="2"/>
  <c r="K6" i="2"/>
  <c r="F7" i="2"/>
  <c r="F5" i="2"/>
  <c r="K13" i="2"/>
  <c r="K9" i="2"/>
  <c r="F13" i="2"/>
  <c r="F9" i="2"/>
  <c r="K8" i="2"/>
  <c r="K12" i="2"/>
  <c r="K11" i="2"/>
  <c r="F8" i="2"/>
  <c r="K14" i="2" l="1"/>
  <c r="H15" i="4" s="1"/>
  <c r="H19" i="4" s="1"/>
  <c r="I15" i="4" l="1"/>
  <c r="D34" i="4" s="1"/>
  <c r="E34" i="4" s="1"/>
  <c r="E39" i="4" s="1"/>
  <c r="F39" i="4" s="1"/>
  <c r="I19" i="4" l="1"/>
  <c r="E31" i="4" s="1"/>
</calcChain>
</file>

<file path=xl/sharedStrings.xml><?xml version="1.0" encoding="utf-8"?>
<sst xmlns="http://schemas.openxmlformats.org/spreadsheetml/2006/main" count="228" uniqueCount="138">
  <si>
    <t>RPP Settlement Calculated Based on Actual Data (Scenario Using August 2023 For Illustrative Purposes Only):</t>
  </si>
  <si>
    <t>Wholesale Volume data per IESO + National Grid Power Bills</t>
  </si>
  <si>
    <t>GA RPP/non-RPP Ratios</t>
  </si>
  <si>
    <t>GA Volumes</t>
  </si>
  <si>
    <t>Energy Volumes</t>
  </si>
  <si>
    <t>AQEW per IESO</t>
  </si>
  <si>
    <t>National Grid</t>
  </si>
  <si>
    <t>Embedded Generation</t>
  </si>
  <si>
    <t>Class A customer Volumes for GA  (TLF included)</t>
  </si>
  <si>
    <t>Actual RPP Quantity Proportion</t>
  </si>
  <si>
    <t>Actual non-RPP Quantity Proportion</t>
  </si>
  <si>
    <t xml:space="preserve">Wholesale kWh Volumes </t>
  </si>
  <si>
    <t>Actual Volumes purchased for RPP Customers (TLF Included)</t>
  </si>
  <si>
    <t>kWh Volumes</t>
  </si>
  <si>
    <t>Actual %</t>
  </si>
  <si>
    <t>Tier 1</t>
  </si>
  <si>
    <t>Tier 2</t>
  </si>
  <si>
    <t>Standard TOU Off-peak</t>
  </si>
  <si>
    <t>Standard TOU Mid-peak</t>
  </si>
  <si>
    <t>Standard TOU On-peak</t>
  </si>
  <si>
    <t>ULO Weekend Off-peak</t>
  </si>
  <si>
    <t>ULO Mid-peak</t>
  </si>
  <si>
    <t>ULO On-peak</t>
  </si>
  <si>
    <t>ULO Ultra-Low Overnight</t>
  </si>
  <si>
    <t>Actual Retail Volume Revenue Data (TLF included)</t>
  </si>
  <si>
    <t>Billed/Unbilled Retail Volumes</t>
  </si>
  <si>
    <t>Actual RPP Sales Quantities</t>
  </si>
  <si>
    <t>Actual non-RPP Sales Quantities</t>
  </si>
  <si>
    <t xml:space="preserve">Actual Retail Revenue kWh Volumes </t>
  </si>
  <si>
    <t>Actual RPP Revenue Volume and Price Data</t>
  </si>
  <si>
    <t>RPP Price/kWh</t>
  </si>
  <si>
    <t>Commodity Price Data</t>
  </si>
  <si>
    <t>Wholesale Prices</t>
  </si>
  <si>
    <t>Commodity Price</t>
  </si>
  <si>
    <t>per kWh</t>
  </si>
  <si>
    <t>Actual Average Energy Price for RPP Customers</t>
  </si>
  <si>
    <t>Actual Average Energy Price for non-RPP customers</t>
  </si>
  <si>
    <t>GA 1st estimate</t>
  </si>
  <si>
    <t>GA 2nd estimate</t>
  </si>
  <si>
    <t>Class B - GA actual</t>
  </si>
  <si>
    <t>Class B - GA actual IESO billed</t>
  </si>
  <si>
    <t>Amount</t>
  </si>
  <si>
    <t>Actual CT 148 per IESO Invoice</t>
  </si>
  <si>
    <t>Difference (Estimated GA "Avoided" for kWhs Purchased from National Grid)</t>
  </si>
  <si>
    <t>Commodity Cost of Power per IESO Invoice:</t>
  </si>
  <si>
    <t>Commodity Cost of Power Billed by IESO and National Grid</t>
  </si>
  <si>
    <t>Cost/kWh</t>
  </si>
  <si>
    <t>Actual Payments to Embedded Generators - 4705</t>
  </si>
  <si>
    <t>Charge Type 101 - IESO</t>
  </si>
  <si>
    <t>Total to 4705 (IESO CT 101 + National Grid)</t>
  </si>
  <si>
    <t>Charge Type 147 - non-RPP Class A - 4707</t>
  </si>
  <si>
    <t>Charge Type 148 - RPP - 4705</t>
  </si>
  <si>
    <t>Charge Type 148 - non-RPP - 4707</t>
  </si>
  <si>
    <t>Charge Type 1412 - FIT Program Settlement Amount - 4705</t>
  </si>
  <si>
    <t>Actual cost of power</t>
  </si>
  <si>
    <t>Actual Net Accrued &amp; Billed Revenue from RPP &amp; non-RPP Customers:</t>
  </si>
  <si>
    <t>RPP Commodity Revenue</t>
  </si>
  <si>
    <t>Total Actual Revenue</t>
  </si>
  <si>
    <t>non-RPP Actual Revenue</t>
  </si>
  <si>
    <t>Actual non-RPP Energy Revenue</t>
  </si>
  <si>
    <t>Actual Class A non-RPP GA Revenue at PDF</t>
  </si>
  <si>
    <t>Class B non-RPP GA Revenue at 1st estimate</t>
  </si>
  <si>
    <t>Actual Average unit cost of power sold for RPP &amp; non-RPP for True-up</t>
  </si>
  <si>
    <t>Actual RPP power sales volumes and revenues</t>
  </si>
  <si>
    <t>Actual Non-RPP power sales volumes and revenues</t>
  </si>
  <si>
    <t>RPP Settlement</t>
  </si>
  <si>
    <t>Owing to (from) IESO</t>
  </si>
  <si>
    <t>RPP Revenue Prices</t>
  </si>
  <si>
    <t>RPP Price</t>
  </si>
  <si>
    <t>GA Actual</t>
  </si>
  <si>
    <t>Total Commodity</t>
  </si>
  <si>
    <t>Difference</t>
  </si>
  <si>
    <t>$ Actual GA</t>
  </si>
  <si>
    <t>RPP Settlement based on Actual RPP Revenue and Actual GA Price</t>
  </si>
  <si>
    <t>Actual RPP Energy Price</t>
  </si>
  <si>
    <t>$ Actual RPP Revenue</t>
  </si>
  <si>
    <t>$ Actual RPP Energy</t>
  </si>
  <si>
    <t>$ Final RPP Settlement</t>
  </si>
  <si>
    <t>RPP vs non-RPP Cost of Power Journal Entry True-up of CT 148</t>
  </si>
  <si>
    <t>RPP GA Allocation Adjustment</t>
  </si>
  <si>
    <t>Actuals</t>
  </si>
  <si>
    <t>Proportion of total</t>
  </si>
  <si>
    <t>$</t>
  </si>
  <si>
    <t>Recorded in Account 4705</t>
  </si>
  <si>
    <t>Recorded in Account 4707</t>
  </si>
  <si>
    <t>Summary and Explanation of Balances of RSVA 1588 and 1589</t>
  </si>
  <si>
    <t>Total Energy and GA Revenue</t>
  </si>
  <si>
    <t>Volume Data by Customer Group</t>
  </si>
  <si>
    <t>Revenue - Energy Sales</t>
  </si>
  <si>
    <t>Revenue - GA</t>
  </si>
  <si>
    <t>Customer Group</t>
  </si>
  <si>
    <t>GA Retail
kWh Volumes</t>
  </si>
  <si>
    <t>Energy Retail kWh Volumes</t>
  </si>
  <si>
    <t>Rate</t>
  </si>
  <si>
    <t>1st Estimate GA</t>
  </si>
  <si>
    <t>Class B - RPP</t>
  </si>
  <si>
    <t xml:space="preserve">Class A - Non-RPP </t>
  </si>
  <si>
    <t>Class B - Non-RPP</t>
  </si>
  <si>
    <t>Account 4705 Total Commodity Costs</t>
  </si>
  <si>
    <t>Costs - 4705</t>
  </si>
  <si>
    <t>Commodity  (Wholesale)</t>
  </si>
  <si>
    <t>GA (Wholesale)</t>
  </si>
  <si>
    <t>Final IESO RPP Settlement</t>
  </si>
  <si>
    <t>Total Wholesale Cost</t>
  </si>
  <si>
    <t>GA Wholesale kWh Volumes</t>
  </si>
  <si>
    <t>Energy Wholesale kWh Volumes</t>
  </si>
  <si>
    <t>Final Purchased Price</t>
  </si>
  <si>
    <t>Actual GA IESO Bill Price</t>
  </si>
  <si>
    <t>Class B  - RPP</t>
  </si>
  <si>
    <t>GA "Avoided" for kWhs Purchased from National Grid (reclass from 1589 to 1588)</t>
  </si>
  <si>
    <t xml:space="preserve"> </t>
  </si>
  <si>
    <t>Account 4707 Total GA Costs</t>
  </si>
  <si>
    <t>GA Costs - 4707</t>
  </si>
  <si>
    <t>Account 1588 Balance Explanation</t>
  </si>
  <si>
    <t>1588 - RSVA Power - Balance Explanation</t>
  </si>
  <si>
    <t>Account Balance</t>
  </si>
  <si>
    <t>Balance Per DVA Continuity</t>
  </si>
  <si>
    <t>Variance - Type</t>
  </si>
  <si>
    <t>Quantity</t>
  </si>
  <si>
    <t>Price</t>
  </si>
  <si>
    <t>Total</t>
  </si>
  <si>
    <t>Explanation</t>
  </si>
  <si>
    <t>Price Variance</t>
  </si>
  <si>
    <t>Retail vs Wholesale Price Variances</t>
  </si>
  <si>
    <t>Volume Variance</t>
  </si>
  <si>
    <t>Retail vs Wholesale Volume Variance - (UFE differences)</t>
  </si>
  <si>
    <t>Price Difference</t>
  </si>
  <si>
    <t>GA "Avoided" for kWhs Purchased from National Grid</t>
  </si>
  <si>
    <t>Record the GA avoided costs in 1588 so the balance can be returned to ALL CNPI customers with the allocation in accordance with the billing determinants per DVA continuity schedule.</t>
  </si>
  <si>
    <t>Balance Explained</t>
  </si>
  <si>
    <t>Account 1589 Balance Explanation</t>
  </si>
  <si>
    <t>1589 - RSVA GA - Balance Explanation</t>
  </si>
  <si>
    <t>Retail GA Price Billed vs Wholesale GA Actual Price paid to IESO</t>
  </si>
  <si>
    <t>Note: CT 148 Actual IESO Billed Based on AQEW plus Embedded Gen less Class A -&gt;</t>
  </si>
  <si>
    <t>CT 148 if billed based on total GA Volumes including National Grid</t>
  </si>
  <si>
    <t>Invoice total from National Grid</t>
  </si>
  <si>
    <t>Charge Type 1142 - RPP - 4705 - RPP Settlement - Final Settlement Amount</t>
  </si>
  <si>
    <t>Note: For RPP settlement calculation, assume CT 148 hypotetically billed on 33,000,000 kWhs basis per above, even though CT 148 actually billed on 25,500,000 kWhs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</si>
</sst>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0000_);_(* \(#,##0.00000\);_(* &quot;-&quot;??_);_(@_)"/>
    <numFmt numFmtId="168" formatCode="_(&quot;$&quot;* #,##0.0000_);_(&quot;$&quot;* \(#,##0.0000\);_(&quot;$&quot;* &quot;-&quot;??_);_(@_)"/>
    <numFmt numFmtId="169" formatCode="_(&quot;$&quot;* #,##0.00_);_(&quot;$&quot;* \(#,##0.00\);_(&quot;$&quot;* &quot;-&quot;??_);_(@_)"/>
    <numFmt numFmtId="170" formatCode="_-* #,##0_-;\-* #,##0_-;_-* &quot;-&quot;??_-;_-@_-"/>
    <numFmt numFmtId="171" formatCode="_(&quot;$&quot;* #,##0.000_);_(&quot;$&quot;* \(#,##0.000\);_(&quot;$&quot;* &quot;-&quot;??_);_(@_)"/>
    <numFmt numFmtId="172" formatCode="0.0%"/>
    <numFmt numFmtId="173" formatCode="_(&quot;$&quot;* #,##0.00000_);_(&quot;$&quot;* \(#,##0.00000\);_(&quot;$&quot;* &quot;-&quot;??_);_(@_)"/>
    <numFmt numFmtId="174" formatCode="_(* #,##0.0000_);_(* \(#,##0.0000\);_(* &quot;-&quot;??_);_(@_)"/>
    <numFmt numFmtId="175" formatCode="_-&quot;$&quot;* #,##0.0000_-;\-&quot;$&quot;* #,##0.0000_-;_-&quot;$&quot;* &quot;-&quot;??_-;_-@_-"/>
    <numFmt numFmtId="176" formatCode="_-&quot;$&quot;* #,##0_-;\-&quot;$&quot;* #,##0_-;_-&quot;$&quot;* &quot;-&quot;????_-;_-@_-"/>
    <numFmt numFmtId="177" formatCode="_-* #,##0.00000_-;\-* #,##0.00000_-;_-* &quot;-&quot;??_-;_-@_-"/>
    <numFmt numFmtId="178" formatCode="_-&quot;$&quot;* #,##0_-;\-&quot;$&quot;* #,##0_-;_-&quot;$&quot;* &quot;-&quot;??_-;_-@_-"/>
    <numFmt numFmtId="179" formatCode="_-&quot;$&quot;* #,##0.00000_-;\-&quot;$&quot;* #,##0.00000_-;_-&quot;$&quot;* &quot;-&quot;??_-;_-@_-"/>
    <numFmt numFmtId="180" formatCode="_(* #,##0.0000000_);_(* \(#,##0.0000000\);_(* &quot;-&quot;??_);_(@_)"/>
    <numFmt numFmtId="181" formatCode="_-* #,##0.000000_-;\-* #,##0.0000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u/>
      <sz val="22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ashed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0" fillId="0" borderId="0" xfId="1" applyNumberFormat="1" applyFont="1" applyFill="1"/>
    <xf numFmtId="165" fontId="0" fillId="2" borderId="0" xfId="1" applyNumberFormat="1" applyFont="1" applyFill="1"/>
    <xf numFmtId="165" fontId="0" fillId="0" borderId="0" xfId="0" applyNumberFormat="1"/>
    <xf numFmtId="166" fontId="0" fillId="0" borderId="0" xfId="0" applyNumberFormat="1"/>
    <xf numFmtId="0" fontId="4" fillId="0" borderId="0" xfId="0" applyFont="1"/>
    <xf numFmtId="165" fontId="0" fillId="0" borderId="1" xfId="1" applyNumberFormat="1" applyFont="1" applyFill="1" applyBorder="1"/>
    <xf numFmtId="0" fontId="0" fillId="0" borderId="0" xfId="0" applyAlignment="1">
      <alignment horizontal="center"/>
    </xf>
    <xf numFmtId="165" fontId="0" fillId="0" borderId="0" xfId="1" applyNumberFormat="1" applyFont="1" applyFill="1" applyBorder="1"/>
    <xf numFmtId="165" fontId="0" fillId="0" borderId="0" xfId="1" applyNumberFormat="1" applyFont="1"/>
    <xf numFmtId="165" fontId="2" fillId="0" borderId="0" xfId="1" applyNumberFormat="1" applyFont="1" applyBorder="1" applyAlignment="1">
      <alignment horizontal="center"/>
    </xf>
    <xf numFmtId="10" fontId="0" fillId="0" borderId="0" xfId="3" applyNumberFormat="1" applyFont="1"/>
    <xf numFmtId="10" fontId="0" fillId="0" borderId="0" xfId="3" applyNumberFormat="1" applyFont="1" applyFill="1"/>
    <xf numFmtId="168" fontId="0" fillId="0" borderId="0" xfId="0" applyNumberFormat="1"/>
    <xf numFmtId="166" fontId="0" fillId="0" borderId="0" xfId="2" applyNumberFormat="1" applyFont="1" applyBorder="1"/>
    <xf numFmtId="10" fontId="0" fillId="0" borderId="0" xfId="3" applyNumberFormat="1" applyFont="1" applyBorder="1"/>
    <xf numFmtId="10" fontId="0" fillId="0" borderId="2" xfId="0" applyNumberFormat="1" applyBorder="1"/>
    <xf numFmtId="165" fontId="0" fillId="0" borderId="2" xfId="0" applyNumberFormat="1" applyBorder="1"/>
    <xf numFmtId="166" fontId="0" fillId="0" borderId="0" xfId="2" applyNumberFormat="1" applyFont="1"/>
    <xf numFmtId="10" fontId="5" fillId="0" borderId="0" xfId="3" applyNumberFormat="1" applyFont="1" applyFill="1"/>
    <xf numFmtId="170" fontId="5" fillId="0" borderId="0" xfId="1" applyNumberFormat="1" applyFont="1"/>
    <xf numFmtId="171" fontId="0" fillId="0" borderId="0" xfId="2" applyNumberFormat="1" applyFont="1"/>
    <xf numFmtId="0" fontId="5" fillId="0" borderId="0" xfId="0" applyFont="1"/>
    <xf numFmtId="165" fontId="5" fillId="0" borderId="0" xfId="1" applyNumberFormat="1" applyFont="1" applyFill="1"/>
    <xf numFmtId="164" fontId="0" fillId="0" borderId="0" xfId="0" applyNumberFormat="1"/>
    <xf numFmtId="165" fontId="0" fillId="0" borderId="0" xfId="3" applyNumberFormat="1" applyFont="1"/>
    <xf numFmtId="170" fontId="5" fillId="2" borderId="0" xfId="1" applyNumberFormat="1" applyFont="1" applyFill="1"/>
    <xf numFmtId="171" fontId="5" fillId="2" borderId="0" xfId="2" applyNumberFormat="1" applyFont="1" applyFill="1"/>
    <xf numFmtId="172" fontId="0" fillId="0" borderId="0" xfId="3" applyNumberFormat="1" applyFont="1"/>
    <xf numFmtId="173" fontId="0" fillId="0" borderId="0" xfId="2" applyNumberFormat="1" applyFont="1"/>
    <xf numFmtId="174" fontId="0" fillId="0" borderId="0" xfId="0" applyNumberFormat="1"/>
    <xf numFmtId="173" fontId="0" fillId="2" borderId="0" xfId="2" applyNumberFormat="1" applyFont="1" applyFill="1"/>
    <xf numFmtId="169" fontId="0" fillId="0" borderId="0" xfId="0" applyNumberFormat="1"/>
    <xf numFmtId="173" fontId="0" fillId="0" borderId="0" xfId="2" applyNumberFormat="1" applyFont="1" applyFill="1"/>
    <xf numFmtId="165" fontId="0" fillId="0" borderId="3" xfId="1" applyNumberFormat="1" applyFont="1" applyFill="1" applyBorder="1"/>
    <xf numFmtId="166" fontId="0" fillId="0" borderId="3" xfId="2" applyNumberFormat="1" applyFont="1" applyBorder="1"/>
    <xf numFmtId="168" fontId="0" fillId="0" borderId="0" xfId="2" applyNumberFormat="1" applyFont="1"/>
    <xf numFmtId="175" fontId="0" fillId="0" borderId="0" xfId="0" applyNumberFormat="1"/>
    <xf numFmtId="166" fontId="2" fillId="0" borderId="0" xfId="2" applyNumberFormat="1" applyFont="1" applyBorder="1" applyAlignment="1">
      <alignment horizontal="center"/>
    </xf>
    <xf numFmtId="166" fontId="0" fillId="0" borderId="0" xfId="2" applyNumberFormat="1" applyFont="1" applyFill="1"/>
    <xf numFmtId="168" fontId="5" fillId="0" borderId="0" xfId="2" applyNumberFormat="1" applyFont="1" applyFill="1"/>
    <xf numFmtId="165" fontId="5" fillId="0" borderId="0" xfId="0" applyNumberFormat="1" applyFont="1"/>
    <xf numFmtId="166" fontId="5" fillId="2" borderId="0" xfId="2" applyNumberFormat="1" applyFont="1" applyFill="1"/>
    <xf numFmtId="43" fontId="0" fillId="0" borderId="0" xfId="0" applyNumberFormat="1"/>
    <xf numFmtId="166" fontId="5" fillId="0" borderId="0" xfId="2" applyNumberFormat="1" applyFont="1" applyFill="1"/>
    <xf numFmtId="168" fontId="5" fillId="0" borderId="0" xfId="2" applyNumberFormat="1" applyFont="1"/>
    <xf numFmtId="168" fontId="5" fillId="0" borderId="0" xfId="0" applyNumberFormat="1" applyFont="1"/>
    <xf numFmtId="166" fontId="5" fillId="0" borderId="2" xfId="2" applyNumberFormat="1" applyFont="1" applyFill="1" applyBorder="1"/>
    <xf numFmtId="169" fontId="0" fillId="0" borderId="0" xfId="2" applyFont="1"/>
    <xf numFmtId="169" fontId="0" fillId="0" borderId="0" xfId="2" applyFont="1" applyFill="1"/>
    <xf numFmtId="44" fontId="0" fillId="0" borderId="0" xfId="0" applyNumberFormat="1"/>
    <xf numFmtId="176" fontId="0" fillId="0" borderId="0" xfId="0" applyNumberFormat="1"/>
    <xf numFmtId="165" fontId="5" fillId="0" borderId="0" xfId="1" applyNumberFormat="1" applyFont="1"/>
    <xf numFmtId="176" fontId="5" fillId="0" borderId="0" xfId="0" applyNumberFormat="1" applyFont="1"/>
    <xf numFmtId="165" fontId="5" fillId="0" borderId="2" xfId="1" applyNumberFormat="1" applyFont="1" applyBorder="1"/>
    <xf numFmtId="166" fontId="0" fillId="0" borderId="0" xfId="2" applyNumberFormat="1" applyFont="1" applyFill="1" applyBorder="1"/>
    <xf numFmtId="165" fontId="0" fillId="0" borderId="0" xfId="1" applyNumberFormat="1" applyFont="1" applyBorder="1"/>
    <xf numFmtId="166" fontId="2" fillId="0" borderId="0" xfId="2" applyNumberFormat="1" applyFont="1" applyFill="1" applyBorder="1" applyAlignment="1">
      <alignment horizontal="center"/>
    </xf>
    <xf numFmtId="165" fontId="1" fillId="0" borderId="0" xfId="1" applyNumberFormat="1" applyFont="1" applyBorder="1"/>
    <xf numFmtId="166" fontId="1" fillId="0" borderId="0" xfId="2" applyNumberFormat="1" applyFont="1" applyFill="1" applyBorder="1"/>
    <xf numFmtId="166" fontId="0" fillId="0" borderId="2" xfId="2" applyNumberFormat="1" applyFont="1" applyBorder="1"/>
    <xf numFmtId="10" fontId="0" fillId="0" borderId="0" xfId="3" applyNumberFormat="1" applyFont="1" applyFill="1" applyBorder="1"/>
    <xf numFmtId="177" fontId="0" fillId="0" borderId="0" xfId="0" applyNumberFormat="1"/>
    <xf numFmtId="178" fontId="0" fillId="0" borderId="0" xfId="2" applyNumberFormat="1" applyFont="1" applyFill="1"/>
    <xf numFmtId="9" fontId="0" fillId="0" borderId="0" xfId="3" applyFont="1" applyBorder="1"/>
    <xf numFmtId="167" fontId="0" fillId="0" borderId="0" xfId="1" applyNumberFormat="1" applyFont="1" applyBorder="1"/>
    <xf numFmtId="166" fontId="0" fillId="2" borderId="0" xfId="2" applyNumberFormat="1" applyFont="1" applyFill="1"/>
    <xf numFmtId="179" fontId="0" fillId="0" borderId="0" xfId="0" applyNumberFormat="1"/>
    <xf numFmtId="168" fontId="0" fillId="0" borderId="1" xfId="0" applyNumberFormat="1" applyBorder="1"/>
    <xf numFmtId="165" fontId="0" fillId="0" borderId="1" xfId="1" applyNumberFormat="1" applyFont="1" applyBorder="1"/>
    <xf numFmtId="166" fontId="0" fillId="0" borderId="2" xfId="0" applyNumberFormat="1" applyBorder="1"/>
    <xf numFmtId="173" fontId="0" fillId="0" borderId="0" xfId="3" applyNumberFormat="1" applyFont="1" applyBorder="1"/>
    <xf numFmtId="43" fontId="0" fillId="0" borderId="0" xfId="1" applyNumberFormat="1" applyFont="1" applyBorder="1"/>
    <xf numFmtId="165" fontId="2" fillId="0" borderId="0" xfId="1" applyNumberFormat="1" applyFont="1" applyFill="1" applyBorder="1" applyAlignment="1">
      <alignment horizontal="center"/>
    </xf>
    <xf numFmtId="0" fontId="6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165" fontId="5" fillId="0" borderId="2" xfId="0" applyNumberFormat="1" applyFont="1" applyBorder="1"/>
    <xf numFmtId="0" fontId="5" fillId="0" borderId="5" xfId="0" applyFont="1" applyBorder="1"/>
    <xf numFmtId="168" fontId="5" fillId="0" borderId="3" xfId="2" applyNumberFormat="1" applyFont="1" applyFill="1" applyBorder="1"/>
    <xf numFmtId="175" fontId="5" fillId="0" borderId="3" xfId="0" applyNumberFormat="1" applyFont="1" applyBorder="1"/>
    <xf numFmtId="165" fontId="5" fillId="0" borderId="0" xfId="3" applyNumberFormat="1" applyFont="1" applyFill="1"/>
    <xf numFmtId="0" fontId="5" fillId="0" borderId="6" xfId="0" applyFont="1" applyBorder="1"/>
    <xf numFmtId="168" fontId="5" fillId="0" borderId="0" xfId="2" applyNumberFormat="1" applyFont="1" applyFill="1" applyBorder="1"/>
    <xf numFmtId="175" fontId="5" fillId="0" borderId="0" xfId="0" applyNumberFormat="1" applyFont="1"/>
    <xf numFmtId="0" fontId="5" fillId="0" borderId="7" xfId="0" applyFont="1" applyBorder="1"/>
    <xf numFmtId="168" fontId="5" fillId="0" borderId="7" xfId="2" applyNumberFormat="1" applyFont="1" applyFill="1" applyBorder="1"/>
    <xf numFmtId="175" fontId="5" fillId="0" borderId="7" xfId="0" applyNumberFormat="1" applyFont="1" applyBorder="1"/>
    <xf numFmtId="168" fontId="5" fillId="0" borderId="8" xfId="2" applyNumberFormat="1" applyFont="1" applyFill="1" applyBorder="1"/>
    <xf numFmtId="10" fontId="0" fillId="0" borderId="2" xfId="3" applyNumberFormat="1" applyFont="1" applyBorder="1"/>
    <xf numFmtId="0" fontId="8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165" fontId="0" fillId="0" borderId="0" xfId="0" applyNumberFormat="1" applyAlignment="1">
      <alignment wrapText="1"/>
    </xf>
    <xf numFmtId="165" fontId="0" fillId="0" borderId="0" xfId="1" applyNumberFormat="1" applyFont="1" applyAlignment="1">
      <alignment wrapText="1"/>
    </xf>
    <xf numFmtId="180" fontId="0" fillId="0" borderId="0" xfId="0" applyNumberFormat="1" applyAlignment="1">
      <alignment wrapText="1"/>
    </xf>
    <xf numFmtId="0" fontId="0" fillId="0" borderId="4" xfId="0" applyBorder="1"/>
    <xf numFmtId="165" fontId="0" fillId="0" borderId="18" xfId="0" applyNumberFormat="1" applyBorder="1"/>
    <xf numFmtId="168" fontId="5" fillId="0" borderId="18" xfId="0" applyNumberFormat="1" applyFont="1" applyBorder="1"/>
    <xf numFmtId="165" fontId="5" fillId="0" borderId="18" xfId="0" applyNumberFormat="1" applyFont="1" applyBorder="1"/>
    <xf numFmtId="0" fontId="0" fillId="0" borderId="18" xfId="0" applyBorder="1"/>
    <xf numFmtId="165" fontId="0" fillId="0" borderId="4" xfId="0" applyNumberFormat="1" applyBorder="1"/>
    <xf numFmtId="168" fontId="5" fillId="0" borderId="4" xfId="0" applyNumberFormat="1" applyFont="1" applyBorder="1"/>
    <xf numFmtId="165" fontId="5" fillId="0" borderId="4" xfId="0" applyNumberFormat="1" applyFont="1" applyBorder="1"/>
    <xf numFmtId="165" fontId="0" fillId="0" borderId="19" xfId="0" applyNumberFormat="1" applyBorder="1"/>
    <xf numFmtId="168" fontId="5" fillId="0" borderId="19" xfId="0" applyNumberFormat="1" applyFont="1" applyBorder="1"/>
    <xf numFmtId="165" fontId="5" fillId="0" borderId="19" xfId="0" applyNumberFormat="1" applyFont="1" applyBorder="1"/>
    <xf numFmtId="168" fontId="0" fillId="0" borderId="19" xfId="0" applyNumberFormat="1" applyBorder="1"/>
    <xf numFmtId="164" fontId="0" fillId="0" borderId="0" xfId="0" applyNumberFormat="1" applyAlignment="1">
      <alignment wrapText="1"/>
    </xf>
    <xf numFmtId="165" fontId="0" fillId="0" borderId="20" xfId="0" applyNumberFormat="1" applyBorder="1"/>
    <xf numFmtId="0" fontId="5" fillId="0" borderId="9" xfId="0" applyFont="1" applyBorder="1"/>
    <xf numFmtId="165" fontId="5" fillId="4" borderId="21" xfId="0" applyNumberFormat="1" applyFont="1" applyFill="1" applyBorder="1"/>
    <xf numFmtId="0" fontId="0" fillId="0" borderId="9" xfId="0" applyBorder="1"/>
    <xf numFmtId="165" fontId="0" fillId="4" borderId="21" xfId="0" applyNumberFormat="1" applyFill="1" applyBorder="1"/>
    <xf numFmtId="166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0" fillId="3" borderId="5" xfId="0" applyFill="1" applyBorder="1"/>
    <xf numFmtId="0" fontId="0" fillId="3" borderId="3" xfId="0" applyFill="1" applyBorder="1"/>
    <xf numFmtId="0" fontId="0" fillId="3" borderId="11" xfId="0" applyFill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0" fillId="0" borderId="27" xfId="0" applyBorder="1"/>
    <xf numFmtId="165" fontId="0" fillId="0" borderId="28" xfId="0" applyNumberFormat="1" applyBorder="1"/>
    <xf numFmtId="165" fontId="0" fillId="0" borderId="29" xfId="0" applyNumberFormat="1" applyBorder="1"/>
    <xf numFmtId="168" fontId="0" fillId="0" borderId="28" xfId="0" applyNumberFormat="1" applyBorder="1"/>
    <xf numFmtId="165" fontId="5" fillId="0" borderId="30" xfId="1" applyNumberFormat="1" applyFont="1" applyBorder="1"/>
    <xf numFmtId="165" fontId="5" fillId="0" borderId="31" xfId="0" applyNumberFormat="1" applyFont="1" applyBorder="1"/>
    <xf numFmtId="165" fontId="0" fillId="0" borderId="12" xfId="0" applyNumberFormat="1" applyBorder="1"/>
    <xf numFmtId="165" fontId="0" fillId="0" borderId="32" xfId="0" applyNumberFormat="1" applyBorder="1"/>
    <xf numFmtId="168" fontId="0" fillId="0" borderId="12" xfId="0" applyNumberFormat="1" applyBorder="1"/>
    <xf numFmtId="0" fontId="5" fillId="0" borderId="33" xfId="0" applyFont="1" applyBorder="1"/>
    <xf numFmtId="165" fontId="5" fillId="0" borderId="13" xfId="0" applyNumberFormat="1" applyFont="1" applyBorder="1"/>
    <xf numFmtId="174" fontId="0" fillId="0" borderId="0" xfId="0" applyNumberFormat="1" applyAlignment="1">
      <alignment wrapText="1"/>
    </xf>
    <xf numFmtId="164" fontId="0" fillId="0" borderId="32" xfId="0" applyNumberFormat="1" applyBorder="1"/>
    <xf numFmtId="0" fontId="0" fillId="0" borderId="4" xfId="0" applyBorder="1" applyAlignment="1">
      <alignment wrapText="1"/>
    </xf>
    <xf numFmtId="165" fontId="5" fillId="0" borderId="20" xfId="0" applyNumberFormat="1" applyFont="1" applyBorder="1"/>
    <xf numFmtId="181" fontId="0" fillId="0" borderId="0" xfId="0" applyNumberFormat="1"/>
    <xf numFmtId="0" fontId="0" fillId="0" borderId="3" xfId="0" applyBorder="1"/>
    <xf numFmtId="0" fontId="0" fillId="0" borderId="34" xfId="0" applyBorder="1"/>
    <xf numFmtId="0" fontId="2" fillId="0" borderId="36" xfId="0" applyFont="1" applyBorder="1" applyAlignment="1">
      <alignment horizontal="center"/>
    </xf>
    <xf numFmtId="168" fontId="0" fillId="0" borderId="4" xfId="0" applyNumberFormat="1" applyBorder="1"/>
    <xf numFmtId="168" fontId="0" fillId="0" borderId="9" xfId="0" applyNumberFormat="1" applyBorder="1"/>
    <xf numFmtId="165" fontId="0" fillId="4" borderId="37" xfId="0" applyNumberFormat="1" applyFill="1" applyBorder="1"/>
    <xf numFmtId="0" fontId="0" fillId="3" borderId="35" xfId="0" applyFill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5" fontId="0" fillId="0" borderId="6" xfId="0" applyNumberFormat="1" applyBorder="1" applyAlignment="1">
      <alignment wrapText="1"/>
    </xf>
    <xf numFmtId="0" fontId="2" fillId="0" borderId="15" xfId="0" applyFont="1" applyBorder="1"/>
    <xf numFmtId="165" fontId="2" fillId="0" borderId="16" xfId="0" applyNumberFormat="1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10" fillId="0" borderId="4" xfId="0" applyFont="1" applyBorder="1"/>
    <xf numFmtId="0" fontId="10" fillId="0" borderId="12" xfId="0" applyFont="1" applyBorder="1" applyAlignment="1">
      <alignment wrapText="1"/>
    </xf>
    <xf numFmtId="166" fontId="0" fillId="0" borderId="45" xfId="0" applyNumberFormat="1" applyBorder="1" applyAlignment="1">
      <alignment wrapText="1"/>
    </xf>
    <xf numFmtId="0" fontId="10" fillId="0" borderId="4" xfId="0" applyFont="1" applyBorder="1" applyAlignment="1">
      <alignment wrapText="1"/>
    </xf>
    <xf numFmtId="0" fontId="0" fillId="0" borderId="55" xfId="0" applyBorder="1" applyAlignment="1">
      <alignment horizontal="left"/>
    </xf>
    <xf numFmtId="165" fontId="0" fillId="4" borderId="39" xfId="0" applyNumberFormat="1" applyFill="1" applyBorder="1" applyAlignment="1">
      <alignment wrapText="1"/>
    </xf>
    <xf numFmtId="0" fontId="10" fillId="0" borderId="27" xfId="0" applyFont="1" applyBorder="1"/>
    <xf numFmtId="0" fontId="10" fillId="0" borderId="57" xfId="0" applyFont="1" applyBorder="1" applyAlignment="1">
      <alignment wrapText="1"/>
    </xf>
    <xf numFmtId="165" fontId="0" fillId="0" borderId="43" xfId="1" applyNumberFormat="1" applyFont="1" applyBorder="1" applyAlignment="1">
      <alignment wrapText="1"/>
    </xf>
    <xf numFmtId="168" fontId="0" fillId="0" borderId="44" xfId="2" applyNumberFormat="1" applyFont="1" applyBorder="1" applyAlignment="1">
      <alignment wrapText="1"/>
    </xf>
    <xf numFmtId="169" fontId="0" fillId="0" borderId="0" xfId="0" applyNumberFormat="1" applyAlignment="1">
      <alignment wrapText="1"/>
    </xf>
    <xf numFmtId="165" fontId="0" fillId="0" borderId="58" xfId="1" applyNumberFormat="1" applyFont="1" applyBorder="1" applyAlignment="1">
      <alignment wrapText="1"/>
    </xf>
    <xf numFmtId="168" fontId="0" fillId="0" borderId="59" xfId="2" applyNumberFormat="1" applyFont="1" applyBorder="1" applyAlignment="1">
      <alignment wrapText="1"/>
    </xf>
    <xf numFmtId="166" fontId="0" fillId="0" borderId="60" xfId="0" applyNumberFormat="1" applyBorder="1" applyAlignment="1">
      <alignment wrapText="1"/>
    </xf>
    <xf numFmtId="165" fontId="0" fillId="0" borderId="56" xfId="0" applyNumberFormat="1" applyBorder="1"/>
    <xf numFmtId="174" fontId="0" fillId="0" borderId="0" xfId="1" applyNumberFormat="1" applyFont="1"/>
    <xf numFmtId="164" fontId="0" fillId="0" borderId="0" xfId="1" applyFont="1"/>
    <xf numFmtId="0" fontId="0" fillId="0" borderId="0" xfId="0" applyAlignment="1">
      <alignment horizontal="right"/>
    </xf>
    <xf numFmtId="173" fontId="2" fillId="0" borderId="0" xfId="2" applyNumberFormat="1" applyFont="1" applyFill="1" applyAlignment="1">
      <alignment horizontal="center"/>
    </xf>
    <xf numFmtId="165" fontId="5" fillId="4" borderId="39" xfId="0" applyNumberFormat="1" applyFont="1" applyFill="1" applyBorder="1" applyAlignment="1">
      <alignment wrapText="1"/>
    </xf>
    <xf numFmtId="165" fontId="5" fillId="0" borderId="6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wrapText="1"/>
    </xf>
    <xf numFmtId="165" fontId="11" fillId="0" borderId="16" xfId="0" applyNumberFormat="1" applyFont="1" applyBorder="1" applyAlignment="1">
      <alignment horizontal="center" wrapText="1"/>
    </xf>
    <xf numFmtId="0" fontId="11" fillId="0" borderId="42" xfId="0" applyFont="1" applyBorder="1" applyAlignment="1">
      <alignment horizontal="center" wrapText="1"/>
    </xf>
    <xf numFmtId="0" fontId="11" fillId="0" borderId="25" xfId="0" applyFont="1" applyBorder="1" applyAlignment="1">
      <alignment horizontal="center"/>
    </xf>
    <xf numFmtId="165" fontId="5" fillId="0" borderId="43" xfId="0" applyNumberFormat="1" applyFont="1" applyBorder="1" applyAlignment="1">
      <alignment wrapText="1"/>
    </xf>
    <xf numFmtId="168" fontId="5" fillId="0" borderId="44" xfId="2" applyNumberFormat="1" applyFont="1" applyFill="1" applyBorder="1" applyAlignment="1">
      <alignment wrapText="1"/>
    </xf>
    <xf numFmtId="166" fontId="5" fillId="0" borderId="45" xfId="0" applyNumberFormat="1" applyFont="1" applyBorder="1" applyAlignment="1">
      <alignment wrapText="1"/>
    </xf>
    <xf numFmtId="165" fontId="5" fillId="0" borderId="46" xfId="0" applyNumberFormat="1" applyFont="1" applyBorder="1" applyAlignment="1">
      <alignment wrapText="1"/>
    </xf>
    <xf numFmtId="168" fontId="5" fillId="0" borderId="47" xfId="2" applyNumberFormat="1" applyFont="1" applyFill="1" applyBorder="1" applyAlignment="1">
      <alignment wrapText="1"/>
    </xf>
    <xf numFmtId="166" fontId="5" fillId="0" borderId="48" xfId="0" applyNumberFormat="1" applyFont="1" applyBorder="1" applyAlignment="1">
      <alignment wrapText="1"/>
    </xf>
    <xf numFmtId="168" fontId="5" fillId="0" borderId="47" xfId="0" applyNumberFormat="1" applyFont="1" applyBorder="1" applyAlignment="1">
      <alignment wrapText="1"/>
    </xf>
    <xf numFmtId="165" fontId="5" fillId="0" borderId="49" xfId="0" applyNumberFormat="1" applyFont="1" applyBorder="1" applyAlignment="1">
      <alignment wrapText="1"/>
    </xf>
    <xf numFmtId="168" fontId="5" fillId="0" borderId="50" xfId="0" applyNumberFormat="1" applyFont="1" applyBorder="1" applyAlignment="1">
      <alignment wrapText="1"/>
    </xf>
    <xf numFmtId="166" fontId="5" fillId="0" borderId="51" xfId="0" applyNumberFormat="1" applyFont="1" applyBorder="1" applyAlignment="1">
      <alignment wrapText="1"/>
    </xf>
    <xf numFmtId="165" fontId="5" fillId="0" borderId="52" xfId="1" applyNumberFormat="1" applyFont="1" applyBorder="1" applyAlignment="1">
      <alignment wrapText="1"/>
    </xf>
    <xf numFmtId="168" fontId="5" fillId="0" borderId="53" xfId="2" applyNumberFormat="1" applyFont="1" applyBorder="1" applyAlignment="1">
      <alignment wrapText="1"/>
    </xf>
    <xf numFmtId="166" fontId="5" fillId="0" borderId="54" xfId="0" applyNumberFormat="1" applyFont="1" applyBorder="1" applyAlignment="1">
      <alignment wrapText="1"/>
    </xf>
    <xf numFmtId="0" fontId="5" fillId="0" borderId="55" xfId="0" applyFont="1" applyBorder="1" applyAlignment="1">
      <alignment horizontal="left"/>
    </xf>
    <xf numFmtId="0" fontId="5" fillId="0" borderId="55" xfId="0" applyFont="1" applyBorder="1"/>
    <xf numFmtId="165" fontId="5" fillId="0" borderId="56" xfId="0" applyNumberFormat="1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9" fillId="3" borderId="5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169" fontId="0" fillId="0" borderId="5" xfId="0" applyNumberFormat="1" applyBorder="1" applyAlignment="1">
      <alignment horizontal="center" wrapText="1"/>
    </xf>
    <xf numFmtId="169" fontId="0" fillId="0" borderId="3" xfId="0" applyNumberFormat="1" applyBorder="1" applyAlignment="1">
      <alignment horizontal="center" wrapText="1"/>
    </xf>
    <xf numFmtId="169" fontId="0" fillId="0" borderId="35" xfId="0" applyNumberForma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1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66" fontId="5" fillId="0" borderId="6" xfId="0" applyNumberFormat="1" applyFont="1" applyBorder="1" applyAlignment="1">
      <alignment horizontal="center" wrapText="1"/>
    </xf>
    <xf numFmtId="166" fontId="5" fillId="0" borderId="0" xfId="0" applyNumberFormat="1" applyFont="1" applyAlignment="1">
      <alignment horizontal="center" wrapText="1"/>
    </xf>
    <xf numFmtId="166" fontId="5" fillId="0" borderId="38" xfId="0" applyNumberFormat="1" applyFont="1" applyBorder="1" applyAlignment="1">
      <alignment horizontal="center" wrapText="1"/>
    </xf>
    <xf numFmtId="0" fontId="12" fillId="5" borderId="16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166" fontId="0" fillId="0" borderId="6" xfId="0" applyNumberFormat="1" applyBorder="1" applyAlignment="1">
      <alignment horizontal="center" wrapText="1"/>
    </xf>
    <xf numFmtId="166" fontId="0" fillId="0" borderId="0" xfId="0" applyNumberFormat="1" applyAlignment="1">
      <alignment horizontal="center" wrapText="1"/>
    </xf>
    <xf numFmtId="166" fontId="0" fillId="0" borderId="38" xfId="0" applyNumberForma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9" fillId="5" borderId="16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9" fontId="0" fillId="0" borderId="7" xfId="0" applyNumberFormat="1" applyBorder="1" applyAlignment="1">
      <alignment horizontal="left" wrapText="1"/>
    </xf>
    <xf numFmtId="169" fontId="0" fillId="0" borderId="55" xfId="0" applyNumberFormat="1" applyBorder="1" applyAlignment="1">
      <alignment horizontal="left" wrapText="1"/>
    </xf>
    <xf numFmtId="169" fontId="0" fillId="0" borderId="46" xfId="0" applyNumberFormat="1" applyBorder="1" applyAlignment="1">
      <alignment wrapText="1"/>
    </xf>
    <xf numFmtId="169" fontId="0" fillId="0" borderId="1" xfId="0" applyNumberFormat="1" applyBorder="1" applyAlignment="1">
      <alignment wrapText="1"/>
    </xf>
    <xf numFmtId="169" fontId="0" fillId="0" borderId="13" xfId="0" applyNumberFormat="1" applyBorder="1" applyAlignment="1">
      <alignment wrapText="1"/>
    </xf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12" fillId="3" borderId="24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DBD2-30B3-41C6-8D50-21685B9D007B}">
  <sheetPr>
    <pageSetUpPr fitToPage="1"/>
  </sheetPr>
  <dimension ref="A1:S125"/>
  <sheetViews>
    <sheetView showGridLines="0" tabSelected="1" zoomScale="90" zoomScaleNormal="90" workbookViewId="0"/>
  </sheetViews>
  <sheetFormatPr defaultRowHeight="15" x14ac:dyDescent="0.25"/>
  <cols>
    <col min="1" max="1" width="69.28515625" customWidth="1"/>
    <col min="2" max="2" width="12.28515625" customWidth="1"/>
    <col min="3" max="3" width="15" bestFit="1" customWidth="1"/>
    <col min="4" max="4" width="14.7109375" customWidth="1"/>
    <col min="5" max="5" width="6.28515625" customWidth="1"/>
    <col min="6" max="6" width="14.7109375" customWidth="1"/>
    <col min="7" max="7" width="13.28515625" bestFit="1" customWidth="1"/>
    <col min="8" max="8" width="13.7109375" bestFit="1" customWidth="1"/>
    <col min="9" max="9" width="15" bestFit="1" customWidth="1"/>
    <col min="10" max="10" width="8.5703125" bestFit="1" customWidth="1"/>
    <col min="11" max="14" width="14.7109375" customWidth="1"/>
    <col min="15" max="15" width="13.28515625" customWidth="1"/>
    <col min="16" max="16" width="13.42578125" customWidth="1"/>
    <col min="17" max="17" width="12.42578125" customWidth="1"/>
    <col min="18" max="18" width="13.28515625" customWidth="1"/>
    <col min="19" max="19" width="12.7109375" customWidth="1"/>
    <col min="20" max="20" width="9.28515625" customWidth="1"/>
  </cols>
  <sheetData>
    <row r="1" spans="1:12" ht="18.75" x14ac:dyDescent="0.3">
      <c r="A1" s="1" t="s">
        <v>0</v>
      </c>
    </row>
    <row r="3" spans="1:12" x14ac:dyDescent="0.25">
      <c r="A3" s="2" t="s">
        <v>1</v>
      </c>
    </row>
    <row r="4" spans="1:12" ht="30" x14ac:dyDescent="0.25">
      <c r="A4" s="2"/>
      <c r="B4" s="3" t="s">
        <v>2</v>
      </c>
      <c r="C4" s="4" t="s">
        <v>3</v>
      </c>
      <c r="D4" s="4" t="s">
        <v>4</v>
      </c>
    </row>
    <row r="5" spans="1:12" x14ac:dyDescent="0.25">
      <c r="A5" t="s">
        <v>5</v>
      </c>
      <c r="C5" s="6">
        <v>32500000</v>
      </c>
      <c r="D5" s="7">
        <f>+C5</f>
        <v>32500000</v>
      </c>
      <c r="H5" s="8"/>
    </row>
    <row r="6" spans="1:12" x14ac:dyDescent="0.25">
      <c r="A6" t="s">
        <v>6</v>
      </c>
      <c r="C6" s="6">
        <v>7500000</v>
      </c>
      <c r="D6" s="7">
        <f>+C6</f>
        <v>7500000</v>
      </c>
      <c r="H6" s="8"/>
    </row>
    <row r="7" spans="1:12" x14ac:dyDescent="0.25">
      <c r="A7" t="s">
        <v>7</v>
      </c>
      <c r="C7" s="6">
        <v>300000</v>
      </c>
      <c r="D7" s="7">
        <f>+C7</f>
        <v>300000</v>
      </c>
    </row>
    <row r="8" spans="1:12" x14ac:dyDescent="0.25">
      <c r="A8" t="s">
        <v>8</v>
      </c>
      <c r="C8" s="6">
        <v>-7300000</v>
      </c>
    </row>
    <row r="9" spans="1:12" x14ac:dyDescent="0.25">
      <c r="C9" s="10">
        <f>SUM(C5:C8)</f>
        <v>33000000</v>
      </c>
      <c r="D9" s="10">
        <f>SUM(D5:D8)</f>
        <v>40300000</v>
      </c>
      <c r="F9" s="207"/>
      <c r="G9" s="207"/>
      <c r="H9" s="207"/>
      <c r="I9" s="207"/>
      <c r="J9" s="208"/>
      <c r="K9" s="208"/>
    </row>
    <row r="10" spans="1:12" x14ac:dyDescent="0.25">
      <c r="B10" s="181" t="s">
        <v>133</v>
      </c>
      <c r="C10" s="10">
        <f>+C5+C7+C8</f>
        <v>25500000</v>
      </c>
      <c r="D10" s="12"/>
      <c r="F10" s="4"/>
      <c r="G10" s="4"/>
      <c r="H10" s="4"/>
      <c r="I10" s="4"/>
      <c r="J10" s="11"/>
      <c r="K10" s="11"/>
    </row>
    <row r="11" spans="1:12" x14ac:dyDescent="0.25">
      <c r="C11" s="13"/>
      <c r="F11" s="14"/>
      <c r="G11" s="4"/>
      <c r="H11" s="3"/>
      <c r="I11" s="14"/>
      <c r="J11" s="4"/>
      <c r="K11" s="3"/>
      <c r="L11" s="3"/>
    </row>
    <row r="12" spans="1:12" x14ac:dyDescent="0.25">
      <c r="A12" t="s">
        <v>9</v>
      </c>
      <c r="B12" s="16">
        <f>+B33</f>
        <v>0.72036474164133735</v>
      </c>
      <c r="C12" s="13">
        <f>+C9*B12</f>
        <v>23772036.474164132</v>
      </c>
      <c r="D12" s="7">
        <f>+C12</f>
        <v>23772036.474164132</v>
      </c>
      <c r="F12" s="7"/>
      <c r="G12" s="18"/>
      <c r="H12" s="19"/>
      <c r="I12" s="7"/>
      <c r="J12" s="19"/>
      <c r="K12" s="18"/>
      <c r="L12" s="18"/>
    </row>
    <row r="13" spans="1:12" x14ac:dyDescent="0.25">
      <c r="A13" t="s">
        <v>10</v>
      </c>
      <c r="B13" s="16">
        <f>+B34</f>
        <v>0.2796352583586626</v>
      </c>
      <c r="C13" s="13">
        <f>+C9*B13</f>
        <v>9227963.5258358661</v>
      </c>
      <c r="D13" s="7">
        <f>+C13-C8</f>
        <v>16527963.525835866</v>
      </c>
      <c r="F13" s="7"/>
      <c r="G13" s="18"/>
      <c r="H13" s="19"/>
      <c r="I13" s="7"/>
      <c r="J13" s="19"/>
      <c r="K13" s="18"/>
      <c r="L13" s="18"/>
    </row>
    <row r="14" spans="1:12" ht="15.75" thickBot="1" x14ac:dyDescent="0.3">
      <c r="A14" t="s">
        <v>11</v>
      </c>
      <c r="B14" s="20">
        <f>+B12+B13</f>
        <v>1</v>
      </c>
      <c r="C14" s="21">
        <f>+C12+C13</f>
        <v>33000000</v>
      </c>
      <c r="D14" s="21">
        <f>+D12+D13</f>
        <v>40300000</v>
      </c>
      <c r="F14" s="7"/>
      <c r="G14" s="18"/>
      <c r="H14" s="19"/>
      <c r="I14" s="7"/>
      <c r="J14" s="19"/>
      <c r="K14" s="18"/>
      <c r="L14" s="18"/>
    </row>
    <row r="15" spans="1:12" ht="15.75" thickTop="1" x14ac:dyDescent="0.25"/>
    <row r="16" spans="1:12" x14ac:dyDescent="0.25">
      <c r="A16" s="9" t="s">
        <v>12</v>
      </c>
      <c r="F16" s="7"/>
      <c r="G16" s="18"/>
      <c r="H16" s="19"/>
      <c r="I16" s="7"/>
      <c r="J16" s="19"/>
      <c r="K16" s="18"/>
      <c r="L16" s="18"/>
    </row>
    <row r="17" spans="1:12" x14ac:dyDescent="0.25">
      <c r="A17" s="9"/>
      <c r="B17" s="4" t="s">
        <v>14</v>
      </c>
      <c r="C17" s="4" t="s">
        <v>13</v>
      </c>
      <c r="D17" s="3"/>
      <c r="F17" s="7"/>
      <c r="G17" s="22"/>
      <c r="H17" s="15"/>
      <c r="I17" s="7"/>
      <c r="J17" s="15"/>
      <c r="K17" s="22"/>
      <c r="L17" s="22"/>
    </row>
    <row r="18" spans="1:12" x14ac:dyDescent="0.25">
      <c r="A18" t="s">
        <v>15</v>
      </c>
      <c r="B18" s="23">
        <f t="shared" ref="B18:B26" si="0">B39</f>
        <v>2.9535864978902954E-2</v>
      </c>
      <c r="C18" s="24">
        <f>+B18*$C$12</f>
        <v>702127.65957446804</v>
      </c>
      <c r="D18" s="25"/>
      <c r="F18" s="7"/>
      <c r="G18" s="22"/>
      <c r="H18" s="15"/>
      <c r="I18" s="7"/>
      <c r="J18" s="15"/>
      <c r="K18" s="22"/>
      <c r="L18" s="22"/>
    </row>
    <row r="19" spans="1:12" x14ac:dyDescent="0.25">
      <c r="A19" s="26" t="s">
        <v>16</v>
      </c>
      <c r="B19" s="23">
        <f t="shared" si="0"/>
        <v>1.2658227848101266E-2</v>
      </c>
      <c r="C19" s="24">
        <f t="shared" ref="C19:C26" si="1">+B19*$C$12</f>
        <v>300911.85410334344</v>
      </c>
      <c r="D19" s="25"/>
      <c r="F19" s="7"/>
      <c r="G19" s="22"/>
      <c r="H19" s="15"/>
      <c r="I19" s="7"/>
      <c r="J19" s="15"/>
      <c r="K19" s="22"/>
      <c r="L19" s="22"/>
    </row>
    <row r="20" spans="1:12" x14ac:dyDescent="0.25">
      <c r="A20" s="26" t="s">
        <v>17</v>
      </c>
      <c r="B20" s="23">
        <f t="shared" si="0"/>
        <v>0.59071729957805907</v>
      </c>
      <c r="C20" s="24">
        <f t="shared" si="1"/>
        <v>14042553.191489361</v>
      </c>
      <c r="D20" s="25"/>
      <c r="F20" s="7"/>
      <c r="G20" s="22"/>
      <c r="H20" s="15"/>
      <c r="I20" s="7"/>
      <c r="J20" s="15"/>
      <c r="K20" s="22"/>
      <c r="L20" s="22"/>
    </row>
    <row r="21" spans="1:12" x14ac:dyDescent="0.25">
      <c r="A21" s="26" t="s">
        <v>18</v>
      </c>
      <c r="B21" s="23">
        <f t="shared" si="0"/>
        <v>0.17721518987341772</v>
      </c>
      <c r="C21" s="24">
        <f t="shared" si="1"/>
        <v>4212765.957446808</v>
      </c>
      <c r="D21" s="25"/>
      <c r="F21" s="7"/>
      <c r="G21" s="22"/>
      <c r="H21" s="15"/>
      <c r="I21" s="7"/>
      <c r="J21" s="15"/>
      <c r="K21" s="22"/>
      <c r="L21" s="22"/>
    </row>
    <row r="22" spans="1:12" x14ac:dyDescent="0.25">
      <c r="A22" s="26" t="s">
        <v>19</v>
      </c>
      <c r="B22" s="23">
        <f t="shared" si="0"/>
        <v>0.16877637130801687</v>
      </c>
      <c r="C22" s="24">
        <f t="shared" si="1"/>
        <v>4012158.0547112459</v>
      </c>
      <c r="D22" s="25"/>
      <c r="F22" s="7"/>
      <c r="G22" s="22"/>
      <c r="H22" s="15"/>
      <c r="I22" s="7"/>
      <c r="J22" s="15"/>
      <c r="K22" s="22"/>
      <c r="L22" s="22"/>
    </row>
    <row r="23" spans="1:12" x14ac:dyDescent="0.25">
      <c r="A23" s="26" t="s">
        <v>20</v>
      </c>
      <c r="B23" s="23">
        <f t="shared" si="0"/>
        <v>8.4388185654008432E-3</v>
      </c>
      <c r="C23" s="24">
        <f>+B23*$C$12</f>
        <v>200607.90273556227</v>
      </c>
      <c r="D23" s="25"/>
      <c r="F23" s="7"/>
      <c r="G23" s="22"/>
      <c r="H23" s="15"/>
      <c r="I23" s="7"/>
      <c r="J23" s="15"/>
      <c r="K23" s="22"/>
      <c r="L23" s="22"/>
    </row>
    <row r="24" spans="1:12" x14ac:dyDescent="0.25">
      <c r="A24" s="26" t="s">
        <v>21</v>
      </c>
      <c r="B24" s="23">
        <f t="shared" si="0"/>
        <v>4.2194092827004216E-3</v>
      </c>
      <c r="C24" s="24">
        <f t="shared" si="1"/>
        <v>100303.95136778113</v>
      </c>
      <c r="D24" s="25"/>
      <c r="F24" s="7"/>
      <c r="G24" s="22"/>
      <c r="H24" s="15"/>
      <c r="I24" s="7"/>
      <c r="J24" s="15"/>
      <c r="K24" s="22"/>
      <c r="L24" s="22"/>
    </row>
    <row r="25" spans="1:12" x14ac:dyDescent="0.25">
      <c r="A25" s="26" t="s">
        <v>22</v>
      </c>
      <c r="B25" s="23">
        <f t="shared" si="0"/>
        <v>2.1097046413502108E-3</v>
      </c>
      <c r="C25" s="24">
        <f>+B25*$C$12</f>
        <v>50151.975683890567</v>
      </c>
      <c r="D25" s="25"/>
      <c r="F25" s="7"/>
      <c r="G25" s="22"/>
      <c r="H25" s="15"/>
      <c r="I25" s="7"/>
      <c r="J25" s="15"/>
      <c r="K25" s="22"/>
      <c r="L25" s="22"/>
    </row>
    <row r="26" spans="1:12" x14ac:dyDescent="0.25">
      <c r="A26" s="26" t="s">
        <v>23</v>
      </c>
      <c r="B26" s="23">
        <f t="shared" si="0"/>
        <v>6.3291139240506328E-3</v>
      </c>
      <c r="C26" s="24">
        <f t="shared" si="1"/>
        <v>150455.92705167172</v>
      </c>
      <c r="D26" s="25"/>
      <c r="F26" s="7"/>
      <c r="G26" s="22"/>
      <c r="H26" s="15"/>
      <c r="I26" s="7"/>
      <c r="J26" s="15"/>
      <c r="K26" s="22"/>
      <c r="L26" s="22"/>
    </row>
    <row r="27" spans="1:12" ht="15.75" thickBot="1" x14ac:dyDescent="0.3">
      <c r="A27" s="26"/>
      <c r="B27" s="20">
        <f>SUM(B18:B26)</f>
        <v>1</v>
      </c>
      <c r="C27" s="21">
        <f>SUM(C18:C26)</f>
        <v>23772036.474164128</v>
      </c>
      <c r="F27" s="7"/>
      <c r="G27" s="22"/>
      <c r="H27" s="15"/>
      <c r="I27" s="7"/>
      <c r="J27" s="15"/>
      <c r="K27" s="22"/>
      <c r="L27" s="22"/>
    </row>
    <row r="28" spans="1:12" ht="15.75" thickTop="1" x14ac:dyDescent="0.25">
      <c r="F28" s="7"/>
      <c r="G28" s="22"/>
      <c r="H28" s="15"/>
      <c r="I28" s="7"/>
      <c r="J28" s="15"/>
      <c r="K28" s="22"/>
      <c r="L28" s="22"/>
    </row>
    <row r="29" spans="1:12" x14ac:dyDescent="0.25">
      <c r="A29" s="9" t="s">
        <v>24</v>
      </c>
    </row>
    <row r="30" spans="1:12" ht="30.75" customHeight="1" x14ac:dyDescent="0.25">
      <c r="A30" s="9"/>
      <c r="B30" s="3" t="s">
        <v>2</v>
      </c>
      <c r="C30" s="4" t="s">
        <v>3</v>
      </c>
      <c r="D30" s="4" t="s">
        <v>4</v>
      </c>
    </row>
    <row r="31" spans="1:12" x14ac:dyDescent="0.25">
      <c r="A31" t="s">
        <v>25</v>
      </c>
      <c r="C31" s="27">
        <f>+C35</f>
        <v>32900000</v>
      </c>
      <c r="D31" s="7">
        <f>+D35</f>
        <v>40200000</v>
      </c>
    </row>
    <row r="33" spans="1:6" x14ac:dyDescent="0.25">
      <c r="A33" t="s">
        <v>26</v>
      </c>
      <c r="B33" s="16">
        <f>+C33/C35</f>
        <v>0.72036474164133735</v>
      </c>
      <c r="C33" s="5">
        <f>+C48</f>
        <v>23700000</v>
      </c>
      <c r="D33" s="7">
        <f>+C33</f>
        <v>23700000</v>
      </c>
    </row>
    <row r="34" spans="1:6" x14ac:dyDescent="0.25">
      <c r="A34" t="s">
        <v>27</v>
      </c>
      <c r="B34" s="16">
        <f>+C34/C35</f>
        <v>0.2796352583586626</v>
      </c>
      <c r="C34" s="6">
        <v>9200000</v>
      </c>
      <c r="D34" s="7">
        <f>+C34-C8</f>
        <v>16500000</v>
      </c>
      <c r="E34" s="7"/>
      <c r="F34" s="7"/>
    </row>
    <row r="35" spans="1:6" ht="15.75" thickBot="1" x14ac:dyDescent="0.3">
      <c r="A35" t="s">
        <v>28</v>
      </c>
      <c r="B35" s="20">
        <f>+B33+B34</f>
        <v>1</v>
      </c>
      <c r="C35" s="21">
        <f>+C33+C34</f>
        <v>32900000</v>
      </c>
      <c r="D35" s="21">
        <f>+D33+D34</f>
        <v>40200000</v>
      </c>
      <c r="E35" s="13"/>
    </row>
    <row r="36" spans="1:6" ht="15.75" thickTop="1" x14ac:dyDescent="0.25"/>
    <row r="37" spans="1:6" x14ac:dyDescent="0.25">
      <c r="A37" s="9" t="s">
        <v>29</v>
      </c>
    </row>
    <row r="38" spans="1:6" ht="31.15" customHeight="1" x14ac:dyDescent="0.25">
      <c r="A38" s="9"/>
      <c r="B38" s="4" t="s">
        <v>14</v>
      </c>
      <c r="C38" s="4" t="s">
        <v>13</v>
      </c>
      <c r="D38" s="3" t="s">
        <v>30</v>
      </c>
      <c r="E38" s="11"/>
      <c r="F38" s="11"/>
    </row>
    <row r="39" spans="1:6" x14ac:dyDescent="0.25">
      <c r="A39" s="26" t="s">
        <v>15</v>
      </c>
      <c r="B39" s="23">
        <f>+C39/C$48</f>
        <v>2.9535864978902954E-2</v>
      </c>
      <c r="C39" s="30">
        <v>700000</v>
      </c>
      <c r="D39" s="31">
        <v>8.6999999999999994E-2</v>
      </c>
      <c r="E39" s="32"/>
      <c r="F39" s="25"/>
    </row>
    <row r="40" spans="1:6" x14ac:dyDescent="0.25">
      <c r="A40" s="26" t="s">
        <v>16</v>
      </c>
      <c r="B40" s="23">
        <f t="shared" ref="B40:B47" si="2">+C40/C$48</f>
        <v>1.2658227848101266E-2</v>
      </c>
      <c r="C40" s="30">
        <v>300000</v>
      </c>
      <c r="D40" s="31">
        <v>0.10299999999999999</v>
      </c>
      <c r="E40" s="32"/>
      <c r="F40" s="25"/>
    </row>
    <row r="41" spans="1:6" x14ac:dyDescent="0.25">
      <c r="A41" s="26" t="s">
        <v>17</v>
      </c>
      <c r="B41" s="23">
        <f t="shared" si="2"/>
        <v>0.59071729957805907</v>
      </c>
      <c r="C41" s="30">
        <v>14000000</v>
      </c>
      <c r="D41" s="31">
        <v>7.3999999999999996E-2</v>
      </c>
      <c r="E41" s="32"/>
      <c r="F41" s="25"/>
    </row>
    <row r="42" spans="1:6" x14ac:dyDescent="0.25">
      <c r="A42" s="26" t="s">
        <v>18</v>
      </c>
      <c r="B42" s="23">
        <f t="shared" si="2"/>
        <v>0.17721518987341772</v>
      </c>
      <c r="C42" s="30">
        <v>4200000</v>
      </c>
      <c r="D42" s="31">
        <v>0.10199999999999999</v>
      </c>
      <c r="E42" s="32"/>
      <c r="F42" s="25"/>
    </row>
    <row r="43" spans="1:6" x14ac:dyDescent="0.25">
      <c r="A43" s="26" t="s">
        <v>19</v>
      </c>
      <c r="B43" s="23">
        <f t="shared" si="2"/>
        <v>0.16877637130801687</v>
      </c>
      <c r="C43" s="30">
        <v>4000000</v>
      </c>
      <c r="D43" s="31">
        <v>0.151</v>
      </c>
      <c r="E43" s="32"/>
      <c r="F43" s="25"/>
    </row>
    <row r="44" spans="1:6" x14ac:dyDescent="0.25">
      <c r="A44" s="26" t="s">
        <v>20</v>
      </c>
      <c r="B44" s="23">
        <f t="shared" si="2"/>
        <v>8.4388185654008432E-3</v>
      </c>
      <c r="C44" s="30">
        <v>200000</v>
      </c>
      <c r="D44" s="31">
        <v>7.3999999999999996E-2</v>
      </c>
      <c r="E44" s="32"/>
      <c r="F44" s="25"/>
    </row>
    <row r="45" spans="1:6" x14ac:dyDescent="0.25">
      <c r="A45" s="26" t="s">
        <v>21</v>
      </c>
      <c r="B45" s="23">
        <f t="shared" si="2"/>
        <v>4.2194092827004216E-3</v>
      </c>
      <c r="C45" s="30">
        <v>100000</v>
      </c>
      <c r="D45" s="31">
        <v>0.10199999999999999</v>
      </c>
      <c r="E45" s="32"/>
      <c r="F45" s="25"/>
    </row>
    <row r="46" spans="1:6" x14ac:dyDescent="0.25">
      <c r="A46" s="26" t="s">
        <v>22</v>
      </c>
      <c r="B46" s="23">
        <f t="shared" si="2"/>
        <v>2.1097046413502108E-3</v>
      </c>
      <c r="C46" s="30">
        <v>50000</v>
      </c>
      <c r="D46" s="31">
        <v>0.24</v>
      </c>
      <c r="E46" s="32"/>
      <c r="F46" s="25"/>
    </row>
    <row r="47" spans="1:6" x14ac:dyDescent="0.25">
      <c r="A47" s="26" t="s">
        <v>23</v>
      </c>
      <c r="B47" s="23">
        <f t="shared" si="2"/>
        <v>6.3291139240506328E-3</v>
      </c>
      <c r="C47" s="30">
        <v>150000</v>
      </c>
      <c r="D47" s="31">
        <v>2.4E-2</v>
      </c>
      <c r="E47" s="32"/>
      <c r="F47" s="25"/>
    </row>
    <row r="48" spans="1:6" ht="15.75" thickBot="1" x14ac:dyDescent="0.3">
      <c r="B48" s="20">
        <f>SUM(B39:B47)</f>
        <v>1</v>
      </c>
      <c r="C48" s="21">
        <f>SUM(C39:C47)</f>
        <v>23700000</v>
      </c>
      <c r="D48" s="26"/>
    </row>
    <row r="49" spans="1:6" ht="15.75" thickTop="1" x14ac:dyDescent="0.25"/>
    <row r="50" spans="1:6" x14ac:dyDescent="0.25">
      <c r="A50" s="9" t="s">
        <v>31</v>
      </c>
    </row>
    <row r="51" spans="1:6" x14ac:dyDescent="0.25">
      <c r="A51" s="2"/>
      <c r="B51" s="4" t="s">
        <v>32</v>
      </c>
    </row>
    <row r="52" spans="1:6" x14ac:dyDescent="0.25">
      <c r="A52" s="2" t="s">
        <v>33</v>
      </c>
      <c r="B52" s="4" t="s">
        <v>34</v>
      </c>
    </row>
    <row r="53" spans="1:6" x14ac:dyDescent="0.25">
      <c r="A53" t="s">
        <v>35</v>
      </c>
      <c r="B53" s="17">
        <f>+B106</f>
        <v>3.6979073434769638E-2</v>
      </c>
      <c r="C53" s="28"/>
    </row>
    <row r="54" spans="1:6" x14ac:dyDescent="0.25">
      <c r="A54" t="s">
        <v>36</v>
      </c>
      <c r="B54" s="17">
        <f>+B107</f>
        <v>3.3333333333333333E-2</v>
      </c>
      <c r="C54" s="28"/>
      <c r="D54" s="28"/>
    </row>
    <row r="55" spans="1:6" x14ac:dyDescent="0.25">
      <c r="A55" t="s">
        <v>37</v>
      </c>
      <c r="B55" s="35">
        <v>5.3800000000000001E-2</v>
      </c>
      <c r="D55" s="36"/>
    </row>
    <row r="56" spans="1:6" x14ac:dyDescent="0.25">
      <c r="A56" t="s">
        <v>38</v>
      </c>
      <c r="B56" s="35">
        <v>5.1500000000000004E-2</v>
      </c>
      <c r="D56" s="28"/>
    </row>
    <row r="57" spans="1:6" x14ac:dyDescent="0.25">
      <c r="A57" t="s">
        <v>39</v>
      </c>
      <c r="B57" s="35">
        <v>7.6100000000000001E-2</v>
      </c>
    </row>
    <row r="58" spans="1:6" x14ac:dyDescent="0.25">
      <c r="A58" t="s">
        <v>40</v>
      </c>
      <c r="B58" s="35">
        <v>7.6100000000000001E-2</v>
      </c>
      <c r="C58" s="7"/>
      <c r="D58" s="180"/>
      <c r="F58" s="28"/>
    </row>
    <row r="59" spans="1:6" x14ac:dyDescent="0.25">
      <c r="B59" s="37"/>
      <c r="C59" s="7"/>
    </row>
    <row r="60" spans="1:6" x14ac:dyDescent="0.25">
      <c r="A60" t="s">
        <v>137</v>
      </c>
      <c r="B60" s="37"/>
    </row>
    <row r="61" spans="1:6" x14ac:dyDescent="0.25">
      <c r="B61" s="2" t="s">
        <v>34</v>
      </c>
      <c r="C61" s="182" t="s">
        <v>13</v>
      </c>
      <c r="D61" s="42" t="s">
        <v>41</v>
      </c>
    </row>
    <row r="62" spans="1:6" x14ac:dyDescent="0.25">
      <c r="A62" t="s">
        <v>42</v>
      </c>
      <c r="B62" s="33">
        <f>+D62/C62</f>
        <v>7.6100000000000001E-2</v>
      </c>
      <c r="C62" s="5">
        <f>+C10</f>
        <v>25500000</v>
      </c>
      <c r="D62" s="22">
        <f>+C62*B58</f>
        <v>1940550</v>
      </c>
    </row>
    <row r="63" spans="1:6" x14ac:dyDescent="0.25">
      <c r="A63" t="s">
        <v>134</v>
      </c>
      <c r="B63" s="33">
        <f>+D63/C63</f>
        <v>7.6100000000000001E-2</v>
      </c>
      <c r="C63" s="5">
        <f>+C9</f>
        <v>33000000</v>
      </c>
      <c r="D63" s="22">
        <f>+C63*B58</f>
        <v>2511300</v>
      </c>
    </row>
    <row r="64" spans="1:6" x14ac:dyDescent="0.25">
      <c r="A64" t="s">
        <v>43</v>
      </c>
      <c r="B64" s="33">
        <f>+D64/C64</f>
        <v>7.6100000000000001E-2</v>
      </c>
      <c r="C64" s="38">
        <f>+C62-C63</f>
        <v>-7500000</v>
      </c>
      <c r="D64" s="39">
        <f>+D62-D63</f>
        <v>-570750</v>
      </c>
    </row>
    <row r="65" spans="1:6" x14ac:dyDescent="0.25">
      <c r="C65" s="22"/>
    </row>
    <row r="66" spans="1:6" ht="18.75" x14ac:dyDescent="0.3">
      <c r="A66" s="1" t="s">
        <v>44</v>
      </c>
      <c r="B66" s="17"/>
    </row>
    <row r="67" spans="1:6" x14ac:dyDescent="0.25">
      <c r="A67" s="13"/>
      <c r="B67" s="40"/>
      <c r="C67" s="41"/>
    </row>
    <row r="68" spans="1:6" x14ac:dyDescent="0.25">
      <c r="A68" s="9" t="s">
        <v>45</v>
      </c>
    </row>
    <row r="69" spans="1:6" x14ac:dyDescent="0.25">
      <c r="A69" s="9"/>
      <c r="B69" s="4" t="s">
        <v>46</v>
      </c>
      <c r="C69" s="14" t="s">
        <v>13</v>
      </c>
      <c r="D69" s="42" t="s">
        <v>41</v>
      </c>
      <c r="E69" s="2"/>
    </row>
    <row r="70" spans="1:6" x14ac:dyDescent="0.25">
      <c r="A70" s="26" t="s">
        <v>47</v>
      </c>
      <c r="B70" s="44">
        <f>+D70/C70</f>
        <v>0.5</v>
      </c>
      <c r="C70" s="45">
        <f>+D7</f>
        <v>300000</v>
      </c>
      <c r="D70" s="46">
        <v>150000</v>
      </c>
      <c r="E70" s="2"/>
    </row>
    <row r="71" spans="1:6" x14ac:dyDescent="0.25">
      <c r="A71" s="26" t="s">
        <v>48</v>
      </c>
      <c r="B71" s="44">
        <f>+D71/C71</f>
        <v>3.2307692307692308E-2</v>
      </c>
      <c r="C71" s="45">
        <f>+C5</f>
        <v>32500000</v>
      </c>
      <c r="D71" s="46">
        <v>1050000</v>
      </c>
      <c r="E71" s="2"/>
      <c r="F71" s="47"/>
    </row>
    <row r="72" spans="1:6" x14ac:dyDescent="0.25">
      <c r="A72" s="26" t="s">
        <v>135</v>
      </c>
      <c r="B72" s="44">
        <f>+D72/C72</f>
        <v>4.6666666666666669E-2</v>
      </c>
      <c r="C72" s="45">
        <f>+C6</f>
        <v>7500000</v>
      </c>
      <c r="D72" s="46">
        <v>350000</v>
      </c>
      <c r="E72" s="2"/>
    </row>
    <row r="73" spans="1:6" x14ac:dyDescent="0.25">
      <c r="A73" s="26" t="s">
        <v>49</v>
      </c>
      <c r="B73" s="44">
        <f>+D73/C73</f>
        <v>3.5000000000000003E-2</v>
      </c>
      <c r="C73" s="45">
        <f>+C71+C72</f>
        <v>40000000</v>
      </c>
      <c r="D73" s="48">
        <f>+D71+D72</f>
        <v>1400000</v>
      </c>
      <c r="E73" s="22"/>
    </row>
    <row r="74" spans="1:6" x14ac:dyDescent="0.25">
      <c r="A74" s="26" t="s">
        <v>50</v>
      </c>
      <c r="B74" s="49"/>
      <c r="C74" s="45"/>
      <c r="D74" s="46">
        <v>250000</v>
      </c>
      <c r="E74" s="22"/>
    </row>
    <row r="75" spans="1:6" x14ac:dyDescent="0.25">
      <c r="A75" s="26" t="s">
        <v>51</v>
      </c>
      <c r="B75" s="50">
        <f>+B58</f>
        <v>7.6100000000000001E-2</v>
      </c>
      <c r="C75" s="45">
        <f>+C12</f>
        <v>23772036.474164132</v>
      </c>
      <c r="D75" s="48">
        <f>+C75*B75</f>
        <v>1809051.9756838905</v>
      </c>
      <c r="E75" s="43"/>
    </row>
    <row r="76" spans="1:6" x14ac:dyDescent="0.25">
      <c r="A76" s="26" t="s">
        <v>52</v>
      </c>
      <c r="B76" s="50">
        <f>+B58</f>
        <v>7.6100000000000001E-2</v>
      </c>
      <c r="C76" s="45">
        <f>+C13</f>
        <v>9227963.5258358661</v>
      </c>
      <c r="D76" s="48">
        <f>+C76*B76</f>
        <v>702248.02431610937</v>
      </c>
      <c r="E76" s="43"/>
    </row>
    <row r="77" spans="1:6" x14ac:dyDescent="0.25">
      <c r="A77" s="26" t="s">
        <v>136</v>
      </c>
      <c r="B77" s="50"/>
      <c r="C77" s="45"/>
      <c r="D77" s="46">
        <v>0</v>
      </c>
      <c r="E77" s="43"/>
    </row>
    <row r="78" spans="1:6" x14ac:dyDescent="0.25">
      <c r="A78" s="26" t="s">
        <v>53</v>
      </c>
      <c r="B78" s="44">
        <f>+D78/C78</f>
        <v>-0.4</v>
      </c>
      <c r="C78" s="45">
        <f>+D7</f>
        <v>300000</v>
      </c>
      <c r="D78" s="46">
        <v>-120000</v>
      </c>
      <c r="E78" s="43"/>
    </row>
    <row r="79" spans="1:6" ht="15.75" thickBot="1" x14ac:dyDescent="0.3">
      <c r="A79" s="26" t="s">
        <v>54</v>
      </c>
      <c r="B79" s="50"/>
      <c r="C79" s="45"/>
      <c r="D79" s="51">
        <f>SUM(D73:D78)+D70</f>
        <v>4191299.9999999995</v>
      </c>
      <c r="E79" s="52"/>
      <c r="F79" s="53"/>
    </row>
    <row r="80" spans="1:6" ht="15.75" thickTop="1" x14ac:dyDescent="0.25"/>
    <row r="81" spans="1:19" ht="18.75" x14ac:dyDescent="0.3">
      <c r="A81" s="1" t="s">
        <v>55</v>
      </c>
      <c r="D81" s="8"/>
      <c r="N81" s="8"/>
      <c r="Q81" s="7"/>
      <c r="R81" s="7"/>
      <c r="S81" s="7"/>
    </row>
    <row r="82" spans="1:19" ht="18.75" x14ac:dyDescent="0.3">
      <c r="A82" s="1"/>
      <c r="Q82" s="41"/>
      <c r="R82" s="17"/>
    </row>
    <row r="83" spans="1:19" x14ac:dyDescent="0.25">
      <c r="A83" s="9" t="s">
        <v>56</v>
      </c>
      <c r="Q83" s="54"/>
      <c r="R83" s="54"/>
      <c r="S83" s="54"/>
    </row>
    <row r="84" spans="1:19" ht="30" x14ac:dyDescent="0.25">
      <c r="A84" s="9"/>
      <c r="B84" s="3" t="s">
        <v>30</v>
      </c>
      <c r="C84" s="4" t="s">
        <v>13</v>
      </c>
      <c r="D84" s="4" t="s">
        <v>41</v>
      </c>
      <c r="N84" s="54"/>
      <c r="O84" s="47"/>
      <c r="Q84" s="54"/>
    </row>
    <row r="85" spans="1:19" x14ac:dyDescent="0.25">
      <c r="A85" s="26" t="s">
        <v>15</v>
      </c>
      <c r="B85" s="49">
        <f t="shared" ref="B85:B93" si="3">+D39</f>
        <v>8.6999999999999994E-2</v>
      </c>
      <c r="C85" s="56">
        <f t="shared" ref="C85:C93" si="4">+C39</f>
        <v>700000</v>
      </c>
      <c r="D85" s="57">
        <f>+C85*B85</f>
        <v>60899.999999999993</v>
      </c>
      <c r="E85" s="26"/>
      <c r="N85" s="55"/>
      <c r="O85" s="55"/>
      <c r="P85" s="55"/>
      <c r="Q85" s="55"/>
    </row>
    <row r="86" spans="1:19" x14ac:dyDescent="0.25">
      <c r="A86" s="26" t="s">
        <v>16</v>
      </c>
      <c r="B86" s="49">
        <f t="shared" si="3"/>
        <v>0.10299999999999999</v>
      </c>
      <c r="C86" s="56">
        <f t="shared" si="4"/>
        <v>300000</v>
      </c>
      <c r="D86" s="57">
        <f t="shared" ref="D86:D93" si="5">+C86*B86</f>
        <v>30900</v>
      </c>
      <c r="E86" s="26"/>
      <c r="N86" s="55"/>
      <c r="O86" s="55"/>
      <c r="P86" s="55"/>
      <c r="Q86" s="55"/>
    </row>
    <row r="87" spans="1:19" x14ac:dyDescent="0.25">
      <c r="A87" s="26" t="s">
        <v>17</v>
      </c>
      <c r="B87" s="49">
        <f t="shared" si="3"/>
        <v>7.3999999999999996E-2</v>
      </c>
      <c r="C87" s="56">
        <f t="shared" si="4"/>
        <v>14000000</v>
      </c>
      <c r="D87" s="57">
        <f t="shared" si="5"/>
        <v>1036000</v>
      </c>
      <c r="E87" s="26"/>
      <c r="N87" s="55"/>
      <c r="O87" s="55"/>
      <c r="P87" s="55"/>
      <c r="Q87" s="55"/>
    </row>
    <row r="88" spans="1:19" x14ac:dyDescent="0.25">
      <c r="A88" s="26" t="s">
        <v>18</v>
      </c>
      <c r="B88" s="49">
        <f t="shared" si="3"/>
        <v>0.10199999999999999</v>
      </c>
      <c r="C88" s="56">
        <f t="shared" si="4"/>
        <v>4200000</v>
      </c>
      <c r="D88" s="57">
        <f t="shared" si="5"/>
        <v>428400</v>
      </c>
      <c r="E88" s="26"/>
      <c r="N88" s="55"/>
      <c r="O88" s="55"/>
      <c r="P88" s="55"/>
      <c r="Q88" s="55"/>
    </row>
    <row r="89" spans="1:19" x14ac:dyDescent="0.25">
      <c r="A89" s="26" t="s">
        <v>19</v>
      </c>
      <c r="B89" s="49">
        <f t="shared" si="3"/>
        <v>0.151</v>
      </c>
      <c r="C89" s="56">
        <f t="shared" si="4"/>
        <v>4000000</v>
      </c>
      <c r="D89" s="57">
        <f t="shared" si="5"/>
        <v>604000</v>
      </c>
      <c r="E89" s="26"/>
      <c r="N89" s="55"/>
      <c r="O89" s="55"/>
      <c r="P89" s="55"/>
      <c r="Q89" s="55"/>
    </row>
    <row r="90" spans="1:19" x14ac:dyDescent="0.25">
      <c r="A90" s="26" t="s">
        <v>20</v>
      </c>
      <c r="B90" s="49">
        <f t="shared" si="3"/>
        <v>7.3999999999999996E-2</v>
      </c>
      <c r="C90" s="56">
        <f t="shared" si="4"/>
        <v>200000</v>
      </c>
      <c r="D90" s="57">
        <f>+C90*B90</f>
        <v>14800</v>
      </c>
      <c r="E90" s="26"/>
      <c r="N90" s="55"/>
      <c r="O90" s="55"/>
      <c r="P90" s="55"/>
      <c r="Q90" s="55"/>
    </row>
    <row r="91" spans="1:19" x14ac:dyDescent="0.25">
      <c r="A91" s="26" t="s">
        <v>21</v>
      </c>
      <c r="B91" s="49">
        <f t="shared" si="3"/>
        <v>0.10199999999999999</v>
      </c>
      <c r="C91" s="56">
        <f t="shared" si="4"/>
        <v>100000</v>
      </c>
      <c r="D91" s="57">
        <f t="shared" si="5"/>
        <v>10200</v>
      </c>
      <c r="E91" s="26"/>
      <c r="N91" s="55"/>
      <c r="O91" s="55"/>
      <c r="P91" s="55"/>
      <c r="Q91" s="55"/>
    </row>
    <row r="92" spans="1:19" x14ac:dyDescent="0.25">
      <c r="A92" s="26" t="s">
        <v>22</v>
      </c>
      <c r="B92" s="49">
        <f t="shared" si="3"/>
        <v>0.24</v>
      </c>
      <c r="C92" s="56">
        <f t="shared" si="4"/>
        <v>50000</v>
      </c>
      <c r="D92" s="57">
        <f>+C92*B92</f>
        <v>12000</v>
      </c>
      <c r="E92" s="26"/>
      <c r="N92" s="55"/>
      <c r="O92" s="55"/>
      <c r="P92" s="55"/>
      <c r="Q92" s="55"/>
    </row>
    <row r="93" spans="1:19" x14ac:dyDescent="0.25">
      <c r="A93" s="26" t="s">
        <v>23</v>
      </c>
      <c r="B93" s="49">
        <f t="shared" si="3"/>
        <v>2.4E-2</v>
      </c>
      <c r="C93" s="56">
        <f t="shared" si="4"/>
        <v>150000</v>
      </c>
      <c r="D93" s="57">
        <f t="shared" si="5"/>
        <v>3600</v>
      </c>
      <c r="E93" s="26"/>
      <c r="N93" s="55"/>
      <c r="O93" s="55"/>
      <c r="P93" s="55"/>
      <c r="Q93" s="55"/>
    </row>
    <row r="94" spans="1:19" ht="15.75" thickBot="1" x14ac:dyDescent="0.3">
      <c r="A94" s="26" t="s">
        <v>57</v>
      </c>
      <c r="B94" s="26"/>
      <c r="C94" s="58">
        <f>SUM(C85:C93)</f>
        <v>23700000</v>
      </c>
      <c r="D94" s="51">
        <f>SUM(D85:D93)</f>
        <v>2200800</v>
      </c>
      <c r="E94" s="26"/>
      <c r="N94" s="18"/>
      <c r="O94" s="59"/>
      <c r="P94" s="59"/>
      <c r="Q94" s="59"/>
    </row>
    <row r="95" spans="1:19" ht="15.75" thickTop="1" x14ac:dyDescent="0.25">
      <c r="A95" s="26"/>
      <c r="N95" s="8"/>
      <c r="O95" s="8"/>
      <c r="P95" s="8"/>
      <c r="Q95" s="36"/>
    </row>
    <row r="96" spans="1:19" x14ac:dyDescent="0.25">
      <c r="A96" s="9" t="s">
        <v>58</v>
      </c>
      <c r="N96" s="18"/>
      <c r="O96" s="59"/>
      <c r="P96" s="59"/>
      <c r="Q96" s="59"/>
    </row>
    <row r="97" spans="1:17" x14ac:dyDescent="0.25">
      <c r="A97" s="9"/>
      <c r="B97" s="4" t="s">
        <v>46</v>
      </c>
      <c r="C97" s="14" t="s">
        <v>13</v>
      </c>
      <c r="D97" s="61" t="s">
        <v>41</v>
      </c>
      <c r="N97" s="18"/>
      <c r="O97" s="59"/>
      <c r="P97" s="59"/>
      <c r="Q97" s="59"/>
    </row>
    <row r="98" spans="1:17" x14ac:dyDescent="0.25">
      <c r="A98" t="s">
        <v>59</v>
      </c>
      <c r="B98" s="17">
        <f>+B54</f>
        <v>3.3333333333333333E-2</v>
      </c>
      <c r="C98" s="62">
        <f>+D34</f>
        <v>16500000</v>
      </c>
      <c r="D98" s="63">
        <f>+B98*C98</f>
        <v>550000</v>
      </c>
      <c r="F98" s="8"/>
      <c r="N98" s="18"/>
      <c r="O98" s="59"/>
      <c r="P98" s="59"/>
      <c r="Q98" s="59"/>
    </row>
    <row r="99" spans="1:17" x14ac:dyDescent="0.25">
      <c r="A99" t="s">
        <v>60</v>
      </c>
      <c r="B99" s="17"/>
      <c r="C99" s="62"/>
      <c r="D99" s="63">
        <f>+D74</f>
        <v>250000</v>
      </c>
      <c r="F99" s="8"/>
      <c r="H99" s="47"/>
      <c r="N99" s="18"/>
      <c r="O99" s="59"/>
      <c r="P99" s="59"/>
      <c r="Q99" s="59"/>
    </row>
    <row r="100" spans="1:17" x14ac:dyDescent="0.25">
      <c r="A100" t="s">
        <v>61</v>
      </c>
      <c r="B100" s="17">
        <f>+B55</f>
        <v>5.3800000000000001E-2</v>
      </c>
      <c r="C100" s="60">
        <f>+C34</f>
        <v>9200000</v>
      </c>
      <c r="D100" s="59">
        <f>+B100*C100</f>
        <v>494960</v>
      </c>
      <c r="F100" s="8"/>
      <c r="H100" s="54"/>
      <c r="N100" s="18"/>
      <c r="O100" s="59"/>
      <c r="P100" s="59"/>
      <c r="Q100" s="59"/>
    </row>
    <row r="101" spans="1:17" ht="15.75" thickBot="1" x14ac:dyDescent="0.3">
      <c r="C101" s="60"/>
      <c r="D101" s="64">
        <f>SUM(D98:D100)</f>
        <v>1294960</v>
      </c>
      <c r="E101" s="18"/>
      <c r="F101" s="65"/>
    </row>
    <row r="102" spans="1:17" ht="15.75" thickTop="1" x14ac:dyDescent="0.25">
      <c r="C102" s="60"/>
      <c r="D102" s="18"/>
      <c r="E102" s="18"/>
      <c r="F102" s="65"/>
    </row>
    <row r="103" spans="1:17" x14ac:dyDescent="0.25">
      <c r="A103" s="9" t="s">
        <v>62</v>
      </c>
      <c r="D103" s="8"/>
      <c r="E103" s="18"/>
      <c r="F103" s="65"/>
    </row>
    <row r="104" spans="1:17" x14ac:dyDescent="0.25">
      <c r="D104" s="8"/>
      <c r="E104" s="18"/>
      <c r="F104" s="60"/>
      <c r="G104" s="66"/>
    </row>
    <row r="105" spans="1:17" x14ac:dyDescent="0.25">
      <c r="A105" s="9"/>
      <c r="B105" s="4" t="s">
        <v>46</v>
      </c>
      <c r="C105" s="14" t="s">
        <v>13</v>
      </c>
      <c r="D105" s="42" t="s">
        <v>41</v>
      </c>
      <c r="E105" s="18"/>
      <c r="F105" s="19"/>
      <c r="I105" s="47"/>
    </row>
    <row r="106" spans="1:17" x14ac:dyDescent="0.25">
      <c r="A106" t="s">
        <v>63</v>
      </c>
      <c r="B106" s="17">
        <f>((+D70+D73+D78)-(D107/(D34/D13)))/D12</f>
        <v>3.6979073434769638E-2</v>
      </c>
      <c r="C106" s="13">
        <f>+D33</f>
        <v>23700000</v>
      </c>
      <c r="D106" s="67">
        <f>+B106*C106</f>
        <v>876404.04040404037</v>
      </c>
      <c r="E106" s="68"/>
      <c r="F106" s="69"/>
      <c r="G106" s="47"/>
      <c r="H106" s="47"/>
      <c r="I106" s="47"/>
    </row>
    <row r="107" spans="1:17" x14ac:dyDescent="0.25">
      <c r="A107" t="s">
        <v>64</v>
      </c>
      <c r="B107" s="17">
        <f>+D107/C107</f>
        <v>3.3333333333333333E-2</v>
      </c>
      <c r="C107" s="13">
        <f>+D34</f>
        <v>16500000</v>
      </c>
      <c r="D107" s="70">
        <v>550000</v>
      </c>
      <c r="E107" s="68"/>
      <c r="F107" s="69"/>
      <c r="G107" s="47"/>
      <c r="H107" s="71"/>
      <c r="I107" s="47"/>
    </row>
    <row r="108" spans="1:17" ht="15.75" thickBot="1" x14ac:dyDescent="0.3">
      <c r="B108" s="72">
        <f>+D108/C108</f>
        <v>3.548268757223981E-2</v>
      </c>
      <c r="C108" s="73">
        <f>SUM(C106:C107)</f>
        <v>40200000</v>
      </c>
      <c r="D108" s="74">
        <f>+D106+D107</f>
        <v>1426404.0404040404</v>
      </c>
      <c r="E108" s="68"/>
      <c r="F108" s="75"/>
      <c r="G108" s="18"/>
      <c r="H108" s="8"/>
    </row>
    <row r="109" spans="1:17" ht="15.75" thickTop="1" x14ac:dyDescent="0.25">
      <c r="B109" s="36"/>
      <c r="C109" s="76"/>
      <c r="D109" s="60"/>
      <c r="E109" s="18"/>
      <c r="G109" s="60"/>
    </row>
    <row r="110" spans="1:17" x14ac:dyDescent="0.25">
      <c r="A110" s="209"/>
      <c r="B110" s="209"/>
      <c r="C110" s="209"/>
      <c r="D110" s="209"/>
    </row>
    <row r="111" spans="1:17" x14ac:dyDescent="0.25">
      <c r="A111" s="209"/>
      <c r="B111" s="209"/>
      <c r="C111" s="209"/>
      <c r="D111" s="209"/>
    </row>
    <row r="114" spans="1:4" x14ac:dyDescent="0.25">
      <c r="A114" s="9"/>
      <c r="B114" s="4"/>
      <c r="C114" s="77"/>
      <c r="D114" s="61"/>
    </row>
    <row r="115" spans="1:4" x14ac:dyDescent="0.25">
      <c r="B115" s="17"/>
      <c r="C115" s="12"/>
      <c r="D115" s="59"/>
    </row>
    <row r="116" spans="1:4" x14ac:dyDescent="0.25">
      <c r="B116" s="17"/>
      <c r="C116" s="12"/>
      <c r="D116" s="59"/>
    </row>
    <row r="117" spans="1:4" x14ac:dyDescent="0.25">
      <c r="D117" s="8"/>
    </row>
    <row r="120" spans="1:4" x14ac:dyDescent="0.25">
      <c r="D120" s="13"/>
    </row>
    <row r="121" spans="1:4" x14ac:dyDescent="0.25">
      <c r="D121" s="13"/>
    </row>
    <row r="122" spans="1:4" x14ac:dyDescent="0.25">
      <c r="D122" s="13"/>
    </row>
    <row r="123" spans="1:4" x14ac:dyDescent="0.25">
      <c r="D123" s="13"/>
    </row>
    <row r="124" spans="1:4" x14ac:dyDescent="0.25">
      <c r="D124" s="13"/>
    </row>
    <row r="125" spans="1:4" x14ac:dyDescent="0.25">
      <c r="D125" s="13"/>
    </row>
  </sheetData>
  <mergeCells count="4">
    <mergeCell ref="F9:H9"/>
    <mergeCell ref="I9:K9"/>
    <mergeCell ref="A110:D110"/>
    <mergeCell ref="A111:D111"/>
  </mergeCells>
  <pageMargins left="0.7" right="0.7" top="0.75" bottom="0.75" header="0.3" footer="0.3"/>
  <pageSetup paperSize="17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94F4-8118-4743-B591-55452CEFF6DE}">
  <sheetPr>
    <pageSetUpPr fitToPage="1"/>
  </sheetPr>
  <dimension ref="A1:AA17"/>
  <sheetViews>
    <sheetView showGridLines="0" zoomScaleNormal="100" workbookViewId="0"/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7109375" customWidth="1"/>
    <col min="5" max="5" width="15" customWidth="1"/>
    <col min="6" max="6" width="12.7109375" customWidth="1"/>
    <col min="7" max="7" width="18.140625" customWidth="1"/>
    <col min="8" max="8" width="13.28515625" bestFit="1" customWidth="1"/>
    <col min="9" max="10" width="13.28515625" customWidth="1"/>
    <col min="11" max="11" width="15.8554687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7109375" customWidth="1"/>
    <col min="22" max="22" width="43.5703125" customWidth="1"/>
    <col min="23" max="23" width="11.28515625" customWidth="1"/>
    <col min="24" max="24" width="15.7109375" customWidth="1"/>
    <col min="25" max="29" width="14.7109375" customWidth="1"/>
    <col min="30" max="30" width="12.28515625" bestFit="1" customWidth="1"/>
  </cols>
  <sheetData>
    <row r="1" spans="1:27" ht="26.25" x14ac:dyDescent="0.4">
      <c r="A1" s="78" t="s">
        <v>65</v>
      </c>
    </row>
    <row r="2" spans="1:27" ht="30" x14ac:dyDescent="0.25">
      <c r="K2" s="3" t="s">
        <v>66</v>
      </c>
    </row>
    <row r="3" spans="1:27" x14ac:dyDescent="0.25">
      <c r="A3" s="2" t="s">
        <v>73</v>
      </c>
      <c r="N3" s="17"/>
      <c r="O3" s="7"/>
      <c r="P3" s="18"/>
      <c r="Q3" s="18"/>
      <c r="R3" s="18"/>
      <c r="S3" s="22"/>
      <c r="T3" s="22"/>
      <c r="W3" s="17"/>
      <c r="X3" s="7"/>
      <c r="Y3" s="18"/>
      <c r="AA3" s="71"/>
    </row>
    <row r="4" spans="1:27" ht="30" x14ac:dyDescent="0.25">
      <c r="A4" s="79" t="s">
        <v>67</v>
      </c>
      <c r="B4" s="80" t="s">
        <v>68</v>
      </c>
      <c r="C4" s="81" t="s">
        <v>74</v>
      </c>
      <c r="D4" s="80" t="s">
        <v>69</v>
      </c>
      <c r="E4" s="81" t="s">
        <v>70</v>
      </c>
      <c r="F4" s="80" t="s">
        <v>71</v>
      </c>
      <c r="G4" s="80" t="s">
        <v>13</v>
      </c>
      <c r="H4" s="81" t="s">
        <v>75</v>
      </c>
      <c r="I4" s="81" t="s">
        <v>76</v>
      </c>
      <c r="J4" s="81" t="s">
        <v>72</v>
      </c>
      <c r="K4" s="81" t="s">
        <v>77</v>
      </c>
      <c r="N4" s="17"/>
      <c r="O4" s="7"/>
      <c r="P4" s="18"/>
      <c r="Q4" s="18"/>
      <c r="R4" s="18"/>
      <c r="S4" s="22"/>
      <c r="T4" s="22"/>
      <c r="W4" s="17"/>
      <c r="X4" s="7"/>
      <c r="Y4" s="18"/>
      <c r="AA4" s="71"/>
    </row>
    <row r="5" spans="1:27" x14ac:dyDescent="0.25">
      <c r="A5" s="85" t="s">
        <v>15</v>
      </c>
      <c r="B5" s="86">
        <f>+'Data for 2nd TU'!D39</f>
        <v>8.6999999999999994E-2</v>
      </c>
      <c r="C5" s="86">
        <f>+'Data for 2nd TU'!$B$53</f>
        <v>3.6979073434769638E-2</v>
      </c>
      <c r="D5" s="86">
        <f>+'Data for 2nd TU'!$B$58</f>
        <v>7.6100000000000001E-2</v>
      </c>
      <c r="E5" s="86">
        <f>+C5+D5</f>
        <v>0.11307907343476964</v>
      </c>
      <c r="F5" s="87">
        <f>+B5-E5</f>
        <v>-2.6079073434769645E-2</v>
      </c>
      <c r="G5" s="88">
        <f>'Data for 2nd TU'!C18</f>
        <v>702127.65957446804</v>
      </c>
      <c r="H5" s="48">
        <f>+G5*B5</f>
        <v>61085.106382978716</v>
      </c>
      <c r="I5" s="48">
        <f>+G5*C5</f>
        <v>25964.030283987191</v>
      </c>
      <c r="J5" s="48">
        <f>+G5*D5</f>
        <v>53431.914893617017</v>
      </c>
      <c r="K5" s="48">
        <f>+H5-I5-J5</f>
        <v>-18310.838794625488</v>
      </c>
      <c r="P5" s="18"/>
      <c r="Q5" s="18"/>
      <c r="R5" s="18"/>
      <c r="S5" s="18"/>
      <c r="T5" s="18"/>
      <c r="Y5" s="18"/>
      <c r="AA5" s="71"/>
    </row>
    <row r="6" spans="1:27" x14ac:dyDescent="0.25">
      <c r="A6" s="89" t="s">
        <v>16</v>
      </c>
      <c r="B6" s="90">
        <f>+'Data for 2nd TU'!D40</f>
        <v>0.10299999999999999</v>
      </c>
      <c r="C6" s="90">
        <f>+'Data for 2nd TU'!$B$53</f>
        <v>3.6979073434769638E-2</v>
      </c>
      <c r="D6" s="90">
        <f>+'Data for 2nd TU'!$B$58</f>
        <v>7.6100000000000001E-2</v>
      </c>
      <c r="E6" s="90">
        <f t="shared" ref="E6:E9" si="0">+C6+D6</f>
        <v>0.11307907343476964</v>
      </c>
      <c r="F6" s="91">
        <f t="shared" ref="F6:F9" si="1">+B6-E6</f>
        <v>-1.0079073434769645E-2</v>
      </c>
      <c r="G6" s="88">
        <f>'Data for 2nd TU'!C19</f>
        <v>300911.85410334344</v>
      </c>
      <c r="H6" s="48">
        <f t="shared" ref="H6:H9" si="2">+G6*B6</f>
        <v>30993.920972644373</v>
      </c>
      <c r="I6" s="48">
        <f t="shared" ref="I6:I9" si="3">+G6*C6</f>
        <v>11127.441550280224</v>
      </c>
      <c r="J6" s="48">
        <f t="shared" ref="J6:J9" si="4">+G6*D6</f>
        <v>22899.392097264437</v>
      </c>
      <c r="K6" s="48">
        <f t="shared" ref="K6:K9" si="5">+H6-I6-J6</f>
        <v>-3032.9126749002862</v>
      </c>
      <c r="AA6" s="71"/>
    </row>
    <row r="7" spans="1:27" x14ac:dyDescent="0.25">
      <c r="A7" s="26" t="s">
        <v>17</v>
      </c>
      <c r="B7" s="90">
        <f>+'Data for 2nd TU'!D41</f>
        <v>7.3999999999999996E-2</v>
      </c>
      <c r="C7" s="90">
        <f>+'Data for 2nd TU'!$B$53</f>
        <v>3.6979073434769638E-2</v>
      </c>
      <c r="D7" s="90">
        <f>+'Data for 2nd TU'!$B$58</f>
        <v>7.6100000000000001E-2</v>
      </c>
      <c r="E7" s="90">
        <f t="shared" si="0"/>
        <v>0.11307907343476964</v>
      </c>
      <c r="F7" s="91">
        <f t="shared" si="1"/>
        <v>-3.9079073434769643E-2</v>
      </c>
      <c r="G7" s="88">
        <f>'Data for 2nd TU'!C20</f>
        <v>14042553.191489361</v>
      </c>
      <c r="H7" s="48">
        <f t="shared" si="2"/>
        <v>1039148.9361702127</v>
      </c>
      <c r="I7" s="48">
        <f t="shared" si="3"/>
        <v>519280.60567974387</v>
      </c>
      <c r="J7" s="48">
        <f t="shared" si="4"/>
        <v>1068638.2978723403</v>
      </c>
      <c r="K7" s="48">
        <f t="shared" si="5"/>
        <v>-548769.96738187154</v>
      </c>
      <c r="M7" s="2"/>
      <c r="V7" s="2"/>
    </row>
    <row r="8" spans="1:27" x14ac:dyDescent="0.25">
      <c r="A8" s="26" t="s">
        <v>18</v>
      </c>
      <c r="B8" s="90">
        <f>+'Data for 2nd TU'!D42</f>
        <v>0.10199999999999999</v>
      </c>
      <c r="C8" s="90">
        <f>+'Data for 2nd TU'!$B$53</f>
        <v>3.6979073434769638E-2</v>
      </c>
      <c r="D8" s="90">
        <f>+'Data for 2nd TU'!$B$58</f>
        <v>7.6100000000000001E-2</v>
      </c>
      <c r="E8" s="90">
        <f t="shared" si="0"/>
        <v>0.11307907343476964</v>
      </c>
      <c r="F8" s="91">
        <f t="shared" si="1"/>
        <v>-1.1079073434769646E-2</v>
      </c>
      <c r="G8" s="88">
        <f>'Data for 2nd TU'!C21</f>
        <v>4212765.957446808</v>
      </c>
      <c r="H8" s="48">
        <f t="shared" si="2"/>
        <v>429702.12765957438</v>
      </c>
      <c r="I8" s="48">
        <f t="shared" si="3"/>
        <v>155784.18170392312</v>
      </c>
      <c r="J8" s="48">
        <f t="shared" si="4"/>
        <v>320591.48936170212</v>
      </c>
      <c r="K8" s="48">
        <f t="shared" si="5"/>
        <v>-46673.543406050885</v>
      </c>
      <c r="P8" s="8"/>
      <c r="Q8" s="8"/>
      <c r="R8" s="8"/>
      <c r="S8" s="8"/>
      <c r="T8" s="8"/>
      <c r="Y8" s="8"/>
    </row>
    <row r="9" spans="1:27" x14ac:dyDescent="0.25">
      <c r="A9" s="26" t="s">
        <v>19</v>
      </c>
      <c r="B9" s="90">
        <f>+'Data for 2nd TU'!D43</f>
        <v>0.151</v>
      </c>
      <c r="C9" s="90">
        <f>+'Data for 2nd TU'!$B$53</f>
        <v>3.6979073434769638E-2</v>
      </c>
      <c r="D9" s="90">
        <f>+'Data for 2nd TU'!$B$58</f>
        <v>7.6100000000000001E-2</v>
      </c>
      <c r="E9" s="90">
        <f t="shared" si="0"/>
        <v>0.11307907343476964</v>
      </c>
      <c r="F9" s="91">
        <f t="shared" si="1"/>
        <v>3.7920926565230356E-2</v>
      </c>
      <c r="G9" s="88">
        <f>'Data for 2nd TU'!C22</f>
        <v>4012158.0547112459</v>
      </c>
      <c r="H9" s="48">
        <f t="shared" si="2"/>
        <v>605835.86626139807</v>
      </c>
      <c r="I9" s="48">
        <f t="shared" si="3"/>
        <v>148365.88733706967</v>
      </c>
      <c r="J9" s="48">
        <f t="shared" si="4"/>
        <v>305325.2279635258</v>
      </c>
      <c r="K9" s="48">
        <f t="shared" si="5"/>
        <v>152144.7509608026</v>
      </c>
      <c r="P9" s="8"/>
      <c r="Q9" s="8"/>
      <c r="R9" s="8"/>
      <c r="S9" s="8"/>
      <c r="T9" s="8"/>
      <c r="Y9" s="8"/>
    </row>
    <row r="10" spans="1:27" x14ac:dyDescent="0.25">
      <c r="A10" s="26" t="s">
        <v>20</v>
      </c>
      <c r="B10" s="90">
        <f>+'Data for 2nd TU'!D44</f>
        <v>7.3999999999999996E-2</v>
      </c>
      <c r="C10" s="90">
        <f>+'Data for 2nd TU'!$B$53</f>
        <v>3.6979073434769638E-2</v>
      </c>
      <c r="D10" s="90">
        <f>+'Data for 2nd TU'!$B$58</f>
        <v>7.6100000000000001E-2</v>
      </c>
      <c r="E10" s="90">
        <f>+C10+D10</f>
        <v>0.11307907343476964</v>
      </c>
      <c r="F10" s="91">
        <f>+B10-E10</f>
        <v>-3.9079073434769643E-2</v>
      </c>
      <c r="G10" s="88">
        <f>'Data for 2nd TU'!C23</f>
        <v>200607.90273556227</v>
      </c>
      <c r="H10" s="48">
        <f>+G10*B10</f>
        <v>14844.984802431607</v>
      </c>
      <c r="I10" s="48">
        <f>+G10*C10</f>
        <v>7418.2943668534817</v>
      </c>
      <c r="J10" s="48">
        <f>+G10*D10</f>
        <v>15266.261398176288</v>
      </c>
      <c r="K10" s="48">
        <f>+H10-I10-J10</f>
        <v>-7839.5709625981626</v>
      </c>
      <c r="P10" s="8"/>
      <c r="Q10" s="8"/>
      <c r="R10" s="8"/>
      <c r="S10" s="8"/>
      <c r="T10" s="8"/>
      <c r="Y10" s="8"/>
    </row>
    <row r="11" spans="1:27" x14ac:dyDescent="0.25">
      <c r="A11" s="26" t="s">
        <v>21</v>
      </c>
      <c r="B11" s="90">
        <f>+'Data for 2nd TU'!D45</f>
        <v>0.10199999999999999</v>
      </c>
      <c r="C11" s="90">
        <f>+'Data for 2nd TU'!$B$53</f>
        <v>3.6979073434769638E-2</v>
      </c>
      <c r="D11" s="90">
        <f>+'Data for 2nd TU'!$B$58</f>
        <v>7.6100000000000001E-2</v>
      </c>
      <c r="E11" s="90">
        <f t="shared" ref="E11:E13" si="6">+C11+D11</f>
        <v>0.11307907343476964</v>
      </c>
      <c r="F11" s="91">
        <f t="shared" ref="F11:F13" si="7">+B11-E11</f>
        <v>-1.1079073434769646E-2</v>
      </c>
      <c r="G11" s="88">
        <f>'Data for 2nd TU'!C24</f>
        <v>100303.95136778113</v>
      </c>
      <c r="H11" s="48">
        <f t="shared" ref="H11:H13" si="8">+G11*B11</f>
        <v>10231.003039513675</v>
      </c>
      <c r="I11" s="48">
        <f t="shared" ref="I11:I13" si="9">+G11*C11</f>
        <v>3709.1471834267409</v>
      </c>
      <c r="J11" s="48">
        <f t="shared" ref="J11:J13" si="10">+G11*D11</f>
        <v>7633.130699088144</v>
      </c>
      <c r="K11" s="48">
        <f t="shared" ref="K11:K13" si="11">+H11-I11-J11</f>
        <v>-1111.2748430012107</v>
      </c>
      <c r="P11" s="8"/>
      <c r="Q11" s="8"/>
      <c r="R11" s="8"/>
      <c r="S11" s="8"/>
      <c r="T11" s="8"/>
      <c r="Y11" s="8"/>
    </row>
    <row r="12" spans="1:27" x14ac:dyDescent="0.25">
      <c r="A12" s="26" t="s">
        <v>22</v>
      </c>
      <c r="B12" s="90">
        <f>+'Data for 2nd TU'!D46</f>
        <v>0.24</v>
      </c>
      <c r="C12" s="90">
        <f>+'Data for 2nd TU'!$B$53</f>
        <v>3.6979073434769638E-2</v>
      </c>
      <c r="D12" s="90">
        <f>+'Data for 2nd TU'!$B$58</f>
        <v>7.6100000000000001E-2</v>
      </c>
      <c r="E12" s="90">
        <f>+C12+D12</f>
        <v>0.11307907343476964</v>
      </c>
      <c r="F12" s="91">
        <f>+B12-E12</f>
        <v>0.12692092656523035</v>
      </c>
      <c r="G12" s="88">
        <f>'Data for 2nd TU'!C25</f>
        <v>50151.975683890567</v>
      </c>
      <c r="H12" s="48">
        <f>+G12*B12</f>
        <v>12036.474164133735</v>
      </c>
      <c r="I12" s="48">
        <f>+G12*C12</f>
        <v>1854.5735917133704</v>
      </c>
      <c r="J12" s="48">
        <f>+G12*D12</f>
        <v>3816.565349544072</v>
      </c>
      <c r="K12" s="48">
        <f>+H12-I12-J12</f>
        <v>6365.3352228762933</v>
      </c>
      <c r="P12" s="8"/>
      <c r="Q12" s="8"/>
      <c r="R12" s="8"/>
      <c r="S12" s="8"/>
      <c r="T12" s="8"/>
      <c r="Y12" s="8"/>
    </row>
    <row r="13" spans="1:27" x14ac:dyDescent="0.25">
      <c r="A13" s="92" t="s">
        <v>23</v>
      </c>
      <c r="B13" s="93">
        <f>+'Data for 2nd TU'!D47</f>
        <v>2.4E-2</v>
      </c>
      <c r="C13" s="93">
        <f>+'Data for 2nd TU'!$B$53</f>
        <v>3.6979073434769638E-2</v>
      </c>
      <c r="D13" s="93">
        <f>+'Data for 2nd TU'!$B$58</f>
        <v>7.6100000000000001E-2</v>
      </c>
      <c r="E13" s="93">
        <f t="shared" si="6"/>
        <v>0.11307907343476964</v>
      </c>
      <c r="F13" s="94">
        <f t="shared" si="7"/>
        <v>-8.9079073434769646E-2</v>
      </c>
      <c r="G13" s="88">
        <f>'Data for 2nd TU'!C26</f>
        <v>150455.92705167172</v>
      </c>
      <c r="H13" s="48">
        <f t="shared" si="8"/>
        <v>3610.9422492401213</v>
      </c>
      <c r="I13" s="48">
        <f t="shared" si="9"/>
        <v>5563.720775140112</v>
      </c>
      <c r="J13" s="48">
        <f t="shared" si="10"/>
        <v>11449.696048632219</v>
      </c>
      <c r="K13" s="48">
        <f t="shared" si="11"/>
        <v>-13402.474574532209</v>
      </c>
      <c r="P13" s="8"/>
      <c r="Q13" s="8"/>
      <c r="R13" s="8"/>
      <c r="S13" s="8"/>
      <c r="T13" s="8"/>
      <c r="Y13" s="8"/>
    </row>
    <row r="14" spans="1:27" ht="15.75" thickBot="1" x14ac:dyDescent="0.3">
      <c r="A14" s="26"/>
      <c r="B14" s="95">
        <f>+H14/G14</f>
        <v>9.2860759493670911E-2</v>
      </c>
      <c r="C14" s="26"/>
      <c r="D14" s="26"/>
      <c r="E14" s="26"/>
      <c r="F14" s="26"/>
      <c r="G14" s="84">
        <f>SUM(G5:G13)</f>
        <v>23772036.474164128</v>
      </c>
      <c r="H14" s="51">
        <f>SUM(H5:H13)</f>
        <v>2207489.3617021278</v>
      </c>
      <c r="I14" s="51">
        <f>SUM(I5:I13)</f>
        <v>879067.8824721378</v>
      </c>
      <c r="J14" s="51">
        <f>SUM(J5:J13)</f>
        <v>1809051.9756838903</v>
      </c>
      <c r="K14" s="51">
        <f>SUM(K5:K13)</f>
        <v>-480630.49645390082</v>
      </c>
      <c r="P14" s="18"/>
      <c r="Q14" s="18"/>
      <c r="R14" s="18"/>
      <c r="S14" s="18"/>
      <c r="T14" s="18"/>
      <c r="Y14" s="18"/>
    </row>
    <row r="15" spans="1:27" x14ac:dyDescent="0.25">
      <c r="J15" s="13"/>
      <c r="K15" s="8"/>
    </row>
    <row r="16" spans="1:27" x14ac:dyDescent="0.25">
      <c r="J16" s="36"/>
      <c r="K16" s="8"/>
    </row>
    <row r="17" spans="10:10" x14ac:dyDescent="0.25">
      <c r="J17" s="15"/>
    </row>
  </sheetData>
  <pageMargins left="0.7" right="0.7" top="0.75" bottom="0.75" header="0.3" footer="0.3"/>
  <pageSetup paperSize="5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CFE1-4902-49E8-A7DD-525DCE7604B5}">
  <sheetPr>
    <pageSetUpPr fitToPage="1"/>
  </sheetPr>
  <dimension ref="A1:E41"/>
  <sheetViews>
    <sheetView showGridLines="0" zoomScaleNormal="100" workbookViewId="0"/>
  </sheetViews>
  <sheetFormatPr defaultRowHeight="15" x14ac:dyDescent="0.25"/>
  <cols>
    <col min="1" max="1" width="23.28515625" customWidth="1"/>
    <col min="2" max="2" width="9.28515625" customWidth="1"/>
    <col min="3" max="3" width="15" bestFit="1" customWidth="1"/>
    <col min="4" max="4" width="13" customWidth="1"/>
    <col min="5" max="6" width="14.7109375" customWidth="1"/>
    <col min="7" max="7" width="13.28515625" customWidth="1"/>
    <col min="8" max="8" width="13.42578125" customWidth="1"/>
    <col min="9" max="9" width="12.42578125" customWidth="1"/>
    <col min="10" max="10" width="13.28515625" customWidth="1"/>
    <col min="11" max="11" width="12.7109375" customWidth="1"/>
    <col min="12" max="12" width="9.28515625" customWidth="1"/>
  </cols>
  <sheetData>
    <row r="1" spans="1:5" ht="18.75" x14ac:dyDescent="0.3">
      <c r="A1" s="1" t="s">
        <v>78</v>
      </c>
    </row>
    <row r="2" spans="1:5" ht="18.75" x14ac:dyDescent="0.3">
      <c r="A2" s="1"/>
    </row>
    <row r="3" spans="1:5" x14ac:dyDescent="0.25">
      <c r="A3" s="9" t="s">
        <v>79</v>
      </c>
    </row>
    <row r="4" spans="1:5" x14ac:dyDescent="0.25">
      <c r="C4" s="207" t="s">
        <v>80</v>
      </c>
      <c r="D4" s="208"/>
      <c r="E4" s="208"/>
    </row>
    <row r="5" spans="1:5" ht="30" x14ac:dyDescent="0.25">
      <c r="B5" s="4" t="s">
        <v>46</v>
      </c>
      <c r="C5" s="14" t="s">
        <v>13</v>
      </c>
      <c r="D5" s="3" t="s">
        <v>81</v>
      </c>
      <c r="E5" s="4" t="s">
        <v>82</v>
      </c>
    </row>
    <row r="6" spans="1:5" x14ac:dyDescent="0.25">
      <c r="A6" t="s">
        <v>83</v>
      </c>
      <c r="B6" s="17">
        <f>+'Data for 2nd TU'!B58</f>
        <v>7.6100000000000001E-2</v>
      </c>
      <c r="C6" s="7">
        <f>+'Data for 2nd TU'!C12</f>
        <v>23772036.474164132</v>
      </c>
      <c r="D6" s="15">
        <f>C6/C8</f>
        <v>0.72036474164133735</v>
      </c>
      <c r="E6" s="22">
        <f>D6*E8</f>
        <v>1809051.9756838905</v>
      </c>
    </row>
    <row r="7" spans="1:5" x14ac:dyDescent="0.25">
      <c r="A7" t="s">
        <v>84</v>
      </c>
      <c r="B7" s="17">
        <f>+'Data for 2nd TU'!B58</f>
        <v>7.6100000000000001E-2</v>
      </c>
      <c r="C7" s="7">
        <f>+'Data for 2nd TU'!C13</f>
        <v>9227963.5258358661</v>
      </c>
      <c r="D7" s="15">
        <f>C7/C8</f>
        <v>0.2796352583586626</v>
      </c>
      <c r="E7" s="22">
        <f>D7*E8</f>
        <v>702248.02431610937</v>
      </c>
    </row>
    <row r="8" spans="1:5" ht="15.75" thickBot="1" x14ac:dyDescent="0.3">
      <c r="B8" s="4"/>
      <c r="C8" s="21">
        <f t="shared" ref="C8:D8" si="0">SUM(C6:C7)</f>
        <v>33000000</v>
      </c>
      <c r="D8" s="96">
        <f t="shared" si="0"/>
        <v>1</v>
      </c>
      <c r="E8" s="64">
        <f>+'Data for 2nd TU'!D75+'Data for 2nd TU'!D76</f>
        <v>2511300</v>
      </c>
    </row>
    <row r="9" spans="1:5" ht="15.75" thickTop="1" x14ac:dyDescent="0.25"/>
    <row r="10" spans="1:5" x14ac:dyDescent="0.25">
      <c r="B10" s="17"/>
      <c r="C10" s="7"/>
      <c r="D10" s="15"/>
      <c r="E10" s="22"/>
    </row>
    <row r="11" spans="1:5" x14ac:dyDescent="0.25">
      <c r="B11" s="17"/>
      <c r="C11" s="7"/>
      <c r="D11" s="15"/>
      <c r="E11" s="22"/>
    </row>
    <row r="12" spans="1:5" x14ac:dyDescent="0.25">
      <c r="B12" s="17"/>
      <c r="C12" s="7"/>
      <c r="D12" s="15"/>
      <c r="E12" s="22"/>
    </row>
    <row r="13" spans="1:5" x14ac:dyDescent="0.25">
      <c r="B13" s="17"/>
      <c r="C13" s="7"/>
      <c r="D13" s="15"/>
      <c r="E13" s="22"/>
    </row>
    <row r="14" spans="1:5" x14ac:dyDescent="0.25">
      <c r="B14" s="17"/>
      <c r="C14" s="7"/>
      <c r="D14" s="15"/>
      <c r="E14" s="22"/>
    </row>
    <row r="15" spans="1:5" x14ac:dyDescent="0.25">
      <c r="B15" s="17"/>
      <c r="C15" s="7"/>
      <c r="D15" s="15"/>
      <c r="E15" s="22"/>
    </row>
    <row r="16" spans="1:5" x14ac:dyDescent="0.25">
      <c r="B16" s="17"/>
      <c r="C16" s="7"/>
      <c r="D16" s="15"/>
      <c r="E16" s="22"/>
    </row>
    <row r="17" spans="1:5" x14ac:dyDescent="0.25">
      <c r="B17" s="17"/>
      <c r="C17" s="7"/>
      <c r="D17" s="15"/>
      <c r="E17" s="22"/>
    </row>
    <row r="18" spans="1:5" x14ac:dyDescent="0.25">
      <c r="B18" s="17"/>
      <c r="C18" s="7"/>
      <c r="D18" s="15"/>
      <c r="E18" s="22"/>
    </row>
    <row r="23" spans="1:5" x14ac:dyDescent="0.25">
      <c r="A23" s="28"/>
    </row>
    <row r="24" spans="1:5" x14ac:dyDescent="0.25">
      <c r="A24" s="7"/>
      <c r="B24" s="7"/>
    </row>
    <row r="25" spans="1:5" x14ac:dyDescent="0.25">
      <c r="A25" s="29"/>
    </row>
    <row r="26" spans="1:5" x14ac:dyDescent="0.25">
      <c r="A26" s="15"/>
    </row>
    <row r="28" spans="1:5" ht="31.15" customHeight="1" x14ac:dyDescent="0.25">
      <c r="A28" s="11"/>
      <c r="B28" s="11"/>
    </row>
    <row r="29" spans="1:5" x14ac:dyDescent="0.25">
      <c r="A29" s="25"/>
      <c r="B29" s="25"/>
    </row>
    <row r="30" spans="1:5" x14ac:dyDescent="0.25">
      <c r="A30" s="25"/>
      <c r="B30" s="25"/>
    </row>
    <row r="31" spans="1:5" x14ac:dyDescent="0.25">
      <c r="A31" s="25"/>
      <c r="B31" s="25"/>
    </row>
    <row r="32" spans="1:5" x14ac:dyDescent="0.25">
      <c r="A32" s="25"/>
      <c r="B32" s="25"/>
    </row>
    <row r="33" spans="1:2" x14ac:dyDescent="0.25">
      <c r="A33" s="25"/>
      <c r="B33" s="25"/>
    </row>
    <row r="41" spans="1:2" ht="51.75" customHeight="1" x14ac:dyDescent="0.25"/>
  </sheetData>
  <mergeCells count="1">
    <mergeCell ref="C4:E4"/>
  </mergeCells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2CD8-89CF-4E2C-861A-015CF1042CC8}">
  <sheetPr>
    <pageSetUpPr fitToPage="1"/>
  </sheetPr>
  <dimension ref="A1:N62"/>
  <sheetViews>
    <sheetView showGridLines="0" zoomScaleNormal="100" workbookViewId="0">
      <selection sqref="A1:I1"/>
    </sheetView>
  </sheetViews>
  <sheetFormatPr defaultRowHeight="15" x14ac:dyDescent="0.25"/>
  <cols>
    <col min="1" max="1" width="29.42578125" customWidth="1"/>
    <col min="2" max="2" width="15.7109375" customWidth="1"/>
    <col min="3" max="5" width="13.7109375" customWidth="1"/>
    <col min="6" max="9" width="13.28515625" customWidth="1"/>
    <col min="10" max="10" width="25.42578125" customWidth="1"/>
    <col min="11" max="11" width="37.28515625" style="98" customWidth="1"/>
    <col min="12" max="12" width="18" style="98" bestFit="1" customWidth="1"/>
    <col min="13" max="14" width="12.7109375" style="98" customWidth="1"/>
  </cols>
  <sheetData>
    <row r="1" spans="1:14" ht="28.5" x14ac:dyDescent="0.45">
      <c r="A1" s="216" t="s">
        <v>85</v>
      </c>
      <c r="B1" s="216"/>
      <c r="C1" s="216"/>
      <c r="D1" s="216"/>
      <c r="E1" s="216"/>
      <c r="F1" s="216"/>
      <c r="G1" s="216"/>
      <c r="H1" s="216"/>
      <c r="I1" s="216"/>
      <c r="J1" s="97"/>
    </row>
    <row r="2" spans="1:14" ht="26.25" x14ac:dyDescent="0.4">
      <c r="A2" s="99"/>
      <c r="B2" s="99"/>
      <c r="C2" s="99"/>
      <c r="D2" s="99"/>
      <c r="E2" s="99"/>
      <c r="F2" s="99"/>
      <c r="G2" s="99"/>
      <c r="H2" s="99"/>
      <c r="I2" s="99"/>
      <c r="J2" s="97"/>
    </row>
    <row r="3" spans="1:14" x14ac:dyDescent="0.25">
      <c r="A3" s="2" t="s">
        <v>86</v>
      </c>
    </row>
    <row r="4" spans="1:14" ht="29.65" customHeight="1" thickBot="1" x14ac:dyDescent="0.3">
      <c r="A4" s="217" t="s">
        <v>87</v>
      </c>
      <c r="B4" s="218"/>
      <c r="C4" s="219"/>
      <c r="D4" s="220" t="s">
        <v>88</v>
      </c>
      <c r="E4" s="221"/>
      <c r="F4" s="222" t="s">
        <v>89</v>
      </c>
      <c r="G4" s="223"/>
      <c r="I4" s="3"/>
    </row>
    <row r="5" spans="1:14" ht="30.75" thickBot="1" x14ac:dyDescent="0.3">
      <c r="A5" s="100" t="s">
        <v>90</v>
      </c>
      <c r="B5" s="101" t="s">
        <v>91</v>
      </c>
      <c r="C5" s="101" t="s">
        <v>92</v>
      </c>
      <c r="D5" s="102" t="s">
        <v>93</v>
      </c>
      <c r="E5" s="103" t="s">
        <v>41</v>
      </c>
      <c r="F5" s="104" t="s">
        <v>94</v>
      </c>
      <c r="G5" s="103" t="s">
        <v>41</v>
      </c>
      <c r="I5" s="3"/>
      <c r="K5" s="105"/>
      <c r="L5" s="106"/>
      <c r="M5" s="107"/>
    </row>
    <row r="6" spans="1:14" x14ac:dyDescent="0.25">
      <c r="A6" s="108" t="s">
        <v>95</v>
      </c>
      <c r="B6" s="109">
        <f>+'Data for 2nd TU'!C33</f>
        <v>23700000</v>
      </c>
      <c r="C6" s="109">
        <f>+'Data for 2nd TU'!D33</f>
        <v>23700000</v>
      </c>
      <c r="D6" s="110">
        <f>+'RPP 2nd TU'!B14</f>
        <v>9.2860759493670911E-2</v>
      </c>
      <c r="E6" s="111">
        <f>C6*D6</f>
        <v>2200800.0000000005</v>
      </c>
      <c r="F6" s="112"/>
      <c r="G6" s="112"/>
      <c r="K6" s="105"/>
      <c r="L6" s="106"/>
      <c r="M6" s="107"/>
    </row>
    <row r="7" spans="1:14" s="98" customFormat="1" x14ac:dyDescent="0.25">
      <c r="A7" s="108" t="s">
        <v>96</v>
      </c>
      <c r="B7" s="113">
        <v>0</v>
      </c>
      <c r="C7" s="113">
        <f>-'Data for 2nd TU'!C8</f>
        <v>7300000</v>
      </c>
      <c r="D7" s="114">
        <f>+'Data for 2nd TU'!B107</f>
        <v>3.3333333333333333E-2</v>
      </c>
      <c r="E7" s="115">
        <f>+C7*D7</f>
        <v>243333.33333333334</v>
      </c>
      <c r="F7" s="108"/>
      <c r="G7" s="113">
        <f>+'Data for 2nd TU'!D99</f>
        <v>250000</v>
      </c>
      <c r="I7"/>
      <c r="J7"/>
      <c r="K7" s="105"/>
      <c r="L7" s="105"/>
      <c r="N7" s="105"/>
    </row>
    <row r="8" spans="1:14" s="98" customFormat="1" ht="15.75" thickBot="1" x14ac:dyDescent="0.3">
      <c r="A8" s="108" t="s">
        <v>97</v>
      </c>
      <c r="B8" s="116">
        <f>+'Data for 2nd TU'!C34</f>
        <v>9200000</v>
      </c>
      <c r="C8" s="116">
        <f>+'Data for 2nd TU'!C34</f>
        <v>9200000</v>
      </c>
      <c r="D8" s="117">
        <f>+'Data for 2nd TU'!B107</f>
        <v>3.3333333333333333E-2</v>
      </c>
      <c r="E8" s="118">
        <f>+D8*C8</f>
        <v>306666.66666666669</v>
      </c>
      <c r="F8" s="119">
        <f>+'Data for 2nd TU'!B55</f>
        <v>5.3800000000000001E-2</v>
      </c>
      <c r="G8" s="116">
        <f>B8*F8</f>
        <v>494960</v>
      </c>
      <c r="I8"/>
      <c r="J8"/>
      <c r="N8" s="120"/>
    </row>
    <row r="9" spans="1:14" s="98" customFormat="1" ht="15.75" thickBot="1" x14ac:dyDescent="0.3">
      <c r="A9" s="108"/>
      <c r="B9" s="121">
        <f>SUM(B6:B8)</f>
        <v>32900000</v>
      </c>
      <c r="C9" s="121">
        <f>SUM(C6:C8)</f>
        <v>40200000</v>
      </c>
      <c r="D9" s="122"/>
      <c r="E9" s="123">
        <f>SUM(E6:E8)</f>
        <v>2750800.0000000005</v>
      </c>
      <c r="F9" s="124"/>
      <c r="G9" s="125">
        <f>SUM(G6:G8)</f>
        <v>744960</v>
      </c>
      <c r="I9"/>
      <c r="J9"/>
      <c r="K9" s="105"/>
      <c r="L9" s="126"/>
      <c r="M9" s="127"/>
    </row>
    <row r="10" spans="1:14" s="98" customFormat="1" ht="15.75" thickTop="1" x14ac:dyDescent="0.25">
      <c r="A10"/>
      <c r="B10" s="7"/>
      <c r="C10" s="7"/>
      <c r="D10"/>
      <c r="E10" s="7"/>
      <c r="F10"/>
      <c r="G10" s="7"/>
      <c r="I10"/>
      <c r="J10"/>
      <c r="K10" s="105"/>
      <c r="L10" s="126"/>
      <c r="M10" s="127"/>
    </row>
    <row r="11" spans="1:14" ht="15.75" thickBot="1" x14ac:dyDescent="0.3">
      <c r="A11" s="2" t="s">
        <v>98</v>
      </c>
      <c r="K11" s="105"/>
      <c r="L11" s="106"/>
      <c r="M11" s="127"/>
    </row>
    <row r="12" spans="1:14" s="98" customFormat="1" ht="16.5" thickBot="1" x14ac:dyDescent="0.3">
      <c r="A12" s="128"/>
      <c r="B12" s="129"/>
      <c r="C12" s="130"/>
      <c r="D12" s="224" t="s">
        <v>99</v>
      </c>
      <c r="E12" s="225"/>
      <c r="F12" s="225"/>
      <c r="G12" s="225"/>
      <c r="H12" s="225"/>
      <c r="I12" s="226"/>
      <c r="N12" s="120"/>
    </row>
    <row r="13" spans="1:14" s="98" customFormat="1" ht="29.65" customHeight="1" thickBot="1" x14ac:dyDescent="0.3">
      <c r="A13" s="210" t="s">
        <v>87</v>
      </c>
      <c r="B13" s="211"/>
      <c r="C13" s="212"/>
      <c r="D13" s="213" t="s">
        <v>100</v>
      </c>
      <c r="E13" s="214"/>
      <c r="F13" s="213" t="s">
        <v>101</v>
      </c>
      <c r="G13" s="215"/>
      <c r="H13" s="132" t="s">
        <v>102</v>
      </c>
      <c r="I13" s="133" t="s">
        <v>103</v>
      </c>
    </row>
    <row r="14" spans="1:14" s="98" customFormat="1" ht="48" customHeight="1" thickBot="1" x14ac:dyDescent="0.3">
      <c r="A14" s="100" t="s">
        <v>90</v>
      </c>
      <c r="B14" s="101" t="s">
        <v>104</v>
      </c>
      <c r="C14" s="101" t="s">
        <v>105</v>
      </c>
      <c r="D14" s="104" t="s">
        <v>106</v>
      </c>
      <c r="E14" s="103" t="s">
        <v>41</v>
      </c>
      <c r="F14" s="104" t="s">
        <v>107</v>
      </c>
      <c r="G14" s="103" t="s">
        <v>41</v>
      </c>
      <c r="H14" s="132" t="s">
        <v>41</v>
      </c>
      <c r="I14" s="134" t="s">
        <v>41</v>
      </c>
    </row>
    <row r="15" spans="1:14" s="98" customFormat="1" x14ac:dyDescent="0.25">
      <c r="A15" s="135" t="s">
        <v>108</v>
      </c>
      <c r="B15" s="136">
        <f>+'Data for 2nd TU'!C12</f>
        <v>23772036.474164132</v>
      </c>
      <c r="C15" s="137">
        <f>+'Data for 2nd TU'!D12</f>
        <v>23772036.474164132</v>
      </c>
      <c r="D15" s="138">
        <f>+'Data for 2nd TU'!B53</f>
        <v>3.6979073434769638E-2</v>
      </c>
      <c r="E15" s="137">
        <f>C15*D15</f>
        <v>879067.8824721378</v>
      </c>
      <c r="F15" s="138">
        <f>+'Data for 2nd TU'!B58</f>
        <v>7.6100000000000001E-2</v>
      </c>
      <c r="G15" s="137">
        <f>B15*F15</f>
        <v>1809051.9756838905</v>
      </c>
      <c r="H15" s="139">
        <f>+'RPP 2nd TU'!K14</f>
        <v>-480630.49645390082</v>
      </c>
      <c r="I15" s="140">
        <f>+E15+G15+H15</f>
        <v>2207489.3617021274</v>
      </c>
      <c r="J15" s="105"/>
      <c r="K15" s="105"/>
    </row>
    <row r="16" spans="1:14" s="98" customFormat="1" x14ac:dyDescent="0.25">
      <c r="A16" s="108" t="s">
        <v>96</v>
      </c>
      <c r="B16" s="141">
        <v>0</v>
      </c>
      <c r="C16" s="142">
        <f>-'Data for 2nd TU'!C8</f>
        <v>7300000</v>
      </c>
      <c r="D16" s="143">
        <f>+'Data for 2nd TU'!B54</f>
        <v>3.3333333333333333E-2</v>
      </c>
      <c r="E16" s="142">
        <f>C16*D16</f>
        <v>243333.33333333334</v>
      </c>
      <c r="F16" s="143"/>
      <c r="G16" s="142"/>
      <c r="H16" s="144"/>
      <c r="I16" s="145">
        <f>+E16+G16+H16</f>
        <v>243333.33333333334</v>
      </c>
      <c r="J16" s="105"/>
      <c r="K16" s="146"/>
    </row>
    <row r="17" spans="1:12" s="98" customFormat="1" ht="15.75" thickBot="1" x14ac:dyDescent="0.3">
      <c r="A17" s="108" t="s">
        <v>97</v>
      </c>
      <c r="B17" s="141">
        <f>+'Data for 2nd TU'!C13</f>
        <v>9227963.5258358661</v>
      </c>
      <c r="C17" s="142">
        <f>+'Data for 2nd TU'!C13</f>
        <v>9227963.5258358661</v>
      </c>
      <c r="D17" s="119">
        <f>+'Data for 2nd TU'!B54</f>
        <v>3.3333333333333333E-2</v>
      </c>
      <c r="E17" s="142">
        <f>C17*D17</f>
        <v>307598.78419452888</v>
      </c>
      <c r="F17" s="119"/>
      <c r="G17" s="147"/>
      <c r="H17" s="144"/>
      <c r="I17" s="145">
        <f>+E17+G17+H17</f>
        <v>307598.78419452888</v>
      </c>
      <c r="J17" s="105"/>
    </row>
    <row r="18" spans="1:12" s="98" customFormat="1" ht="45.75" thickBot="1" x14ac:dyDescent="0.3">
      <c r="A18" s="148" t="s">
        <v>109</v>
      </c>
      <c r="B18" s="141"/>
      <c r="C18" s="142"/>
      <c r="D18" s="119"/>
      <c r="E18" s="142"/>
      <c r="F18" s="119"/>
      <c r="G18" s="142">
        <f>+'Data for 2nd TU'!D64</f>
        <v>-570750</v>
      </c>
      <c r="H18" s="144"/>
      <c r="I18" s="145">
        <f>+E18+G18+H18</f>
        <v>-570750</v>
      </c>
      <c r="J18" s="105"/>
    </row>
    <row r="19" spans="1:12" s="98" customFormat="1" ht="15.75" thickBot="1" x14ac:dyDescent="0.3">
      <c r="A19" s="108"/>
      <c r="B19" s="121">
        <f>SUM(B15:B18)</f>
        <v>33000000</v>
      </c>
      <c r="C19" s="121">
        <f>SUM(C15:C18)</f>
        <v>40300000</v>
      </c>
      <c r="D19" s="124"/>
      <c r="E19" s="121">
        <f>SUM(E15:E18)</f>
        <v>1430000</v>
      </c>
      <c r="F19" s="124"/>
      <c r="G19" s="121">
        <f>SUM(G15:G18)</f>
        <v>1238301.9756838905</v>
      </c>
      <c r="H19" s="149">
        <f>SUM(H15:H18)</f>
        <v>-480630.49645390082</v>
      </c>
      <c r="I19" s="123">
        <f>SUM(I15:I18)</f>
        <v>2187671.4792299899</v>
      </c>
      <c r="J19" s="105"/>
      <c r="K19" s="105"/>
      <c r="L19" s="105"/>
    </row>
    <row r="20" spans="1:12" s="98" customFormat="1" ht="15.75" thickTop="1" x14ac:dyDescent="0.25">
      <c r="A20"/>
      <c r="B20"/>
      <c r="C20"/>
      <c r="D20"/>
      <c r="E20" s="150"/>
      <c r="F20" s="151"/>
      <c r="G20"/>
      <c r="H20"/>
      <c r="I20" s="152"/>
      <c r="J20" s="7" t="s">
        <v>110</v>
      </c>
      <c r="K20" s="105"/>
    </row>
    <row r="21" spans="1:12" s="98" customFormat="1" x14ac:dyDescent="0.25">
      <c r="A21" s="2" t="s">
        <v>111</v>
      </c>
      <c r="B21"/>
      <c r="C21"/>
      <c r="D21"/>
      <c r="E21"/>
      <c r="F21"/>
      <c r="G21"/>
      <c r="H21"/>
      <c r="I21"/>
      <c r="J21"/>
      <c r="K21" s="106"/>
    </row>
    <row r="22" spans="1:12" s="98" customFormat="1" ht="16.149999999999999" customHeight="1" thickBot="1" x14ac:dyDescent="0.3">
      <c r="A22" s="217" t="s">
        <v>87</v>
      </c>
      <c r="B22" s="218"/>
      <c r="C22" s="219"/>
      <c r="D22" s="229" t="s">
        <v>112</v>
      </c>
      <c r="E22" s="230"/>
      <c r="F22" s="83"/>
      <c r="G22"/>
      <c r="H22"/>
      <c r="I22"/>
      <c r="J22"/>
      <c r="K22" s="120"/>
    </row>
    <row r="23" spans="1:12" s="98" customFormat="1" ht="45" customHeight="1" thickBot="1" x14ac:dyDescent="0.3">
      <c r="A23" s="100" t="s">
        <v>90</v>
      </c>
      <c r="B23" s="101" t="s">
        <v>104</v>
      </c>
      <c r="C23" s="101" t="s">
        <v>105</v>
      </c>
      <c r="D23" s="104" t="s">
        <v>107</v>
      </c>
      <c r="E23" s="153" t="s">
        <v>41</v>
      </c>
      <c r="F23"/>
      <c r="I23"/>
      <c r="J23"/>
    </row>
    <row r="24" spans="1:12" s="98" customFormat="1" x14ac:dyDescent="0.25">
      <c r="A24" s="108" t="s">
        <v>96</v>
      </c>
      <c r="B24" s="141"/>
      <c r="C24" s="142"/>
      <c r="D24" s="143"/>
      <c r="E24" s="142">
        <f>+'Data for 2nd TU'!D99</f>
        <v>250000</v>
      </c>
      <c r="F24" s="83"/>
      <c r="I24"/>
      <c r="J24"/>
    </row>
    <row r="25" spans="1:12" s="98" customFormat="1" x14ac:dyDescent="0.25">
      <c r="A25" s="108" t="s">
        <v>97</v>
      </c>
      <c r="B25" s="141">
        <f>B17</f>
        <v>9227963.5258358661</v>
      </c>
      <c r="C25" s="142"/>
      <c r="D25" s="154">
        <f>+'Data for 2nd TU'!B58</f>
        <v>7.6100000000000001E-2</v>
      </c>
      <c r="E25" s="142">
        <f>+D25*B25</f>
        <v>702248.02431610937</v>
      </c>
      <c r="F25" s="83"/>
      <c r="I25"/>
      <c r="J25"/>
    </row>
    <row r="26" spans="1:12" s="98" customFormat="1" ht="15.75" thickBot="1" x14ac:dyDescent="0.3">
      <c r="A26" s="108"/>
      <c r="B26" s="116">
        <f>+B24+B25</f>
        <v>9227963.5258358661</v>
      </c>
      <c r="C26" s="116">
        <f>+C24+C25</f>
        <v>0</v>
      </c>
      <c r="D26" s="155"/>
      <c r="E26" s="156">
        <f>SUM(E24:E25)</f>
        <v>952248.02431610937</v>
      </c>
      <c r="F26" s="83"/>
      <c r="H26" s="105"/>
      <c r="I26"/>
      <c r="J26"/>
      <c r="K26" s="120"/>
    </row>
    <row r="27" spans="1:12" s="98" customFormat="1" x14ac:dyDescent="0.25">
      <c r="A27"/>
      <c r="B27" s="7"/>
      <c r="C27" s="7"/>
      <c r="D27" s="17"/>
      <c r="E27" s="7"/>
      <c r="F27"/>
      <c r="H27" s="105"/>
      <c r="I27"/>
      <c r="J27"/>
      <c r="K27" s="120"/>
    </row>
    <row r="28" spans="1:12" s="98" customFormat="1" ht="15.75" thickBot="1" x14ac:dyDescent="0.3">
      <c r="A28" s="2" t="s">
        <v>113</v>
      </c>
      <c r="B28" s="17"/>
      <c r="C28" s="7"/>
      <c r="D28"/>
      <c r="E28"/>
      <c r="F28"/>
      <c r="G28"/>
      <c r="H28" s="7" t="s">
        <v>110</v>
      </c>
      <c r="I28"/>
      <c r="J28"/>
    </row>
    <row r="29" spans="1:12" s="98" customFormat="1" ht="15" customHeight="1" thickBot="1" x14ac:dyDescent="0.3">
      <c r="A29" s="82"/>
      <c r="B29" s="157"/>
      <c r="C29" s="231" t="s">
        <v>114</v>
      </c>
      <c r="D29" s="225"/>
      <c r="E29" s="225"/>
      <c r="F29" s="225"/>
      <c r="G29" s="225"/>
      <c r="H29" s="225"/>
      <c r="I29" s="226"/>
    </row>
    <row r="30" spans="1:12" s="98" customFormat="1" ht="15.75" thickBot="1" x14ac:dyDescent="0.3">
      <c r="A30" s="232"/>
      <c r="B30" s="233"/>
      <c r="C30" s="158"/>
      <c r="D30" s="3"/>
      <c r="F30" s="238"/>
      <c r="G30" s="239"/>
      <c r="H30" s="239"/>
      <c r="I30" s="240"/>
    </row>
    <row r="31" spans="1:12" s="98" customFormat="1" ht="15" customHeight="1" thickBot="1" x14ac:dyDescent="0.3">
      <c r="A31" s="234"/>
      <c r="B31" s="235"/>
      <c r="C31" s="241" t="s">
        <v>115</v>
      </c>
      <c r="D31" s="242"/>
      <c r="E31" s="183">
        <f>+I19-E9</f>
        <v>-563128.52077001054</v>
      </c>
      <c r="F31" s="243" t="s">
        <v>116</v>
      </c>
      <c r="G31" s="244"/>
      <c r="H31" s="244"/>
      <c r="I31" s="245"/>
      <c r="J31" s="105"/>
    </row>
    <row r="32" spans="1:12" s="98" customFormat="1" ht="16.5" thickTop="1" thickBot="1" x14ac:dyDescent="0.3">
      <c r="A32" s="236"/>
      <c r="B32" s="237"/>
      <c r="C32" s="184"/>
      <c r="D32" s="185"/>
      <c r="E32" s="186"/>
      <c r="F32" s="246"/>
      <c r="G32" s="247"/>
      <c r="H32" s="247"/>
      <c r="I32" s="248"/>
    </row>
    <row r="33" spans="1:10" s="98" customFormat="1" ht="16.5" thickBot="1" x14ac:dyDescent="0.3">
      <c r="A33" s="100" t="s">
        <v>90</v>
      </c>
      <c r="B33" s="161" t="s">
        <v>117</v>
      </c>
      <c r="C33" s="187" t="s">
        <v>118</v>
      </c>
      <c r="D33" s="188" t="s">
        <v>119</v>
      </c>
      <c r="E33" s="189" t="s">
        <v>120</v>
      </c>
      <c r="F33" s="249" t="s">
        <v>121</v>
      </c>
      <c r="G33" s="250"/>
      <c r="H33" s="250"/>
      <c r="I33" s="251"/>
    </row>
    <row r="34" spans="1:10" s="98" customFormat="1" x14ac:dyDescent="0.25">
      <c r="A34" s="164" t="s">
        <v>95</v>
      </c>
      <c r="B34" s="165" t="s">
        <v>122</v>
      </c>
      <c r="C34" s="190">
        <f>+C15</f>
        <v>23772036.474164132</v>
      </c>
      <c r="D34" s="191">
        <f>((+I15)/C15)-D6</f>
        <v>0</v>
      </c>
      <c r="E34" s="192">
        <f>+C34*D34</f>
        <v>0</v>
      </c>
      <c r="F34" s="244" t="s">
        <v>123</v>
      </c>
      <c r="G34" s="244"/>
      <c r="H34" s="244"/>
      <c r="I34" s="245"/>
    </row>
    <row r="35" spans="1:10" s="98" customFormat="1" x14ac:dyDescent="0.25">
      <c r="A35" s="164" t="s">
        <v>95</v>
      </c>
      <c r="B35" s="165" t="s">
        <v>124</v>
      </c>
      <c r="C35" s="193">
        <f>+C15-C6</f>
        <v>72036.474164132029</v>
      </c>
      <c r="D35" s="194">
        <f>D6</f>
        <v>9.2860759493670911E-2</v>
      </c>
      <c r="E35" s="195">
        <f>+C35*D35</f>
        <v>6689.3617021275022</v>
      </c>
      <c r="F35" s="244" t="s">
        <v>125</v>
      </c>
      <c r="G35" s="244"/>
      <c r="H35" s="244"/>
      <c r="I35" s="245"/>
    </row>
    <row r="36" spans="1:10" s="98" customFormat="1" x14ac:dyDescent="0.25">
      <c r="A36" s="167" t="s">
        <v>97</v>
      </c>
      <c r="B36" s="165" t="s">
        <v>126</v>
      </c>
      <c r="C36" s="193">
        <f>+C16+C17</f>
        <v>16527963.525835866</v>
      </c>
      <c r="D36" s="196">
        <f>+D16-D7</f>
        <v>0</v>
      </c>
      <c r="E36" s="195">
        <f>+C36*D36</f>
        <v>0</v>
      </c>
      <c r="F36" s="244" t="s">
        <v>123</v>
      </c>
      <c r="G36" s="244"/>
      <c r="H36" s="244"/>
      <c r="I36" s="245"/>
      <c r="J36"/>
    </row>
    <row r="37" spans="1:10" s="98" customFormat="1" x14ac:dyDescent="0.25">
      <c r="A37" s="164" t="s">
        <v>97</v>
      </c>
      <c r="B37" s="165" t="s">
        <v>124</v>
      </c>
      <c r="C37" s="197">
        <f>(+C17+C16)-(C8+C7)</f>
        <v>27963.525835866109</v>
      </c>
      <c r="D37" s="198">
        <f>+D7</f>
        <v>3.3333333333333333E-2</v>
      </c>
      <c r="E37" s="199">
        <f>+C37*D37</f>
        <v>932.11752786220359</v>
      </c>
      <c r="F37" s="244" t="s">
        <v>125</v>
      </c>
      <c r="G37" s="244"/>
      <c r="H37" s="244"/>
      <c r="I37" s="245"/>
      <c r="J37"/>
    </row>
    <row r="38" spans="1:10" s="98" customFormat="1" ht="62.25" customHeight="1" thickBot="1" x14ac:dyDescent="0.3">
      <c r="A38" s="148" t="s">
        <v>127</v>
      </c>
      <c r="B38" s="165"/>
      <c r="C38" s="200"/>
      <c r="D38" s="201"/>
      <c r="E38" s="202">
        <f>+I18</f>
        <v>-570750</v>
      </c>
      <c r="F38" s="227" t="s">
        <v>128</v>
      </c>
      <c r="G38" s="227"/>
      <c r="H38" s="227"/>
      <c r="I38" s="228"/>
      <c r="J38"/>
    </row>
    <row r="39" spans="1:10" s="98" customFormat="1" ht="15.75" thickBot="1" x14ac:dyDescent="0.3">
      <c r="A39" s="148"/>
      <c r="B39" s="108"/>
      <c r="C39" s="203" t="s">
        <v>129</v>
      </c>
      <c r="D39" s="204"/>
      <c r="E39" s="205">
        <f>SUM(E34:E38)</f>
        <v>-563128.52077001031</v>
      </c>
      <c r="F39" s="243" t="str">
        <f>IF(E39&lt;0,"To be paid back to all customers","To be recovered from all customers")</f>
        <v>To be paid back to all customers</v>
      </c>
      <c r="G39" s="244"/>
      <c r="H39" s="244"/>
      <c r="I39" s="245"/>
    </row>
    <row r="40" spans="1:10" s="98" customFormat="1" ht="15.75" thickTop="1" x14ac:dyDescent="0.25">
      <c r="B40"/>
      <c r="C40" s="206"/>
      <c r="D40" s="26"/>
      <c r="E40" s="45"/>
      <c r="F40" s="206"/>
      <c r="G40" s="206"/>
      <c r="H40" s="206"/>
      <c r="I40" s="206"/>
    </row>
    <row r="41" spans="1:10" s="98" customFormat="1" ht="15.75" thickBot="1" x14ac:dyDescent="0.3">
      <c r="A41" s="2" t="s">
        <v>130</v>
      </c>
      <c r="B41" s="7"/>
      <c r="C41" s="45"/>
      <c r="D41" s="26"/>
      <c r="E41" s="26"/>
      <c r="F41" s="26"/>
      <c r="G41" s="26"/>
      <c r="H41" s="26"/>
      <c r="I41" s="185"/>
      <c r="J41"/>
    </row>
    <row r="42" spans="1:10" s="98" customFormat="1" ht="16.5" thickBot="1" x14ac:dyDescent="0.3">
      <c r="A42" s="82"/>
      <c r="B42" s="151"/>
      <c r="C42" s="271" t="s">
        <v>131</v>
      </c>
      <c r="D42" s="272"/>
      <c r="E42" s="272"/>
      <c r="F42" s="272" t="s">
        <v>121</v>
      </c>
      <c r="G42" s="272"/>
      <c r="H42" s="272"/>
      <c r="I42" s="273"/>
    </row>
    <row r="43" spans="1:10" s="98" customFormat="1" ht="15.75" thickBot="1" x14ac:dyDescent="0.3">
      <c r="A43" s="232"/>
      <c r="B43" s="233"/>
      <c r="C43" s="159"/>
      <c r="D43" s="3"/>
      <c r="E43"/>
      <c r="F43" s="252"/>
      <c r="G43" s="253"/>
      <c r="H43" s="253"/>
      <c r="I43" s="254"/>
    </row>
    <row r="44" spans="1:10" s="98" customFormat="1" ht="15" customHeight="1" thickBot="1" x14ac:dyDescent="0.3">
      <c r="A44" s="234"/>
      <c r="B44" s="235"/>
      <c r="C44" s="255" t="s">
        <v>115</v>
      </c>
      <c r="D44" s="256"/>
      <c r="E44" s="169">
        <f>+E26-G9</f>
        <v>207288.02431610937</v>
      </c>
      <c r="F44" s="257" t="s">
        <v>116</v>
      </c>
      <c r="G44" s="258"/>
      <c r="H44" s="258"/>
      <c r="I44" s="259"/>
    </row>
    <row r="45" spans="1:10" s="98" customFormat="1" ht="16.5" thickTop="1" thickBot="1" x14ac:dyDescent="0.3">
      <c r="A45" s="236"/>
      <c r="B45" s="237"/>
      <c r="C45" s="160"/>
      <c r="E45" s="105"/>
      <c r="F45" s="252"/>
      <c r="G45" s="253"/>
      <c r="H45" s="253"/>
      <c r="I45" s="254"/>
    </row>
    <row r="46" spans="1:10" s="98" customFormat="1" ht="16.5" thickBot="1" x14ac:dyDescent="0.3">
      <c r="A46" s="100" t="s">
        <v>90</v>
      </c>
      <c r="B46" s="161" t="s">
        <v>117</v>
      </c>
      <c r="C46" s="162" t="s">
        <v>118</v>
      </c>
      <c r="D46" s="163" t="s">
        <v>119</v>
      </c>
      <c r="E46" s="131" t="s">
        <v>120</v>
      </c>
      <c r="F46" s="260" t="s">
        <v>121</v>
      </c>
      <c r="G46" s="261"/>
      <c r="H46" s="261"/>
      <c r="I46" s="262"/>
    </row>
    <row r="47" spans="1:10" s="98" customFormat="1" ht="30.75" customHeight="1" x14ac:dyDescent="0.25">
      <c r="A47" s="170" t="s">
        <v>97</v>
      </c>
      <c r="B47" s="171" t="s">
        <v>122</v>
      </c>
      <c r="C47" s="172">
        <f>+B25</f>
        <v>9227963.5258358661</v>
      </c>
      <c r="D47" s="173">
        <f>+D25-F8</f>
        <v>2.23E-2</v>
      </c>
      <c r="E47" s="166">
        <f>+D47*C47</f>
        <v>205783.58662613982</v>
      </c>
      <c r="F47" s="263" t="s">
        <v>132</v>
      </c>
      <c r="G47" s="263"/>
      <c r="H47" s="263"/>
      <c r="I47" s="264"/>
      <c r="J47" s="174"/>
    </row>
    <row r="48" spans="1:10" s="98" customFormat="1" ht="15.75" thickBot="1" x14ac:dyDescent="0.3">
      <c r="A48" s="170" t="s">
        <v>97</v>
      </c>
      <c r="B48" s="171" t="s">
        <v>124</v>
      </c>
      <c r="C48" s="175">
        <f>+B8-B25</f>
        <v>-27963.525835866109</v>
      </c>
      <c r="D48" s="176">
        <f>-F8</f>
        <v>-5.3800000000000001E-2</v>
      </c>
      <c r="E48" s="177">
        <f>+C48*D48</f>
        <v>1504.4376899695967</v>
      </c>
      <c r="F48" s="265" t="s">
        <v>125</v>
      </c>
      <c r="G48" s="266"/>
      <c r="H48" s="266"/>
      <c r="I48" s="267"/>
      <c r="J48" s="174"/>
    </row>
    <row r="49" spans="1:11" s="98" customFormat="1" ht="15.75" thickBot="1" x14ac:dyDescent="0.3">
      <c r="A49" s="148"/>
      <c r="B49" s="108"/>
      <c r="C49" s="168" t="s">
        <v>129</v>
      </c>
      <c r="D49" s="168"/>
      <c r="E49" s="178">
        <f>SUM(E47:E48)</f>
        <v>207288.02431610943</v>
      </c>
      <c r="F49" s="268" t="str">
        <f>IF(E49&lt;0,"To be paid back to non-RPP customers only","To be recovered from non-RPP customers only")</f>
        <v>To be recovered from non-RPP customers only</v>
      </c>
      <c r="G49" s="269"/>
      <c r="H49" s="269"/>
      <c r="I49" s="270"/>
    </row>
    <row r="50" spans="1:11" s="98" customFormat="1" ht="15.75" thickTop="1" x14ac:dyDescent="0.25">
      <c r="A50"/>
      <c r="B50"/>
      <c r="C50"/>
    </row>
    <row r="60" spans="1:11" x14ac:dyDescent="0.25">
      <c r="I60" s="179"/>
      <c r="J60" s="180"/>
      <c r="K60" s="120"/>
    </row>
    <row r="61" spans="1:11" x14ac:dyDescent="0.25">
      <c r="I61" s="179"/>
      <c r="J61" s="180"/>
      <c r="K61" s="120"/>
    </row>
    <row r="62" spans="1:11" x14ac:dyDescent="0.25">
      <c r="I62" s="34"/>
      <c r="J62" s="28"/>
      <c r="K62" s="120"/>
    </row>
  </sheetData>
  <mergeCells count="33">
    <mergeCell ref="F46:I46"/>
    <mergeCell ref="F47:I47"/>
    <mergeCell ref="F48:I48"/>
    <mergeCell ref="F49:I49"/>
    <mergeCell ref="F39:I39"/>
    <mergeCell ref="C42:I42"/>
    <mergeCell ref="A43:B45"/>
    <mergeCell ref="F43:I43"/>
    <mergeCell ref="C44:D44"/>
    <mergeCell ref="F44:I44"/>
    <mergeCell ref="F45:I45"/>
    <mergeCell ref="F38:I38"/>
    <mergeCell ref="A22:C22"/>
    <mergeCell ref="D22:E22"/>
    <mergeCell ref="C29:I29"/>
    <mergeCell ref="A30:B32"/>
    <mergeCell ref="F30:I30"/>
    <mergeCell ref="C31:D31"/>
    <mergeCell ref="F31:I31"/>
    <mergeCell ref="F32:I32"/>
    <mergeCell ref="F33:I33"/>
    <mergeCell ref="F34:I34"/>
    <mergeCell ref="F35:I35"/>
    <mergeCell ref="F36:I36"/>
    <mergeCell ref="F37:I37"/>
    <mergeCell ref="A13:C13"/>
    <mergeCell ref="D13:E13"/>
    <mergeCell ref="F13:G13"/>
    <mergeCell ref="A1:I1"/>
    <mergeCell ref="A4:C4"/>
    <mergeCell ref="D4:E4"/>
    <mergeCell ref="F4:G4"/>
    <mergeCell ref="D12:I12"/>
  </mergeCells>
  <pageMargins left="0.7" right="0.7" top="0.75" bottom="0.75" header="0.3" footer="0.3"/>
  <pageSetup paperSize="17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 for 2nd TU</vt:lpstr>
      <vt:lpstr>RPP 2nd TU</vt:lpstr>
      <vt:lpstr>RPP vs non-RPP TU JE</vt:lpstr>
      <vt:lpstr>Final RSVA Balances</vt:lpstr>
      <vt:lpstr>'Data for 2nd TU'!Print_Area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 Vloet, Brian</dc:creator>
  <cp:lastModifiedBy>Vander Vloet, Brian</cp:lastModifiedBy>
  <dcterms:created xsi:type="dcterms:W3CDTF">2024-12-03T21:01:02Z</dcterms:created>
  <dcterms:modified xsi:type="dcterms:W3CDTF">2024-12-06T19:35:55Z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24.1</vt:lpwstr>
  </property>
</Properties>
</file>