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202300"/>
  <mc:AlternateContent xmlns:mc="http://schemas.openxmlformats.org/markup-compatibility/2006">
    <mc:Choice Requires="x15">
      <x15ac:absPath xmlns:x15ac="http://schemas.microsoft.com/office/spreadsheetml/2010/11/ac" url="https://poweradvisoryllc-my.sharepoint.com/personal/ablair_poweradvisoryllc_com/Documents/Documents/NOWI/Settlement/Final Models/Updates/"/>
    </mc:Choice>
  </mc:AlternateContent>
  <xr:revisionPtr revIDLastSave="6" documentId="8_{0CD66166-B2B7-4606-B377-1781D76A9857}" xr6:coauthVersionLast="47" xr6:coauthVersionMax="47" xr10:uidLastSave="{156C2CD5-DD04-4829-B877-A0ECC3B6E669}"/>
  <bookViews>
    <workbookView xWindow="-28920" yWindow="1650" windowWidth="29040" windowHeight="15720" tabRatio="828" firstSheet="14" activeTab="21" xr2:uid="{084EFAF2-1205-4329-B9F0-17438394F0BE}"/>
  </bookViews>
  <sheets>
    <sheet name="Summary Results Tables" sheetId="34" r:id="rId1"/>
    <sheet name="MonthlyData" sheetId="1" r:id="rId2"/>
    <sheet name="Economic Data" sheetId="13" r:id="rId3"/>
    <sheet name="Weather" sheetId="2" r:id="rId4"/>
    <sheet name="CDM" sheetId="10" r:id="rId5"/>
    <sheet name="Res Predicted" sheetId="3" r:id="rId6"/>
    <sheet name="GS &lt; 50 Predicted" sheetId="4" r:id="rId7"/>
    <sheet name="GS &gt; 50 Predicted" sheetId="5" r:id="rId8"/>
    <sheet name="EV Data" sheetId="22" r:id="rId9"/>
    <sheet name="EV Forecast" sheetId="23" r:id="rId10"/>
    <sheet name="Heating" sheetId="24" r:id="rId11"/>
    <sheet name="Total Additional Loads" sheetId="26" r:id="rId12"/>
    <sheet name="Model Summary" sheetId="18" r:id="rId13"/>
    <sheet name="Res Normalized" sheetId="19" r:id="rId14"/>
    <sheet name="GS &lt; 50 Normalized" sheetId="20" r:id="rId15"/>
    <sheet name="GS &gt; 50 Normalized" sheetId="31" r:id="rId16"/>
    <sheet name="kW Forecast" sheetId="6" r:id="rId17"/>
    <sheet name="Customer Count" sheetId="7" r:id="rId18"/>
    <sheet name="Normalized Annual Summary" sheetId="8" r:id="rId19"/>
    <sheet name="CDM Framework" sheetId="11" r:id="rId20"/>
    <sheet name="CDM Adjustment" sheetId="12" r:id="rId21"/>
    <sheet name="Summary" sheetId="9" r:id="rId22"/>
    <sheet name="Res Normalized WN" sheetId="27" r:id="rId23"/>
    <sheet name="GS &lt; 50 Normalized WN" sheetId="28" r:id="rId24"/>
    <sheet name="GS &gt; 50 Normalized WN" sheetId="29" r:id="rId25"/>
    <sheet name="Normalized Annual Summary WN" sheetId="30" r:id="rId26"/>
    <sheet name="Summary WN" sheetId="33" r:id="rId27"/>
  </sheets>
  <definedNames>
    <definedName name="_Fill" localSheetId="2" hidden="1">#REF!</definedName>
    <definedName name="_Fill" hidden="1">#REF!</definedName>
    <definedName name="_Order1" hidden="1">255</definedName>
    <definedName name="_Order2" hidden="1">0</definedName>
    <definedName name="_Sort" localSheetId="2" hidden="1">#REF!</definedName>
    <definedName name="_Sort" hidden="1">#REF!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4" l="1"/>
  <c r="F22" i="24"/>
  <c r="G11" i="24"/>
  <c r="F11" i="24"/>
  <c r="D58" i="7" l="1"/>
  <c r="C58" i="7" s="1"/>
  <c r="G58" i="7"/>
  <c r="K58" i="7"/>
  <c r="G47" i="7"/>
  <c r="T58" i="7"/>
  <c r="S58" i="7" s="1"/>
  <c r="P59" i="7"/>
  <c r="P60" i="7" s="1"/>
  <c r="P61" i="7" s="1"/>
  <c r="P62" i="7" s="1"/>
  <c r="P63" i="7" s="1"/>
  <c r="P64" i="7" s="1"/>
  <c r="P65" i="7" s="1"/>
  <c r="P66" i="7" s="1"/>
  <c r="P67" i="7" s="1"/>
  <c r="P68" i="7" s="1"/>
  <c r="P69" i="7" s="1"/>
  <c r="P70" i="7" s="1"/>
  <c r="P71" i="7" s="1"/>
  <c r="O59" i="7"/>
  <c r="O60" i="7" s="1"/>
  <c r="P58" i="7"/>
  <c r="O58" i="7"/>
  <c r="L58" i="7"/>
  <c r="L59" i="7" s="1"/>
  <c r="L60" i="7" s="1"/>
  <c r="L61" i="7" s="1"/>
  <c r="L62" i="7" s="1"/>
  <c r="L63" i="7" s="1"/>
  <c r="L64" i="7" s="1"/>
  <c r="L65" i="7" s="1"/>
  <c r="L66" i="7" s="1"/>
  <c r="L67" i="7" s="1"/>
  <c r="L68" i="7" s="1"/>
  <c r="L69" i="7" s="1"/>
  <c r="L70" i="7" s="1"/>
  <c r="L71" i="7" s="1"/>
  <c r="T25" i="7"/>
  <c r="T26" i="7"/>
  <c r="T27" i="7"/>
  <c r="T28" i="7"/>
  <c r="T29" i="7"/>
  <c r="T30" i="7"/>
  <c r="T31" i="7"/>
  <c r="T32" i="7"/>
  <c r="T33" i="7"/>
  <c r="T34" i="7"/>
  <c r="T35" i="7"/>
  <c r="T36" i="7"/>
  <c r="P25" i="7"/>
  <c r="P26" i="7"/>
  <c r="P27" i="7"/>
  <c r="P28" i="7"/>
  <c r="P29" i="7"/>
  <c r="P30" i="7"/>
  <c r="P31" i="7"/>
  <c r="P32" i="7"/>
  <c r="P33" i="7"/>
  <c r="P34" i="7"/>
  <c r="P35" i="7"/>
  <c r="P36" i="7"/>
  <c r="L25" i="7"/>
  <c r="L26" i="7"/>
  <c r="L27" i="7"/>
  <c r="L28" i="7"/>
  <c r="L29" i="7"/>
  <c r="L30" i="7"/>
  <c r="L31" i="7"/>
  <c r="L32" i="7"/>
  <c r="L33" i="7"/>
  <c r="L34" i="7"/>
  <c r="L35" i="7"/>
  <c r="L36" i="7"/>
  <c r="H25" i="7"/>
  <c r="H26" i="7"/>
  <c r="H27" i="7"/>
  <c r="H28" i="7"/>
  <c r="H29" i="7"/>
  <c r="H30" i="7"/>
  <c r="H31" i="7"/>
  <c r="H32" i="7"/>
  <c r="H33" i="7"/>
  <c r="H34" i="7"/>
  <c r="H35" i="7"/>
  <c r="H36" i="7"/>
  <c r="D25" i="7"/>
  <c r="D26" i="7"/>
  <c r="D27" i="7"/>
  <c r="D28" i="7"/>
  <c r="D29" i="7"/>
  <c r="D30" i="7"/>
  <c r="D31" i="7"/>
  <c r="D32" i="7"/>
  <c r="D33" i="7"/>
  <c r="D34" i="7"/>
  <c r="D35" i="7"/>
  <c r="D36" i="7"/>
  <c r="K24" i="7"/>
  <c r="O24" i="7"/>
  <c r="S24" i="7"/>
  <c r="K25" i="7"/>
  <c r="O25" i="7"/>
  <c r="S25" i="7"/>
  <c r="K26" i="7"/>
  <c r="O26" i="7"/>
  <c r="S26" i="7"/>
  <c r="K27" i="7"/>
  <c r="O27" i="7"/>
  <c r="S27" i="7"/>
  <c r="K28" i="7"/>
  <c r="O28" i="7"/>
  <c r="S28" i="7"/>
  <c r="K29" i="7"/>
  <c r="O29" i="7"/>
  <c r="S29" i="7"/>
  <c r="K30" i="7"/>
  <c r="O30" i="7"/>
  <c r="S30" i="7"/>
  <c r="K31" i="7"/>
  <c r="O31" i="7"/>
  <c r="S31" i="7"/>
  <c r="K32" i="7"/>
  <c r="O32" i="7"/>
  <c r="S32" i="7"/>
  <c r="K33" i="7"/>
  <c r="O33" i="7"/>
  <c r="S33" i="7"/>
  <c r="K34" i="7"/>
  <c r="O34" i="7"/>
  <c r="S34" i="7"/>
  <c r="K35" i="7"/>
  <c r="O35" i="7"/>
  <c r="S35" i="7"/>
  <c r="G24" i="7"/>
  <c r="G25" i="7"/>
  <c r="G26" i="7"/>
  <c r="G27" i="7"/>
  <c r="G28" i="7"/>
  <c r="G29" i="7"/>
  <c r="G30" i="7"/>
  <c r="G31" i="7"/>
  <c r="G32" i="7"/>
  <c r="G33" i="7"/>
  <c r="G34" i="7"/>
  <c r="G35" i="7"/>
  <c r="C24" i="7"/>
  <c r="C25" i="7"/>
  <c r="C26" i="7"/>
  <c r="C27" i="7"/>
  <c r="C28" i="7"/>
  <c r="C29" i="7"/>
  <c r="C30" i="7"/>
  <c r="C31" i="7"/>
  <c r="C32" i="7"/>
  <c r="C33" i="7"/>
  <c r="C34" i="7"/>
  <c r="C35" i="7"/>
  <c r="D14" i="18"/>
  <c r="J14" i="18"/>
  <c r="P14" i="18"/>
  <c r="F27" i="12"/>
  <c r="F28" i="12"/>
  <c r="D59" i="7" l="1"/>
  <c r="D60" i="7" s="1"/>
  <c r="D61" i="7" s="1"/>
  <c r="D62" i="7" s="1"/>
  <c r="D63" i="7" s="1"/>
  <c r="D64" i="7" s="1"/>
  <c r="D65" i="7" s="1"/>
  <c r="D66" i="7" s="1"/>
  <c r="D67" i="7" s="1"/>
  <c r="D68" i="7" s="1"/>
  <c r="D69" i="7" s="1"/>
  <c r="D70" i="7" s="1"/>
  <c r="D71" i="7" s="1"/>
  <c r="T59" i="7"/>
  <c r="T60" i="7" s="1"/>
  <c r="T61" i="7" s="1"/>
  <c r="T62" i="7" s="1"/>
  <c r="T63" i="7" s="1"/>
  <c r="T64" i="7" s="1"/>
  <c r="T65" i="7" s="1"/>
  <c r="T66" i="7" s="1"/>
  <c r="T67" i="7" s="1"/>
  <c r="T68" i="7" s="1"/>
  <c r="T69" i="7" s="1"/>
  <c r="T70" i="7" s="1"/>
  <c r="T71" i="7" s="1"/>
  <c r="O61" i="7"/>
  <c r="O62" i="7" s="1"/>
  <c r="O63" i="7" s="1"/>
  <c r="O64" i="7" s="1"/>
  <c r="O65" i="7" s="1"/>
  <c r="O66" i="7" s="1"/>
  <c r="O67" i="7" s="1"/>
  <c r="O68" i="7" s="1"/>
  <c r="O69" i="7" s="1"/>
  <c r="O70" i="7" s="1"/>
  <c r="O71" i="7" s="1"/>
  <c r="K59" i="7"/>
  <c r="K60" i="7" s="1"/>
  <c r="D52" i="7"/>
  <c r="D53" i="7"/>
  <c r="D54" i="7"/>
  <c r="D55" i="7"/>
  <c r="D56" i="7"/>
  <c r="D57" i="7"/>
  <c r="L49" i="7"/>
  <c r="L50" i="7"/>
  <c r="L51" i="7"/>
  <c r="L52" i="7"/>
  <c r="L54" i="7"/>
  <c r="S48" i="7"/>
  <c r="S49" i="7"/>
  <c r="S50" i="7"/>
  <c r="S51" i="7"/>
  <c r="S52" i="7"/>
  <c r="S53" i="7"/>
  <c r="S54" i="7"/>
  <c r="S55" i="7"/>
  <c r="S56" i="7"/>
  <c r="S57" i="7"/>
  <c r="O47" i="7"/>
  <c r="O48" i="7"/>
  <c r="O49" i="7"/>
  <c r="O50" i="7"/>
  <c r="O51" i="7"/>
  <c r="O52" i="7"/>
  <c r="O53" i="7"/>
  <c r="O54" i="7"/>
  <c r="O55" i="7"/>
  <c r="O56" i="7"/>
  <c r="O57" i="7"/>
  <c r="K48" i="7"/>
  <c r="K49" i="7"/>
  <c r="K50" i="7"/>
  <c r="K51" i="7"/>
  <c r="K52" i="7"/>
  <c r="K53" i="7"/>
  <c r="L53" i="7" s="1"/>
  <c r="K54" i="7"/>
  <c r="K55" i="7"/>
  <c r="L55" i="7" s="1"/>
  <c r="K56" i="7"/>
  <c r="K57" i="7"/>
  <c r="L57" i="7" s="1"/>
  <c r="G48" i="7"/>
  <c r="G49" i="7"/>
  <c r="H49" i="7" s="1"/>
  <c r="G50" i="7"/>
  <c r="H50" i="7" s="1"/>
  <c r="G51" i="7"/>
  <c r="H51" i="7" s="1"/>
  <c r="G52" i="7"/>
  <c r="H52" i="7" s="1"/>
  <c r="G53" i="7"/>
  <c r="H53" i="7" s="1"/>
  <c r="G54" i="7"/>
  <c r="H54" i="7" s="1"/>
  <c r="G55" i="7"/>
  <c r="H55" i="7" s="1"/>
  <c r="G56" i="7"/>
  <c r="H56" i="7" s="1"/>
  <c r="G57" i="7"/>
  <c r="H57" i="7" s="1"/>
  <c r="C46" i="7"/>
  <c r="C47" i="7"/>
  <c r="C48" i="7"/>
  <c r="D48" i="7" s="1"/>
  <c r="C49" i="7"/>
  <c r="D49" i="7" s="1"/>
  <c r="C50" i="7"/>
  <c r="C51" i="7"/>
  <c r="D51" i="7" s="1"/>
  <c r="C52" i="7"/>
  <c r="C53" i="7"/>
  <c r="C54" i="7"/>
  <c r="C55" i="7"/>
  <c r="C56" i="7"/>
  <c r="C57" i="7"/>
  <c r="B16" i="6"/>
  <c r="I16" i="6"/>
  <c r="K16" i="6"/>
  <c r="F122" i="29"/>
  <c r="G122" i="29"/>
  <c r="H122" i="29"/>
  <c r="I122" i="29"/>
  <c r="J122" i="29"/>
  <c r="F123" i="29"/>
  <c r="G123" i="29"/>
  <c r="H123" i="29"/>
  <c r="I123" i="29"/>
  <c r="J123" i="29"/>
  <c r="F124" i="29"/>
  <c r="G124" i="29"/>
  <c r="H124" i="29"/>
  <c r="I124" i="29"/>
  <c r="J124" i="29"/>
  <c r="F125" i="29"/>
  <c r="G125" i="29"/>
  <c r="H125" i="29"/>
  <c r="I125" i="29"/>
  <c r="J125" i="29"/>
  <c r="F126" i="29"/>
  <c r="G126" i="29"/>
  <c r="H126" i="29"/>
  <c r="I126" i="29"/>
  <c r="J126" i="29"/>
  <c r="F127" i="29"/>
  <c r="G127" i="29"/>
  <c r="H127" i="29"/>
  <c r="I127" i="29"/>
  <c r="J127" i="29"/>
  <c r="F128" i="29"/>
  <c r="G128" i="29"/>
  <c r="H128" i="29"/>
  <c r="I128" i="29"/>
  <c r="J128" i="29"/>
  <c r="F129" i="29"/>
  <c r="G129" i="29"/>
  <c r="H129" i="29"/>
  <c r="I129" i="29"/>
  <c r="J129" i="29"/>
  <c r="F130" i="29"/>
  <c r="G130" i="29"/>
  <c r="H130" i="29"/>
  <c r="I130" i="29"/>
  <c r="J130" i="29"/>
  <c r="F131" i="29"/>
  <c r="G131" i="29"/>
  <c r="H131" i="29"/>
  <c r="I131" i="29"/>
  <c r="J131" i="29"/>
  <c r="A122" i="5"/>
  <c r="B122" i="5"/>
  <c r="C122" i="5"/>
  <c r="E122" i="5"/>
  <c r="L122" i="5" s="1"/>
  <c r="F122" i="5"/>
  <c r="M122" i="5" s="1"/>
  <c r="G122" i="5"/>
  <c r="N122" i="5" s="1"/>
  <c r="H122" i="5"/>
  <c r="I122" i="5"/>
  <c r="K122" i="5"/>
  <c r="A123" i="5"/>
  <c r="B123" i="5"/>
  <c r="C123" i="5"/>
  <c r="E123" i="5"/>
  <c r="L123" i="5" s="1"/>
  <c r="F123" i="5"/>
  <c r="M123" i="5" s="1"/>
  <c r="G123" i="5"/>
  <c r="N123" i="5" s="1"/>
  <c r="H123" i="5"/>
  <c r="I123" i="5"/>
  <c r="K123" i="5"/>
  <c r="A124" i="5"/>
  <c r="B124" i="5"/>
  <c r="C124" i="5"/>
  <c r="E124" i="5"/>
  <c r="L124" i="5" s="1"/>
  <c r="O124" i="5" s="1"/>
  <c r="F124" i="5"/>
  <c r="M124" i="5" s="1"/>
  <c r="G124" i="5"/>
  <c r="N124" i="5" s="1"/>
  <c r="H124" i="5"/>
  <c r="I124" i="5"/>
  <c r="K124" i="5"/>
  <c r="A125" i="5"/>
  <c r="B125" i="5"/>
  <c r="C125" i="5"/>
  <c r="E125" i="5"/>
  <c r="L125" i="5" s="1"/>
  <c r="F125" i="5"/>
  <c r="M125" i="5" s="1"/>
  <c r="G125" i="5"/>
  <c r="N125" i="5" s="1"/>
  <c r="H125" i="5"/>
  <c r="I125" i="5"/>
  <c r="K125" i="5"/>
  <c r="A126" i="5"/>
  <c r="B126" i="5"/>
  <c r="C126" i="5"/>
  <c r="E126" i="5"/>
  <c r="L126" i="5" s="1"/>
  <c r="F126" i="5"/>
  <c r="M126" i="5" s="1"/>
  <c r="G126" i="5"/>
  <c r="N126" i="5" s="1"/>
  <c r="H126" i="5"/>
  <c r="I126" i="5"/>
  <c r="K126" i="5"/>
  <c r="A127" i="5"/>
  <c r="B127" i="5"/>
  <c r="C127" i="5"/>
  <c r="E127" i="5"/>
  <c r="L127" i="5" s="1"/>
  <c r="O127" i="5" s="1"/>
  <c r="F127" i="5"/>
  <c r="M127" i="5" s="1"/>
  <c r="G127" i="5"/>
  <c r="N127" i="5" s="1"/>
  <c r="H127" i="5"/>
  <c r="I127" i="5"/>
  <c r="K127" i="5"/>
  <c r="A128" i="5"/>
  <c r="B128" i="5"/>
  <c r="C128" i="5"/>
  <c r="E128" i="5"/>
  <c r="L128" i="5" s="1"/>
  <c r="F128" i="5"/>
  <c r="M128" i="5" s="1"/>
  <c r="G128" i="5"/>
  <c r="N128" i="5" s="1"/>
  <c r="H128" i="5"/>
  <c r="I128" i="5"/>
  <c r="K128" i="5"/>
  <c r="A129" i="5"/>
  <c r="B129" i="5"/>
  <c r="C129" i="5"/>
  <c r="E129" i="5"/>
  <c r="L129" i="5" s="1"/>
  <c r="F129" i="5"/>
  <c r="M129" i="5" s="1"/>
  <c r="G129" i="5"/>
  <c r="N129" i="5" s="1"/>
  <c r="H129" i="5"/>
  <c r="I129" i="5"/>
  <c r="K129" i="5"/>
  <c r="A130" i="5"/>
  <c r="B130" i="5"/>
  <c r="C130" i="5"/>
  <c r="E130" i="5"/>
  <c r="L130" i="5" s="1"/>
  <c r="F130" i="5"/>
  <c r="M130" i="5" s="1"/>
  <c r="G130" i="5"/>
  <c r="N130" i="5" s="1"/>
  <c r="H130" i="5"/>
  <c r="I130" i="5"/>
  <c r="K130" i="5"/>
  <c r="A131" i="5"/>
  <c r="B131" i="5"/>
  <c r="C131" i="5"/>
  <c r="E131" i="5"/>
  <c r="L131" i="5" s="1"/>
  <c r="F131" i="5"/>
  <c r="M131" i="5" s="1"/>
  <c r="G131" i="5"/>
  <c r="N131" i="5" s="1"/>
  <c r="H131" i="5"/>
  <c r="I131" i="5"/>
  <c r="K131" i="5"/>
  <c r="A122" i="4"/>
  <c r="B122" i="4"/>
  <c r="C122" i="4"/>
  <c r="E122" i="4"/>
  <c r="K122" i="4" s="1"/>
  <c r="F122" i="4"/>
  <c r="L122" i="4" s="1"/>
  <c r="G122" i="4"/>
  <c r="M122" i="4" s="1"/>
  <c r="H122" i="4"/>
  <c r="J122" i="4"/>
  <c r="N122" i="4"/>
  <c r="A123" i="4"/>
  <c r="B123" i="4"/>
  <c r="C123" i="4"/>
  <c r="E123" i="4"/>
  <c r="K123" i="4" s="1"/>
  <c r="F123" i="4"/>
  <c r="L123" i="4" s="1"/>
  <c r="G123" i="4"/>
  <c r="M123" i="4" s="1"/>
  <c r="H123" i="4"/>
  <c r="J123" i="4"/>
  <c r="N123" i="4"/>
  <c r="A124" i="4"/>
  <c r="B124" i="4"/>
  <c r="C124" i="4"/>
  <c r="E124" i="4"/>
  <c r="K124" i="4" s="1"/>
  <c r="O124" i="4" s="1"/>
  <c r="F124" i="4"/>
  <c r="L124" i="4" s="1"/>
  <c r="G124" i="4"/>
  <c r="M124" i="4" s="1"/>
  <c r="H124" i="4"/>
  <c r="J124" i="4"/>
  <c r="N124" i="4"/>
  <c r="A125" i="4"/>
  <c r="B125" i="4"/>
  <c r="C125" i="4"/>
  <c r="E125" i="4"/>
  <c r="K125" i="4" s="1"/>
  <c r="F125" i="4"/>
  <c r="L125" i="4" s="1"/>
  <c r="G125" i="4"/>
  <c r="M125" i="4" s="1"/>
  <c r="H125" i="4"/>
  <c r="J125" i="4"/>
  <c r="N125" i="4"/>
  <c r="A126" i="4"/>
  <c r="B126" i="4"/>
  <c r="C126" i="4"/>
  <c r="E126" i="4"/>
  <c r="K126" i="4" s="1"/>
  <c r="F126" i="4"/>
  <c r="L126" i="4" s="1"/>
  <c r="G126" i="4"/>
  <c r="M126" i="4" s="1"/>
  <c r="H126" i="4"/>
  <c r="J126" i="4"/>
  <c r="N126" i="4"/>
  <c r="A127" i="4"/>
  <c r="B127" i="4"/>
  <c r="C127" i="4"/>
  <c r="E127" i="4"/>
  <c r="K127" i="4" s="1"/>
  <c r="F127" i="4"/>
  <c r="L127" i="4" s="1"/>
  <c r="G127" i="4"/>
  <c r="M127" i="4" s="1"/>
  <c r="H127" i="4"/>
  <c r="J127" i="4"/>
  <c r="N127" i="4"/>
  <c r="A128" i="4"/>
  <c r="B128" i="4"/>
  <c r="C128" i="4"/>
  <c r="E128" i="4"/>
  <c r="K128" i="4" s="1"/>
  <c r="F128" i="4"/>
  <c r="L128" i="4" s="1"/>
  <c r="G128" i="4"/>
  <c r="M128" i="4" s="1"/>
  <c r="H128" i="4"/>
  <c r="J128" i="4"/>
  <c r="N128" i="4"/>
  <c r="A129" i="4"/>
  <c r="B129" i="4"/>
  <c r="C129" i="4"/>
  <c r="E129" i="4"/>
  <c r="K129" i="4" s="1"/>
  <c r="F129" i="4"/>
  <c r="L129" i="4" s="1"/>
  <c r="G129" i="4"/>
  <c r="M129" i="4" s="1"/>
  <c r="H129" i="4"/>
  <c r="J129" i="4"/>
  <c r="N129" i="4"/>
  <c r="A130" i="4"/>
  <c r="B130" i="4"/>
  <c r="C130" i="4"/>
  <c r="E130" i="4"/>
  <c r="K130" i="4" s="1"/>
  <c r="F130" i="4"/>
  <c r="L130" i="4" s="1"/>
  <c r="G130" i="4"/>
  <c r="M130" i="4" s="1"/>
  <c r="H130" i="4"/>
  <c r="J130" i="4"/>
  <c r="N130" i="4"/>
  <c r="A131" i="4"/>
  <c r="B131" i="4"/>
  <c r="C131" i="4"/>
  <c r="E131" i="4"/>
  <c r="K131" i="4" s="1"/>
  <c r="F131" i="4"/>
  <c r="L131" i="4" s="1"/>
  <c r="G131" i="4"/>
  <c r="M131" i="4" s="1"/>
  <c r="H131" i="4"/>
  <c r="J131" i="4"/>
  <c r="N131" i="4"/>
  <c r="A122" i="3"/>
  <c r="B122" i="3"/>
  <c r="C122" i="3"/>
  <c r="E122" i="3"/>
  <c r="F122" i="3"/>
  <c r="K122" i="3" s="1"/>
  <c r="G122" i="3"/>
  <c r="L122" i="3" s="1"/>
  <c r="I122" i="3"/>
  <c r="J122" i="3"/>
  <c r="A123" i="3"/>
  <c r="C123" i="3" s="1"/>
  <c r="B123" i="3"/>
  <c r="E123" i="3"/>
  <c r="J123" i="3" s="1"/>
  <c r="F123" i="3"/>
  <c r="G123" i="3"/>
  <c r="I123" i="3"/>
  <c r="M123" i="3" s="1"/>
  <c r="K123" i="3"/>
  <c r="L123" i="3"/>
  <c r="A124" i="3"/>
  <c r="B124" i="3" s="1"/>
  <c r="C124" i="3"/>
  <c r="E124" i="3"/>
  <c r="F124" i="3"/>
  <c r="K124" i="3" s="1"/>
  <c r="G124" i="3"/>
  <c r="L124" i="3" s="1"/>
  <c r="I124" i="3"/>
  <c r="J124" i="3"/>
  <c r="A125" i="3"/>
  <c r="B125" i="3" s="1"/>
  <c r="E125" i="3"/>
  <c r="F125" i="3"/>
  <c r="G125" i="3"/>
  <c r="I125" i="3"/>
  <c r="M125" i="3" s="1"/>
  <c r="J125" i="3"/>
  <c r="K125" i="3"/>
  <c r="L125" i="3"/>
  <c r="A126" i="3"/>
  <c r="B126" i="3" s="1"/>
  <c r="E126" i="3"/>
  <c r="F126" i="3"/>
  <c r="G126" i="3"/>
  <c r="I126" i="3"/>
  <c r="J126" i="3"/>
  <c r="K126" i="3"/>
  <c r="L126" i="3"/>
  <c r="M126" i="3" s="1"/>
  <c r="A127" i="3"/>
  <c r="B127" i="3"/>
  <c r="C127" i="3"/>
  <c r="E127" i="3"/>
  <c r="F127" i="3"/>
  <c r="G127" i="3"/>
  <c r="I127" i="3"/>
  <c r="J127" i="3"/>
  <c r="K127" i="3"/>
  <c r="L127" i="3"/>
  <c r="A128" i="3"/>
  <c r="B128" i="3" s="1"/>
  <c r="E128" i="3"/>
  <c r="J128" i="3" s="1"/>
  <c r="M128" i="3" s="1"/>
  <c r="F128" i="3"/>
  <c r="G128" i="3"/>
  <c r="I128" i="3"/>
  <c r="K128" i="3"/>
  <c r="L128" i="3"/>
  <c r="A129" i="3"/>
  <c r="B129" i="3" s="1"/>
  <c r="E129" i="3"/>
  <c r="J129" i="3" s="1"/>
  <c r="F129" i="3"/>
  <c r="K129" i="3" s="1"/>
  <c r="G129" i="3"/>
  <c r="L129" i="3" s="1"/>
  <c r="I129" i="3"/>
  <c r="A130" i="3"/>
  <c r="B130" i="3"/>
  <c r="C130" i="3"/>
  <c r="E130" i="3"/>
  <c r="F130" i="3"/>
  <c r="K130" i="3" s="1"/>
  <c r="G130" i="3"/>
  <c r="L130" i="3" s="1"/>
  <c r="I130" i="3"/>
  <c r="J130" i="3"/>
  <c r="A131" i="3"/>
  <c r="C131" i="3" s="1"/>
  <c r="B131" i="3"/>
  <c r="E131" i="3"/>
  <c r="J131" i="3" s="1"/>
  <c r="F131" i="3"/>
  <c r="G131" i="3"/>
  <c r="I131" i="3"/>
  <c r="K131" i="3"/>
  <c r="L131" i="3"/>
  <c r="G7" i="12"/>
  <c r="G8" i="12" s="1"/>
  <c r="G9" i="12" s="1"/>
  <c r="G10" i="12" s="1"/>
  <c r="G11" i="12" s="1"/>
  <c r="V122" i="1"/>
  <c r="W122" i="1"/>
  <c r="X122" i="1"/>
  <c r="Y122" i="1"/>
  <c r="Z122" i="1"/>
  <c r="AA122" i="1"/>
  <c r="AB122" i="1"/>
  <c r="AC122" i="1"/>
  <c r="AD122" i="1"/>
  <c r="AE122" i="1"/>
  <c r="AF122" i="1"/>
  <c r="AG122" i="1"/>
  <c r="AH122" i="1"/>
  <c r="AI122" i="1"/>
  <c r="AJ122" i="1"/>
  <c r="V123" i="1"/>
  <c r="W123" i="1"/>
  <c r="X123" i="1"/>
  <c r="Y123" i="1"/>
  <c r="Z123" i="1"/>
  <c r="AA123" i="1"/>
  <c r="AB123" i="1"/>
  <c r="AC123" i="1"/>
  <c r="AD123" i="1"/>
  <c r="AE123" i="1"/>
  <c r="AF123" i="1"/>
  <c r="AG123" i="1"/>
  <c r="AH123" i="1"/>
  <c r="AI123" i="1"/>
  <c r="AJ123" i="1"/>
  <c r="V124" i="1"/>
  <c r="W124" i="1"/>
  <c r="X124" i="1"/>
  <c r="Y124" i="1"/>
  <c r="Z124" i="1"/>
  <c r="AA124" i="1"/>
  <c r="AB124" i="1"/>
  <c r="AC124" i="1"/>
  <c r="AD124" i="1"/>
  <c r="AE124" i="1"/>
  <c r="AF124" i="1"/>
  <c r="AG124" i="1"/>
  <c r="AH124" i="1"/>
  <c r="AI124" i="1"/>
  <c r="AJ124" i="1"/>
  <c r="V125" i="1"/>
  <c r="W125" i="1"/>
  <c r="X125" i="1"/>
  <c r="Y125" i="1"/>
  <c r="Z125" i="1"/>
  <c r="AA125" i="1"/>
  <c r="AB125" i="1"/>
  <c r="AC125" i="1"/>
  <c r="AD125" i="1"/>
  <c r="AE125" i="1"/>
  <c r="AF125" i="1"/>
  <c r="AG125" i="1"/>
  <c r="AH125" i="1"/>
  <c r="AI125" i="1"/>
  <c r="AJ125" i="1"/>
  <c r="V126" i="1"/>
  <c r="W126" i="1"/>
  <c r="X126" i="1"/>
  <c r="Y126" i="1"/>
  <c r="Z126" i="1"/>
  <c r="AA126" i="1"/>
  <c r="AB126" i="1"/>
  <c r="AC126" i="1"/>
  <c r="AD126" i="1"/>
  <c r="AE126" i="1"/>
  <c r="AF126" i="1"/>
  <c r="AG126" i="1"/>
  <c r="AH126" i="1"/>
  <c r="AI126" i="1"/>
  <c r="AJ126" i="1"/>
  <c r="V127" i="1"/>
  <c r="W127" i="1"/>
  <c r="X127" i="1"/>
  <c r="Y127" i="1"/>
  <c r="Z127" i="1"/>
  <c r="AA127" i="1"/>
  <c r="AB127" i="1"/>
  <c r="AC127" i="1"/>
  <c r="AD127" i="1"/>
  <c r="AE127" i="1"/>
  <c r="AF127" i="1"/>
  <c r="AG127" i="1"/>
  <c r="AH127" i="1"/>
  <c r="AI127" i="1"/>
  <c r="AJ127" i="1"/>
  <c r="V128" i="1"/>
  <c r="W128" i="1"/>
  <c r="X128" i="1"/>
  <c r="Y128" i="1"/>
  <c r="Z128" i="1"/>
  <c r="AA128" i="1"/>
  <c r="AB128" i="1"/>
  <c r="AC128" i="1"/>
  <c r="AD128" i="1"/>
  <c r="AE128" i="1"/>
  <c r="AF128" i="1"/>
  <c r="AG128" i="1"/>
  <c r="AH128" i="1"/>
  <c r="AI128" i="1"/>
  <c r="AJ128" i="1"/>
  <c r="V129" i="1"/>
  <c r="W129" i="1"/>
  <c r="X129" i="1"/>
  <c r="Y129" i="1"/>
  <c r="Z129" i="1"/>
  <c r="AA129" i="1"/>
  <c r="AB129" i="1"/>
  <c r="AC129" i="1"/>
  <c r="AD129" i="1"/>
  <c r="AE129" i="1"/>
  <c r="AF129" i="1"/>
  <c r="AG129" i="1"/>
  <c r="AH129" i="1"/>
  <c r="AI129" i="1"/>
  <c r="AJ129" i="1"/>
  <c r="V130" i="1"/>
  <c r="W130" i="1"/>
  <c r="X130" i="1"/>
  <c r="Y130" i="1"/>
  <c r="Z130" i="1"/>
  <c r="AA130" i="1"/>
  <c r="AB130" i="1"/>
  <c r="AC130" i="1"/>
  <c r="AD130" i="1"/>
  <c r="AE130" i="1"/>
  <c r="AF130" i="1"/>
  <c r="AG130" i="1"/>
  <c r="AH130" i="1"/>
  <c r="AI130" i="1"/>
  <c r="AJ130" i="1"/>
  <c r="V131" i="1"/>
  <c r="W131" i="1"/>
  <c r="X131" i="1"/>
  <c r="Y131" i="1"/>
  <c r="Z131" i="1"/>
  <c r="AA131" i="1"/>
  <c r="AB131" i="1"/>
  <c r="AC131" i="1"/>
  <c r="AD131" i="1"/>
  <c r="AE131" i="1"/>
  <c r="AF131" i="1"/>
  <c r="AG131" i="1"/>
  <c r="AH131" i="1"/>
  <c r="AI131" i="1"/>
  <c r="AJ131" i="1"/>
  <c r="T241" i="2"/>
  <c r="U241" i="2"/>
  <c r="V241" i="2"/>
  <c r="S59" i="7" l="1"/>
  <c r="S60" i="7" s="1"/>
  <c r="K61" i="7"/>
  <c r="K62" i="7" s="1"/>
  <c r="K63" i="7" s="1"/>
  <c r="K64" i="7" s="1"/>
  <c r="K65" i="7" s="1"/>
  <c r="K66" i="7" s="1"/>
  <c r="K67" i="7" s="1"/>
  <c r="K68" i="7" s="1"/>
  <c r="K69" i="7" s="1"/>
  <c r="K70" i="7" s="1"/>
  <c r="K71" i="7" s="1"/>
  <c r="D50" i="7"/>
  <c r="L56" i="7"/>
  <c r="O131" i="5"/>
  <c r="O123" i="5"/>
  <c r="O126" i="5"/>
  <c r="O129" i="5"/>
  <c r="O130" i="5"/>
  <c r="O122" i="5"/>
  <c r="O125" i="5"/>
  <c r="O128" i="5"/>
  <c r="O131" i="4"/>
  <c r="O123" i="4"/>
  <c r="O126" i="4"/>
  <c r="O129" i="4"/>
  <c r="O127" i="4"/>
  <c r="O130" i="4"/>
  <c r="O122" i="4"/>
  <c r="O125" i="4"/>
  <c r="O128" i="4"/>
  <c r="M127" i="3"/>
  <c r="M131" i="3"/>
  <c r="M124" i="3"/>
  <c r="M130" i="3"/>
  <c r="M122" i="3"/>
  <c r="M129" i="3"/>
  <c r="C125" i="3"/>
  <c r="C126" i="3"/>
  <c r="C128" i="3"/>
  <c r="C129" i="3"/>
  <c r="BX122" i="1"/>
  <c r="BY122" i="1"/>
  <c r="BZ122" i="1"/>
  <c r="CA122" i="1"/>
  <c r="CB122" i="1"/>
  <c r="CC122" i="1"/>
  <c r="CD122" i="1"/>
  <c r="CE122" i="1"/>
  <c r="CF122" i="1"/>
  <c r="CG122" i="1"/>
  <c r="CH122" i="1"/>
  <c r="CI122" i="1"/>
  <c r="CJ122" i="1"/>
  <c r="CK122" i="1"/>
  <c r="BX123" i="1"/>
  <c r="BY123" i="1"/>
  <c r="BZ123" i="1"/>
  <c r="CA123" i="1"/>
  <c r="CB123" i="1"/>
  <c r="CC123" i="1"/>
  <c r="CD123" i="1"/>
  <c r="CE123" i="1"/>
  <c r="CF123" i="1"/>
  <c r="CG123" i="1"/>
  <c r="CH123" i="1"/>
  <c r="CI123" i="1"/>
  <c r="CJ123" i="1"/>
  <c r="CK123" i="1"/>
  <c r="BX124" i="1"/>
  <c r="BY124" i="1"/>
  <c r="BZ124" i="1"/>
  <c r="CA124" i="1"/>
  <c r="CB124" i="1"/>
  <c r="CC124" i="1"/>
  <c r="CD124" i="1"/>
  <c r="CE124" i="1"/>
  <c r="CF124" i="1"/>
  <c r="CG124" i="1"/>
  <c r="CH124" i="1"/>
  <c r="CI124" i="1"/>
  <c r="CJ124" i="1"/>
  <c r="CK124" i="1"/>
  <c r="BX125" i="1"/>
  <c r="BY125" i="1"/>
  <c r="BZ125" i="1"/>
  <c r="CA125" i="1"/>
  <c r="CB125" i="1"/>
  <c r="CC125" i="1"/>
  <c r="CD125" i="1"/>
  <c r="CE125" i="1"/>
  <c r="CF125" i="1"/>
  <c r="CG125" i="1"/>
  <c r="CH125" i="1"/>
  <c r="CI125" i="1"/>
  <c r="CJ125" i="1"/>
  <c r="CK125" i="1"/>
  <c r="BX126" i="1"/>
  <c r="BY126" i="1"/>
  <c r="BZ126" i="1"/>
  <c r="CA126" i="1"/>
  <c r="CB126" i="1"/>
  <c r="CC126" i="1"/>
  <c r="CD126" i="1"/>
  <c r="CE126" i="1"/>
  <c r="CF126" i="1"/>
  <c r="CG126" i="1"/>
  <c r="CH126" i="1"/>
  <c r="CI126" i="1"/>
  <c r="CJ126" i="1"/>
  <c r="CK126" i="1"/>
  <c r="BX127" i="1"/>
  <c r="BY127" i="1"/>
  <c r="BZ127" i="1"/>
  <c r="CA127" i="1"/>
  <c r="CB127" i="1"/>
  <c r="CC127" i="1"/>
  <c r="CD127" i="1"/>
  <c r="CE127" i="1"/>
  <c r="CF127" i="1"/>
  <c r="CG127" i="1"/>
  <c r="CH127" i="1"/>
  <c r="CI127" i="1"/>
  <c r="CJ127" i="1"/>
  <c r="CK127" i="1"/>
  <c r="BX128" i="1"/>
  <c r="BY128" i="1"/>
  <c r="BZ128" i="1"/>
  <c r="CA128" i="1"/>
  <c r="CB128" i="1"/>
  <c r="CC128" i="1"/>
  <c r="CD128" i="1"/>
  <c r="CE128" i="1"/>
  <c r="CF128" i="1"/>
  <c r="CG128" i="1"/>
  <c r="CH128" i="1"/>
  <c r="CI128" i="1"/>
  <c r="CJ128" i="1"/>
  <c r="CK128" i="1"/>
  <c r="BX129" i="1"/>
  <c r="BY129" i="1"/>
  <c r="BZ129" i="1"/>
  <c r="CA129" i="1"/>
  <c r="CB129" i="1"/>
  <c r="CC129" i="1"/>
  <c r="CD129" i="1"/>
  <c r="CE129" i="1"/>
  <c r="CF129" i="1"/>
  <c r="CG129" i="1"/>
  <c r="CH129" i="1"/>
  <c r="CI129" i="1"/>
  <c r="CJ129" i="1"/>
  <c r="CK129" i="1"/>
  <c r="BX130" i="1"/>
  <c r="BY130" i="1"/>
  <c r="BZ130" i="1"/>
  <c r="CA130" i="1"/>
  <c r="CB130" i="1"/>
  <c r="CC130" i="1"/>
  <c r="CD130" i="1"/>
  <c r="CE130" i="1"/>
  <c r="CF130" i="1"/>
  <c r="CG130" i="1"/>
  <c r="CH130" i="1"/>
  <c r="CI130" i="1"/>
  <c r="CJ130" i="1"/>
  <c r="CK130" i="1"/>
  <c r="BX131" i="1"/>
  <c r="BY131" i="1"/>
  <c r="BZ131" i="1"/>
  <c r="CA131" i="1"/>
  <c r="CB131" i="1"/>
  <c r="CC131" i="1"/>
  <c r="CD131" i="1"/>
  <c r="CE131" i="1"/>
  <c r="CF131" i="1"/>
  <c r="CG131" i="1"/>
  <c r="CH131" i="1"/>
  <c r="CI131" i="1"/>
  <c r="CJ131" i="1"/>
  <c r="CK131" i="1"/>
  <c r="BR123" i="1"/>
  <c r="BR124" i="1"/>
  <c r="BR125" i="1"/>
  <c r="BR126" i="1"/>
  <c r="BR127" i="1"/>
  <c r="BR128" i="1"/>
  <c r="BR129" i="1"/>
  <c r="BR130" i="1"/>
  <c r="BR131" i="1"/>
  <c r="BR122" i="1"/>
  <c r="BO122" i="1"/>
  <c r="BP122" i="1"/>
  <c r="BQ122" i="1"/>
  <c r="BO123" i="1"/>
  <c r="BP123" i="1"/>
  <c r="BQ123" i="1"/>
  <c r="BO124" i="1"/>
  <c r="BP124" i="1"/>
  <c r="BQ124" i="1"/>
  <c r="BO125" i="1"/>
  <c r="BP125" i="1"/>
  <c r="BQ125" i="1"/>
  <c r="BO126" i="1"/>
  <c r="BP126" i="1"/>
  <c r="BQ126" i="1"/>
  <c r="BO127" i="1"/>
  <c r="BP127" i="1"/>
  <c r="BQ127" i="1"/>
  <c r="BO128" i="1"/>
  <c r="BP128" i="1"/>
  <c r="BQ128" i="1"/>
  <c r="BO129" i="1"/>
  <c r="BP129" i="1"/>
  <c r="BQ129" i="1"/>
  <c r="BO130" i="1"/>
  <c r="BP130" i="1"/>
  <c r="BQ130" i="1"/>
  <c r="BO131" i="1"/>
  <c r="BP131" i="1"/>
  <c r="BQ131" i="1"/>
  <c r="BD122" i="1"/>
  <c r="BE122" i="1"/>
  <c r="BF122" i="1"/>
  <c r="BG122" i="1"/>
  <c r="BH122" i="1"/>
  <c r="BI122" i="1"/>
  <c r="BJ122" i="1"/>
  <c r="BK122" i="1"/>
  <c r="BL122" i="1"/>
  <c r="BM122" i="1"/>
  <c r="BN122" i="1"/>
  <c r="BD123" i="1"/>
  <c r="BE123" i="1"/>
  <c r="BF123" i="1"/>
  <c r="BG123" i="1"/>
  <c r="BH123" i="1"/>
  <c r="BI123" i="1"/>
  <c r="BJ123" i="1"/>
  <c r="BK123" i="1"/>
  <c r="BL123" i="1"/>
  <c r="BM123" i="1"/>
  <c r="BN123" i="1"/>
  <c r="BD124" i="1"/>
  <c r="BE124" i="1"/>
  <c r="BF124" i="1"/>
  <c r="BG124" i="1"/>
  <c r="BH124" i="1"/>
  <c r="BI124" i="1"/>
  <c r="BJ124" i="1"/>
  <c r="BK124" i="1"/>
  <c r="BL124" i="1"/>
  <c r="BM124" i="1"/>
  <c r="BN124" i="1"/>
  <c r="BD125" i="1"/>
  <c r="BE125" i="1"/>
  <c r="BF125" i="1"/>
  <c r="BG125" i="1"/>
  <c r="BH125" i="1"/>
  <c r="BI125" i="1"/>
  <c r="BJ125" i="1"/>
  <c r="BK125" i="1"/>
  <c r="BL125" i="1"/>
  <c r="BM125" i="1"/>
  <c r="BN125" i="1"/>
  <c r="BD126" i="1"/>
  <c r="BE126" i="1"/>
  <c r="BF126" i="1"/>
  <c r="BG126" i="1"/>
  <c r="BH126" i="1"/>
  <c r="BI126" i="1"/>
  <c r="BJ126" i="1"/>
  <c r="BK126" i="1"/>
  <c r="BL126" i="1"/>
  <c r="BM126" i="1"/>
  <c r="BN126" i="1"/>
  <c r="BD127" i="1"/>
  <c r="BE127" i="1"/>
  <c r="BF127" i="1"/>
  <c r="BG127" i="1"/>
  <c r="BH127" i="1"/>
  <c r="BI127" i="1"/>
  <c r="BJ127" i="1"/>
  <c r="BK127" i="1"/>
  <c r="BL127" i="1"/>
  <c r="BM127" i="1"/>
  <c r="BN127" i="1"/>
  <c r="BD128" i="1"/>
  <c r="BE128" i="1"/>
  <c r="BF128" i="1"/>
  <c r="BG128" i="1"/>
  <c r="BH128" i="1"/>
  <c r="BI128" i="1"/>
  <c r="BJ128" i="1"/>
  <c r="BK128" i="1"/>
  <c r="BL128" i="1"/>
  <c r="BM128" i="1"/>
  <c r="BN128" i="1"/>
  <c r="BD129" i="1"/>
  <c r="BE129" i="1"/>
  <c r="BF129" i="1"/>
  <c r="BG129" i="1"/>
  <c r="BH129" i="1"/>
  <c r="BI129" i="1"/>
  <c r="BJ129" i="1"/>
  <c r="BK129" i="1"/>
  <c r="BL129" i="1"/>
  <c r="BM129" i="1"/>
  <c r="BN129" i="1"/>
  <c r="BD130" i="1"/>
  <c r="BE130" i="1"/>
  <c r="BF130" i="1"/>
  <c r="BG130" i="1"/>
  <c r="BH130" i="1"/>
  <c r="BI130" i="1"/>
  <c r="BJ130" i="1"/>
  <c r="BK130" i="1"/>
  <c r="BL130" i="1"/>
  <c r="BM130" i="1"/>
  <c r="BN130" i="1"/>
  <c r="BD131" i="1"/>
  <c r="BE131" i="1"/>
  <c r="BF131" i="1"/>
  <c r="BG131" i="1"/>
  <c r="BH131" i="1"/>
  <c r="BI131" i="1"/>
  <c r="BJ131" i="1"/>
  <c r="BK131" i="1"/>
  <c r="BL131" i="1"/>
  <c r="BM131" i="1"/>
  <c r="BN131" i="1"/>
  <c r="BC123" i="1"/>
  <c r="BC124" i="1"/>
  <c r="BC125" i="1"/>
  <c r="BC126" i="1"/>
  <c r="BC127" i="1"/>
  <c r="BC128" i="1"/>
  <c r="BC129" i="1"/>
  <c r="BC130" i="1"/>
  <c r="BC131" i="1"/>
  <c r="BC122" i="1"/>
  <c r="AK122" i="1"/>
  <c r="AL122" i="1"/>
  <c r="AM122" i="1"/>
  <c r="AN122" i="1"/>
  <c r="AO122" i="1"/>
  <c r="AP122" i="1"/>
  <c r="AQ122" i="1"/>
  <c r="AR122" i="1"/>
  <c r="AS122" i="1"/>
  <c r="AT122" i="1"/>
  <c r="AU122" i="1"/>
  <c r="AV122" i="1"/>
  <c r="AW122" i="1"/>
  <c r="AX122" i="1"/>
  <c r="AY122" i="1"/>
  <c r="BA122" i="1"/>
  <c r="BB122" i="1"/>
  <c r="AK123" i="1"/>
  <c r="AL123" i="1"/>
  <c r="AM123" i="1"/>
  <c r="AN123" i="1"/>
  <c r="AO123" i="1"/>
  <c r="AP123" i="1"/>
  <c r="AQ123" i="1"/>
  <c r="AR123" i="1"/>
  <c r="AS123" i="1"/>
  <c r="AT123" i="1"/>
  <c r="AU123" i="1"/>
  <c r="AV123" i="1"/>
  <c r="AW123" i="1"/>
  <c r="AX123" i="1"/>
  <c r="AY123" i="1"/>
  <c r="BA123" i="1"/>
  <c r="BB123" i="1"/>
  <c r="AK124" i="1"/>
  <c r="AL124" i="1"/>
  <c r="AM124" i="1"/>
  <c r="AN124" i="1"/>
  <c r="AO124" i="1"/>
  <c r="AP124" i="1"/>
  <c r="AQ124" i="1"/>
  <c r="AR124" i="1"/>
  <c r="AS124" i="1"/>
  <c r="AT124" i="1"/>
  <c r="AU124" i="1"/>
  <c r="AV124" i="1"/>
  <c r="AW124" i="1"/>
  <c r="AX124" i="1"/>
  <c r="AY124" i="1"/>
  <c r="BA124" i="1"/>
  <c r="BB124" i="1"/>
  <c r="AK125" i="1"/>
  <c r="AL125" i="1"/>
  <c r="AM125" i="1"/>
  <c r="AN125" i="1"/>
  <c r="AO125" i="1"/>
  <c r="AP125" i="1"/>
  <c r="AQ125" i="1"/>
  <c r="AR125" i="1"/>
  <c r="AS125" i="1"/>
  <c r="AT125" i="1"/>
  <c r="AU125" i="1"/>
  <c r="AV125" i="1"/>
  <c r="AW125" i="1"/>
  <c r="AX125" i="1"/>
  <c r="AY125" i="1"/>
  <c r="BA125" i="1"/>
  <c r="BB125" i="1"/>
  <c r="AK126" i="1"/>
  <c r="AL126" i="1"/>
  <c r="AM126" i="1"/>
  <c r="AN126" i="1"/>
  <c r="AO126" i="1"/>
  <c r="AP126" i="1"/>
  <c r="AQ126" i="1"/>
  <c r="AR126" i="1"/>
  <c r="AS126" i="1"/>
  <c r="AT126" i="1"/>
  <c r="AU126" i="1"/>
  <c r="AV126" i="1"/>
  <c r="AW126" i="1"/>
  <c r="AX126" i="1"/>
  <c r="AY126" i="1"/>
  <c r="BA126" i="1"/>
  <c r="BB126" i="1"/>
  <c r="AK127" i="1"/>
  <c r="AL127" i="1"/>
  <c r="AM127" i="1"/>
  <c r="AN127" i="1"/>
  <c r="AO127" i="1"/>
  <c r="AP127" i="1"/>
  <c r="AQ127" i="1"/>
  <c r="AR127" i="1"/>
  <c r="AS127" i="1"/>
  <c r="AT127" i="1"/>
  <c r="AU127" i="1"/>
  <c r="AV127" i="1"/>
  <c r="AW127" i="1"/>
  <c r="AX127" i="1"/>
  <c r="AY127" i="1"/>
  <c r="BA127" i="1"/>
  <c r="BB127" i="1"/>
  <c r="AK128" i="1"/>
  <c r="AL128" i="1"/>
  <c r="AM128" i="1"/>
  <c r="AN128" i="1"/>
  <c r="AO128" i="1"/>
  <c r="AP128" i="1"/>
  <c r="AQ128" i="1"/>
  <c r="AR128" i="1"/>
  <c r="AS128" i="1"/>
  <c r="AT128" i="1"/>
  <c r="AU128" i="1"/>
  <c r="AV128" i="1"/>
  <c r="AW128" i="1"/>
  <c r="AX128" i="1"/>
  <c r="AY128" i="1"/>
  <c r="BA128" i="1"/>
  <c r="BB128" i="1"/>
  <c r="AK129" i="1"/>
  <c r="AL129" i="1"/>
  <c r="AM129" i="1"/>
  <c r="AN129" i="1"/>
  <c r="AO129" i="1"/>
  <c r="AP129" i="1"/>
  <c r="AQ129" i="1"/>
  <c r="AR129" i="1"/>
  <c r="AS129" i="1"/>
  <c r="AT129" i="1"/>
  <c r="AU129" i="1"/>
  <c r="AV129" i="1"/>
  <c r="AW129" i="1"/>
  <c r="AX129" i="1"/>
  <c r="AY129" i="1"/>
  <c r="BA129" i="1"/>
  <c r="BB129" i="1"/>
  <c r="AK130" i="1"/>
  <c r="AL130" i="1"/>
  <c r="AM130" i="1"/>
  <c r="AN130" i="1"/>
  <c r="AO130" i="1"/>
  <c r="AP130" i="1"/>
  <c r="AQ130" i="1"/>
  <c r="AR130" i="1"/>
  <c r="AS130" i="1"/>
  <c r="AT130" i="1"/>
  <c r="AU130" i="1"/>
  <c r="AV130" i="1"/>
  <c r="AW130" i="1"/>
  <c r="AX130" i="1"/>
  <c r="AY130" i="1"/>
  <c r="BA130" i="1"/>
  <c r="BB130" i="1"/>
  <c r="AK131" i="1"/>
  <c r="AL131" i="1"/>
  <c r="AM131" i="1"/>
  <c r="AN131" i="1"/>
  <c r="AO131" i="1"/>
  <c r="AP131" i="1"/>
  <c r="AQ131" i="1"/>
  <c r="AR131" i="1"/>
  <c r="AS131" i="1"/>
  <c r="AT131" i="1"/>
  <c r="AU131" i="1"/>
  <c r="AV131" i="1"/>
  <c r="AW131" i="1"/>
  <c r="AX131" i="1"/>
  <c r="AY131" i="1"/>
  <c r="BA131" i="1"/>
  <c r="BB131" i="1"/>
  <c r="K123" i="1"/>
  <c r="K124" i="1"/>
  <c r="K125" i="1"/>
  <c r="K126" i="1"/>
  <c r="K127" i="1"/>
  <c r="K128" i="1"/>
  <c r="K129" i="1"/>
  <c r="K130" i="1"/>
  <c r="K131" i="1"/>
  <c r="K122" i="1"/>
  <c r="E123" i="1"/>
  <c r="E124" i="1"/>
  <c r="F124" i="1" s="1"/>
  <c r="E125" i="1"/>
  <c r="E126" i="1"/>
  <c r="F126" i="1" s="1"/>
  <c r="E127" i="1"/>
  <c r="F127" i="1" s="1"/>
  <c r="E128" i="1"/>
  <c r="F128" i="1" s="1"/>
  <c r="E129" i="1"/>
  <c r="E130" i="1"/>
  <c r="E131" i="1"/>
  <c r="E122" i="1"/>
  <c r="F122" i="1" s="1"/>
  <c r="H120" i="1"/>
  <c r="H121" i="1"/>
  <c r="H122" i="1"/>
  <c r="H123" i="1"/>
  <c r="H124" i="1"/>
  <c r="I124" i="1" s="1"/>
  <c r="H125" i="1"/>
  <c r="H126" i="1"/>
  <c r="H127" i="1"/>
  <c r="H128" i="1"/>
  <c r="H129" i="1"/>
  <c r="I129" i="1" s="1"/>
  <c r="H130" i="1"/>
  <c r="I130" i="1" s="1"/>
  <c r="H131" i="1"/>
  <c r="H119" i="1"/>
  <c r="K48" i="10"/>
  <c r="L48" i="10"/>
  <c r="M48" i="10"/>
  <c r="N48" i="10"/>
  <c r="F129" i="1"/>
  <c r="L18" i="10"/>
  <c r="D16" i="6"/>
  <c r="L123" i="1"/>
  <c r="L124" i="1"/>
  <c r="L125" i="1"/>
  <c r="L126" i="1"/>
  <c r="L127" i="1"/>
  <c r="L128" i="1"/>
  <c r="L129" i="1"/>
  <c r="L130" i="1"/>
  <c r="L131" i="1"/>
  <c r="L122" i="1"/>
  <c r="I125" i="1"/>
  <c r="I126" i="1"/>
  <c r="I127" i="1"/>
  <c r="I128" i="1"/>
  <c r="F123" i="1"/>
  <c r="F131" i="1"/>
  <c r="S61" i="7" l="1"/>
  <c r="S62" i="7" s="1"/>
  <c r="S63" i="7" s="1"/>
  <c r="S64" i="7" s="1"/>
  <c r="S65" i="7" s="1"/>
  <c r="S66" i="7" s="1"/>
  <c r="S67" i="7" s="1"/>
  <c r="S68" i="7" s="1"/>
  <c r="S69" i="7" s="1"/>
  <c r="S70" i="7" s="1"/>
  <c r="S71" i="7" s="1"/>
  <c r="D129" i="5"/>
  <c r="V249" i="2"/>
  <c r="D129" i="29"/>
  <c r="D129" i="31"/>
  <c r="D123" i="19"/>
  <c r="D123" i="3"/>
  <c r="N123" i="3" s="1"/>
  <c r="O123" i="3" s="1"/>
  <c r="T243" i="2"/>
  <c r="D123" i="27"/>
  <c r="D126" i="29"/>
  <c r="D126" i="5"/>
  <c r="D126" i="31"/>
  <c r="V246" i="2"/>
  <c r="D128" i="29"/>
  <c r="D128" i="31"/>
  <c r="D128" i="5"/>
  <c r="V248" i="2"/>
  <c r="D127" i="29"/>
  <c r="V247" i="2"/>
  <c r="D127" i="31"/>
  <c r="D127" i="5"/>
  <c r="P127" i="5" s="1"/>
  <c r="Q127" i="5" s="1"/>
  <c r="D131" i="29"/>
  <c r="D131" i="5"/>
  <c r="V251" i="2"/>
  <c r="D131" i="31"/>
  <c r="V244" i="2"/>
  <c r="D124" i="31"/>
  <c r="D124" i="29"/>
  <c r="D124" i="5"/>
  <c r="P124" i="5" s="1"/>
  <c r="Q124" i="5" s="1"/>
  <c r="D127" i="28"/>
  <c r="U247" i="2"/>
  <c r="D127" i="4"/>
  <c r="D127" i="20"/>
  <c r="D125" i="31"/>
  <c r="V245" i="2"/>
  <c r="D125" i="5"/>
  <c r="D125" i="29"/>
  <c r="D128" i="4"/>
  <c r="U248" i="2"/>
  <c r="D128" i="28"/>
  <c r="D128" i="20"/>
  <c r="D123" i="29"/>
  <c r="D123" i="31"/>
  <c r="D123" i="5"/>
  <c r="V243" i="2"/>
  <c r="D125" i="4"/>
  <c r="U245" i="2"/>
  <c r="D125" i="20"/>
  <c r="D125" i="28"/>
  <c r="V250" i="2"/>
  <c r="D130" i="31"/>
  <c r="D130" i="29"/>
  <c r="D130" i="5"/>
  <c r="D126" i="28"/>
  <c r="U246" i="2"/>
  <c r="D126" i="20"/>
  <c r="D126" i="4"/>
  <c r="P126" i="4" s="1"/>
  <c r="Q126" i="4" s="1"/>
  <c r="D131" i="27"/>
  <c r="T251" i="2"/>
  <c r="D131" i="19"/>
  <c r="D131" i="3"/>
  <c r="N131" i="3" s="1"/>
  <c r="O131" i="3" s="1"/>
  <c r="E16" i="6"/>
  <c r="D122" i="31"/>
  <c r="D122" i="29"/>
  <c r="D122" i="5"/>
  <c r="O14" i="18" s="1"/>
  <c r="Q14" i="18" s="1"/>
  <c r="C16" i="6"/>
  <c r="V242" i="2"/>
  <c r="D128" i="3"/>
  <c r="N128" i="3" s="1"/>
  <c r="O128" i="3" s="1"/>
  <c r="D128" i="27"/>
  <c r="D128" i="19"/>
  <c r="T248" i="2"/>
  <c r="T244" i="2"/>
  <c r="D124" i="19"/>
  <c r="D124" i="27"/>
  <c r="D124" i="3"/>
  <c r="N124" i="3" s="1"/>
  <c r="O124" i="3" s="1"/>
  <c r="N129" i="3"/>
  <c r="O129" i="3" s="1"/>
  <c r="P125" i="5"/>
  <c r="Q125" i="5" s="1"/>
  <c r="N122" i="3"/>
  <c r="O122" i="3" s="1"/>
  <c r="D130" i="28"/>
  <c r="U250" i="2"/>
  <c r="D130" i="4"/>
  <c r="D130" i="20"/>
  <c r="P130" i="5"/>
  <c r="Q130" i="5" s="1"/>
  <c r="P129" i="5"/>
  <c r="Q129" i="5" s="1"/>
  <c r="I123" i="1"/>
  <c r="P126" i="5"/>
  <c r="Q126" i="5" s="1"/>
  <c r="I122" i="1"/>
  <c r="N127" i="3"/>
  <c r="O127" i="3" s="1"/>
  <c r="P123" i="5"/>
  <c r="Q123" i="5" s="1"/>
  <c r="P128" i="4"/>
  <c r="Q128" i="4" s="1"/>
  <c r="P131" i="5"/>
  <c r="Q131" i="5" s="1"/>
  <c r="U249" i="2"/>
  <c r="D129" i="28"/>
  <c r="D129" i="4"/>
  <c r="D129" i="20"/>
  <c r="D129" i="19"/>
  <c r="D129" i="3"/>
  <c r="T249" i="2"/>
  <c r="D129" i="27"/>
  <c r="U244" i="2"/>
  <c r="D124" i="4"/>
  <c r="P124" i="4" s="1"/>
  <c r="Q124" i="4" s="1"/>
  <c r="D124" i="20"/>
  <c r="D124" i="28"/>
  <c r="P125" i="4"/>
  <c r="Q125" i="4" s="1"/>
  <c r="P130" i="4"/>
  <c r="Q130" i="4" s="1"/>
  <c r="P127" i="4"/>
  <c r="Q127" i="4" s="1"/>
  <c r="D122" i="27"/>
  <c r="T242" i="2"/>
  <c r="D122" i="19"/>
  <c r="D122" i="3"/>
  <c r="F130" i="1"/>
  <c r="P129" i="4"/>
  <c r="Q129" i="4" s="1"/>
  <c r="I131" i="1"/>
  <c r="D127" i="19"/>
  <c r="D127" i="3"/>
  <c r="T247" i="2"/>
  <c r="D127" i="27"/>
  <c r="D126" i="19"/>
  <c r="T246" i="2"/>
  <c r="D126" i="27"/>
  <c r="D126" i="3"/>
  <c r="N126" i="3" s="1"/>
  <c r="O126" i="3" s="1"/>
  <c r="J16" i="6"/>
  <c r="L16" i="6" s="1"/>
  <c r="F125" i="1"/>
  <c r="P128" i="5"/>
  <c r="Q128" i="5" s="1"/>
  <c r="P122" i="5" l="1"/>
  <c r="Q122" i="5" s="1"/>
  <c r="Q132" i="5" s="1"/>
  <c r="D122" i="4"/>
  <c r="D122" i="20"/>
  <c r="D122" i="28"/>
  <c r="U242" i="2"/>
  <c r="D123" i="20"/>
  <c r="D123" i="4"/>
  <c r="P123" i="4" s="1"/>
  <c r="Q123" i="4" s="1"/>
  <c r="D123" i="28"/>
  <c r="U243" i="2"/>
  <c r="D131" i="28"/>
  <c r="U251" i="2"/>
  <c r="D131" i="20"/>
  <c r="D131" i="4"/>
  <c r="P131" i="4" s="1"/>
  <c r="Q131" i="4" s="1"/>
  <c r="C14" i="18"/>
  <c r="E14" i="18" s="1"/>
  <c r="D130" i="3"/>
  <c r="N130" i="3" s="1"/>
  <c r="O130" i="3" s="1"/>
  <c r="T250" i="2"/>
  <c r="D130" i="27"/>
  <c r="D130" i="19"/>
  <c r="D125" i="19"/>
  <c r="T245" i="2"/>
  <c r="D125" i="3"/>
  <c r="N125" i="3" s="1"/>
  <c r="O125" i="3" s="1"/>
  <c r="O132" i="3" s="1"/>
  <c r="D125" i="27"/>
  <c r="I14" i="18" l="1"/>
  <c r="K14" i="18" s="1"/>
  <c r="P122" i="4"/>
  <c r="Q122" i="4" s="1"/>
  <c r="Q132" i="4" s="1"/>
  <c r="B123" i="1" l="1"/>
  <c r="B124" i="1"/>
  <c r="B125" i="1"/>
  <c r="B126" i="1"/>
  <c r="B127" i="1"/>
  <c r="B128" i="1"/>
  <c r="B129" i="1"/>
  <c r="B130" i="1"/>
  <c r="B131" i="1"/>
  <c r="B122" i="1"/>
  <c r="C122" i="1"/>
  <c r="C123" i="1"/>
  <c r="C124" i="1"/>
  <c r="C125" i="1"/>
  <c r="C126" i="1"/>
  <c r="C127" i="1"/>
  <c r="C128" i="1"/>
  <c r="C129" i="1"/>
  <c r="C130" i="1"/>
  <c r="C131" i="1"/>
  <c r="H144" i="27"/>
  <c r="G144" i="27"/>
  <c r="H143" i="27"/>
  <c r="G143" i="27"/>
  <c r="H142" i="27"/>
  <c r="G142" i="27"/>
  <c r="H141" i="27"/>
  <c r="G141" i="27"/>
  <c r="H136" i="27"/>
  <c r="G136" i="27"/>
  <c r="H135" i="27"/>
  <c r="G135" i="27"/>
  <c r="H134" i="27"/>
  <c r="G134" i="27"/>
  <c r="H133" i="27"/>
  <c r="H145" i="27" s="1"/>
  <c r="G133" i="27"/>
  <c r="G145" i="27" s="1"/>
  <c r="H132" i="27"/>
  <c r="G132" i="27"/>
  <c r="H131" i="27"/>
  <c r="G131" i="27"/>
  <c r="H130" i="27"/>
  <c r="G130" i="27"/>
  <c r="H129" i="27"/>
  <c r="G129" i="27"/>
  <c r="H128" i="27"/>
  <c r="H140" i="27" s="1"/>
  <c r="G128" i="27"/>
  <c r="G140" i="27" s="1"/>
  <c r="H127" i="27"/>
  <c r="H139" i="27" s="1"/>
  <c r="G127" i="27"/>
  <c r="G139" i="27" s="1"/>
  <c r="H126" i="27"/>
  <c r="H138" i="27" s="1"/>
  <c r="G126" i="27"/>
  <c r="G138" i="27" s="1"/>
  <c r="H125" i="27"/>
  <c r="H137" i="27" s="1"/>
  <c r="G125" i="27"/>
  <c r="G137" i="27" s="1"/>
  <c r="H124" i="27"/>
  <c r="G124" i="27"/>
  <c r="H123" i="27"/>
  <c r="G123" i="27"/>
  <c r="H122" i="27"/>
  <c r="G122" i="27"/>
  <c r="F123" i="19"/>
  <c r="G123" i="19"/>
  <c r="F124" i="19"/>
  <c r="F136" i="19" s="1"/>
  <c r="G124" i="19"/>
  <c r="G136" i="19" s="1"/>
  <c r="F125" i="19"/>
  <c r="F137" i="19" s="1"/>
  <c r="G125" i="19"/>
  <c r="G137" i="19" s="1"/>
  <c r="F126" i="19"/>
  <c r="F138" i="19" s="1"/>
  <c r="G126" i="19"/>
  <c r="G138" i="19" s="1"/>
  <c r="F127" i="19"/>
  <c r="F139" i="19" s="1"/>
  <c r="G127" i="19"/>
  <c r="G139" i="19" s="1"/>
  <c r="F128" i="19"/>
  <c r="G128" i="19"/>
  <c r="F129" i="19"/>
  <c r="G129" i="19"/>
  <c r="F130" i="19"/>
  <c r="G130" i="19"/>
  <c r="F131" i="19"/>
  <c r="G131" i="19"/>
  <c r="F132" i="19"/>
  <c r="F144" i="19" s="1"/>
  <c r="G132" i="19"/>
  <c r="G144" i="19" s="1"/>
  <c r="F133" i="19"/>
  <c r="F145" i="19" s="1"/>
  <c r="G133" i="19"/>
  <c r="G145" i="19" s="1"/>
  <c r="F134" i="19"/>
  <c r="G134" i="19"/>
  <c r="F135" i="19"/>
  <c r="G135" i="19"/>
  <c r="F140" i="19"/>
  <c r="G140" i="19"/>
  <c r="F141" i="19"/>
  <c r="G141" i="19"/>
  <c r="F142" i="19"/>
  <c r="G142" i="19"/>
  <c r="F143" i="19"/>
  <c r="G143" i="19"/>
  <c r="G122" i="19"/>
  <c r="F122" i="19"/>
  <c r="B49" i="34" l="1"/>
  <c r="B48" i="34"/>
  <c r="B47" i="34"/>
  <c r="B46" i="34"/>
  <c r="B45" i="34"/>
  <c r="B40" i="34"/>
  <c r="B39" i="34"/>
  <c r="B28" i="34"/>
  <c r="B27" i="34"/>
  <c r="B26" i="34"/>
  <c r="B25" i="34"/>
  <c r="B24" i="34"/>
  <c r="O28" i="11" l="1"/>
  <c r="P28" i="11"/>
  <c r="Q28" i="11"/>
  <c r="R28" i="11"/>
  <c r="N28" i="11"/>
  <c r="O14" i="11"/>
  <c r="P14" i="11"/>
  <c r="Q14" i="11"/>
  <c r="R14" i="11"/>
  <c r="N14" i="11"/>
  <c r="N72" i="11"/>
  <c r="E21" i="24"/>
  <c r="F21" i="24"/>
  <c r="G21" i="24"/>
  <c r="D21" i="24"/>
  <c r="I103" i="23"/>
  <c r="G121" i="23"/>
  <c r="H121" i="23"/>
  <c r="F121" i="23"/>
  <c r="F125" i="23"/>
  <c r="F15" i="23"/>
  <c r="G15" i="23"/>
  <c r="G105" i="23"/>
  <c r="D4" i="23"/>
  <c r="D3" i="23"/>
  <c r="E4" i="23"/>
  <c r="E3" i="23"/>
  <c r="M42" i="23"/>
  <c r="M36" i="23"/>
  <c r="DF21" i="2" l="1"/>
  <c r="DG21" i="2"/>
  <c r="DH21" i="2"/>
  <c r="DI21" i="2"/>
  <c r="DJ21" i="2"/>
  <c r="DK21" i="2"/>
  <c r="DL21" i="2"/>
  <c r="DM21" i="2"/>
  <c r="DN21" i="2"/>
  <c r="DO21" i="2"/>
  <c r="DP21" i="2"/>
  <c r="DF22" i="2"/>
  <c r="DG22" i="2"/>
  <c r="DH22" i="2"/>
  <c r="DI22" i="2"/>
  <c r="DJ22" i="2"/>
  <c r="DK22" i="2"/>
  <c r="DL22" i="2"/>
  <c r="DM22" i="2"/>
  <c r="DN22" i="2"/>
  <c r="DO22" i="2"/>
  <c r="DP22" i="2"/>
  <c r="DF23" i="2"/>
  <c r="DG23" i="2"/>
  <c r="DH23" i="2"/>
  <c r="DI23" i="2"/>
  <c r="DJ23" i="2"/>
  <c r="DK23" i="2"/>
  <c r="DL23" i="2"/>
  <c r="DM23" i="2"/>
  <c r="DN23" i="2"/>
  <c r="DO23" i="2"/>
  <c r="DP23" i="2"/>
  <c r="DF24" i="2"/>
  <c r="DG24" i="2"/>
  <c r="DH24" i="2"/>
  <c r="DI24" i="2"/>
  <c r="DJ24" i="2"/>
  <c r="DK24" i="2"/>
  <c r="DL24" i="2"/>
  <c r="DM24" i="2"/>
  <c r="DN24" i="2"/>
  <c r="DO24" i="2"/>
  <c r="DP24" i="2"/>
  <c r="DF25" i="2"/>
  <c r="DG25" i="2"/>
  <c r="DH25" i="2"/>
  <c r="DI25" i="2"/>
  <c r="DJ25" i="2"/>
  <c r="DK25" i="2"/>
  <c r="DL25" i="2"/>
  <c r="DM25" i="2"/>
  <c r="DN25" i="2"/>
  <c r="DO25" i="2"/>
  <c r="DP25" i="2"/>
  <c r="DF26" i="2"/>
  <c r="DG26" i="2"/>
  <c r="DH26" i="2"/>
  <c r="DI26" i="2"/>
  <c r="DJ26" i="2"/>
  <c r="DK26" i="2"/>
  <c r="DL26" i="2"/>
  <c r="DM26" i="2"/>
  <c r="DN26" i="2"/>
  <c r="DO26" i="2"/>
  <c r="DP26" i="2"/>
  <c r="DF27" i="2"/>
  <c r="DG27" i="2"/>
  <c r="DH27" i="2"/>
  <c r="DI27" i="2"/>
  <c r="DJ27" i="2"/>
  <c r="DK27" i="2"/>
  <c r="DL27" i="2"/>
  <c r="DM27" i="2"/>
  <c r="DN27" i="2"/>
  <c r="DO27" i="2"/>
  <c r="DP27" i="2"/>
  <c r="DF28" i="2"/>
  <c r="DG28" i="2"/>
  <c r="DH28" i="2"/>
  <c r="DI28" i="2"/>
  <c r="DJ28" i="2"/>
  <c r="DK28" i="2"/>
  <c r="DL28" i="2"/>
  <c r="DM28" i="2"/>
  <c r="DN28" i="2"/>
  <c r="DO28" i="2"/>
  <c r="DP28" i="2"/>
  <c r="DF29" i="2"/>
  <c r="DG29" i="2"/>
  <c r="DH29" i="2"/>
  <c r="DI29" i="2"/>
  <c r="DJ29" i="2"/>
  <c r="DK29" i="2"/>
  <c r="DL29" i="2"/>
  <c r="DM29" i="2"/>
  <c r="DN29" i="2"/>
  <c r="DO29" i="2"/>
  <c r="DP29" i="2"/>
  <c r="DF30" i="2"/>
  <c r="DG30" i="2"/>
  <c r="DH30" i="2"/>
  <c r="DI30" i="2"/>
  <c r="DJ30" i="2"/>
  <c r="DK30" i="2"/>
  <c r="DL30" i="2"/>
  <c r="DM30" i="2"/>
  <c r="DN30" i="2"/>
  <c r="DO30" i="2"/>
  <c r="DP30" i="2"/>
  <c r="DF31" i="2"/>
  <c r="DG31" i="2"/>
  <c r="DH31" i="2"/>
  <c r="DI31" i="2"/>
  <c r="DJ31" i="2"/>
  <c r="DK31" i="2"/>
  <c r="DL31" i="2"/>
  <c r="DM31" i="2"/>
  <c r="DN31" i="2"/>
  <c r="DO31" i="2"/>
  <c r="DP31" i="2"/>
  <c r="DE22" i="2"/>
  <c r="DE23" i="2"/>
  <c r="DE24" i="2"/>
  <c r="DE25" i="2"/>
  <c r="DE26" i="2"/>
  <c r="DE27" i="2"/>
  <c r="DE28" i="2"/>
  <c r="DE29" i="2"/>
  <c r="DE30" i="2"/>
  <c r="DE31" i="2"/>
  <c r="DE21" i="2"/>
  <c r="DF5" i="2"/>
  <c r="DG5" i="2"/>
  <c r="DH5" i="2"/>
  <c r="DI5" i="2"/>
  <c r="DJ5" i="2"/>
  <c r="DK5" i="2"/>
  <c r="DL5" i="2"/>
  <c r="DM5" i="2"/>
  <c r="DN5" i="2"/>
  <c r="DO5" i="2"/>
  <c r="DP5" i="2"/>
  <c r="DF6" i="2"/>
  <c r="DG6" i="2"/>
  <c r="DH6" i="2"/>
  <c r="DI6" i="2"/>
  <c r="DJ6" i="2"/>
  <c r="DK6" i="2"/>
  <c r="DL6" i="2"/>
  <c r="DM6" i="2"/>
  <c r="DN6" i="2"/>
  <c r="DO6" i="2"/>
  <c r="DP6" i="2"/>
  <c r="DF7" i="2"/>
  <c r="DG7" i="2"/>
  <c r="DH7" i="2"/>
  <c r="DI7" i="2"/>
  <c r="DJ7" i="2"/>
  <c r="DK7" i="2"/>
  <c r="DL7" i="2"/>
  <c r="DM7" i="2"/>
  <c r="DN7" i="2"/>
  <c r="DO7" i="2"/>
  <c r="DP7" i="2"/>
  <c r="DF8" i="2"/>
  <c r="DG8" i="2"/>
  <c r="DH8" i="2"/>
  <c r="DI8" i="2"/>
  <c r="DJ8" i="2"/>
  <c r="DK8" i="2"/>
  <c r="DL8" i="2"/>
  <c r="DM8" i="2"/>
  <c r="DN8" i="2"/>
  <c r="DO8" i="2"/>
  <c r="DP8" i="2"/>
  <c r="DF9" i="2"/>
  <c r="DG9" i="2"/>
  <c r="DH9" i="2"/>
  <c r="DI9" i="2"/>
  <c r="DJ9" i="2"/>
  <c r="DK9" i="2"/>
  <c r="DL9" i="2"/>
  <c r="DM9" i="2"/>
  <c r="DN9" i="2"/>
  <c r="DO9" i="2"/>
  <c r="DP9" i="2"/>
  <c r="DF10" i="2"/>
  <c r="DG10" i="2"/>
  <c r="DH10" i="2"/>
  <c r="DI10" i="2"/>
  <c r="DJ10" i="2"/>
  <c r="DK10" i="2"/>
  <c r="DL10" i="2"/>
  <c r="DM10" i="2"/>
  <c r="DN10" i="2"/>
  <c r="DO10" i="2"/>
  <c r="DP10" i="2"/>
  <c r="DF11" i="2"/>
  <c r="DG11" i="2"/>
  <c r="DH11" i="2"/>
  <c r="DI11" i="2"/>
  <c r="DJ11" i="2"/>
  <c r="DK11" i="2"/>
  <c r="DL11" i="2"/>
  <c r="DM11" i="2"/>
  <c r="DN11" i="2"/>
  <c r="DO11" i="2"/>
  <c r="DP11" i="2"/>
  <c r="DF12" i="2"/>
  <c r="DG12" i="2"/>
  <c r="DH12" i="2"/>
  <c r="DI12" i="2"/>
  <c r="DJ12" i="2"/>
  <c r="DK12" i="2"/>
  <c r="DL12" i="2"/>
  <c r="DM12" i="2"/>
  <c r="DN12" i="2"/>
  <c r="DO12" i="2"/>
  <c r="DP12" i="2"/>
  <c r="DF13" i="2"/>
  <c r="DG13" i="2"/>
  <c r="DH13" i="2"/>
  <c r="DI13" i="2"/>
  <c r="DJ13" i="2"/>
  <c r="DK13" i="2"/>
  <c r="DL13" i="2"/>
  <c r="DM13" i="2"/>
  <c r="DN13" i="2"/>
  <c r="DO13" i="2"/>
  <c r="DP13" i="2"/>
  <c r="DF14" i="2"/>
  <c r="DG14" i="2"/>
  <c r="DH14" i="2"/>
  <c r="DI14" i="2"/>
  <c r="DJ14" i="2"/>
  <c r="DK14" i="2"/>
  <c r="DL14" i="2"/>
  <c r="DM14" i="2"/>
  <c r="DN14" i="2"/>
  <c r="DO14" i="2"/>
  <c r="DP14" i="2"/>
  <c r="DF15" i="2"/>
  <c r="DG15" i="2"/>
  <c r="DH15" i="2"/>
  <c r="DI15" i="2"/>
  <c r="DJ15" i="2"/>
  <c r="DK15" i="2"/>
  <c r="DL15" i="2"/>
  <c r="DM15" i="2"/>
  <c r="DN15" i="2"/>
  <c r="DO15" i="2"/>
  <c r="DP15" i="2"/>
  <c r="DE6" i="2"/>
  <c r="DE7" i="2"/>
  <c r="DE8" i="2"/>
  <c r="DE9" i="2"/>
  <c r="DE10" i="2"/>
  <c r="DE11" i="2"/>
  <c r="DE12" i="2"/>
  <c r="DE13" i="2"/>
  <c r="DE14" i="2"/>
  <c r="DE15" i="2"/>
  <c r="DE5" i="2"/>
  <c r="DD20" i="2"/>
  <c r="DI37" i="2" s="1"/>
  <c r="DD4" i="2"/>
  <c r="DD23" i="2"/>
  <c r="DD24" i="2" s="1"/>
  <c r="DD25" i="2" s="1"/>
  <c r="DD26" i="2" s="1"/>
  <c r="DD27" i="2" s="1"/>
  <c r="DD28" i="2" s="1"/>
  <c r="DD29" i="2" s="1"/>
  <c r="DD30" i="2" s="1"/>
  <c r="DD31" i="2" s="1"/>
  <c r="DD22" i="2"/>
  <c r="DD8" i="2"/>
  <c r="DD9" i="2" s="1"/>
  <c r="DD10" i="2" s="1"/>
  <c r="DD11" i="2" s="1"/>
  <c r="DD12" i="2" s="1"/>
  <c r="DD13" i="2" s="1"/>
  <c r="DD14" i="2" s="1"/>
  <c r="DD15" i="2" s="1"/>
  <c r="DD7" i="2"/>
  <c r="DD6" i="2"/>
  <c r="DF4" i="2"/>
  <c r="DH37" i="2"/>
  <c r="CJ2" i="1"/>
  <c r="CK2" i="1"/>
  <c r="CJ3" i="1"/>
  <c r="CK3" i="1"/>
  <c r="CJ4" i="1"/>
  <c r="CK4" i="1"/>
  <c r="CJ5" i="1"/>
  <c r="CK5" i="1"/>
  <c r="CJ6" i="1"/>
  <c r="CK6" i="1"/>
  <c r="CJ7" i="1"/>
  <c r="CK7" i="1"/>
  <c r="CJ8" i="1"/>
  <c r="CK8" i="1"/>
  <c r="CJ9" i="1"/>
  <c r="CK9" i="1"/>
  <c r="CJ10" i="1"/>
  <c r="CK10" i="1"/>
  <c r="CJ11" i="1"/>
  <c r="CK11" i="1"/>
  <c r="CJ12" i="1"/>
  <c r="CK12" i="1"/>
  <c r="CJ13" i="1"/>
  <c r="CK13" i="1"/>
  <c r="CJ14" i="1"/>
  <c r="CK14" i="1"/>
  <c r="CJ15" i="1"/>
  <c r="CK15" i="1"/>
  <c r="CJ16" i="1"/>
  <c r="CK16" i="1"/>
  <c r="CJ17" i="1"/>
  <c r="CK17" i="1"/>
  <c r="CJ18" i="1"/>
  <c r="CK18" i="1"/>
  <c r="CJ19" i="1"/>
  <c r="CK19" i="1"/>
  <c r="CJ20" i="1"/>
  <c r="CK20" i="1"/>
  <c r="CJ21" i="1"/>
  <c r="CK21" i="1"/>
  <c r="CJ22" i="1"/>
  <c r="CK22" i="1"/>
  <c r="CJ23" i="1"/>
  <c r="CK23" i="1"/>
  <c r="CJ24" i="1"/>
  <c r="CK24" i="1"/>
  <c r="CJ25" i="1"/>
  <c r="CK25" i="1"/>
  <c r="CJ26" i="1"/>
  <c r="CK26" i="1"/>
  <c r="CJ27" i="1"/>
  <c r="CK27" i="1"/>
  <c r="CJ28" i="1"/>
  <c r="CK28" i="1"/>
  <c r="CJ29" i="1"/>
  <c r="CK29" i="1"/>
  <c r="CJ30" i="1"/>
  <c r="CK30" i="1"/>
  <c r="CJ31" i="1"/>
  <c r="CK31" i="1"/>
  <c r="CJ32" i="1"/>
  <c r="CK32" i="1"/>
  <c r="CJ33" i="1"/>
  <c r="CK33" i="1"/>
  <c r="CJ34" i="1"/>
  <c r="CK34" i="1"/>
  <c r="CJ35" i="1"/>
  <c r="CK35" i="1"/>
  <c r="CJ36" i="1"/>
  <c r="CK36" i="1"/>
  <c r="CJ37" i="1"/>
  <c r="CK37" i="1"/>
  <c r="CJ38" i="1"/>
  <c r="CK38" i="1"/>
  <c r="CJ39" i="1"/>
  <c r="CK39" i="1"/>
  <c r="CJ40" i="1"/>
  <c r="CK40" i="1"/>
  <c r="CJ41" i="1"/>
  <c r="CK41" i="1"/>
  <c r="CJ42" i="1"/>
  <c r="CK42" i="1"/>
  <c r="CJ43" i="1"/>
  <c r="CK43" i="1"/>
  <c r="CJ44" i="1"/>
  <c r="CK44" i="1"/>
  <c r="CJ45" i="1"/>
  <c r="CK45" i="1"/>
  <c r="CJ46" i="1"/>
  <c r="CK46" i="1"/>
  <c r="CJ47" i="1"/>
  <c r="CK47" i="1"/>
  <c r="CJ48" i="1"/>
  <c r="CK48" i="1"/>
  <c r="CJ49" i="1"/>
  <c r="CK49" i="1"/>
  <c r="CJ50" i="1"/>
  <c r="CK50" i="1"/>
  <c r="CJ51" i="1"/>
  <c r="CK51" i="1"/>
  <c r="CJ52" i="1"/>
  <c r="CK52" i="1"/>
  <c r="CJ53" i="1"/>
  <c r="CK53" i="1"/>
  <c r="CJ54" i="1"/>
  <c r="CK54" i="1"/>
  <c r="CJ55" i="1"/>
  <c r="CK55" i="1"/>
  <c r="CJ56" i="1"/>
  <c r="CK56" i="1"/>
  <c r="CJ57" i="1"/>
  <c r="CK57" i="1"/>
  <c r="CJ58" i="1"/>
  <c r="CK58" i="1"/>
  <c r="CJ59" i="1"/>
  <c r="CK59" i="1"/>
  <c r="CJ60" i="1"/>
  <c r="CK60" i="1"/>
  <c r="CJ61" i="1"/>
  <c r="CK61" i="1"/>
  <c r="CJ62" i="1"/>
  <c r="CK62" i="1"/>
  <c r="CJ63" i="1"/>
  <c r="CK63" i="1"/>
  <c r="CJ64" i="1"/>
  <c r="CK64" i="1"/>
  <c r="CJ65" i="1"/>
  <c r="CK65" i="1"/>
  <c r="CJ66" i="1"/>
  <c r="CK66" i="1"/>
  <c r="CJ67" i="1"/>
  <c r="CK67" i="1"/>
  <c r="CJ68" i="1"/>
  <c r="CK68" i="1"/>
  <c r="CJ69" i="1"/>
  <c r="CK69" i="1"/>
  <c r="CJ70" i="1"/>
  <c r="CK70" i="1"/>
  <c r="CJ71" i="1"/>
  <c r="CK71" i="1"/>
  <c r="CJ72" i="1"/>
  <c r="CK72" i="1"/>
  <c r="CJ73" i="1"/>
  <c r="CK73" i="1"/>
  <c r="CJ74" i="1"/>
  <c r="CK74" i="1"/>
  <c r="CJ75" i="1"/>
  <c r="CK75" i="1"/>
  <c r="CJ76" i="1"/>
  <c r="CK76" i="1"/>
  <c r="CJ77" i="1"/>
  <c r="CK77" i="1"/>
  <c r="CJ78" i="1"/>
  <c r="CK78" i="1"/>
  <c r="CJ79" i="1"/>
  <c r="CK79" i="1"/>
  <c r="CJ80" i="1"/>
  <c r="CK80" i="1"/>
  <c r="CJ81" i="1"/>
  <c r="CK81" i="1"/>
  <c r="CJ82" i="1"/>
  <c r="CK82" i="1"/>
  <c r="CJ83" i="1"/>
  <c r="CK83" i="1"/>
  <c r="CJ84" i="1"/>
  <c r="CK84" i="1"/>
  <c r="CJ85" i="1"/>
  <c r="CK85" i="1"/>
  <c r="CJ86" i="1"/>
  <c r="CK86" i="1"/>
  <c r="CJ87" i="1"/>
  <c r="CK87" i="1"/>
  <c r="CJ88" i="1"/>
  <c r="CK88" i="1"/>
  <c r="CJ89" i="1"/>
  <c r="CK89" i="1"/>
  <c r="CJ90" i="1"/>
  <c r="CK90" i="1"/>
  <c r="CJ91" i="1"/>
  <c r="CK91" i="1"/>
  <c r="CJ92" i="1"/>
  <c r="CK92" i="1"/>
  <c r="CJ93" i="1"/>
  <c r="CK93" i="1"/>
  <c r="CJ94" i="1"/>
  <c r="CK94" i="1"/>
  <c r="CJ95" i="1"/>
  <c r="CK95" i="1"/>
  <c r="CJ96" i="1"/>
  <c r="CK96" i="1"/>
  <c r="CJ97" i="1"/>
  <c r="CK97" i="1"/>
  <c r="CJ98" i="1"/>
  <c r="CK98" i="1"/>
  <c r="CJ99" i="1"/>
  <c r="CK99" i="1"/>
  <c r="CJ100" i="1"/>
  <c r="CK100" i="1"/>
  <c r="CJ101" i="1"/>
  <c r="CK101" i="1"/>
  <c r="CJ102" i="1"/>
  <c r="CK102" i="1"/>
  <c r="CJ103" i="1"/>
  <c r="CK103" i="1"/>
  <c r="CJ104" i="1"/>
  <c r="CK104" i="1"/>
  <c r="CJ105" i="1"/>
  <c r="CK105" i="1"/>
  <c r="CJ106" i="1"/>
  <c r="CK106" i="1"/>
  <c r="CJ107" i="1"/>
  <c r="CK107" i="1"/>
  <c r="CJ108" i="1"/>
  <c r="CK108" i="1"/>
  <c r="CJ109" i="1"/>
  <c r="CK109" i="1"/>
  <c r="CJ110" i="1"/>
  <c r="CK110" i="1"/>
  <c r="CJ111" i="1"/>
  <c r="CK111" i="1"/>
  <c r="CJ112" i="1"/>
  <c r="CK112" i="1"/>
  <c r="CJ113" i="1"/>
  <c r="CK113" i="1"/>
  <c r="CJ114" i="1"/>
  <c r="CK114" i="1"/>
  <c r="CJ115" i="1"/>
  <c r="CK115" i="1"/>
  <c r="CJ116" i="1"/>
  <c r="CK116" i="1"/>
  <c r="CJ117" i="1"/>
  <c r="CK117" i="1"/>
  <c r="CJ118" i="1"/>
  <c r="CK118" i="1"/>
  <c r="CJ119" i="1"/>
  <c r="CK119" i="1"/>
  <c r="CJ120" i="1"/>
  <c r="CK120" i="1"/>
  <c r="CJ121" i="1"/>
  <c r="CK121" i="1"/>
  <c r="AH2" i="1"/>
  <c r="AI2" i="1"/>
  <c r="AH3" i="1"/>
  <c r="AI3" i="1"/>
  <c r="AH4" i="1"/>
  <c r="AI4" i="1"/>
  <c r="AH5" i="1"/>
  <c r="AI5" i="1"/>
  <c r="AH6" i="1"/>
  <c r="AI6" i="1"/>
  <c r="AH7" i="1"/>
  <c r="AI7" i="1"/>
  <c r="AH8" i="1"/>
  <c r="AI8" i="1"/>
  <c r="AH9" i="1"/>
  <c r="AI9" i="1"/>
  <c r="AH10" i="1"/>
  <c r="AI10" i="1"/>
  <c r="AH11" i="1"/>
  <c r="AI11" i="1"/>
  <c r="AH12" i="1"/>
  <c r="AI12" i="1"/>
  <c r="AH13" i="1"/>
  <c r="AI13" i="1"/>
  <c r="AH14" i="1"/>
  <c r="AI14" i="1"/>
  <c r="AH15" i="1"/>
  <c r="AI15" i="1"/>
  <c r="AH16" i="1"/>
  <c r="AI16" i="1"/>
  <c r="AH17" i="1"/>
  <c r="AI17" i="1"/>
  <c r="AH18" i="1"/>
  <c r="AI18" i="1"/>
  <c r="AH19" i="1"/>
  <c r="AI19" i="1"/>
  <c r="AH20" i="1"/>
  <c r="AI20" i="1"/>
  <c r="AH21" i="1"/>
  <c r="AI21" i="1"/>
  <c r="AH22" i="1"/>
  <c r="AI22" i="1"/>
  <c r="AH23" i="1"/>
  <c r="AI23" i="1"/>
  <c r="AH24" i="1"/>
  <c r="AI24" i="1"/>
  <c r="AH25" i="1"/>
  <c r="AI25" i="1"/>
  <c r="AH26" i="1"/>
  <c r="AI26" i="1"/>
  <c r="AH27" i="1"/>
  <c r="AI27" i="1"/>
  <c r="AH28" i="1"/>
  <c r="AI28" i="1"/>
  <c r="AH29" i="1"/>
  <c r="AI29" i="1"/>
  <c r="AH30" i="1"/>
  <c r="AI30" i="1"/>
  <c r="AH31" i="1"/>
  <c r="AI31" i="1"/>
  <c r="AH32" i="1"/>
  <c r="AI32" i="1"/>
  <c r="AH33" i="1"/>
  <c r="AI33" i="1"/>
  <c r="AH34" i="1"/>
  <c r="AI34" i="1"/>
  <c r="AH35" i="1"/>
  <c r="AI35" i="1"/>
  <c r="AH36" i="1"/>
  <c r="AI36" i="1"/>
  <c r="AH37" i="1"/>
  <c r="AI37" i="1"/>
  <c r="AH38" i="1"/>
  <c r="AI38" i="1"/>
  <c r="AH39" i="1"/>
  <c r="AI39" i="1"/>
  <c r="AH40" i="1"/>
  <c r="AI40" i="1"/>
  <c r="AH41" i="1"/>
  <c r="AI41" i="1"/>
  <c r="AH42" i="1"/>
  <c r="AI42" i="1"/>
  <c r="AH43" i="1"/>
  <c r="AI43" i="1"/>
  <c r="AH44" i="1"/>
  <c r="AI44" i="1"/>
  <c r="AH45" i="1"/>
  <c r="AI45" i="1"/>
  <c r="AH46" i="1"/>
  <c r="AI46" i="1"/>
  <c r="AH47" i="1"/>
  <c r="AI47" i="1"/>
  <c r="AH48" i="1"/>
  <c r="AI48" i="1"/>
  <c r="AH49" i="1"/>
  <c r="AI49" i="1"/>
  <c r="AH50" i="1"/>
  <c r="AI50" i="1"/>
  <c r="AH51" i="1"/>
  <c r="AI51" i="1"/>
  <c r="AH52" i="1"/>
  <c r="AI52" i="1"/>
  <c r="AH53" i="1"/>
  <c r="AI53" i="1"/>
  <c r="AH54" i="1"/>
  <c r="AI54" i="1"/>
  <c r="AH55" i="1"/>
  <c r="AI55" i="1"/>
  <c r="AH56" i="1"/>
  <c r="AI56" i="1"/>
  <c r="AH57" i="1"/>
  <c r="AI57" i="1"/>
  <c r="AH58" i="1"/>
  <c r="AI58" i="1"/>
  <c r="AH59" i="1"/>
  <c r="AI59" i="1"/>
  <c r="AH60" i="1"/>
  <c r="AI60" i="1"/>
  <c r="AH61" i="1"/>
  <c r="AI61" i="1"/>
  <c r="AH62" i="1"/>
  <c r="AI62" i="1"/>
  <c r="AH63" i="1"/>
  <c r="AI63" i="1"/>
  <c r="AH64" i="1"/>
  <c r="AI64" i="1"/>
  <c r="AH65" i="1"/>
  <c r="AI65" i="1"/>
  <c r="AH66" i="1"/>
  <c r="AI66" i="1"/>
  <c r="AH67" i="1"/>
  <c r="AI67" i="1"/>
  <c r="AH68" i="1"/>
  <c r="AI68" i="1"/>
  <c r="AH69" i="1"/>
  <c r="AI69" i="1"/>
  <c r="AH70" i="1"/>
  <c r="AI70" i="1"/>
  <c r="AH71" i="1"/>
  <c r="AI71" i="1"/>
  <c r="AH72" i="1"/>
  <c r="AI72" i="1"/>
  <c r="AH73" i="1"/>
  <c r="AI73" i="1"/>
  <c r="AH74" i="1"/>
  <c r="AI74" i="1"/>
  <c r="AH75" i="1"/>
  <c r="AI75" i="1"/>
  <c r="AH76" i="1"/>
  <c r="AI76" i="1"/>
  <c r="AH77" i="1"/>
  <c r="AI77" i="1"/>
  <c r="AH78" i="1"/>
  <c r="AI78" i="1"/>
  <c r="AH79" i="1"/>
  <c r="AI79" i="1"/>
  <c r="AH80" i="1"/>
  <c r="AI80" i="1"/>
  <c r="AH81" i="1"/>
  <c r="AI81" i="1"/>
  <c r="AH82" i="1"/>
  <c r="AI82" i="1"/>
  <c r="AH83" i="1"/>
  <c r="AI83" i="1"/>
  <c r="AH84" i="1"/>
  <c r="AI84" i="1"/>
  <c r="AH85" i="1"/>
  <c r="AI85" i="1"/>
  <c r="AH86" i="1"/>
  <c r="AI86" i="1"/>
  <c r="AH87" i="1"/>
  <c r="AI87" i="1"/>
  <c r="AH88" i="1"/>
  <c r="AI88" i="1"/>
  <c r="AH89" i="1"/>
  <c r="AI89" i="1"/>
  <c r="AH90" i="1"/>
  <c r="AI90" i="1"/>
  <c r="AH91" i="1"/>
  <c r="AI91" i="1"/>
  <c r="AH92" i="1"/>
  <c r="AI92" i="1"/>
  <c r="AH93" i="1"/>
  <c r="AI93" i="1"/>
  <c r="AH94" i="1"/>
  <c r="AI94" i="1"/>
  <c r="AH95" i="1"/>
  <c r="AI95" i="1"/>
  <c r="AH96" i="1"/>
  <c r="AI96" i="1"/>
  <c r="AH97" i="1"/>
  <c r="AI97" i="1"/>
  <c r="AH98" i="1"/>
  <c r="AI98" i="1"/>
  <c r="AH99" i="1"/>
  <c r="AI99" i="1"/>
  <c r="AH100" i="1"/>
  <c r="AI100" i="1"/>
  <c r="AH101" i="1"/>
  <c r="AI101" i="1"/>
  <c r="AH102" i="1"/>
  <c r="AI102" i="1"/>
  <c r="AH103" i="1"/>
  <c r="AI103" i="1"/>
  <c r="AH104" i="1"/>
  <c r="AI104" i="1"/>
  <c r="AH105" i="1"/>
  <c r="AI105" i="1"/>
  <c r="AH106" i="1"/>
  <c r="AI106" i="1"/>
  <c r="AH107" i="1"/>
  <c r="AI107" i="1"/>
  <c r="AH108" i="1"/>
  <c r="AI108" i="1"/>
  <c r="AH109" i="1"/>
  <c r="AI109" i="1"/>
  <c r="AH110" i="1"/>
  <c r="AI110" i="1"/>
  <c r="AH111" i="1"/>
  <c r="AI111" i="1"/>
  <c r="AH112" i="1"/>
  <c r="AI112" i="1"/>
  <c r="AH113" i="1"/>
  <c r="AI113" i="1"/>
  <c r="AH114" i="1"/>
  <c r="AI114" i="1"/>
  <c r="AH115" i="1"/>
  <c r="AI115" i="1"/>
  <c r="AH116" i="1"/>
  <c r="AI116" i="1"/>
  <c r="AH117" i="1"/>
  <c r="AI117" i="1"/>
  <c r="AH118" i="1"/>
  <c r="AI118" i="1"/>
  <c r="AH119" i="1"/>
  <c r="AI119" i="1"/>
  <c r="AH120" i="1"/>
  <c r="AI120" i="1"/>
  <c r="AH121" i="1"/>
  <c r="AI121" i="1"/>
  <c r="DE33" i="2" l="1"/>
  <c r="DI38" i="2" s="1"/>
  <c r="DG4" i="2"/>
  <c r="DE17" i="2"/>
  <c r="DH38" i="2" s="1"/>
  <c r="B37" i="33"/>
  <c r="B36" i="33"/>
  <c r="B35" i="33"/>
  <c r="B34" i="33"/>
  <c r="B33" i="33"/>
  <c r="B28" i="33"/>
  <c r="B27" i="33"/>
  <c r="B16" i="33"/>
  <c r="B15" i="33"/>
  <c r="B14" i="33"/>
  <c r="B13" i="33"/>
  <c r="B12" i="33"/>
  <c r="DH4" i="2" l="1"/>
  <c r="DF33" i="2"/>
  <c r="DI39" i="2" s="1"/>
  <c r="DF17" i="2"/>
  <c r="DH39" i="2" s="1"/>
  <c r="K145" i="31"/>
  <c r="H145" i="31"/>
  <c r="K144" i="31"/>
  <c r="H144" i="31"/>
  <c r="K143" i="31"/>
  <c r="H143" i="31"/>
  <c r="K142" i="31"/>
  <c r="H142" i="31"/>
  <c r="K141" i="31"/>
  <c r="H141" i="31"/>
  <c r="K140" i="31"/>
  <c r="H140" i="31"/>
  <c r="K139" i="31"/>
  <c r="H139" i="31"/>
  <c r="K138" i="31"/>
  <c r="H138" i="31"/>
  <c r="K137" i="31"/>
  <c r="H137" i="31"/>
  <c r="K136" i="31"/>
  <c r="H136" i="31"/>
  <c r="K135" i="31"/>
  <c r="H135" i="31"/>
  <c r="K134" i="31"/>
  <c r="H134" i="31"/>
  <c r="K133" i="31"/>
  <c r="H133" i="31"/>
  <c r="K132" i="31"/>
  <c r="H132" i="31"/>
  <c r="K131" i="31"/>
  <c r="H131" i="31"/>
  <c r="G131" i="31"/>
  <c r="K130" i="31"/>
  <c r="H130" i="31"/>
  <c r="K129" i="31"/>
  <c r="H129" i="31"/>
  <c r="K128" i="31"/>
  <c r="H128" i="31"/>
  <c r="K127" i="31"/>
  <c r="H127" i="31"/>
  <c r="F127" i="31"/>
  <c r="K126" i="31"/>
  <c r="H126" i="31"/>
  <c r="K125" i="31"/>
  <c r="H125" i="31"/>
  <c r="K124" i="31"/>
  <c r="H124" i="31"/>
  <c r="K123" i="31"/>
  <c r="H123" i="31"/>
  <c r="K122" i="31"/>
  <c r="H122" i="31"/>
  <c r="K121" i="31"/>
  <c r="H121" i="31"/>
  <c r="G121" i="31"/>
  <c r="N121" i="31" s="1"/>
  <c r="F121" i="31"/>
  <c r="F133" i="31" s="1"/>
  <c r="M133" i="31" s="1"/>
  <c r="A121" i="31"/>
  <c r="K120" i="31"/>
  <c r="H120" i="31"/>
  <c r="G120" i="31"/>
  <c r="G132" i="31" s="1"/>
  <c r="F120" i="31"/>
  <c r="F132" i="31" s="1"/>
  <c r="A120" i="31"/>
  <c r="K119" i="31"/>
  <c r="H119" i="31"/>
  <c r="G119" i="31"/>
  <c r="N119" i="31" s="1"/>
  <c r="F119" i="31"/>
  <c r="A119" i="31"/>
  <c r="K118" i="31"/>
  <c r="H118" i="31"/>
  <c r="G118" i="31"/>
  <c r="N118" i="31" s="1"/>
  <c r="F118" i="31"/>
  <c r="M118" i="31" s="1"/>
  <c r="A118" i="31"/>
  <c r="K117" i="31"/>
  <c r="H117" i="31"/>
  <c r="G117" i="31"/>
  <c r="N117" i="31" s="1"/>
  <c r="F117" i="31"/>
  <c r="A117" i="31"/>
  <c r="K116" i="31"/>
  <c r="H116" i="31"/>
  <c r="G116" i="31"/>
  <c r="N116" i="31" s="1"/>
  <c r="F116" i="31"/>
  <c r="F128" i="31" s="1"/>
  <c r="A116" i="31"/>
  <c r="K115" i="31"/>
  <c r="H115" i="31"/>
  <c r="G115" i="31"/>
  <c r="N115" i="31" s="1"/>
  <c r="F115" i="31"/>
  <c r="M115" i="31" s="1"/>
  <c r="A115" i="31"/>
  <c r="K114" i="31"/>
  <c r="H114" i="31"/>
  <c r="G114" i="31"/>
  <c r="N114" i="31" s="1"/>
  <c r="F114" i="31"/>
  <c r="A114" i="31"/>
  <c r="K113" i="31"/>
  <c r="H113" i="31"/>
  <c r="G113" i="31"/>
  <c r="N113" i="31" s="1"/>
  <c r="F113" i="31"/>
  <c r="F125" i="31" s="1"/>
  <c r="A113" i="31"/>
  <c r="K112" i="31"/>
  <c r="H112" i="31"/>
  <c r="G112" i="31"/>
  <c r="N112" i="31" s="1"/>
  <c r="F112" i="31"/>
  <c r="F124" i="31" s="1"/>
  <c r="M124" i="31" s="1"/>
  <c r="A112" i="31"/>
  <c r="K111" i="31"/>
  <c r="H111" i="31"/>
  <c r="G111" i="31"/>
  <c r="N111" i="31" s="1"/>
  <c r="F111" i="31"/>
  <c r="F123" i="31" s="1"/>
  <c r="F135" i="31" s="1"/>
  <c r="M135" i="31" s="1"/>
  <c r="A111" i="31"/>
  <c r="K110" i="31"/>
  <c r="H110" i="31"/>
  <c r="G110" i="31"/>
  <c r="N110" i="31" s="1"/>
  <c r="F110" i="31"/>
  <c r="F122" i="31" s="1"/>
  <c r="A110" i="31"/>
  <c r="K109" i="31"/>
  <c r="H109" i="31"/>
  <c r="G109" i="31"/>
  <c r="N109" i="31" s="1"/>
  <c r="F109" i="31"/>
  <c r="M109" i="31" s="1"/>
  <c r="A109" i="31"/>
  <c r="K108" i="31"/>
  <c r="H108" i="31"/>
  <c r="G108" i="31"/>
  <c r="N108" i="31" s="1"/>
  <c r="F108" i="31"/>
  <c r="M108" i="31" s="1"/>
  <c r="A108" i="31"/>
  <c r="K107" i="31"/>
  <c r="H107" i="31"/>
  <c r="G107" i="31"/>
  <c r="N107" i="31" s="1"/>
  <c r="F107" i="31"/>
  <c r="M107" i="31" s="1"/>
  <c r="A107" i="31"/>
  <c r="K106" i="31"/>
  <c r="H106" i="31"/>
  <c r="G106" i="31"/>
  <c r="N106" i="31" s="1"/>
  <c r="F106" i="31"/>
  <c r="M106" i="31" s="1"/>
  <c r="A106" i="31"/>
  <c r="K105" i="31"/>
  <c r="H105" i="31"/>
  <c r="G105" i="31"/>
  <c r="N105" i="31" s="1"/>
  <c r="F105" i="31"/>
  <c r="M105" i="31" s="1"/>
  <c r="A105" i="31"/>
  <c r="K104" i="31"/>
  <c r="H104" i="31"/>
  <c r="G104" i="31"/>
  <c r="N104" i="31" s="1"/>
  <c r="F104" i="31"/>
  <c r="M104" i="31" s="1"/>
  <c r="A104" i="31"/>
  <c r="K103" i="31"/>
  <c r="H103" i="31"/>
  <c r="G103" i="31"/>
  <c r="N103" i="31" s="1"/>
  <c r="F103" i="31"/>
  <c r="M103" i="31" s="1"/>
  <c r="A103" i="31"/>
  <c r="K102" i="31"/>
  <c r="H102" i="31"/>
  <c r="G102" i="31"/>
  <c r="N102" i="31" s="1"/>
  <c r="F102" i="31"/>
  <c r="M102" i="31" s="1"/>
  <c r="A102" i="31"/>
  <c r="K101" i="31"/>
  <c r="H101" i="31"/>
  <c r="G101" i="31"/>
  <c r="N101" i="31" s="1"/>
  <c r="F101" i="31"/>
  <c r="M101" i="31" s="1"/>
  <c r="A101" i="31"/>
  <c r="K100" i="31"/>
  <c r="H100" i="31"/>
  <c r="G100" i="31"/>
  <c r="N100" i="31" s="1"/>
  <c r="F100" i="31"/>
  <c r="M100" i="31" s="1"/>
  <c r="A100" i="31"/>
  <c r="K99" i="31"/>
  <c r="H99" i="31"/>
  <c r="G99" i="31"/>
  <c r="N99" i="31" s="1"/>
  <c r="F99" i="31"/>
  <c r="M99" i="31" s="1"/>
  <c r="A99" i="31"/>
  <c r="K98" i="31"/>
  <c r="H98" i="31"/>
  <c r="G98" i="31"/>
  <c r="N98" i="31" s="1"/>
  <c r="F98" i="31"/>
  <c r="M98" i="31" s="1"/>
  <c r="A98" i="31"/>
  <c r="K97" i="31"/>
  <c r="H97" i="31"/>
  <c r="G97" i="31"/>
  <c r="N97" i="31" s="1"/>
  <c r="F97" i="31"/>
  <c r="M97" i="31" s="1"/>
  <c r="A97" i="31"/>
  <c r="K96" i="31"/>
  <c r="H96" i="31"/>
  <c r="G96" i="31"/>
  <c r="N96" i="31" s="1"/>
  <c r="F96" i="31"/>
  <c r="M96" i="31" s="1"/>
  <c r="A96" i="31"/>
  <c r="K95" i="31"/>
  <c r="H95" i="31"/>
  <c r="G95" i="31"/>
  <c r="N95" i="31" s="1"/>
  <c r="F95" i="31"/>
  <c r="M95" i="31" s="1"/>
  <c r="A95" i="31"/>
  <c r="K94" i="31"/>
  <c r="H94" i="31"/>
  <c r="G94" i="31"/>
  <c r="N94" i="31" s="1"/>
  <c r="F94" i="31"/>
  <c r="M94" i="31" s="1"/>
  <c r="A94" i="31"/>
  <c r="K93" i="31"/>
  <c r="H93" i="31"/>
  <c r="G93" i="31"/>
  <c r="N93" i="31" s="1"/>
  <c r="F93" i="31"/>
  <c r="M93" i="31" s="1"/>
  <c r="A93" i="31"/>
  <c r="K92" i="31"/>
  <c r="H92" i="31"/>
  <c r="G92" i="31"/>
  <c r="N92" i="31" s="1"/>
  <c r="F92" i="31"/>
  <c r="M92" i="31" s="1"/>
  <c r="A92" i="31"/>
  <c r="K91" i="31"/>
  <c r="H91" i="31"/>
  <c r="G91" i="31"/>
  <c r="N91" i="31" s="1"/>
  <c r="F91" i="31"/>
  <c r="M91" i="31" s="1"/>
  <c r="A91" i="31"/>
  <c r="M90" i="31"/>
  <c r="K90" i="31"/>
  <c r="H90" i="31"/>
  <c r="G90" i="31"/>
  <c r="N90" i="31" s="1"/>
  <c r="F90" i="31"/>
  <c r="A90" i="31"/>
  <c r="K89" i="31"/>
  <c r="H89" i="31"/>
  <c r="G89" i="31"/>
  <c r="N89" i="31" s="1"/>
  <c r="F89" i="31"/>
  <c r="M89" i="31" s="1"/>
  <c r="A89" i="31"/>
  <c r="M88" i="31"/>
  <c r="K88" i="31"/>
  <c r="H88" i="31"/>
  <c r="G88" i="31"/>
  <c r="N88" i="31" s="1"/>
  <c r="F88" i="31"/>
  <c r="A88" i="31"/>
  <c r="K87" i="31"/>
  <c r="H87" i="31"/>
  <c r="G87" i="31"/>
  <c r="N87" i="31" s="1"/>
  <c r="F87" i="31"/>
  <c r="M87" i="31" s="1"/>
  <c r="A87" i="31"/>
  <c r="M86" i="31"/>
  <c r="K86" i="31"/>
  <c r="H86" i="31"/>
  <c r="G86" i="31"/>
  <c r="N86" i="31" s="1"/>
  <c r="F86" i="31"/>
  <c r="A86" i="31"/>
  <c r="K85" i="31"/>
  <c r="H85" i="31"/>
  <c r="G85" i="31"/>
  <c r="N85" i="31" s="1"/>
  <c r="F85" i="31"/>
  <c r="M85" i="31" s="1"/>
  <c r="A85" i="31"/>
  <c r="K84" i="31"/>
  <c r="H84" i="31"/>
  <c r="G84" i="31"/>
  <c r="N84" i="31" s="1"/>
  <c r="F84" i="31"/>
  <c r="M84" i="31" s="1"/>
  <c r="A84" i="31"/>
  <c r="K83" i="31"/>
  <c r="H83" i="31"/>
  <c r="G83" i="31"/>
  <c r="N83" i="31" s="1"/>
  <c r="F83" i="31"/>
  <c r="M83" i="31" s="1"/>
  <c r="A83" i="31"/>
  <c r="K82" i="31"/>
  <c r="H82" i="31"/>
  <c r="G82" i="31"/>
  <c r="N82" i="31" s="1"/>
  <c r="F82" i="31"/>
  <c r="M82" i="31" s="1"/>
  <c r="A82" i="31"/>
  <c r="K81" i="31"/>
  <c r="H81" i="31"/>
  <c r="G81" i="31"/>
  <c r="N81" i="31" s="1"/>
  <c r="F81" i="31"/>
  <c r="M81" i="31" s="1"/>
  <c r="A81" i="31"/>
  <c r="K80" i="31"/>
  <c r="H80" i="31"/>
  <c r="G80" i="31"/>
  <c r="N80" i="31" s="1"/>
  <c r="F80" i="31"/>
  <c r="M80" i="31" s="1"/>
  <c r="A80" i="31"/>
  <c r="K79" i="31"/>
  <c r="H79" i="31"/>
  <c r="G79" i="31"/>
  <c r="N79" i="31" s="1"/>
  <c r="F79" i="31"/>
  <c r="M79" i="31" s="1"/>
  <c r="A79" i="31"/>
  <c r="K78" i="31"/>
  <c r="H78" i="31"/>
  <c r="G78" i="31"/>
  <c r="N78" i="31" s="1"/>
  <c r="F78" i="31"/>
  <c r="M78" i="31" s="1"/>
  <c r="A78" i="31"/>
  <c r="M77" i="31"/>
  <c r="K77" i="31"/>
  <c r="H77" i="31"/>
  <c r="G77" i="31"/>
  <c r="N77" i="31" s="1"/>
  <c r="F77" i="31"/>
  <c r="A77" i="31"/>
  <c r="K76" i="31"/>
  <c r="H76" i="31"/>
  <c r="G76" i="31"/>
  <c r="N76" i="31" s="1"/>
  <c r="F76" i="31"/>
  <c r="M76" i="31" s="1"/>
  <c r="A76" i="31"/>
  <c r="M75" i="31"/>
  <c r="K75" i="31"/>
  <c r="H75" i="31"/>
  <c r="G75" i="31"/>
  <c r="N75" i="31" s="1"/>
  <c r="F75" i="31"/>
  <c r="A75" i="31"/>
  <c r="K74" i="31"/>
  <c r="H74" i="31"/>
  <c r="G74" i="31"/>
  <c r="N74" i="31" s="1"/>
  <c r="F74" i="31"/>
  <c r="M74" i="31" s="1"/>
  <c r="A74" i="31"/>
  <c r="M73" i="31"/>
  <c r="K73" i="31"/>
  <c r="H73" i="31"/>
  <c r="G73" i="31"/>
  <c r="N73" i="31" s="1"/>
  <c r="F73" i="31"/>
  <c r="A73" i="31"/>
  <c r="K72" i="31"/>
  <c r="H72" i="31"/>
  <c r="G72" i="31"/>
  <c r="N72" i="31" s="1"/>
  <c r="F72" i="31"/>
  <c r="M72" i="31" s="1"/>
  <c r="A72" i="31"/>
  <c r="K71" i="31"/>
  <c r="H71" i="31"/>
  <c r="G71" i="31"/>
  <c r="N71" i="31" s="1"/>
  <c r="F71" i="31"/>
  <c r="M71" i="31" s="1"/>
  <c r="A71" i="31"/>
  <c r="K70" i="31"/>
  <c r="H70" i="31"/>
  <c r="G70" i="31"/>
  <c r="N70" i="31" s="1"/>
  <c r="F70" i="31"/>
  <c r="M70" i="31" s="1"/>
  <c r="A70" i="31"/>
  <c r="K69" i="31"/>
  <c r="H69" i="31"/>
  <c r="G69" i="31"/>
  <c r="N69" i="31" s="1"/>
  <c r="F69" i="31"/>
  <c r="M69" i="31" s="1"/>
  <c r="A69" i="31"/>
  <c r="K68" i="31"/>
  <c r="H68" i="31"/>
  <c r="G68" i="31"/>
  <c r="N68" i="31" s="1"/>
  <c r="F68" i="31"/>
  <c r="M68" i="31" s="1"/>
  <c r="A68" i="31"/>
  <c r="B68" i="31" s="1"/>
  <c r="K67" i="31"/>
  <c r="H67" i="31"/>
  <c r="G67" i="31"/>
  <c r="N67" i="31" s="1"/>
  <c r="F67" i="31"/>
  <c r="M67" i="31" s="1"/>
  <c r="C67" i="31"/>
  <c r="A67" i="31"/>
  <c r="B67" i="31" s="1"/>
  <c r="K66" i="31"/>
  <c r="H66" i="31"/>
  <c r="G66" i="31"/>
  <c r="N66" i="31" s="1"/>
  <c r="F66" i="31"/>
  <c r="M66" i="31" s="1"/>
  <c r="A66" i="31"/>
  <c r="B66" i="31" s="1"/>
  <c r="K65" i="31"/>
  <c r="H65" i="31"/>
  <c r="G65" i="31"/>
  <c r="N65" i="31" s="1"/>
  <c r="F65" i="31"/>
  <c r="M65" i="31" s="1"/>
  <c r="A65" i="31"/>
  <c r="B65" i="31" s="1"/>
  <c r="K64" i="31"/>
  <c r="H64" i="31"/>
  <c r="G64" i="31"/>
  <c r="N64" i="31" s="1"/>
  <c r="F64" i="31"/>
  <c r="M64" i="31" s="1"/>
  <c r="A64" i="31"/>
  <c r="B64" i="31" s="1"/>
  <c r="K63" i="31"/>
  <c r="H63" i="31"/>
  <c r="G63" i="31"/>
  <c r="N63" i="31" s="1"/>
  <c r="F63" i="31"/>
  <c r="M63" i="31" s="1"/>
  <c r="A63" i="31"/>
  <c r="B63" i="31" s="1"/>
  <c r="K62" i="31"/>
  <c r="H62" i="31"/>
  <c r="G62" i="31"/>
  <c r="N62" i="31" s="1"/>
  <c r="F62" i="31"/>
  <c r="M62" i="31" s="1"/>
  <c r="A62" i="31"/>
  <c r="B62" i="31" s="1"/>
  <c r="K61" i="31"/>
  <c r="H61" i="31"/>
  <c r="G61" i="31"/>
  <c r="N61" i="31" s="1"/>
  <c r="F61" i="31"/>
  <c r="M61" i="31" s="1"/>
  <c r="A61" i="31"/>
  <c r="K60" i="31"/>
  <c r="H60" i="31"/>
  <c r="G60" i="31"/>
  <c r="N60" i="31" s="1"/>
  <c r="F60" i="31"/>
  <c r="M60" i="31" s="1"/>
  <c r="A60" i="31"/>
  <c r="B60" i="31" s="1"/>
  <c r="K59" i="31"/>
  <c r="H59" i="31"/>
  <c r="G59" i="31"/>
  <c r="N59" i="31" s="1"/>
  <c r="F59" i="31"/>
  <c r="M59" i="31" s="1"/>
  <c r="A59" i="31"/>
  <c r="K58" i="31"/>
  <c r="H58" i="31"/>
  <c r="G58" i="31"/>
  <c r="N58" i="31" s="1"/>
  <c r="F58" i="31"/>
  <c r="M58" i="31" s="1"/>
  <c r="A58" i="31"/>
  <c r="K57" i="31"/>
  <c r="H57" i="31"/>
  <c r="G57" i="31"/>
  <c r="N57" i="31" s="1"/>
  <c r="F57" i="31"/>
  <c r="M57" i="31" s="1"/>
  <c r="A57" i="31"/>
  <c r="C57" i="31" s="1"/>
  <c r="K56" i="31"/>
  <c r="H56" i="31"/>
  <c r="G56" i="31"/>
  <c r="N56" i="31" s="1"/>
  <c r="F56" i="31"/>
  <c r="M56" i="31" s="1"/>
  <c r="A56" i="31"/>
  <c r="C56" i="31" s="1"/>
  <c r="K55" i="31"/>
  <c r="H55" i="31"/>
  <c r="G55" i="31"/>
  <c r="N55" i="31" s="1"/>
  <c r="F55" i="31"/>
  <c r="M55" i="31" s="1"/>
  <c r="A55" i="31"/>
  <c r="B55" i="31" s="1"/>
  <c r="K54" i="31"/>
  <c r="H54" i="31"/>
  <c r="G54" i="31"/>
  <c r="N54" i="31" s="1"/>
  <c r="F54" i="31"/>
  <c r="M54" i="31" s="1"/>
  <c r="A54" i="31"/>
  <c r="B54" i="31" s="1"/>
  <c r="K53" i="31"/>
  <c r="H53" i="31"/>
  <c r="G53" i="31"/>
  <c r="N53" i="31" s="1"/>
  <c r="F53" i="31"/>
  <c r="M53" i="31" s="1"/>
  <c r="A53" i="31"/>
  <c r="B53" i="31" s="1"/>
  <c r="K52" i="31"/>
  <c r="H52" i="31"/>
  <c r="G52" i="31"/>
  <c r="N52" i="31" s="1"/>
  <c r="F52" i="31"/>
  <c r="M52" i="31" s="1"/>
  <c r="A52" i="31"/>
  <c r="B52" i="31" s="1"/>
  <c r="K51" i="31"/>
  <c r="H51" i="31"/>
  <c r="G51" i="31"/>
  <c r="N51" i="31" s="1"/>
  <c r="F51" i="31"/>
  <c r="M51" i="31" s="1"/>
  <c r="A51" i="31"/>
  <c r="B51" i="31" s="1"/>
  <c r="K50" i="31"/>
  <c r="H50" i="31"/>
  <c r="G50" i="31"/>
  <c r="N50" i="31" s="1"/>
  <c r="F50" i="31"/>
  <c r="M50" i="31" s="1"/>
  <c r="A50" i="31"/>
  <c r="B50" i="31" s="1"/>
  <c r="K49" i="31"/>
  <c r="H49" i="31"/>
  <c r="G49" i="31"/>
  <c r="N49" i="31" s="1"/>
  <c r="F49" i="31"/>
  <c r="M49" i="31" s="1"/>
  <c r="A49" i="31"/>
  <c r="B49" i="31" s="1"/>
  <c r="K48" i="31"/>
  <c r="H48" i="31"/>
  <c r="G48" i="31"/>
  <c r="N48" i="31" s="1"/>
  <c r="F48" i="31"/>
  <c r="M48" i="31" s="1"/>
  <c r="A48" i="31"/>
  <c r="B48" i="31" s="1"/>
  <c r="K47" i="31"/>
  <c r="H47" i="31"/>
  <c r="G47" i="31"/>
  <c r="N47" i="31" s="1"/>
  <c r="F47" i="31"/>
  <c r="M47" i="31" s="1"/>
  <c r="A47" i="31"/>
  <c r="K46" i="31"/>
  <c r="H46" i="31"/>
  <c r="G46" i="31"/>
  <c r="N46" i="31" s="1"/>
  <c r="F46" i="31"/>
  <c r="M46" i="31" s="1"/>
  <c r="A46" i="31"/>
  <c r="B46" i="31" s="1"/>
  <c r="N45" i="31"/>
  <c r="K45" i="31"/>
  <c r="H45" i="31"/>
  <c r="G45" i="31"/>
  <c r="F45" i="31"/>
  <c r="M45" i="31" s="1"/>
  <c r="A45" i="31"/>
  <c r="B45" i="31" s="1"/>
  <c r="K44" i="31"/>
  <c r="H44" i="31"/>
  <c r="G44" i="31"/>
  <c r="N44" i="31" s="1"/>
  <c r="F44" i="31"/>
  <c r="M44" i="31" s="1"/>
  <c r="A44" i="31"/>
  <c r="B44" i="31" s="1"/>
  <c r="K43" i="31"/>
  <c r="H43" i="31"/>
  <c r="G43" i="31"/>
  <c r="N43" i="31" s="1"/>
  <c r="F43" i="31"/>
  <c r="M43" i="31" s="1"/>
  <c r="A43" i="31"/>
  <c r="B43" i="31" s="1"/>
  <c r="K42" i="31"/>
  <c r="H42" i="31"/>
  <c r="G42" i="31"/>
  <c r="N42" i="31" s="1"/>
  <c r="F42" i="31"/>
  <c r="M42" i="31" s="1"/>
  <c r="A42" i="31"/>
  <c r="B42" i="31" s="1"/>
  <c r="K41" i="31"/>
  <c r="H41" i="31"/>
  <c r="G41" i="31"/>
  <c r="N41" i="31" s="1"/>
  <c r="F41" i="31"/>
  <c r="M41" i="31" s="1"/>
  <c r="A41" i="31"/>
  <c r="B41" i="31" s="1"/>
  <c r="K40" i="31"/>
  <c r="H40" i="31"/>
  <c r="G40" i="31"/>
  <c r="N40" i="31" s="1"/>
  <c r="F40" i="31"/>
  <c r="M40" i="31" s="1"/>
  <c r="A40" i="31"/>
  <c r="B40" i="31" s="1"/>
  <c r="K39" i="31"/>
  <c r="H39" i="31"/>
  <c r="G39" i="31"/>
  <c r="N39" i="31" s="1"/>
  <c r="F39" i="31"/>
  <c r="M39" i="31" s="1"/>
  <c r="C39" i="31"/>
  <c r="A39" i="31"/>
  <c r="B39" i="31" s="1"/>
  <c r="K38" i="31"/>
  <c r="H38" i="31"/>
  <c r="G38" i="31"/>
  <c r="N38" i="31" s="1"/>
  <c r="F38" i="31"/>
  <c r="M38" i="31" s="1"/>
  <c r="A38" i="31"/>
  <c r="B38" i="31" s="1"/>
  <c r="M37" i="31"/>
  <c r="K37" i="31"/>
  <c r="H37" i="31"/>
  <c r="G37" i="31"/>
  <c r="N37" i="31" s="1"/>
  <c r="F37" i="31"/>
  <c r="A37" i="31"/>
  <c r="B37" i="31" s="1"/>
  <c r="K36" i="31"/>
  <c r="H36" i="31"/>
  <c r="G36" i="31"/>
  <c r="N36" i="31" s="1"/>
  <c r="F36" i="31"/>
  <c r="M36" i="31" s="1"/>
  <c r="A36" i="31"/>
  <c r="B36" i="31" s="1"/>
  <c r="M35" i="31"/>
  <c r="K35" i="31"/>
  <c r="H35" i="31"/>
  <c r="G35" i="31"/>
  <c r="N35" i="31" s="1"/>
  <c r="F35" i="31"/>
  <c r="A35" i="31"/>
  <c r="K34" i="31"/>
  <c r="H34" i="31"/>
  <c r="G34" i="31"/>
  <c r="N34" i="31" s="1"/>
  <c r="F34" i="31"/>
  <c r="M34" i="31" s="1"/>
  <c r="A34" i="31"/>
  <c r="B34" i="31" s="1"/>
  <c r="K33" i="31"/>
  <c r="H33" i="31"/>
  <c r="G33" i="31"/>
  <c r="N33" i="31" s="1"/>
  <c r="F33" i="31"/>
  <c r="M33" i="31" s="1"/>
  <c r="A33" i="31"/>
  <c r="B33" i="31" s="1"/>
  <c r="K32" i="31"/>
  <c r="H32" i="31"/>
  <c r="G32" i="31"/>
  <c r="N32" i="31" s="1"/>
  <c r="F32" i="31"/>
  <c r="M32" i="31" s="1"/>
  <c r="A32" i="31"/>
  <c r="B32" i="31" s="1"/>
  <c r="K31" i="31"/>
  <c r="H31" i="31"/>
  <c r="G31" i="31"/>
  <c r="N31" i="31" s="1"/>
  <c r="F31" i="31"/>
  <c r="M31" i="31" s="1"/>
  <c r="A31" i="31"/>
  <c r="C31" i="31" s="1"/>
  <c r="K30" i="31"/>
  <c r="H30" i="31"/>
  <c r="G30" i="31"/>
  <c r="N30" i="31" s="1"/>
  <c r="F30" i="31"/>
  <c r="M30" i="31" s="1"/>
  <c r="A30" i="31"/>
  <c r="B30" i="31" s="1"/>
  <c r="K29" i="31"/>
  <c r="H29" i="31"/>
  <c r="G29" i="31"/>
  <c r="N29" i="31" s="1"/>
  <c r="F29" i="31"/>
  <c r="M29" i="31" s="1"/>
  <c r="A29" i="31"/>
  <c r="B29" i="31" s="1"/>
  <c r="K28" i="31"/>
  <c r="H28" i="31"/>
  <c r="G28" i="31"/>
  <c r="N28" i="31" s="1"/>
  <c r="F28" i="31"/>
  <c r="M28" i="31" s="1"/>
  <c r="A28" i="31"/>
  <c r="B28" i="31" s="1"/>
  <c r="K27" i="31"/>
  <c r="H27" i="31"/>
  <c r="G27" i="31"/>
  <c r="N27" i="31" s="1"/>
  <c r="F27" i="31"/>
  <c r="M27" i="31" s="1"/>
  <c r="A27" i="31"/>
  <c r="B27" i="31" s="1"/>
  <c r="N26" i="31"/>
  <c r="K26" i="31"/>
  <c r="H26" i="31"/>
  <c r="G26" i="31"/>
  <c r="F26" i="31"/>
  <c r="M26" i="31" s="1"/>
  <c r="A26" i="31"/>
  <c r="B26" i="31" s="1"/>
  <c r="K25" i="31"/>
  <c r="H25" i="31"/>
  <c r="G25" i="31"/>
  <c r="N25" i="31" s="1"/>
  <c r="F25" i="31"/>
  <c r="M25" i="31" s="1"/>
  <c r="A25" i="31"/>
  <c r="B25" i="31" s="1"/>
  <c r="N24" i="31"/>
  <c r="K24" i="31"/>
  <c r="H24" i="31"/>
  <c r="G24" i="31"/>
  <c r="F24" i="31"/>
  <c r="M24" i="31" s="1"/>
  <c r="A24" i="31"/>
  <c r="B24" i="31" s="1"/>
  <c r="K23" i="31"/>
  <c r="H23" i="31"/>
  <c r="G23" i="31"/>
  <c r="N23" i="31" s="1"/>
  <c r="F23" i="31"/>
  <c r="M23" i="31" s="1"/>
  <c r="A23" i="31"/>
  <c r="B23" i="31" s="1"/>
  <c r="K22" i="31"/>
  <c r="H22" i="31"/>
  <c r="G22" i="31"/>
  <c r="N22" i="31" s="1"/>
  <c r="F22" i="31"/>
  <c r="M22" i="31" s="1"/>
  <c r="A22" i="31"/>
  <c r="B22" i="31" s="1"/>
  <c r="K21" i="31"/>
  <c r="H21" i="31"/>
  <c r="G21" i="31"/>
  <c r="N21" i="31" s="1"/>
  <c r="F21" i="31"/>
  <c r="M21" i="31" s="1"/>
  <c r="A21" i="31"/>
  <c r="B21" i="31" s="1"/>
  <c r="K20" i="31"/>
  <c r="H20" i="31"/>
  <c r="G20" i="31"/>
  <c r="N20" i="31" s="1"/>
  <c r="F20" i="31"/>
  <c r="M20" i="31" s="1"/>
  <c r="A20" i="31"/>
  <c r="B20" i="31" s="1"/>
  <c r="K19" i="31"/>
  <c r="H19" i="31"/>
  <c r="G19" i="31"/>
  <c r="N19" i="31" s="1"/>
  <c r="F19" i="31"/>
  <c r="M19" i="31" s="1"/>
  <c r="A19" i="31"/>
  <c r="B19" i="31" s="1"/>
  <c r="K18" i="31"/>
  <c r="H18" i="31"/>
  <c r="G18" i="31"/>
  <c r="N18" i="31" s="1"/>
  <c r="F18" i="31"/>
  <c r="M18" i="31" s="1"/>
  <c r="A18" i="31"/>
  <c r="B18" i="31" s="1"/>
  <c r="K17" i="31"/>
  <c r="H17" i="31"/>
  <c r="G17" i="31"/>
  <c r="N17" i="31" s="1"/>
  <c r="F17" i="31"/>
  <c r="M17" i="31" s="1"/>
  <c r="A17" i="31"/>
  <c r="B17" i="31" s="1"/>
  <c r="K16" i="31"/>
  <c r="H16" i="31"/>
  <c r="G16" i="31"/>
  <c r="N16" i="31" s="1"/>
  <c r="F16" i="31"/>
  <c r="M16" i="31" s="1"/>
  <c r="A16" i="31"/>
  <c r="B16" i="31" s="1"/>
  <c r="N15" i="31"/>
  <c r="K15" i="31"/>
  <c r="H15" i="31"/>
  <c r="G15" i="31"/>
  <c r="F15" i="31"/>
  <c r="M15" i="31" s="1"/>
  <c r="A15" i="31"/>
  <c r="K14" i="31"/>
  <c r="H14" i="31"/>
  <c r="G14" i="31"/>
  <c r="N14" i="31" s="1"/>
  <c r="F14" i="31"/>
  <c r="M14" i="31" s="1"/>
  <c r="A14" i="31"/>
  <c r="B14" i="31" s="1"/>
  <c r="K13" i="31"/>
  <c r="H13" i="31"/>
  <c r="G13" i="31"/>
  <c r="N13" i="31" s="1"/>
  <c r="F13" i="31"/>
  <c r="M13" i="31" s="1"/>
  <c r="A13" i="31"/>
  <c r="K12" i="31"/>
  <c r="H12" i="31"/>
  <c r="G12" i="31"/>
  <c r="N12" i="31" s="1"/>
  <c r="F12" i="31"/>
  <c r="M12" i="31" s="1"/>
  <c r="A12" i="31"/>
  <c r="B12" i="31" s="1"/>
  <c r="K11" i="31"/>
  <c r="H11" i="31"/>
  <c r="G11" i="31"/>
  <c r="N11" i="31" s="1"/>
  <c r="F11" i="31"/>
  <c r="M11" i="31" s="1"/>
  <c r="A11" i="31"/>
  <c r="B11" i="31" s="1"/>
  <c r="K10" i="31"/>
  <c r="H10" i="31"/>
  <c r="G10" i="31"/>
  <c r="N10" i="31" s="1"/>
  <c r="F10" i="31"/>
  <c r="M10" i="31" s="1"/>
  <c r="A10" i="31"/>
  <c r="B10" i="31" s="1"/>
  <c r="K9" i="31"/>
  <c r="H9" i="31"/>
  <c r="G9" i="31"/>
  <c r="N9" i="31" s="1"/>
  <c r="F9" i="31"/>
  <c r="M9" i="31" s="1"/>
  <c r="A9" i="31"/>
  <c r="C9" i="31" s="1"/>
  <c r="K8" i="31"/>
  <c r="H8" i="31"/>
  <c r="G8" i="31"/>
  <c r="N8" i="31" s="1"/>
  <c r="F8" i="31"/>
  <c r="M8" i="31" s="1"/>
  <c r="A8" i="31"/>
  <c r="C8" i="31" s="1"/>
  <c r="K7" i="31"/>
  <c r="H7" i="31"/>
  <c r="G7" i="31"/>
  <c r="N7" i="31" s="1"/>
  <c r="F7" i="31"/>
  <c r="M7" i="31" s="1"/>
  <c r="A7" i="31"/>
  <c r="C7" i="31" s="1"/>
  <c r="K6" i="31"/>
  <c r="H6" i="31"/>
  <c r="G6" i="31"/>
  <c r="N6" i="31" s="1"/>
  <c r="F6" i="31"/>
  <c r="M6" i="31" s="1"/>
  <c r="A6" i="31"/>
  <c r="C6" i="31" s="1"/>
  <c r="K5" i="31"/>
  <c r="H5" i="31"/>
  <c r="G5" i="31"/>
  <c r="N5" i="31" s="1"/>
  <c r="F5" i="31"/>
  <c r="M5" i="31" s="1"/>
  <c r="A5" i="31"/>
  <c r="C5" i="31" s="1"/>
  <c r="K4" i="31"/>
  <c r="H4" i="31"/>
  <c r="G4" i="31"/>
  <c r="N4" i="31" s="1"/>
  <c r="F4" i="31"/>
  <c r="M4" i="31" s="1"/>
  <c r="A4" i="31"/>
  <c r="C4" i="31" s="1"/>
  <c r="K3" i="31"/>
  <c r="H3" i="31"/>
  <c r="G3" i="31"/>
  <c r="N3" i="31" s="1"/>
  <c r="F3" i="31"/>
  <c r="M3" i="31" s="1"/>
  <c r="A3" i="31"/>
  <c r="C3" i="31" s="1"/>
  <c r="K2" i="31"/>
  <c r="H2" i="31"/>
  <c r="G2" i="31"/>
  <c r="N2" i="31" s="1"/>
  <c r="F2" i="31"/>
  <c r="M2" i="31" s="1"/>
  <c r="A2" i="31"/>
  <c r="C2" i="31" s="1"/>
  <c r="I1" i="31"/>
  <c r="H1" i="31"/>
  <c r="G1" i="31"/>
  <c r="N1" i="31" s="1"/>
  <c r="F1" i="31"/>
  <c r="M1" i="31" s="1"/>
  <c r="E1" i="31"/>
  <c r="L1" i="31" s="1"/>
  <c r="D1" i="31"/>
  <c r="A1" i="31"/>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 i="28"/>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 i="27"/>
  <c r="F132" i="29"/>
  <c r="F133" i="29"/>
  <c r="F134" i="29"/>
  <c r="F135" i="29"/>
  <c r="F136" i="29"/>
  <c r="F137" i="29"/>
  <c r="F138" i="29"/>
  <c r="F139" i="29"/>
  <c r="F140" i="29"/>
  <c r="F141" i="29"/>
  <c r="F142" i="29"/>
  <c r="F143" i="29"/>
  <c r="F144" i="29"/>
  <c r="F145" i="29"/>
  <c r="F1" i="29"/>
  <c r="AD16" i="30"/>
  <c r="AD15" i="30"/>
  <c r="C6" i="30"/>
  <c r="B6" i="30"/>
  <c r="N5" i="30"/>
  <c r="M5" i="30"/>
  <c r="C5" i="30"/>
  <c r="L145" i="29"/>
  <c r="I145" i="29"/>
  <c r="L144" i="29"/>
  <c r="I144" i="29"/>
  <c r="L143" i="29"/>
  <c r="I143" i="29"/>
  <c r="L142" i="29"/>
  <c r="I142" i="29"/>
  <c r="L141" i="29"/>
  <c r="I141" i="29"/>
  <c r="L140" i="29"/>
  <c r="I140" i="29"/>
  <c r="L139" i="29"/>
  <c r="I139" i="29"/>
  <c r="L138" i="29"/>
  <c r="I138" i="29"/>
  <c r="L137" i="29"/>
  <c r="I137" i="29"/>
  <c r="L136" i="29"/>
  <c r="I136" i="29"/>
  <c r="H136" i="29"/>
  <c r="O136" i="29" s="1"/>
  <c r="L135" i="29"/>
  <c r="I135" i="29"/>
  <c r="L134" i="29"/>
  <c r="I134" i="29"/>
  <c r="L133" i="29"/>
  <c r="I133" i="29"/>
  <c r="G133" i="29"/>
  <c r="L132" i="29"/>
  <c r="I132" i="29"/>
  <c r="I121" i="29"/>
  <c r="H121" i="29"/>
  <c r="G121" i="29"/>
  <c r="A121" i="29"/>
  <c r="C121" i="29" s="1"/>
  <c r="I120" i="29"/>
  <c r="H120" i="29"/>
  <c r="H132" i="29" s="1"/>
  <c r="O132" i="29" s="1"/>
  <c r="G120" i="29"/>
  <c r="G132" i="29" s="1"/>
  <c r="G144" i="29" s="1"/>
  <c r="N144" i="29" s="1"/>
  <c r="A120" i="29"/>
  <c r="C120" i="29" s="1"/>
  <c r="I119" i="29"/>
  <c r="H119" i="29"/>
  <c r="G119" i="29"/>
  <c r="A119" i="29"/>
  <c r="I118" i="29"/>
  <c r="H118" i="29"/>
  <c r="G118" i="29"/>
  <c r="A118" i="29"/>
  <c r="C118" i="29" s="1"/>
  <c r="I117" i="29"/>
  <c r="H117" i="29"/>
  <c r="G117" i="29"/>
  <c r="A117" i="29"/>
  <c r="C117" i="29" s="1"/>
  <c r="I116" i="29"/>
  <c r="H116" i="29"/>
  <c r="G116" i="29"/>
  <c r="A116" i="29"/>
  <c r="C116" i="29" s="1"/>
  <c r="I115" i="29"/>
  <c r="H115" i="29"/>
  <c r="G115" i="29"/>
  <c r="A115" i="29"/>
  <c r="C115" i="29" s="1"/>
  <c r="I114" i="29"/>
  <c r="H114" i="29"/>
  <c r="G114" i="29"/>
  <c r="A114" i="29"/>
  <c r="I113" i="29"/>
  <c r="H113" i="29"/>
  <c r="H137" i="29" s="1"/>
  <c r="O137" i="29" s="1"/>
  <c r="G113" i="29"/>
  <c r="A113" i="29"/>
  <c r="C113" i="29" s="1"/>
  <c r="I112" i="29"/>
  <c r="H112" i="29"/>
  <c r="G112" i="29"/>
  <c r="G136" i="29" s="1"/>
  <c r="N136" i="29" s="1"/>
  <c r="A112" i="29"/>
  <c r="C112" i="29" s="1"/>
  <c r="I111" i="29"/>
  <c r="H111" i="29"/>
  <c r="G111" i="29"/>
  <c r="A111" i="29"/>
  <c r="C111" i="29" s="1"/>
  <c r="I110" i="29"/>
  <c r="H110" i="29"/>
  <c r="G110" i="29"/>
  <c r="A110" i="29"/>
  <c r="C110" i="29" s="1"/>
  <c r="I109" i="29"/>
  <c r="H109" i="29"/>
  <c r="G109" i="29"/>
  <c r="A109" i="29"/>
  <c r="C109" i="29" s="1"/>
  <c r="I108" i="29"/>
  <c r="H108" i="29"/>
  <c r="G108" i="29"/>
  <c r="A108" i="29"/>
  <c r="I107" i="29"/>
  <c r="H107" i="29"/>
  <c r="G107" i="29"/>
  <c r="A107" i="29"/>
  <c r="C107" i="29" s="1"/>
  <c r="I106" i="29"/>
  <c r="H106" i="29"/>
  <c r="G106" i="29"/>
  <c r="A106" i="29"/>
  <c r="C106" i="29" s="1"/>
  <c r="I105" i="29"/>
  <c r="H105" i="29"/>
  <c r="G105" i="29"/>
  <c r="A105" i="29"/>
  <c r="C105" i="29" s="1"/>
  <c r="I104" i="29"/>
  <c r="H104" i="29"/>
  <c r="G104" i="29"/>
  <c r="A104" i="29"/>
  <c r="C104" i="29" s="1"/>
  <c r="I103" i="29"/>
  <c r="H103" i="29"/>
  <c r="G103" i="29"/>
  <c r="A103" i="29"/>
  <c r="C103" i="29" s="1"/>
  <c r="I102" i="29"/>
  <c r="H102" i="29"/>
  <c r="G102" i="29"/>
  <c r="A102" i="29"/>
  <c r="C102" i="29" s="1"/>
  <c r="I101" i="29"/>
  <c r="H101" i="29"/>
  <c r="G101" i="29"/>
  <c r="A101" i="29"/>
  <c r="C101" i="29" s="1"/>
  <c r="I100" i="29"/>
  <c r="H100" i="29"/>
  <c r="G100" i="29"/>
  <c r="A100" i="29"/>
  <c r="C100" i="29" s="1"/>
  <c r="I99" i="29"/>
  <c r="H99" i="29"/>
  <c r="G99" i="29"/>
  <c r="A99" i="29"/>
  <c r="C99" i="29" s="1"/>
  <c r="I98" i="29"/>
  <c r="H98" i="29"/>
  <c r="G98" i="29"/>
  <c r="A98" i="29"/>
  <c r="C98" i="29" s="1"/>
  <c r="I97" i="29"/>
  <c r="H97" i="29"/>
  <c r="G97" i="29"/>
  <c r="A97" i="29"/>
  <c r="C97" i="29" s="1"/>
  <c r="I96" i="29"/>
  <c r="H96" i="29"/>
  <c r="G96" i="29"/>
  <c r="A96" i="29"/>
  <c r="C96" i="29" s="1"/>
  <c r="I95" i="29"/>
  <c r="H95" i="29"/>
  <c r="G95" i="29"/>
  <c r="B95" i="29"/>
  <c r="A95" i="29"/>
  <c r="C95" i="29" s="1"/>
  <c r="I94" i="29"/>
  <c r="H94" i="29"/>
  <c r="G94" i="29"/>
  <c r="A94" i="29"/>
  <c r="C94" i="29" s="1"/>
  <c r="I93" i="29"/>
  <c r="H93" i="29"/>
  <c r="G93" i="29"/>
  <c r="A93" i="29"/>
  <c r="C93" i="29" s="1"/>
  <c r="I92" i="29"/>
  <c r="H92" i="29"/>
  <c r="G92" i="29"/>
  <c r="A92" i="29"/>
  <c r="C92" i="29" s="1"/>
  <c r="I91" i="29"/>
  <c r="H91" i="29"/>
  <c r="G91" i="29"/>
  <c r="A91" i="29"/>
  <c r="C91" i="29" s="1"/>
  <c r="I90" i="29"/>
  <c r="H90" i="29"/>
  <c r="G90" i="29"/>
  <c r="A90" i="29"/>
  <c r="C90" i="29" s="1"/>
  <c r="I89" i="29"/>
  <c r="H89" i="29"/>
  <c r="G89" i="29"/>
  <c r="A89" i="29"/>
  <c r="B89" i="29" s="1"/>
  <c r="I88" i="29"/>
  <c r="H88" i="29"/>
  <c r="G88" i="29"/>
  <c r="A88" i="29"/>
  <c r="C88" i="29" s="1"/>
  <c r="I87" i="29"/>
  <c r="H87" i="29"/>
  <c r="G87" i="29"/>
  <c r="A87" i="29"/>
  <c r="I86" i="29"/>
  <c r="H86" i="29"/>
  <c r="G86" i="29"/>
  <c r="A86" i="29"/>
  <c r="B86" i="29" s="1"/>
  <c r="I85" i="29"/>
  <c r="H85" i="29"/>
  <c r="G85" i="29"/>
  <c r="A85" i="29"/>
  <c r="C85" i="29" s="1"/>
  <c r="I84" i="29"/>
  <c r="H84" i="29"/>
  <c r="G84" i="29"/>
  <c r="A84" i="29"/>
  <c r="C84" i="29" s="1"/>
  <c r="I83" i="29"/>
  <c r="H83" i="29"/>
  <c r="G83" i="29"/>
  <c r="A83" i="29"/>
  <c r="I82" i="29"/>
  <c r="H82" i="29"/>
  <c r="G82" i="29"/>
  <c r="A82" i="29"/>
  <c r="B82" i="29" s="1"/>
  <c r="I81" i="29"/>
  <c r="H81" i="29"/>
  <c r="G81" i="29"/>
  <c r="A81" i="29"/>
  <c r="I80" i="29"/>
  <c r="H80" i="29"/>
  <c r="G80" i="29"/>
  <c r="A80" i="29"/>
  <c r="C80" i="29" s="1"/>
  <c r="I79" i="29"/>
  <c r="H79" i="29"/>
  <c r="G79" i="29"/>
  <c r="A79" i="29"/>
  <c r="C79" i="29" s="1"/>
  <c r="I78" i="29"/>
  <c r="H78" i="29"/>
  <c r="G78" i="29"/>
  <c r="A78" i="29"/>
  <c r="C78" i="29" s="1"/>
  <c r="I77" i="29"/>
  <c r="H77" i="29"/>
  <c r="G77" i="29"/>
  <c r="A77" i="29"/>
  <c r="I76" i="29"/>
  <c r="H76" i="29"/>
  <c r="G76" i="29"/>
  <c r="A76" i="29"/>
  <c r="C76" i="29" s="1"/>
  <c r="I75" i="29"/>
  <c r="H75" i="29"/>
  <c r="G75" i="29"/>
  <c r="A75" i="29"/>
  <c r="B75" i="29" s="1"/>
  <c r="I74" i="29"/>
  <c r="H74" i="29"/>
  <c r="G74" i="29"/>
  <c r="A74" i="29"/>
  <c r="C74" i="29" s="1"/>
  <c r="I73" i="29"/>
  <c r="H73" i="29"/>
  <c r="G73" i="29"/>
  <c r="A73" i="29"/>
  <c r="C73" i="29" s="1"/>
  <c r="I72" i="29"/>
  <c r="H72" i="29"/>
  <c r="G72" i="29"/>
  <c r="A72" i="29"/>
  <c r="C72" i="29" s="1"/>
  <c r="I71" i="29"/>
  <c r="H71" i="29"/>
  <c r="G71" i="29"/>
  <c r="A71" i="29"/>
  <c r="I70" i="29"/>
  <c r="H70" i="29"/>
  <c r="G70" i="29"/>
  <c r="A70" i="29"/>
  <c r="C70" i="29" s="1"/>
  <c r="I69" i="29"/>
  <c r="H69" i="29"/>
  <c r="G69" i="29"/>
  <c r="A69" i="29"/>
  <c r="I68" i="29"/>
  <c r="H68" i="29"/>
  <c r="G68" i="29"/>
  <c r="A68" i="29"/>
  <c r="C68" i="29" s="1"/>
  <c r="I67" i="29"/>
  <c r="H67" i="29"/>
  <c r="G67" i="29"/>
  <c r="A67" i="29"/>
  <c r="C67" i="29" s="1"/>
  <c r="I66" i="29"/>
  <c r="H66" i="29"/>
  <c r="G66" i="29"/>
  <c r="A66" i="29"/>
  <c r="B66" i="29" s="1"/>
  <c r="I65" i="29"/>
  <c r="H65" i="29"/>
  <c r="G65" i="29"/>
  <c r="A65" i="29"/>
  <c r="C65" i="29" s="1"/>
  <c r="I64" i="29"/>
  <c r="H64" i="29"/>
  <c r="G64" i="29"/>
  <c r="A64" i="29"/>
  <c r="C64" i="29" s="1"/>
  <c r="I63" i="29"/>
  <c r="H63" i="29"/>
  <c r="G63" i="29"/>
  <c r="A63" i="29"/>
  <c r="B63" i="29" s="1"/>
  <c r="I62" i="29"/>
  <c r="H62" i="29"/>
  <c r="G62" i="29"/>
  <c r="A62" i="29"/>
  <c r="B62" i="29" s="1"/>
  <c r="I61" i="29"/>
  <c r="H61" i="29"/>
  <c r="G61" i="29"/>
  <c r="A61" i="29"/>
  <c r="C61" i="29" s="1"/>
  <c r="I60" i="29"/>
  <c r="H60" i="29"/>
  <c r="G60" i="29"/>
  <c r="A60" i="29"/>
  <c r="C60" i="29" s="1"/>
  <c r="I59" i="29"/>
  <c r="H59" i="29"/>
  <c r="G59" i="29"/>
  <c r="A59" i="29"/>
  <c r="I58" i="29"/>
  <c r="H58" i="29"/>
  <c r="G58" i="29"/>
  <c r="A58" i="29"/>
  <c r="B58" i="29" s="1"/>
  <c r="I57" i="29"/>
  <c r="H57" i="29"/>
  <c r="G57" i="29"/>
  <c r="A57" i="29"/>
  <c r="B57" i="29" s="1"/>
  <c r="I56" i="29"/>
  <c r="H56" i="29"/>
  <c r="G56" i="29"/>
  <c r="A56" i="29"/>
  <c r="B56" i="29" s="1"/>
  <c r="I55" i="29"/>
  <c r="H55" i="29"/>
  <c r="G55" i="29"/>
  <c r="A55" i="29"/>
  <c r="I54" i="29"/>
  <c r="H54" i="29"/>
  <c r="G54" i="29"/>
  <c r="A54" i="29"/>
  <c r="C54" i="29" s="1"/>
  <c r="I53" i="29"/>
  <c r="H53" i="29"/>
  <c r="G53" i="29"/>
  <c r="A53" i="29"/>
  <c r="I52" i="29"/>
  <c r="H52" i="29"/>
  <c r="G52" i="29"/>
  <c r="A52" i="29"/>
  <c r="C52" i="29" s="1"/>
  <c r="I51" i="29"/>
  <c r="H51" i="29"/>
  <c r="G51" i="29"/>
  <c r="A51" i="29"/>
  <c r="C51" i="29" s="1"/>
  <c r="I50" i="29"/>
  <c r="H50" i="29"/>
  <c r="G50" i="29"/>
  <c r="A50" i="29"/>
  <c r="B50" i="29" s="1"/>
  <c r="I49" i="29"/>
  <c r="H49" i="29"/>
  <c r="G49" i="29"/>
  <c r="A49" i="29"/>
  <c r="C49" i="29" s="1"/>
  <c r="I48" i="29"/>
  <c r="H48" i="29"/>
  <c r="G48" i="29"/>
  <c r="A48" i="29"/>
  <c r="C48" i="29" s="1"/>
  <c r="I47" i="29"/>
  <c r="H47" i="29"/>
  <c r="G47" i="29"/>
  <c r="A47" i="29"/>
  <c r="B47" i="29" s="1"/>
  <c r="I46" i="29"/>
  <c r="H46" i="29"/>
  <c r="G46" i="29"/>
  <c r="A46" i="29"/>
  <c r="B46" i="29" s="1"/>
  <c r="I45" i="29"/>
  <c r="H45" i="29"/>
  <c r="G45" i="29"/>
  <c r="A45" i="29"/>
  <c r="I44" i="29"/>
  <c r="H44" i="29"/>
  <c r="G44" i="29"/>
  <c r="A44" i="29"/>
  <c r="B44" i="29" s="1"/>
  <c r="I43" i="29"/>
  <c r="H43" i="29"/>
  <c r="G43" i="29"/>
  <c r="A43" i="29"/>
  <c r="C43" i="29" s="1"/>
  <c r="I42" i="29"/>
  <c r="H42" i="29"/>
  <c r="G42" i="29"/>
  <c r="A42" i="29"/>
  <c r="I41" i="29"/>
  <c r="H41" i="29"/>
  <c r="G41" i="29"/>
  <c r="A41" i="29"/>
  <c r="C41" i="29" s="1"/>
  <c r="I40" i="29"/>
  <c r="H40" i="29"/>
  <c r="G40" i="29"/>
  <c r="A40" i="29"/>
  <c r="C40" i="29" s="1"/>
  <c r="I39" i="29"/>
  <c r="H39" i="29"/>
  <c r="G39" i="29"/>
  <c r="A39" i="29"/>
  <c r="C39" i="29" s="1"/>
  <c r="I38" i="29"/>
  <c r="H38" i="29"/>
  <c r="G38" i="29"/>
  <c r="A38" i="29"/>
  <c r="B38" i="29" s="1"/>
  <c r="I37" i="29"/>
  <c r="H37" i="29"/>
  <c r="G37" i="29"/>
  <c r="A37" i="29"/>
  <c r="B37" i="29" s="1"/>
  <c r="I36" i="29"/>
  <c r="H36" i="29"/>
  <c r="G36" i="29"/>
  <c r="A36" i="29"/>
  <c r="C36" i="29" s="1"/>
  <c r="I35" i="29"/>
  <c r="H35" i="29"/>
  <c r="G35" i="29"/>
  <c r="A35" i="29"/>
  <c r="C35" i="29" s="1"/>
  <c r="I34" i="29"/>
  <c r="H34" i="29"/>
  <c r="G34" i="29"/>
  <c r="A34" i="29"/>
  <c r="C34" i="29" s="1"/>
  <c r="I33" i="29"/>
  <c r="H33" i="29"/>
  <c r="G33" i="29"/>
  <c r="A33" i="29"/>
  <c r="C33" i="29" s="1"/>
  <c r="I32" i="29"/>
  <c r="H32" i="29"/>
  <c r="G32" i="29"/>
  <c r="A32" i="29"/>
  <c r="C32" i="29" s="1"/>
  <c r="I31" i="29"/>
  <c r="H31" i="29"/>
  <c r="G31" i="29"/>
  <c r="A31" i="29"/>
  <c r="C31" i="29" s="1"/>
  <c r="I30" i="29"/>
  <c r="H30" i="29"/>
  <c r="G30" i="29"/>
  <c r="A30" i="29"/>
  <c r="C30" i="29" s="1"/>
  <c r="I29" i="29"/>
  <c r="H29" i="29"/>
  <c r="G29" i="29"/>
  <c r="A29" i="29"/>
  <c r="C29" i="29" s="1"/>
  <c r="I28" i="29"/>
  <c r="H28" i="29"/>
  <c r="G28" i="29"/>
  <c r="A28" i="29"/>
  <c r="C28" i="29" s="1"/>
  <c r="I27" i="29"/>
  <c r="H27" i="29"/>
  <c r="G27" i="29"/>
  <c r="B27" i="29"/>
  <c r="A27" i="29"/>
  <c r="C27" i="29" s="1"/>
  <c r="I26" i="29"/>
  <c r="H26" i="29"/>
  <c r="G26" i="29"/>
  <c r="A26" i="29"/>
  <c r="I25" i="29"/>
  <c r="H25" i="29"/>
  <c r="G25" i="29"/>
  <c r="A25" i="29"/>
  <c r="C25" i="29" s="1"/>
  <c r="I24" i="29"/>
  <c r="H24" i="29"/>
  <c r="G24" i="29"/>
  <c r="A24" i="29"/>
  <c r="B24" i="29" s="1"/>
  <c r="I23" i="29"/>
  <c r="H23" i="29"/>
  <c r="G23" i="29"/>
  <c r="A23" i="29"/>
  <c r="C23" i="29" s="1"/>
  <c r="I22" i="29"/>
  <c r="H22" i="29"/>
  <c r="G22" i="29"/>
  <c r="A22" i="29"/>
  <c r="C22" i="29" s="1"/>
  <c r="I21" i="29"/>
  <c r="H21" i="29"/>
  <c r="G21" i="29"/>
  <c r="A21" i="29"/>
  <c r="C21" i="29" s="1"/>
  <c r="I20" i="29"/>
  <c r="H20" i="29"/>
  <c r="G20" i="29"/>
  <c r="A20" i="29"/>
  <c r="B20" i="29" s="1"/>
  <c r="I19" i="29"/>
  <c r="H19" i="29"/>
  <c r="G19" i="29"/>
  <c r="A19" i="29"/>
  <c r="C19" i="29" s="1"/>
  <c r="I18" i="29"/>
  <c r="H18" i="29"/>
  <c r="G18" i="29"/>
  <c r="A18" i="29"/>
  <c r="C18" i="29" s="1"/>
  <c r="I17" i="29"/>
  <c r="H17" i="29"/>
  <c r="G17" i="29"/>
  <c r="A17" i="29"/>
  <c r="I16" i="29"/>
  <c r="H16" i="29"/>
  <c r="G16" i="29"/>
  <c r="A16" i="29"/>
  <c r="I15" i="29"/>
  <c r="H15" i="29"/>
  <c r="G15" i="29"/>
  <c r="A15" i="29"/>
  <c r="C15" i="29" s="1"/>
  <c r="I14" i="29"/>
  <c r="H14" i="29"/>
  <c r="G14" i="29"/>
  <c r="A14" i="29"/>
  <c r="I13" i="29"/>
  <c r="H13" i="29"/>
  <c r="G13" i="29"/>
  <c r="A13" i="29"/>
  <c r="C13" i="29" s="1"/>
  <c r="I12" i="29"/>
  <c r="H12" i="29"/>
  <c r="G12" i="29"/>
  <c r="A12" i="29"/>
  <c r="B12" i="29" s="1"/>
  <c r="I11" i="29"/>
  <c r="H11" i="29"/>
  <c r="G11" i="29"/>
  <c r="A11" i="29"/>
  <c r="B11" i="29" s="1"/>
  <c r="I10" i="29"/>
  <c r="H10" i="29"/>
  <c r="G10" i="29"/>
  <c r="A10" i="29"/>
  <c r="C10" i="29" s="1"/>
  <c r="I9" i="29"/>
  <c r="H9" i="29"/>
  <c r="G9" i="29"/>
  <c r="A9" i="29"/>
  <c r="C9" i="29" s="1"/>
  <c r="I8" i="29"/>
  <c r="H8" i="29"/>
  <c r="G8" i="29"/>
  <c r="A8" i="29"/>
  <c r="B8" i="29" s="1"/>
  <c r="I7" i="29"/>
  <c r="H7" i="29"/>
  <c r="G7" i="29"/>
  <c r="A7" i="29"/>
  <c r="I6" i="29"/>
  <c r="H6" i="29"/>
  <c r="G6" i="29"/>
  <c r="A6" i="29"/>
  <c r="C6" i="29" s="1"/>
  <c r="I5" i="29"/>
  <c r="H5" i="29"/>
  <c r="G5" i="29"/>
  <c r="A5" i="29"/>
  <c r="B5" i="29" s="1"/>
  <c r="I4" i="29"/>
  <c r="H4" i="29"/>
  <c r="G4" i="29"/>
  <c r="A4" i="29"/>
  <c r="C4" i="29" s="1"/>
  <c r="I3" i="29"/>
  <c r="H3" i="29"/>
  <c r="G3" i="29"/>
  <c r="A3" i="29"/>
  <c r="C3" i="29" s="1"/>
  <c r="I2" i="29"/>
  <c r="H2" i="29"/>
  <c r="G2" i="29"/>
  <c r="A2" i="29"/>
  <c r="C2" i="29" s="1"/>
  <c r="J1" i="29"/>
  <c r="I1" i="29"/>
  <c r="H1" i="29"/>
  <c r="O1" i="29" s="1"/>
  <c r="G1" i="29"/>
  <c r="N1" i="29" s="1"/>
  <c r="M1" i="29"/>
  <c r="D1" i="29"/>
  <c r="A1" i="29"/>
  <c r="K145" i="28"/>
  <c r="K144" i="28"/>
  <c r="K143" i="28"/>
  <c r="K142" i="28"/>
  <c r="K141" i="28"/>
  <c r="K140" i="28"/>
  <c r="K139" i="28"/>
  <c r="K138" i="28"/>
  <c r="K137" i="28"/>
  <c r="K136" i="28"/>
  <c r="K135" i="28"/>
  <c r="K134" i="28"/>
  <c r="K133" i="28"/>
  <c r="K132" i="28"/>
  <c r="I121" i="28"/>
  <c r="H121" i="28"/>
  <c r="G121" i="28"/>
  <c r="A121" i="28"/>
  <c r="A122" i="28" s="1"/>
  <c r="I120" i="28"/>
  <c r="I132" i="28" s="1"/>
  <c r="H120" i="28"/>
  <c r="G120" i="28"/>
  <c r="G132" i="28" s="1"/>
  <c r="G144" i="28" s="1"/>
  <c r="M144" i="28" s="1"/>
  <c r="A120" i="28"/>
  <c r="I119" i="28"/>
  <c r="I131" i="28" s="1"/>
  <c r="H119" i="28"/>
  <c r="G119" i="28"/>
  <c r="G131" i="28" s="1"/>
  <c r="G143" i="28" s="1"/>
  <c r="M143" i="28" s="1"/>
  <c r="A119" i="28"/>
  <c r="I118" i="28"/>
  <c r="I130" i="28" s="1"/>
  <c r="H118" i="28"/>
  <c r="G118" i="28"/>
  <c r="G130" i="28" s="1"/>
  <c r="A118" i="28"/>
  <c r="I117" i="28"/>
  <c r="H117" i="28"/>
  <c r="G117" i="28"/>
  <c r="G129" i="28" s="1"/>
  <c r="A117" i="28"/>
  <c r="I116" i="28"/>
  <c r="I128" i="28" s="1"/>
  <c r="H116" i="28"/>
  <c r="G116" i="28"/>
  <c r="A116" i="28"/>
  <c r="I115" i="28"/>
  <c r="H115" i="28"/>
  <c r="G115" i="28"/>
  <c r="G127" i="28" s="1"/>
  <c r="A115" i="28"/>
  <c r="I114" i="28"/>
  <c r="H114" i="28"/>
  <c r="G114" i="28"/>
  <c r="A114" i="28"/>
  <c r="I113" i="28"/>
  <c r="H113" i="28"/>
  <c r="G113" i="28"/>
  <c r="A113" i="28"/>
  <c r="I112" i="28"/>
  <c r="I124" i="28" s="1"/>
  <c r="I136" i="28" s="1"/>
  <c r="O136" i="28" s="1"/>
  <c r="H112" i="28"/>
  <c r="G112" i="28"/>
  <c r="A112" i="28"/>
  <c r="I111" i="28"/>
  <c r="I123" i="28" s="1"/>
  <c r="H111" i="28"/>
  <c r="G111" i="28"/>
  <c r="G123" i="28" s="1"/>
  <c r="A111" i="28"/>
  <c r="I110" i="28"/>
  <c r="I122" i="28" s="1"/>
  <c r="H110" i="28"/>
  <c r="G110" i="28"/>
  <c r="G122" i="28" s="1"/>
  <c r="A110" i="28"/>
  <c r="I109" i="28"/>
  <c r="H109" i="28"/>
  <c r="G109" i="28"/>
  <c r="A109" i="28"/>
  <c r="I108" i="28"/>
  <c r="H108" i="28"/>
  <c r="G108" i="28"/>
  <c r="A108" i="28"/>
  <c r="C108" i="28" s="1"/>
  <c r="I107" i="28"/>
  <c r="H107" i="28"/>
  <c r="G107" i="28"/>
  <c r="A107" i="28"/>
  <c r="C107" i="28" s="1"/>
  <c r="I106" i="28"/>
  <c r="H106" i="28"/>
  <c r="G106" i="28"/>
  <c r="A106" i="28"/>
  <c r="C106" i="28" s="1"/>
  <c r="I105" i="28"/>
  <c r="H105" i="28"/>
  <c r="G105" i="28"/>
  <c r="A105" i="28"/>
  <c r="C105" i="28" s="1"/>
  <c r="I104" i="28"/>
  <c r="H104" i="28"/>
  <c r="G104" i="28"/>
  <c r="A104" i="28"/>
  <c r="I103" i="28"/>
  <c r="H103" i="28"/>
  <c r="G103" i="28"/>
  <c r="A103" i="28"/>
  <c r="C103" i="28" s="1"/>
  <c r="I102" i="28"/>
  <c r="H102" i="28"/>
  <c r="G102" i="28"/>
  <c r="A102" i="28"/>
  <c r="C102" i="28" s="1"/>
  <c r="I101" i="28"/>
  <c r="H101" i="28"/>
  <c r="G101" i="28"/>
  <c r="A101" i="28"/>
  <c r="C101" i="28" s="1"/>
  <c r="I100" i="28"/>
  <c r="H100" i="28"/>
  <c r="G100" i="28"/>
  <c r="A100" i="28"/>
  <c r="I99" i="28"/>
  <c r="H99" i="28"/>
  <c r="G99" i="28"/>
  <c r="A99" i="28"/>
  <c r="C99" i="28" s="1"/>
  <c r="I98" i="28"/>
  <c r="H98" i="28"/>
  <c r="G98" i="28"/>
  <c r="A98" i="28"/>
  <c r="I97" i="28"/>
  <c r="H97" i="28"/>
  <c r="G97" i="28"/>
  <c r="A97" i="28"/>
  <c r="I96" i="28"/>
  <c r="H96" i="28"/>
  <c r="G96" i="28"/>
  <c r="A96" i="28"/>
  <c r="I95" i="28"/>
  <c r="H95" i="28"/>
  <c r="G95" i="28"/>
  <c r="A95" i="28"/>
  <c r="I94" i="28"/>
  <c r="H94" i="28"/>
  <c r="G94" i="28"/>
  <c r="A94" i="28"/>
  <c r="I93" i="28"/>
  <c r="H93" i="28"/>
  <c r="G93" i="28"/>
  <c r="A93" i="28"/>
  <c r="I92" i="28"/>
  <c r="H92" i="28"/>
  <c r="G92" i="28"/>
  <c r="A92" i="28"/>
  <c r="I91" i="28"/>
  <c r="H91" i="28"/>
  <c r="G91" i="28"/>
  <c r="A91" i="28"/>
  <c r="I90" i="28"/>
  <c r="H90" i="28"/>
  <c r="G90" i="28"/>
  <c r="A90" i="28"/>
  <c r="I89" i="28"/>
  <c r="H89" i="28"/>
  <c r="G89" i="28"/>
  <c r="A89" i="28"/>
  <c r="I88" i="28"/>
  <c r="H88" i="28"/>
  <c r="G88" i="28"/>
  <c r="A88" i="28"/>
  <c r="I87" i="28"/>
  <c r="H87" i="28"/>
  <c r="G87" i="28"/>
  <c r="A87" i="28"/>
  <c r="I86" i="28"/>
  <c r="H86" i="28"/>
  <c r="G86" i="28"/>
  <c r="A86" i="28"/>
  <c r="I85" i="28"/>
  <c r="H85" i="28"/>
  <c r="G85" i="28"/>
  <c r="A85" i="28"/>
  <c r="I84" i="28"/>
  <c r="H84" i="28"/>
  <c r="G84" i="28"/>
  <c r="A84" i="28"/>
  <c r="I83" i="28"/>
  <c r="H83" i="28"/>
  <c r="G83" i="28"/>
  <c r="A83" i="28"/>
  <c r="I82" i="28"/>
  <c r="H82" i="28"/>
  <c r="G82" i="28"/>
  <c r="A82" i="28"/>
  <c r="I81" i="28"/>
  <c r="H81" i="28"/>
  <c r="G81" i="28"/>
  <c r="A81" i="28"/>
  <c r="I80" i="28"/>
  <c r="H80" i="28"/>
  <c r="G80" i="28"/>
  <c r="A80" i="28"/>
  <c r="I79" i="28"/>
  <c r="H79" i="28"/>
  <c r="G79" i="28"/>
  <c r="A79" i="28"/>
  <c r="I78" i="28"/>
  <c r="H78" i="28"/>
  <c r="G78" i="28"/>
  <c r="A78" i="28"/>
  <c r="I77" i="28"/>
  <c r="H77" i="28"/>
  <c r="G77" i="28"/>
  <c r="A77" i="28"/>
  <c r="I76" i="28"/>
  <c r="H76" i="28"/>
  <c r="G76" i="28"/>
  <c r="A76" i="28"/>
  <c r="I75" i="28"/>
  <c r="H75" i="28"/>
  <c r="G75" i="28"/>
  <c r="A75" i="28"/>
  <c r="I74" i="28"/>
  <c r="H74" i="28"/>
  <c r="G74" i="28"/>
  <c r="A74" i="28"/>
  <c r="I73" i="28"/>
  <c r="H73" i="28"/>
  <c r="G73" i="28"/>
  <c r="A73" i="28"/>
  <c r="I72" i="28"/>
  <c r="H72" i="28"/>
  <c r="G72" i="28"/>
  <c r="A72" i="28"/>
  <c r="I71" i="28"/>
  <c r="H71" i="28"/>
  <c r="G71" i="28"/>
  <c r="A71" i="28"/>
  <c r="I70" i="28"/>
  <c r="H70" i="28"/>
  <c r="G70" i="28"/>
  <c r="A70" i="28"/>
  <c r="I69" i="28"/>
  <c r="H69" i="28"/>
  <c r="G69" i="28"/>
  <c r="A69" i="28"/>
  <c r="I68" i="28"/>
  <c r="H68" i="28"/>
  <c r="G68" i="28"/>
  <c r="A68" i="28"/>
  <c r="I67" i="28"/>
  <c r="H67" i="28"/>
  <c r="G67" i="28"/>
  <c r="A67" i="28"/>
  <c r="I66" i="28"/>
  <c r="H66" i="28"/>
  <c r="G66" i="28"/>
  <c r="A66" i="28"/>
  <c r="I65" i="28"/>
  <c r="H65" i="28"/>
  <c r="G65" i="28"/>
  <c r="A65" i="28"/>
  <c r="I64" i="28"/>
  <c r="H64" i="28"/>
  <c r="G64" i="28"/>
  <c r="A64" i="28"/>
  <c r="I63" i="28"/>
  <c r="H63" i="28"/>
  <c r="G63" i="28"/>
  <c r="A63" i="28"/>
  <c r="I62" i="28"/>
  <c r="H62" i="28"/>
  <c r="G62" i="28"/>
  <c r="A62" i="28"/>
  <c r="I61" i="28"/>
  <c r="H61" i="28"/>
  <c r="G61" i="28"/>
  <c r="A61" i="28"/>
  <c r="I60" i="28"/>
  <c r="H60" i="28"/>
  <c r="G60" i="28"/>
  <c r="A60" i="28"/>
  <c r="I59" i="28"/>
  <c r="H59" i="28"/>
  <c r="G59" i="28"/>
  <c r="A59" i="28"/>
  <c r="C59" i="28" s="1"/>
  <c r="I58" i="28"/>
  <c r="H58" i="28"/>
  <c r="G58" i="28"/>
  <c r="A58" i="28"/>
  <c r="C58" i="28" s="1"/>
  <c r="I57" i="28"/>
  <c r="H57" i="28"/>
  <c r="G57" i="28"/>
  <c r="A57" i="28"/>
  <c r="C57" i="28" s="1"/>
  <c r="I56" i="28"/>
  <c r="H56" i="28"/>
  <c r="G56" i="28"/>
  <c r="A56" i="28"/>
  <c r="B56" i="28" s="1"/>
  <c r="I55" i="28"/>
  <c r="H55" i="28"/>
  <c r="G55" i="28"/>
  <c r="A55" i="28"/>
  <c r="B55" i="28" s="1"/>
  <c r="I54" i="28"/>
  <c r="H54" i="28"/>
  <c r="G54" i="28"/>
  <c r="A54" i="28"/>
  <c r="C54" i="28" s="1"/>
  <c r="I53" i="28"/>
  <c r="H53" i="28"/>
  <c r="G53" i="28"/>
  <c r="A53" i="28"/>
  <c r="I52" i="28"/>
  <c r="H52" i="28"/>
  <c r="G52" i="28"/>
  <c r="A52" i="28"/>
  <c r="C52" i="28" s="1"/>
  <c r="I51" i="28"/>
  <c r="H51" i="28"/>
  <c r="G51" i="28"/>
  <c r="A51" i="28"/>
  <c r="C51" i="28" s="1"/>
  <c r="I50" i="28"/>
  <c r="H50" i="28"/>
  <c r="G50" i="28"/>
  <c r="A50" i="28"/>
  <c r="C50" i="28" s="1"/>
  <c r="I49" i="28"/>
  <c r="H49" i="28"/>
  <c r="G49" i="28"/>
  <c r="A49" i="28"/>
  <c r="C49" i="28" s="1"/>
  <c r="I48" i="28"/>
  <c r="H48" i="28"/>
  <c r="G48" i="28"/>
  <c r="A48" i="28"/>
  <c r="B48" i="28" s="1"/>
  <c r="I47" i="28"/>
  <c r="H47" i="28"/>
  <c r="G47" i="28"/>
  <c r="A47" i="28"/>
  <c r="B47" i="28" s="1"/>
  <c r="I46" i="28"/>
  <c r="H46" i="28"/>
  <c r="G46" i="28"/>
  <c r="B46" i="28"/>
  <c r="A46" i="28"/>
  <c r="C46" i="28" s="1"/>
  <c r="I45" i="28"/>
  <c r="H45" i="28"/>
  <c r="G45" i="28"/>
  <c r="A45" i="28"/>
  <c r="I44" i="28"/>
  <c r="H44" i="28"/>
  <c r="G44" i="28"/>
  <c r="A44" i="28"/>
  <c r="C44" i="28" s="1"/>
  <c r="I43" i="28"/>
  <c r="H43" i="28"/>
  <c r="G43" i="28"/>
  <c r="A43" i="28"/>
  <c r="C43" i="28" s="1"/>
  <c r="I42" i="28"/>
  <c r="H42" i="28"/>
  <c r="G42" i="28"/>
  <c r="C42" i="28"/>
  <c r="B42" i="28"/>
  <c r="A42" i="28"/>
  <c r="I41" i="28"/>
  <c r="H41" i="28"/>
  <c r="G41" i="28"/>
  <c r="A41" i="28"/>
  <c r="C41" i="28" s="1"/>
  <c r="I40" i="28"/>
  <c r="H40" i="28"/>
  <c r="G40" i="28"/>
  <c r="A40" i="28"/>
  <c r="B40" i="28" s="1"/>
  <c r="I39" i="28"/>
  <c r="H39" i="28"/>
  <c r="G39" i="28"/>
  <c r="A39" i="28"/>
  <c r="B39" i="28" s="1"/>
  <c r="I38" i="28"/>
  <c r="H38" i="28"/>
  <c r="G38" i="28"/>
  <c r="A38" i="28"/>
  <c r="C38" i="28" s="1"/>
  <c r="I37" i="28"/>
  <c r="H37" i="28"/>
  <c r="G37" i="28"/>
  <c r="A37" i="28"/>
  <c r="I36" i="28"/>
  <c r="H36" i="28"/>
  <c r="G36" i="28"/>
  <c r="A36" i="28"/>
  <c r="C36" i="28" s="1"/>
  <c r="I35" i="28"/>
  <c r="H35" i="28"/>
  <c r="G35" i="28"/>
  <c r="A35" i="28"/>
  <c r="C35" i="28" s="1"/>
  <c r="I34" i="28"/>
  <c r="H34" i="28"/>
  <c r="G34" i="28"/>
  <c r="A34" i="28"/>
  <c r="C34" i="28" s="1"/>
  <c r="I33" i="28"/>
  <c r="H33" i="28"/>
  <c r="G33" i="28"/>
  <c r="A33" i="28"/>
  <c r="C33" i="28" s="1"/>
  <c r="I32" i="28"/>
  <c r="H32" i="28"/>
  <c r="G32" i="28"/>
  <c r="A32" i="28"/>
  <c r="B32" i="28" s="1"/>
  <c r="I31" i="28"/>
  <c r="H31" i="28"/>
  <c r="G31" i="28"/>
  <c r="A31" i="28"/>
  <c r="B31" i="28" s="1"/>
  <c r="I30" i="28"/>
  <c r="H30" i="28"/>
  <c r="G30" i="28"/>
  <c r="A30" i="28"/>
  <c r="I29" i="28"/>
  <c r="H29" i="28"/>
  <c r="G29" i="28"/>
  <c r="A29" i="28"/>
  <c r="I28" i="28"/>
  <c r="H28" i="28"/>
  <c r="G28" i="28"/>
  <c r="A28" i="28"/>
  <c r="C28" i="28" s="1"/>
  <c r="I27" i="28"/>
  <c r="H27" i="28"/>
  <c r="G27" i="28"/>
  <c r="A27" i="28"/>
  <c r="C27" i="28" s="1"/>
  <c r="I26" i="28"/>
  <c r="H26" i="28"/>
  <c r="G26" i="28"/>
  <c r="A26" i="28"/>
  <c r="C26" i="28" s="1"/>
  <c r="I25" i="28"/>
  <c r="H25" i="28"/>
  <c r="G25" i="28"/>
  <c r="C25" i="28"/>
  <c r="B25" i="28"/>
  <c r="A25" i="28"/>
  <c r="I24" i="28"/>
  <c r="H24" i="28"/>
  <c r="G24" i="28"/>
  <c r="A24" i="28"/>
  <c r="B24" i="28" s="1"/>
  <c r="I23" i="28"/>
  <c r="H23" i="28"/>
  <c r="G23" i="28"/>
  <c r="A23" i="28"/>
  <c r="B23" i="28" s="1"/>
  <c r="I22" i="28"/>
  <c r="H22" i="28"/>
  <c r="G22" i="28"/>
  <c r="A22" i="28"/>
  <c r="B22" i="28" s="1"/>
  <c r="I21" i="28"/>
  <c r="H21" i="28"/>
  <c r="G21" i="28"/>
  <c r="A21" i="28"/>
  <c r="I20" i="28"/>
  <c r="H20" i="28"/>
  <c r="G20" i="28"/>
  <c r="A20" i="28"/>
  <c r="C20" i="28" s="1"/>
  <c r="I19" i="28"/>
  <c r="H19" i="28"/>
  <c r="G19" i="28"/>
  <c r="A19" i="28"/>
  <c r="C19" i="28" s="1"/>
  <c r="I18" i="28"/>
  <c r="H18" i="28"/>
  <c r="G18" i="28"/>
  <c r="A18" i="28"/>
  <c r="C18" i="28" s="1"/>
  <c r="I17" i="28"/>
  <c r="H17" i="28"/>
  <c r="G17" i="28"/>
  <c r="A17" i="28"/>
  <c r="C17" i="28" s="1"/>
  <c r="I16" i="28"/>
  <c r="H16" i="28"/>
  <c r="G16" i="28"/>
  <c r="A16" i="28"/>
  <c r="I15" i="28"/>
  <c r="H15" i="28"/>
  <c r="G15" i="28"/>
  <c r="A15" i="28"/>
  <c r="B15" i="28" s="1"/>
  <c r="I14" i="28"/>
  <c r="H14" i="28"/>
  <c r="G14" i="28"/>
  <c r="A14" i="28"/>
  <c r="C14" i="28" s="1"/>
  <c r="I13" i="28"/>
  <c r="H13" i="28"/>
  <c r="G13" i="28"/>
  <c r="A13" i="28"/>
  <c r="I12" i="28"/>
  <c r="H12" i="28"/>
  <c r="G12" i="28"/>
  <c r="A12" i="28"/>
  <c r="C12" i="28" s="1"/>
  <c r="I11" i="28"/>
  <c r="H11" i="28"/>
  <c r="G11" i="28"/>
  <c r="A11" i="28"/>
  <c r="C11" i="28" s="1"/>
  <c r="I10" i="28"/>
  <c r="H10" i="28"/>
  <c r="G10" i="28"/>
  <c r="A10" i="28"/>
  <c r="C10" i="28" s="1"/>
  <c r="I9" i="28"/>
  <c r="H9" i="28"/>
  <c r="G9" i="28"/>
  <c r="A9" i="28"/>
  <c r="C9" i="28" s="1"/>
  <c r="I8" i="28"/>
  <c r="H8" i="28"/>
  <c r="G8" i="28"/>
  <c r="A8" i="28"/>
  <c r="I7" i="28"/>
  <c r="H7" i="28"/>
  <c r="G7" i="28"/>
  <c r="A7" i="28"/>
  <c r="B7" i="28" s="1"/>
  <c r="I6" i="28"/>
  <c r="H6" i="28"/>
  <c r="G6" i="28"/>
  <c r="A6" i="28"/>
  <c r="B6" i="28" s="1"/>
  <c r="I5" i="28"/>
  <c r="H5" i="28"/>
  <c r="G5" i="28"/>
  <c r="A5" i="28"/>
  <c r="I4" i="28"/>
  <c r="H4" i="28"/>
  <c r="G4" i="28"/>
  <c r="A4" i="28"/>
  <c r="C4" i="28" s="1"/>
  <c r="I3" i="28"/>
  <c r="H3" i="28"/>
  <c r="G3" i="28"/>
  <c r="A3" i="28"/>
  <c r="C3" i="28" s="1"/>
  <c r="I2" i="28"/>
  <c r="H2" i="28"/>
  <c r="G2" i="28"/>
  <c r="A2" i="28"/>
  <c r="C2" i="28" s="1"/>
  <c r="I1" i="28"/>
  <c r="O1" i="28" s="1"/>
  <c r="H1" i="28"/>
  <c r="N1" i="28" s="1"/>
  <c r="G1" i="28"/>
  <c r="M1" i="28" s="1"/>
  <c r="L1" i="28"/>
  <c r="D1" i="28"/>
  <c r="A1" i="28"/>
  <c r="J145" i="27"/>
  <c r="M145" i="27"/>
  <c r="L145" i="27"/>
  <c r="M144" i="27"/>
  <c r="J144" i="27"/>
  <c r="L144" i="27"/>
  <c r="J143" i="27"/>
  <c r="M143" i="27"/>
  <c r="L143" i="27"/>
  <c r="L142" i="27"/>
  <c r="J142" i="27"/>
  <c r="M142" i="27"/>
  <c r="J141" i="27"/>
  <c r="M141" i="27"/>
  <c r="L141" i="27"/>
  <c r="L140" i="27"/>
  <c r="J140" i="27"/>
  <c r="M140" i="27"/>
  <c r="J139" i="27"/>
  <c r="M139" i="27"/>
  <c r="L139" i="27"/>
  <c r="J138" i="27"/>
  <c r="M138" i="27"/>
  <c r="L138" i="27"/>
  <c r="L137" i="27"/>
  <c r="J137" i="27"/>
  <c r="M137" i="27"/>
  <c r="J136" i="27"/>
  <c r="M136" i="27"/>
  <c r="L136" i="27"/>
  <c r="J135" i="27"/>
  <c r="M135" i="27"/>
  <c r="L135" i="27"/>
  <c r="J134" i="27"/>
  <c r="M134" i="27"/>
  <c r="L134" i="27"/>
  <c r="M133" i="27"/>
  <c r="J133" i="27"/>
  <c r="L133" i="27"/>
  <c r="J132" i="27"/>
  <c r="M132" i="27"/>
  <c r="L132" i="27"/>
  <c r="H121" i="27"/>
  <c r="G121" i="27"/>
  <c r="A121" i="27"/>
  <c r="H120" i="27"/>
  <c r="G120" i="27"/>
  <c r="A120" i="27"/>
  <c r="H119" i="27"/>
  <c r="G119" i="27"/>
  <c r="A119" i="27"/>
  <c r="B119" i="27" s="1"/>
  <c r="H118" i="27"/>
  <c r="G118" i="27"/>
  <c r="A118" i="27"/>
  <c r="B118" i="27" s="1"/>
  <c r="H117" i="27"/>
  <c r="G117" i="27"/>
  <c r="A117" i="27"/>
  <c r="H116" i="27"/>
  <c r="G116" i="27"/>
  <c r="A116" i="27"/>
  <c r="B116" i="27" s="1"/>
  <c r="H115" i="27"/>
  <c r="G115" i="27"/>
  <c r="A115" i="27"/>
  <c r="B115" i="27" s="1"/>
  <c r="H114" i="27"/>
  <c r="G114" i="27"/>
  <c r="A114" i="27"/>
  <c r="C114" i="27" s="1"/>
  <c r="H113" i="27"/>
  <c r="G113" i="27"/>
  <c r="A113" i="27"/>
  <c r="C113" i="27" s="1"/>
  <c r="H112" i="27"/>
  <c r="G112" i="27"/>
  <c r="A112" i="27"/>
  <c r="C112" i="27" s="1"/>
  <c r="H111" i="27"/>
  <c r="G111" i="27"/>
  <c r="A111" i="27"/>
  <c r="B111" i="27" s="1"/>
  <c r="H110" i="27"/>
  <c r="G110" i="27"/>
  <c r="A110" i="27"/>
  <c r="C110" i="27" s="1"/>
  <c r="H109" i="27"/>
  <c r="G109" i="27"/>
  <c r="A109" i="27"/>
  <c r="C109" i="27" s="1"/>
  <c r="H108" i="27"/>
  <c r="G108" i="27"/>
  <c r="A108" i="27"/>
  <c r="B108" i="27" s="1"/>
  <c r="H107" i="27"/>
  <c r="G107" i="27"/>
  <c r="A107" i="27"/>
  <c r="B107" i="27" s="1"/>
  <c r="H106" i="27"/>
  <c r="G106" i="27"/>
  <c r="A106" i="27"/>
  <c r="C106" i="27" s="1"/>
  <c r="H105" i="27"/>
  <c r="G105" i="27"/>
  <c r="A105" i="27"/>
  <c r="C105" i="27" s="1"/>
  <c r="H104" i="27"/>
  <c r="G104" i="27"/>
  <c r="A104" i="27"/>
  <c r="B104" i="27" s="1"/>
  <c r="H103" i="27"/>
  <c r="G103" i="27"/>
  <c r="C103" i="27"/>
  <c r="A103" i="27"/>
  <c r="B103" i="27" s="1"/>
  <c r="H102" i="27"/>
  <c r="G102" i="27"/>
  <c r="A102" i="27"/>
  <c r="H101" i="27"/>
  <c r="G101" i="27"/>
  <c r="A101" i="27"/>
  <c r="C101" i="27" s="1"/>
  <c r="H100" i="27"/>
  <c r="G100" i="27"/>
  <c r="A100" i="27"/>
  <c r="B100" i="27" s="1"/>
  <c r="H99" i="27"/>
  <c r="G99" i="27"/>
  <c r="A99" i="27"/>
  <c r="B99" i="27" s="1"/>
  <c r="H98" i="27"/>
  <c r="G98" i="27"/>
  <c r="A98" i="27"/>
  <c r="C98" i="27" s="1"/>
  <c r="H97" i="27"/>
  <c r="G97" i="27"/>
  <c r="A97" i="27"/>
  <c r="C97" i="27" s="1"/>
  <c r="H96" i="27"/>
  <c r="G96" i="27"/>
  <c r="A96" i="27"/>
  <c r="C96" i="27" s="1"/>
  <c r="H95" i="27"/>
  <c r="G95" i="27"/>
  <c r="A95" i="27"/>
  <c r="B95" i="27" s="1"/>
  <c r="H94" i="27"/>
  <c r="G94" i="27"/>
  <c r="C94" i="27"/>
  <c r="A94" i="27"/>
  <c r="B94" i="27" s="1"/>
  <c r="H93" i="27"/>
  <c r="G93" i="27"/>
  <c r="A93" i="27"/>
  <c r="C93" i="27" s="1"/>
  <c r="H92" i="27"/>
  <c r="G92" i="27"/>
  <c r="A92" i="27"/>
  <c r="B92" i="27" s="1"/>
  <c r="H91" i="27"/>
  <c r="G91" i="27"/>
  <c r="A91" i="27"/>
  <c r="B91" i="27" s="1"/>
  <c r="H90" i="27"/>
  <c r="G90" i="27"/>
  <c r="C90" i="27"/>
  <c r="A90" i="27"/>
  <c r="B90" i="27" s="1"/>
  <c r="H89" i="27"/>
  <c r="G89" i="27"/>
  <c r="A89" i="27"/>
  <c r="C89" i="27" s="1"/>
  <c r="H88" i="27"/>
  <c r="G88" i="27"/>
  <c r="A88" i="27"/>
  <c r="C88" i="27" s="1"/>
  <c r="H87" i="27"/>
  <c r="G87" i="27"/>
  <c r="A87" i="27"/>
  <c r="C87" i="27" s="1"/>
  <c r="H86" i="27"/>
  <c r="G86" i="27"/>
  <c r="A86" i="27"/>
  <c r="C86" i="27" s="1"/>
  <c r="H85" i="27"/>
  <c r="G85" i="27"/>
  <c r="A85" i="27"/>
  <c r="C85" i="27" s="1"/>
  <c r="H84" i="27"/>
  <c r="G84" i="27"/>
  <c r="A84" i="27"/>
  <c r="C84" i="27" s="1"/>
  <c r="H83" i="27"/>
  <c r="G83" i="27"/>
  <c r="A83" i="27"/>
  <c r="C83" i="27" s="1"/>
  <c r="H82" i="27"/>
  <c r="G82" i="27"/>
  <c r="A82" i="27"/>
  <c r="C82" i="27" s="1"/>
  <c r="H81" i="27"/>
  <c r="G81" i="27"/>
  <c r="A81" i="27"/>
  <c r="C81" i="27" s="1"/>
  <c r="H80" i="27"/>
  <c r="G80" i="27"/>
  <c r="A80" i="27"/>
  <c r="C80" i="27" s="1"/>
  <c r="H79" i="27"/>
  <c r="G79" i="27"/>
  <c r="A79" i="27"/>
  <c r="C79" i="27" s="1"/>
  <c r="H78" i="27"/>
  <c r="G78" i="27"/>
  <c r="A78" i="27"/>
  <c r="C78" i="27" s="1"/>
  <c r="H77" i="27"/>
  <c r="G77" i="27"/>
  <c r="A77" i="27"/>
  <c r="C77" i="27" s="1"/>
  <c r="H76" i="27"/>
  <c r="G76" i="27"/>
  <c r="A76" i="27"/>
  <c r="C76" i="27" s="1"/>
  <c r="H75" i="27"/>
  <c r="G75" i="27"/>
  <c r="B75" i="27"/>
  <c r="A75" i="27"/>
  <c r="C75" i="27" s="1"/>
  <c r="H74" i="27"/>
  <c r="G74" i="27"/>
  <c r="A74" i="27"/>
  <c r="C74" i="27" s="1"/>
  <c r="H73" i="27"/>
  <c r="G73" i="27"/>
  <c r="A73" i="27"/>
  <c r="C73" i="27" s="1"/>
  <c r="H72" i="27"/>
  <c r="G72" i="27"/>
  <c r="A72" i="27"/>
  <c r="C72" i="27" s="1"/>
  <c r="H71" i="27"/>
  <c r="G71" i="27"/>
  <c r="A71" i="27"/>
  <c r="C71" i="27" s="1"/>
  <c r="H70" i="27"/>
  <c r="G70" i="27"/>
  <c r="A70" i="27"/>
  <c r="C70" i="27" s="1"/>
  <c r="H69" i="27"/>
  <c r="G69" i="27"/>
  <c r="A69" i="27"/>
  <c r="C69" i="27" s="1"/>
  <c r="H68" i="27"/>
  <c r="G68" i="27"/>
  <c r="A68" i="27"/>
  <c r="C68" i="27" s="1"/>
  <c r="H67" i="27"/>
  <c r="G67" i="27"/>
  <c r="A67" i="27"/>
  <c r="C67" i="27" s="1"/>
  <c r="H66" i="27"/>
  <c r="G66" i="27"/>
  <c r="A66" i="27"/>
  <c r="C66" i="27" s="1"/>
  <c r="H65" i="27"/>
  <c r="G65" i="27"/>
  <c r="A65" i="27"/>
  <c r="C65" i="27" s="1"/>
  <c r="H64" i="27"/>
  <c r="G64" i="27"/>
  <c r="A64" i="27"/>
  <c r="C64" i="27" s="1"/>
  <c r="H63" i="27"/>
  <c r="G63" i="27"/>
  <c r="A63" i="27"/>
  <c r="C63" i="27" s="1"/>
  <c r="H62" i="27"/>
  <c r="G62" i="27"/>
  <c r="A62" i="27"/>
  <c r="B62" i="27" s="1"/>
  <c r="H61" i="27"/>
  <c r="G61" i="27"/>
  <c r="A61" i="27"/>
  <c r="C61" i="27" s="1"/>
  <c r="H60" i="27"/>
  <c r="G60" i="27"/>
  <c r="A60" i="27"/>
  <c r="C60" i="27" s="1"/>
  <c r="H59" i="27"/>
  <c r="G59" i="27"/>
  <c r="A59" i="27"/>
  <c r="C59" i="27" s="1"/>
  <c r="H58" i="27"/>
  <c r="G58" i="27"/>
  <c r="A58" i="27"/>
  <c r="B58" i="27" s="1"/>
  <c r="H57" i="27"/>
  <c r="G57" i="27"/>
  <c r="A57" i="27"/>
  <c r="C57" i="27" s="1"/>
  <c r="H56" i="27"/>
  <c r="G56" i="27"/>
  <c r="A56" i="27"/>
  <c r="C56" i="27" s="1"/>
  <c r="H55" i="27"/>
  <c r="G55" i="27"/>
  <c r="A55" i="27"/>
  <c r="H54" i="27"/>
  <c r="G54" i="27"/>
  <c r="A54" i="27"/>
  <c r="C54" i="27" s="1"/>
  <c r="H53" i="27"/>
  <c r="G53" i="27"/>
  <c r="A53" i="27"/>
  <c r="C53" i="27" s="1"/>
  <c r="H52" i="27"/>
  <c r="G52" i="27"/>
  <c r="A52" i="27"/>
  <c r="C52" i="27" s="1"/>
  <c r="H51" i="27"/>
  <c r="G51" i="27"/>
  <c r="B51" i="27"/>
  <c r="A51" i="27"/>
  <c r="C51" i="27" s="1"/>
  <c r="H50" i="27"/>
  <c r="G50" i="27"/>
  <c r="A50" i="27"/>
  <c r="B50" i="27" s="1"/>
  <c r="H49" i="27"/>
  <c r="G49" i="27"/>
  <c r="A49" i="27"/>
  <c r="C49" i="27" s="1"/>
  <c r="H48" i="27"/>
  <c r="G48" i="27"/>
  <c r="A48" i="27"/>
  <c r="C48" i="27" s="1"/>
  <c r="H47" i="27"/>
  <c r="G47" i="27"/>
  <c r="A47" i="27"/>
  <c r="C47" i="27" s="1"/>
  <c r="H46" i="27"/>
  <c r="G46" i="27"/>
  <c r="A46" i="27"/>
  <c r="B46" i="27" s="1"/>
  <c r="H45" i="27"/>
  <c r="G45" i="27"/>
  <c r="A45" i="27"/>
  <c r="C45" i="27" s="1"/>
  <c r="H44" i="27"/>
  <c r="G44" i="27"/>
  <c r="A44" i="27"/>
  <c r="C44" i="27" s="1"/>
  <c r="H43" i="27"/>
  <c r="G43" i="27"/>
  <c r="A43" i="27"/>
  <c r="H42" i="27"/>
  <c r="G42" i="27"/>
  <c r="A42" i="27"/>
  <c r="B42" i="27" s="1"/>
  <c r="H41" i="27"/>
  <c r="G41" i="27"/>
  <c r="A41" i="27"/>
  <c r="C41" i="27" s="1"/>
  <c r="H40" i="27"/>
  <c r="G40" i="27"/>
  <c r="A40" i="27"/>
  <c r="C40" i="27" s="1"/>
  <c r="H39" i="27"/>
  <c r="G39" i="27"/>
  <c r="B39" i="27"/>
  <c r="A39" i="27"/>
  <c r="C39" i="27" s="1"/>
  <c r="H38" i="27"/>
  <c r="G38" i="27"/>
  <c r="A38" i="27"/>
  <c r="B38" i="27" s="1"/>
  <c r="H37" i="27"/>
  <c r="G37" i="27"/>
  <c r="A37" i="27"/>
  <c r="C37" i="27" s="1"/>
  <c r="H36" i="27"/>
  <c r="G36" i="27"/>
  <c r="A36" i="27"/>
  <c r="C36" i="27" s="1"/>
  <c r="H35" i="27"/>
  <c r="G35" i="27"/>
  <c r="A35" i="27"/>
  <c r="C35" i="27" s="1"/>
  <c r="H34" i="27"/>
  <c r="G34" i="27"/>
  <c r="A34" i="27"/>
  <c r="B34" i="27" s="1"/>
  <c r="H33" i="27"/>
  <c r="G33" i="27"/>
  <c r="A33" i="27"/>
  <c r="C33" i="27" s="1"/>
  <c r="H32" i="27"/>
  <c r="G32" i="27"/>
  <c r="A32" i="27"/>
  <c r="C32" i="27" s="1"/>
  <c r="H31" i="27"/>
  <c r="G31" i="27"/>
  <c r="A31" i="27"/>
  <c r="C31" i="27" s="1"/>
  <c r="H30" i="27"/>
  <c r="G30" i="27"/>
  <c r="A30" i="27"/>
  <c r="B30" i="27" s="1"/>
  <c r="H29" i="27"/>
  <c r="G29" i="27"/>
  <c r="A29" i="27"/>
  <c r="C29" i="27" s="1"/>
  <c r="H28" i="27"/>
  <c r="G28" i="27"/>
  <c r="A28" i="27"/>
  <c r="C28" i="27" s="1"/>
  <c r="H27" i="27"/>
  <c r="G27" i="27"/>
  <c r="A27" i="27"/>
  <c r="C27" i="27" s="1"/>
  <c r="H26" i="27"/>
  <c r="G26" i="27"/>
  <c r="A26" i="27"/>
  <c r="B26" i="27" s="1"/>
  <c r="H25" i="27"/>
  <c r="G25" i="27"/>
  <c r="A25" i="27"/>
  <c r="C25" i="27" s="1"/>
  <c r="H24" i="27"/>
  <c r="G24" i="27"/>
  <c r="A24" i="27"/>
  <c r="C24" i="27" s="1"/>
  <c r="H23" i="27"/>
  <c r="G23" i="27"/>
  <c r="A23" i="27"/>
  <c r="C23" i="27" s="1"/>
  <c r="H22" i="27"/>
  <c r="G22" i="27"/>
  <c r="A22" i="27"/>
  <c r="B22" i="27" s="1"/>
  <c r="H21" i="27"/>
  <c r="G21" i="27"/>
  <c r="A21" i="27"/>
  <c r="C21" i="27" s="1"/>
  <c r="H20" i="27"/>
  <c r="G20" i="27"/>
  <c r="A20" i="27"/>
  <c r="C20" i="27" s="1"/>
  <c r="H19" i="27"/>
  <c r="G19" i="27"/>
  <c r="A19" i="27"/>
  <c r="C19" i="27" s="1"/>
  <c r="H18" i="27"/>
  <c r="G18" i="27"/>
  <c r="A18" i="27"/>
  <c r="B18" i="27" s="1"/>
  <c r="H17" i="27"/>
  <c r="G17" i="27"/>
  <c r="A17" i="27"/>
  <c r="C17" i="27" s="1"/>
  <c r="H16" i="27"/>
  <c r="G16" i="27"/>
  <c r="A16" i="27"/>
  <c r="C16" i="27" s="1"/>
  <c r="H15" i="27"/>
  <c r="G15" i="27"/>
  <c r="A15" i="27"/>
  <c r="C15" i="27" s="1"/>
  <c r="H14" i="27"/>
  <c r="G14" i="27"/>
  <c r="A14" i="27"/>
  <c r="B14" i="27" s="1"/>
  <c r="H13" i="27"/>
  <c r="G13" i="27"/>
  <c r="A13" i="27"/>
  <c r="C13" i="27" s="1"/>
  <c r="H12" i="27"/>
  <c r="G12" i="27"/>
  <c r="A12" i="27"/>
  <c r="C12" i="27" s="1"/>
  <c r="H11" i="27"/>
  <c r="G11" i="27"/>
  <c r="A11" i="27"/>
  <c r="C11" i="27" s="1"/>
  <c r="H10" i="27"/>
  <c r="G10" i="27"/>
  <c r="A10" i="27"/>
  <c r="B10" i="27" s="1"/>
  <c r="H9" i="27"/>
  <c r="G9" i="27"/>
  <c r="A9" i="27"/>
  <c r="C9" i="27" s="1"/>
  <c r="H8" i="27"/>
  <c r="G8" i="27"/>
  <c r="A8" i="27"/>
  <c r="C8" i="27" s="1"/>
  <c r="H7" i="27"/>
  <c r="G7" i="27"/>
  <c r="B7" i="27"/>
  <c r="A7" i="27"/>
  <c r="C7" i="27" s="1"/>
  <c r="H6" i="27"/>
  <c r="G6" i="27"/>
  <c r="A6" i="27"/>
  <c r="C6" i="27" s="1"/>
  <c r="H5" i="27"/>
  <c r="G5" i="27"/>
  <c r="A5" i="27"/>
  <c r="C5" i="27" s="1"/>
  <c r="H4" i="27"/>
  <c r="G4" i="27"/>
  <c r="A4" i="27"/>
  <c r="C4" i="27" s="1"/>
  <c r="H3" i="27"/>
  <c r="G3" i="27"/>
  <c r="A3" i="27"/>
  <c r="C3" i="27" s="1"/>
  <c r="H2" i="27"/>
  <c r="G2" i="27"/>
  <c r="A2" i="27"/>
  <c r="B2" i="27" s="1"/>
  <c r="J1" i="27"/>
  <c r="H1" i="27"/>
  <c r="M1" i="27" s="1"/>
  <c r="G1" i="27"/>
  <c r="L1" i="27" s="1"/>
  <c r="K1" i="27"/>
  <c r="D1" i="27"/>
  <c r="A1" i="27"/>
  <c r="H123" i="20"/>
  <c r="H125" i="20"/>
  <c r="H126" i="20"/>
  <c r="N126" i="20" s="1"/>
  <c r="H133" i="20"/>
  <c r="N133" i="20" s="1"/>
  <c r="H138" i="20"/>
  <c r="N138" i="20" s="1"/>
  <c r="H145" i="20"/>
  <c r="N145" i="20" s="1"/>
  <c r="H122" i="20"/>
  <c r="N122" i="20" s="1"/>
  <c r="N4" i="20"/>
  <c r="N5" i="20"/>
  <c r="N7" i="20"/>
  <c r="N8" i="20"/>
  <c r="N9" i="20"/>
  <c r="N10" i="20"/>
  <c r="N14" i="20"/>
  <c r="N15" i="20"/>
  <c r="N16" i="20"/>
  <c r="N17" i="20"/>
  <c r="N21" i="20"/>
  <c r="N23" i="20"/>
  <c r="N24" i="20"/>
  <c r="N25" i="20"/>
  <c r="N26" i="20"/>
  <c r="N28" i="20"/>
  <c r="N30" i="20"/>
  <c r="N31" i="20"/>
  <c r="N33" i="20"/>
  <c r="N34" i="20"/>
  <c r="N37" i="20"/>
  <c r="N39" i="20"/>
  <c r="N40" i="20"/>
  <c r="N42" i="20"/>
  <c r="N45" i="20"/>
  <c r="N46" i="20"/>
  <c r="N47" i="20"/>
  <c r="N49" i="20"/>
  <c r="N50" i="20"/>
  <c r="N53" i="20"/>
  <c r="N55" i="20"/>
  <c r="N56" i="20"/>
  <c r="N57" i="20"/>
  <c r="N58" i="20"/>
  <c r="N60" i="20"/>
  <c r="N61" i="20"/>
  <c r="N62" i="20"/>
  <c r="N63" i="20"/>
  <c r="N65" i="20"/>
  <c r="N66" i="20"/>
  <c r="N69" i="20"/>
  <c r="N71" i="20"/>
  <c r="N72" i="20"/>
  <c r="N73" i="20"/>
  <c r="N74" i="20"/>
  <c r="N78" i="20"/>
  <c r="N79" i="20"/>
  <c r="N80" i="20"/>
  <c r="N81" i="20"/>
  <c r="N85" i="20"/>
  <c r="N86" i="20"/>
  <c r="N87" i="20"/>
  <c r="N89" i="20"/>
  <c r="N90" i="20"/>
  <c r="N94" i="20"/>
  <c r="N95" i="20"/>
  <c r="N96" i="20"/>
  <c r="N97" i="20"/>
  <c r="N101" i="20"/>
  <c r="N103" i="20"/>
  <c r="N104" i="20"/>
  <c r="N105" i="20"/>
  <c r="N106" i="20"/>
  <c r="N108" i="20"/>
  <c r="N109" i="20"/>
  <c r="N110" i="20"/>
  <c r="N111" i="20"/>
  <c r="N113" i="20"/>
  <c r="N114" i="20"/>
  <c r="N117" i="20"/>
  <c r="N119" i="20"/>
  <c r="N120" i="20"/>
  <c r="N121" i="20"/>
  <c r="N132" i="20"/>
  <c r="N2" i="20"/>
  <c r="H2" i="20"/>
  <c r="H3" i="20"/>
  <c r="N3" i="20" s="1"/>
  <c r="H4" i="20"/>
  <c r="H5" i="20"/>
  <c r="H6" i="20"/>
  <c r="N6" i="20" s="1"/>
  <c r="H7" i="20"/>
  <c r="H8" i="20"/>
  <c r="H9" i="20"/>
  <c r="H10" i="20"/>
  <c r="H11" i="20"/>
  <c r="N11" i="20" s="1"/>
  <c r="H12" i="20"/>
  <c r="N12" i="20" s="1"/>
  <c r="H13" i="20"/>
  <c r="N13" i="20" s="1"/>
  <c r="H14" i="20"/>
  <c r="H15" i="20"/>
  <c r="H16" i="20"/>
  <c r="H17" i="20"/>
  <c r="H18" i="20"/>
  <c r="N18" i="20" s="1"/>
  <c r="H19" i="20"/>
  <c r="N19" i="20" s="1"/>
  <c r="H20" i="20"/>
  <c r="N20" i="20" s="1"/>
  <c r="H21" i="20"/>
  <c r="H22" i="20"/>
  <c r="N22" i="20" s="1"/>
  <c r="H23" i="20"/>
  <c r="H24" i="20"/>
  <c r="H25" i="20"/>
  <c r="H26" i="20"/>
  <c r="H27" i="20"/>
  <c r="N27" i="20" s="1"/>
  <c r="H28" i="20"/>
  <c r="H29" i="20"/>
  <c r="N29" i="20" s="1"/>
  <c r="H30" i="20"/>
  <c r="H31" i="20"/>
  <c r="H32" i="20"/>
  <c r="N32" i="20" s="1"/>
  <c r="H33" i="20"/>
  <c r="H34" i="20"/>
  <c r="H35" i="20"/>
  <c r="N35" i="20" s="1"/>
  <c r="H36" i="20"/>
  <c r="N36" i="20" s="1"/>
  <c r="H37" i="20"/>
  <c r="H38" i="20"/>
  <c r="N38" i="20" s="1"/>
  <c r="H39" i="20"/>
  <c r="H40" i="20"/>
  <c r="H41" i="20"/>
  <c r="N41" i="20" s="1"/>
  <c r="H42" i="20"/>
  <c r="H43" i="20"/>
  <c r="N43" i="20" s="1"/>
  <c r="H44" i="20"/>
  <c r="N44" i="20" s="1"/>
  <c r="H45" i="20"/>
  <c r="H46" i="20"/>
  <c r="H47" i="20"/>
  <c r="H48" i="20"/>
  <c r="N48" i="20" s="1"/>
  <c r="H49" i="20"/>
  <c r="H50" i="20"/>
  <c r="H51" i="20"/>
  <c r="N51" i="20" s="1"/>
  <c r="H52" i="20"/>
  <c r="N52" i="20" s="1"/>
  <c r="H53" i="20"/>
  <c r="H54" i="20"/>
  <c r="N54" i="20" s="1"/>
  <c r="H55" i="20"/>
  <c r="H56" i="20"/>
  <c r="H57" i="20"/>
  <c r="H58" i="20"/>
  <c r="H59" i="20"/>
  <c r="N59" i="20" s="1"/>
  <c r="H60" i="20"/>
  <c r="H61" i="20"/>
  <c r="H62" i="20"/>
  <c r="H63" i="20"/>
  <c r="H64" i="20"/>
  <c r="N64" i="20" s="1"/>
  <c r="H65" i="20"/>
  <c r="H66" i="20"/>
  <c r="H67" i="20"/>
  <c r="N67" i="20" s="1"/>
  <c r="H68" i="20"/>
  <c r="N68" i="20" s="1"/>
  <c r="H69" i="20"/>
  <c r="H70" i="20"/>
  <c r="N70" i="20" s="1"/>
  <c r="H71" i="20"/>
  <c r="H72" i="20"/>
  <c r="H73" i="20"/>
  <c r="H74" i="20"/>
  <c r="H75" i="20"/>
  <c r="N75" i="20" s="1"/>
  <c r="H76" i="20"/>
  <c r="N76" i="20" s="1"/>
  <c r="H77" i="20"/>
  <c r="N77" i="20" s="1"/>
  <c r="H78" i="20"/>
  <c r="H79" i="20"/>
  <c r="H80" i="20"/>
  <c r="H81" i="20"/>
  <c r="H82" i="20"/>
  <c r="N82" i="20" s="1"/>
  <c r="H83" i="20"/>
  <c r="N83" i="20" s="1"/>
  <c r="H84" i="20"/>
  <c r="N84" i="20" s="1"/>
  <c r="H85" i="20"/>
  <c r="H86" i="20"/>
  <c r="H87" i="20"/>
  <c r="H88" i="20"/>
  <c r="N88" i="20" s="1"/>
  <c r="H89" i="20"/>
  <c r="H90" i="20"/>
  <c r="H91" i="20"/>
  <c r="N91" i="20" s="1"/>
  <c r="H92" i="20"/>
  <c r="N92" i="20" s="1"/>
  <c r="H93" i="20"/>
  <c r="N93" i="20" s="1"/>
  <c r="H94" i="20"/>
  <c r="H95" i="20"/>
  <c r="H96" i="20"/>
  <c r="H97" i="20"/>
  <c r="H98" i="20"/>
  <c r="N98" i="20" s="1"/>
  <c r="H99" i="20"/>
  <c r="N99" i="20" s="1"/>
  <c r="H100" i="20"/>
  <c r="N100" i="20" s="1"/>
  <c r="H101" i="20"/>
  <c r="H102" i="20"/>
  <c r="N102" i="20" s="1"/>
  <c r="H103" i="20"/>
  <c r="H104" i="20"/>
  <c r="H105" i="20"/>
  <c r="H106" i="20"/>
  <c r="H107" i="20"/>
  <c r="N107" i="20" s="1"/>
  <c r="H108" i="20"/>
  <c r="H109" i="20"/>
  <c r="H110" i="20"/>
  <c r="H111" i="20"/>
  <c r="H112" i="20"/>
  <c r="H124" i="20" s="1"/>
  <c r="H113" i="20"/>
  <c r="H114" i="20"/>
  <c r="H115" i="20"/>
  <c r="N115" i="20" s="1"/>
  <c r="H116" i="20"/>
  <c r="H128" i="20" s="1"/>
  <c r="H140" i="20" s="1"/>
  <c r="N140" i="20" s="1"/>
  <c r="H117" i="20"/>
  <c r="H129" i="20" s="1"/>
  <c r="H118" i="20"/>
  <c r="H130" i="20" s="1"/>
  <c r="H119" i="20"/>
  <c r="H131" i="20" s="1"/>
  <c r="H143" i="20" s="1"/>
  <c r="N143" i="20" s="1"/>
  <c r="H120" i="20"/>
  <c r="H132" i="20" s="1"/>
  <c r="H144" i="20" s="1"/>
  <c r="N144" i="20" s="1"/>
  <c r="H121" i="20"/>
  <c r="H1" i="20"/>
  <c r="N11" i="4"/>
  <c r="N28" i="4"/>
  <c r="N44" i="4"/>
  <c r="N60" i="4"/>
  <c r="N76" i="4"/>
  <c r="H2" i="4"/>
  <c r="N2" i="4" s="1"/>
  <c r="H3" i="4"/>
  <c r="N3" i="4" s="1"/>
  <c r="H4" i="4"/>
  <c r="N4" i="4" s="1"/>
  <c r="H5" i="4"/>
  <c r="N5" i="4" s="1"/>
  <c r="H6" i="4"/>
  <c r="N6" i="4" s="1"/>
  <c r="H7" i="4"/>
  <c r="N7" i="4" s="1"/>
  <c r="H8" i="4"/>
  <c r="N8" i="4" s="1"/>
  <c r="H9" i="4"/>
  <c r="N9" i="4" s="1"/>
  <c r="H10" i="4"/>
  <c r="N10" i="4" s="1"/>
  <c r="H11" i="4"/>
  <c r="H12" i="4"/>
  <c r="N12" i="4" s="1"/>
  <c r="H13" i="4"/>
  <c r="N13" i="4" s="1"/>
  <c r="H14" i="4"/>
  <c r="N14" i="4" s="1"/>
  <c r="H15" i="4"/>
  <c r="N15" i="4" s="1"/>
  <c r="H16" i="4"/>
  <c r="N16" i="4" s="1"/>
  <c r="H17" i="4"/>
  <c r="N17" i="4" s="1"/>
  <c r="H18" i="4"/>
  <c r="N18" i="4" s="1"/>
  <c r="H19" i="4"/>
  <c r="N19" i="4" s="1"/>
  <c r="H20" i="4"/>
  <c r="N20" i="4" s="1"/>
  <c r="H21" i="4"/>
  <c r="N21" i="4" s="1"/>
  <c r="H22" i="4"/>
  <c r="N22" i="4" s="1"/>
  <c r="H23" i="4"/>
  <c r="N23" i="4" s="1"/>
  <c r="H24" i="4"/>
  <c r="N24" i="4" s="1"/>
  <c r="H25" i="4"/>
  <c r="N25" i="4" s="1"/>
  <c r="H26" i="4"/>
  <c r="N26" i="4" s="1"/>
  <c r="H27" i="4"/>
  <c r="N27" i="4" s="1"/>
  <c r="H28" i="4"/>
  <c r="H29" i="4"/>
  <c r="N29" i="4" s="1"/>
  <c r="H30" i="4"/>
  <c r="N30" i="4" s="1"/>
  <c r="H31" i="4"/>
  <c r="N31" i="4" s="1"/>
  <c r="H32" i="4"/>
  <c r="N32" i="4" s="1"/>
  <c r="H33" i="4"/>
  <c r="N33" i="4" s="1"/>
  <c r="H34" i="4"/>
  <c r="N34" i="4" s="1"/>
  <c r="H35" i="4"/>
  <c r="N35" i="4" s="1"/>
  <c r="H36" i="4"/>
  <c r="N36" i="4" s="1"/>
  <c r="H37" i="4"/>
  <c r="N37" i="4" s="1"/>
  <c r="H38" i="4"/>
  <c r="N38" i="4" s="1"/>
  <c r="H39" i="4"/>
  <c r="N39" i="4" s="1"/>
  <c r="H40" i="4"/>
  <c r="N40" i="4" s="1"/>
  <c r="H41" i="4"/>
  <c r="N41" i="4" s="1"/>
  <c r="H42" i="4"/>
  <c r="N42" i="4" s="1"/>
  <c r="H43" i="4"/>
  <c r="N43" i="4" s="1"/>
  <c r="H44" i="4"/>
  <c r="H45" i="4"/>
  <c r="N45" i="4" s="1"/>
  <c r="H46" i="4"/>
  <c r="N46" i="4" s="1"/>
  <c r="H47" i="4"/>
  <c r="N47" i="4" s="1"/>
  <c r="H48" i="4"/>
  <c r="N48" i="4" s="1"/>
  <c r="H49" i="4"/>
  <c r="N49" i="4" s="1"/>
  <c r="H50" i="4"/>
  <c r="N50" i="4" s="1"/>
  <c r="H51" i="4"/>
  <c r="N51" i="4" s="1"/>
  <c r="H52" i="4"/>
  <c r="N52" i="4" s="1"/>
  <c r="H53" i="4"/>
  <c r="N53" i="4" s="1"/>
  <c r="H54" i="4"/>
  <c r="N54" i="4" s="1"/>
  <c r="H55" i="4"/>
  <c r="N55" i="4" s="1"/>
  <c r="H56" i="4"/>
  <c r="N56" i="4" s="1"/>
  <c r="H57" i="4"/>
  <c r="N57" i="4" s="1"/>
  <c r="H58" i="4"/>
  <c r="N58" i="4" s="1"/>
  <c r="H59" i="4"/>
  <c r="N59" i="4" s="1"/>
  <c r="H60" i="4"/>
  <c r="H61" i="4"/>
  <c r="N61" i="4" s="1"/>
  <c r="H62" i="4"/>
  <c r="N62" i="4" s="1"/>
  <c r="H63" i="4"/>
  <c r="N63" i="4" s="1"/>
  <c r="H64" i="4"/>
  <c r="N64" i="4" s="1"/>
  <c r="H65" i="4"/>
  <c r="N65" i="4" s="1"/>
  <c r="H66" i="4"/>
  <c r="N66" i="4" s="1"/>
  <c r="H67" i="4"/>
  <c r="N67" i="4" s="1"/>
  <c r="H68" i="4"/>
  <c r="N68" i="4" s="1"/>
  <c r="H69" i="4"/>
  <c r="N69" i="4" s="1"/>
  <c r="H70" i="4"/>
  <c r="N70" i="4" s="1"/>
  <c r="H71" i="4"/>
  <c r="N71" i="4" s="1"/>
  <c r="H72" i="4"/>
  <c r="N72" i="4" s="1"/>
  <c r="H73" i="4"/>
  <c r="N73" i="4" s="1"/>
  <c r="H74" i="4"/>
  <c r="N74" i="4" s="1"/>
  <c r="H75" i="4"/>
  <c r="N75" i="4" s="1"/>
  <c r="H76" i="4"/>
  <c r="H77" i="4"/>
  <c r="N77" i="4" s="1"/>
  <c r="H78" i="4"/>
  <c r="N78" i="4" s="1"/>
  <c r="H79" i="4"/>
  <c r="N79" i="4" s="1"/>
  <c r="H80" i="4"/>
  <c r="N80" i="4" s="1"/>
  <c r="H81" i="4"/>
  <c r="N81" i="4" s="1"/>
  <c r="H82" i="4"/>
  <c r="N82" i="4" s="1"/>
  <c r="H83" i="4"/>
  <c r="N83" i="4" s="1"/>
  <c r="H84" i="4"/>
  <c r="N84" i="4" s="1"/>
  <c r="H85" i="4"/>
  <c r="N85" i="4" s="1"/>
  <c r="H86" i="4"/>
  <c r="N86" i="4" s="1"/>
  <c r="H87" i="4"/>
  <c r="N87" i="4" s="1"/>
  <c r="H88" i="4"/>
  <c r="N88" i="4" s="1"/>
  <c r="H89" i="4"/>
  <c r="N89" i="4" s="1"/>
  <c r="H90" i="4"/>
  <c r="N90" i="4" s="1"/>
  <c r="H91" i="4"/>
  <c r="N91" i="4" s="1"/>
  <c r="H92" i="4"/>
  <c r="N92" i="4" s="1"/>
  <c r="H93" i="4"/>
  <c r="N93" i="4" s="1"/>
  <c r="H94" i="4"/>
  <c r="N94" i="4" s="1"/>
  <c r="H95" i="4"/>
  <c r="N95" i="4" s="1"/>
  <c r="H96" i="4"/>
  <c r="N96" i="4" s="1"/>
  <c r="H97" i="4"/>
  <c r="N97" i="4" s="1"/>
  <c r="H98" i="4"/>
  <c r="N98" i="4" s="1"/>
  <c r="H99" i="4"/>
  <c r="N99" i="4" s="1"/>
  <c r="H100" i="4"/>
  <c r="N100" i="4" s="1"/>
  <c r="H101" i="4"/>
  <c r="N101" i="4" s="1"/>
  <c r="H102" i="4"/>
  <c r="N102" i="4" s="1"/>
  <c r="H103" i="4"/>
  <c r="N103" i="4" s="1"/>
  <c r="H104" i="4"/>
  <c r="N104" i="4" s="1"/>
  <c r="H105" i="4"/>
  <c r="N105" i="4" s="1"/>
  <c r="H106" i="4"/>
  <c r="N106" i="4" s="1"/>
  <c r="H107" i="4"/>
  <c r="N107" i="4" s="1"/>
  <c r="H108" i="4"/>
  <c r="N108" i="4" s="1"/>
  <c r="H109" i="4"/>
  <c r="N109" i="4" s="1"/>
  <c r="H110" i="4"/>
  <c r="N110" i="4" s="1"/>
  <c r="H111" i="4"/>
  <c r="N111" i="4" s="1"/>
  <c r="H112" i="4"/>
  <c r="N112" i="4" s="1"/>
  <c r="H113" i="4"/>
  <c r="N113" i="4" s="1"/>
  <c r="H114" i="4"/>
  <c r="N114" i="4" s="1"/>
  <c r="H115" i="4"/>
  <c r="N115" i="4" s="1"/>
  <c r="H116" i="4"/>
  <c r="N116" i="4" s="1"/>
  <c r="H117" i="4"/>
  <c r="N117" i="4" s="1"/>
  <c r="H118" i="4"/>
  <c r="N118" i="4" s="1"/>
  <c r="H119" i="4"/>
  <c r="N119" i="4" s="1"/>
  <c r="H120" i="4"/>
  <c r="N120" i="4" s="1"/>
  <c r="H121" i="4"/>
  <c r="N121" i="4" s="1"/>
  <c r="H1" i="4"/>
  <c r="DG33" i="2" l="1"/>
  <c r="DI40" i="2" s="1"/>
  <c r="DI4" i="2"/>
  <c r="DG17" i="2"/>
  <c r="DH40" i="2" s="1"/>
  <c r="N130" i="20"/>
  <c r="H142" i="20"/>
  <c r="N142" i="20" s="1"/>
  <c r="N124" i="20"/>
  <c r="H136" i="20"/>
  <c r="N136" i="20" s="1"/>
  <c r="C55" i="27"/>
  <c r="B55" i="27"/>
  <c r="B8" i="28"/>
  <c r="C8" i="28"/>
  <c r="N131" i="20"/>
  <c r="N118" i="20"/>
  <c r="C102" i="27"/>
  <c r="B102" i="27"/>
  <c r="B30" i="28"/>
  <c r="C30" i="28"/>
  <c r="N116" i="20"/>
  <c r="B23" i="27"/>
  <c r="C120" i="27"/>
  <c r="B120" i="27"/>
  <c r="H134" i="20"/>
  <c r="N134" i="20" s="1"/>
  <c r="B16" i="28"/>
  <c r="C16" i="28"/>
  <c r="B15" i="27"/>
  <c r="H127" i="20"/>
  <c r="B11" i="27"/>
  <c r="C121" i="27"/>
  <c r="B121" i="27"/>
  <c r="N112" i="20"/>
  <c r="N125" i="20"/>
  <c r="H137" i="20"/>
  <c r="N137" i="20" s="1"/>
  <c r="B87" i="27"/>
  <c r="C100" i="27"/>
  <c r="C108" i="27"/>
  <c r="C117" i="27"/>
  <c r="B117" i="27"/>
  <c r="H141" i="20"/>
  <c r="N141" i="20" s="1"/>
  <c r="N129" i="20"/>
  <c r="C104" i="27"/>
  <c r="G135" i="28"/>
  <c r="M135" i="28" s="1"/>
  <c r="C43" i="27"/>
  <c r="B43" i="27"/>
  <c r="H135" i="20"/>
  <c r="N135" i="20" s="1"/>
  <c r="N123" i="20"/>
  <c r="A122" i="27"/>
  <c r="A123" i="27" s="1"/>
  <c r="A124" i="27" s="1"/>
  <c r="C62" i="29"/>
  <c r="C12" i="29"/>
  <c r="M120" i="31"/>
  <c r="C52" i="31"/>
  <c r="B49" i="28"/>
  <c r="M116" i="31"/>
  <c r="G128" i="31"/>
  <c r="C91" i="27"/>
  <c r="B44" i="28"/>
  <c r="B10" i="29"/>
  <c r="C56" i="29"/>
  <c r="B84" i="29"/>
  <c r="C86" i="29"/>
  <c r="B18" i="29"/>
  <c r="B23" i="29"/>
  <c r="C82" i="29"/>
  <c r="B102" i="29"/>
  <c r="B41" i="29"/>
  <c r="B64" i="29"/>
  <c r="C11" i="29"/>
  <c r="B72" i="29"/>
  <c r="B85" i="29"/>
  <c r="B19" i="29"/>
  <c r="B60" i="29"/>
  <c r="B70" i="29"/>
  <c r="B116" i="29"/>
  <c r="B4" i="29"/>
  <c r="C24" i="29"/>
  <c r="B98" i="29"/>
  <c r="B111" i="29"/>
  <c r="C37" i="29"/>
  <c r="B22" i="29"/>
  <c r="B32" i="29"/>
  <c r="M121" i="31"/>
  <c r="B56" i="31"/>
  <c r="M113" i="31"/>
  <c r="M111" i="31"/>
  <c r="M123" i="31"/>
  <c r="F130" i="31"/>
  <c r="F142" i="31" s="1"/>
  <c r="M142" i="31" s="1"/>
  <c r="C32" i="31"/>
  <c r="G133" i="31"/>
  <c r="G130" i="31"/>
  <c r="C10" i="31"/>
  <c r="C18" i="31"/>
  <c r="C20" i="31"/>
  <c r="C22" i="31"/>
  <c r="F129" i="31"/>
  <c r="F141" i="31" s="1"/>
  <c r="M141" i="31" s="1"/>
  <c r="M117" i="31"/>
  <c r="C12" i="31"/>
  <c r="C14" i="31"/>
  <c r="C16" i="31"/>
  <c r="C24" i="31"/>
  <c r="C41" i="31"/>
  <c r="F131" i="31"/>
  <c r="M131" i="31" s="1"/>
  <c r="M119" i="31"/>
  <c r="G129" i="31"/>
  <c r="G141" i="31" s="1"/>
  <c r="N141" i="31" s="1"/>
  <c r="C26" i="31"/>
  <c r="C34" i="31"/>
  <c r="C43" i="31"/>
  <c r="C45" i="31"/>
  <c r="C60" i="31"/>
  <c r="C62" i="31"/>
  <c r="B47" i="31"/>
  <c r="C47" i="31"/>
  <c r="C36" i="31"/>
  <c r="C51" i="31"/>
  <c r="F126" i="31"/>
  <c r="M126" i="31" s="1"/>
  <c r="M114" i="31"/>
  <c r="C38" i="31"/>
  <c r="M110" i="31"/>
  <c r="F136" i="31"/>
  <c r="M136" i="31" s="1"/>
  <c r="C53" i="31"/>
  <c r="C11" i="31"/>
  <c r="B15" i="31"/>
  <c r="C15" i="31"/>
  <c r="C21" i="31"/>
  <c r="C23" i="31"/>
  <c r="C40" i="31"/>
  <c r="C55" i="31"/>
  <c r="M112" i="31"/>
  <c r="B13" i="31"/>
  <c r="C13" i="31"/>
  <c r="C25" i="31"/>
  <c r="B31" i="31"/>
  <c r="B57" i="31"/>
  <c r="C27" i="31"/>
  <c r="C29" i="31"/>
  <c r="C33" i="31"/>
  <c r="B35" i="31"/>
  <c r="C35" i="31"/>
  <c r="C46" i="31"/>
  <c r="C48" i="31"/>
  <c r="C50" i="31"/>
  <c r="C42" i="31"/>
  <c r="C28" i="31"/>
  <c r="C37" i="31"/>
  <c r="C54" i="31"/>
  <c r="C17" i="31"/>
  <c r="C30" i="31"/>
  <c r="C49" i="31"/>
  <c r="C68" i="31"/>
  <c r="F145" i="31"/>
  <c r="M145" i="31" s="1"/>
  <c r="C19" i="31"/>
  <c r="C44" i="31"/>
  <c r="C63" i="31"/>
  <c r="C84" i="31"/>
  <c r="B84" i="31"/>
  <c r="C95" i="31"/>
  <c r="B95" i="31"/>
  <c r="C111" i="31"/>
  <c r="B111" i="31"/>
  <c r="C116" i="31"/>
  <c r="B116" i="31"/>
  <c r="C75" i="31"/>
  <c r="B75" i="31"/>
  <c r="C104" i="31"/>
  <c r="B104" i="31"/>
  <c r="F139" i="31"/>
  <c r="M139" i="31" s="1"/>
  <c r="M127" i="31"/>
  <c r="C79" i="31"/>
  <c r="B79" i="31"/>
  <c r="C99" i="31"/>
  <c r="B99" i="31"/>
  <c r="C108" i="31"/>
  <c r="B108" i="31"/>
  <c r="B58" i="31"/>
  <c r="C58" i="31"/>
  <c r="C92" i="31"/>
  <c r="B92" i="31"/>
  <c r="C115" i="31"/>
  <c r="B115" i="31"/>
  <c r="F140" i="31"/>
  <c r="M140" i="31" s="1"/>
  <c r="M128" i="31"/>
  <c r="C72" i="31"/>
  <c r="B72" i="31"/>
  <c r="C83" i="31"/>
  <c r="B83" i="31"/>
  <c r="C103" i="31"/>
  <c r="B103" i="31"/>
  <c r="C120" i="31"/>
  <c r="B120" i="31"/>
  <c r="B2" i="31"/>
  <c r="B3" i="31"/>
  <c r="B4" i="31"/>
  <c r="B5" i="31"/>
  <c r="B6" i="31"/>
  <c r="B7" i="31"/>
  <c r="B8" i="31"/>
  <c r="B9" i="31"/>
  <c r="C96" i="31"/>
  <c r="B96" i="31"/>
  <c r="F134" i="31"/>
  <c r="M134" i="31" s="1"/>
  <c r="M122" i="31"/>
  <c r="C112" i="31"/>
  <c r="B112" i="31"/>
  <c r="C76" i="31"/>
  <c r="B76" i="31"/>
  <c r="C87" i="31"/>
  <c r="B87" i="31"/>
  <c r="F144" i="31"/>
  <c r="M144" i="31" s="1"/>
  <c r="M132" i="31"/>
  <c r="B59" i="31"/>
  <c r="C59" i="31"/>
  <c r="B61" i="31"/>
  <c r="C61" i="31"/>
  <c r="C107" i="31"/>
  <c r="B107" i="31"/>
  <c r="C88" i="31"/>
  <c r="B88" i="31"/>
  <c r="C80" i="31"/>
  <c r="B80" i="31"/>
  <c r="C91" i="31"/>
  <c r="B91" i="31"/>
  <c r="C100" i="31"/>
  <c r="B100" i="31"/>
  <c r="C71" i="31"/>
  <c r="B71" i="31"/>
  <c r="C119" i="31"/>
  <c r="B119" i="31"/>
  <c r="C64" i="31"/>
  <c r="C69" i="31"/>
  <c r="B69" i="31"/>
  <c r="C73" i="31"/>
  <c r="B73" i="31"/>
  <c r="C77" i="31"/>
  <c r="B77" i="31"/>
  <c r="C81" i="31"/>
  <c r="B81" i="31"/>
  <c r="C85" i="31"/>
  <c r="B85" i="31"/>
  <c r="C89" i="31"/>
  <c r="B89" i="31"/>
  <c r="C93" i="31"/>
  <c r="B93" i="31"/>
  <c r="C97" i="31"/>
  <c r="B97" i="31"/>
  <c r="C101" i="31"/>
  <c r="B101" i="31"/>
  <c r="C105" i="31"/>
  <c r="B105" i="31"/>
  <c r="C109" i="31"/>
  <c r="B109" i="31"/>
  <c r="C113" i="31"/>
  <c r="B113" i="31"/>
  <c r="C117" i="31"/>
  <c r="B117" i="31"/>
  <c r="C121" i="31"/>
  <c r="A122" i="31"/>
  <c r="B121" i="31"/>
  <c r="F137" i="31"/>
  <c r="M137" i="31" s="1"/>
  <c r="M125" i="31"/>
  <c r="G140" i="31"/>
  <c r="N140" i="31" s="1"/>
  <c r="N128" i="31"/>
  <c r="G142" i="31"/>
  <c r="N142" i="31" s="1"/>
  <c r="N130" i="31"/>
  <c r="G145" i="31"/>
  <c r="N145" i="31" s="1"/>
  <c r="N133" i="31"/>
  <c r="G144" i="31"/>
  <c r="N144" i="31" s="1"/>
  <c r="N132" i="31"/>
  <c r="G143" i="31"/>
  <c r="N143" i="31" s="1"/>
  <c r="N131" i="31"/>
  <c r="C66" i="31"/>
  <c r="C70" i="31"/>
  <c r="B70" i="31"/>
  <c r="C74" i="31"/>
  <c r="B74" i="31"/>
  <c r="C78" i="31"/>
  <c r="B78" i="31"/>
  <c r="C82" i="31"/>
  <c r="B82" i="31"/>
  <c r="C86" i="31"/>
  <c r="B86" i="31"/>
  <c r="C90" i="31"/>
  <c r="B90" i="31"/>
  <c r="C94" i="31"/>
  <c r="B94" i="31"/>
  <c r="C98" i="31"/>
  <c r="B98" i="31"/>
  <c r="C102" i="31"/>
  <c r="B102" i="31"/>
  <c r="C106" i="31"/>
  <c r="B106" i="31"/>
  <c r="C110" i="31"/>
  <c r="B110" i="31"/>
  <c r="C114" i="31"/>
  <c r="B114" i="31"/>
  <c r="C118" i="31"/>
  <c r="B118" i="31"/>
  <c r="C65" i="31"/>
  <c r="G127" i="31"/>
  <c r="G126" i="31"/>
  <c r="G125" i="31"/>
  <c r="G124" i="31"/>
  <c r="G123" i="31"/>
  <c r="G122" i="31"/>
  <c r="N120" i="31"/>
  <c r="G143" i="29"/>
  <c r="N143" i="29" s="1"/>
  <c r="H143" i="29"/>
  <c r="O143" i="29" s="1"/>
  <c r="H138" i="29"/>
  <c r="O138" i="29" s="1"/>
  <c r="C50" i="29"/>
  <c r="C58" i="29"/>
  <c r="C63" i="29"/>
  <c r="C66" i="29"/>
  <c r="B103" i="29"/>
  <c r="B109" i="29"/>
  <c r="B79" i="29"/>
  <c r="C89" i="29"/>
  <c r="B39" i="29"/>
  <c r="B74" i="29"/>
  <c r="B97" i="29"/>
  <c r="H134" i="29"/>
  <c r="O134" i="29" s="1"/>
  <c r="H133" i="29"/>
  <c r="H145" i="29" s="1"/>
  <c r="O145" i="29" s="1"/>
  <c r="B35" i="29"/>
  <c r="B65" i="29"/>
  <c r="H144" i="29"/>
  <c r="O144" i="29" s="1"/>
  <c r="B31" i="29"/>
  <c r="B49" i="29"/>
  <c r="B94" i="29"/>
  <c r="B105" i="29"/>
  <c r="A122" i="29"/>
  <c r="B122" i="29" s="1"/>
  <c r="B3" i="29"/>
  <c r="B6" i="29"/>
  <c r="B13" i="29"/>
  <c r="B15" i="29"/>
  <c r="B88" i="29"/>
  <c r="C20" i="29"/>
  <c r="B113" i="29"/>
  <c r="B118" i="29"/>
  <c r="C8" i="29"/>
  <c r="B30" i="29"/>
  <c r="B34" i="29"/>
  <c r="B40" i="29"/>
  <c r="C44" i="29"/>
  <c r="C46" i="29"/>
  <c r="B48" i="29"/>
  <c r="B80" i="29"/>
  <c r="B101" i="29"/>
  <c r="B110" i="29"/>
  <c r="B121" i="29"/>
  <c r="B106" i="29"/>
  <c r="G142" i="28"/>
  <c r="M142" i="28" s="1"/>
  <c r="I135" i="28"/>
  <c r="O135" i="28" s="1"/>
  <c r="G141" i="28"/>
  <c r="M141" i="28" s="1"/>
  <c r="G134" i="28"/>
  <c r="M134" i="28" s="1"/>
  <c r="I134" i="28"/>
  <c r="O134" i="28" s="1"/>
  <c r="I142" i="28"/>
  <c r="O142" i="28" s="1"/>
  <c r="B10" i="28"/>
  <c r="B50" i="28"/>
  <c r="C55" i="28"/>
  <c r="B99" i="28"/>
  <c r="B12" i="28"/>
  <c r="B106" i="28"/>
  <c r="B34" i="28"/>
  <c r="B52" i="28"/>
  <c r="B2" i="28"/>
  <c r="B9" i="28"/>
  <c r="B102" i="28"/>
  <c r="M132" i="28"/>
  <c r="B26" i="28"/>
  <c r="B41" i="28"/>
  <c r="B57" i="28"/>
  <c r="B4" i="28"/>
  <c r="C31" i="28"/>
  <c r="B36" i="28"/>
  <c r="C6" i="28"/>
  <c r="B18" i="28"/>
  <c r="I125" i="28"/>
  <c r="I137" i="28" s="1"/>
  <c r="O137" i="28" s="1"/>
  <c r="B28" i="28"/>
  <c r="G126" i="28"/>
  <c r="G138" i="28" s="1"/>
  <c r="M138" i="28" s="1"/>
  <c r="C40" i="28"/>
  <c r="B58" i="28"/>
  <c r="B103" i="28"/>
  <c r="B20" i="28"/>
  <c r="I126" i="28"/>
  <c r="I138" i="28" s="1"/>
  <c r="O138" i="28" s="1"/>
  <c r="B47" i="27"/>
  <c r="B19" i="27"/>
  <c r="B83" i="27"/>
  <c r="C111" i="27"/>
  <c r="B63" i="27"/>
  <c r="B98" i="27"/>
  <c r="C116" i="27"/>
  <c r="B35" i="27"/>
  <c r="B71" i="27"/>
  <c r="B96" i="27"/>
  <c r="B89" i="27"/>
  <c r="B112" i="27"/>
  <c r="C119" i="27"/>
  <c r="B109" i="27"/>
  <c r="B79" i="27"/>
  <c r="B27" i="27"/>
  <c r="B59" i="27"/>
  <c r="B31" i="27"/>
  <c r="C92" i="27"/>
  <c r="B3" i="27"/>
  <c r="B67" i="27"/>
  <c r="B106" i="27"/>
  <c r="C115" i="27"/>
  <c r="I140" i="28"/>
  <c r="O140" i="28" s="1"/>
  <c r="B54" i="27"/>
  <c r="B66" i="27"/>
  <c r="B70" i="27"/>
  <c r="B74" i="27"/>
  <c r="B78" i="27"/>
  <c r="B82" i="27"/>
  <c r="B86" i="27"/>
  <c r="C95" i="27"/>
  <c r="B113" i="27"/>
  <c r="C118" i="27"/>
  <c r="C22" i="28"/>
  <c r="B33" i="28"/>
  <c r="C42" i="29"/>
  <c r="B42" i="29"/>
  <c r="B6" i="27"/>
  <c r="C2" i="27"/>
  <c r="C10" i="27"/>
  <c r="C14" i="27"/>
  <c r="C18" i="27"/>
  <c r="C22" i="27"/>
  <c r="C26" i="27"/>
  <c r="C30" i="27"/>
  <c r="C34" i="27"/>
  <c r="C38" i="27"/>
  <c r="C42" i="27"/>
  <c r="C46" i="27"/>
  <c r="C50" i="27"/>
  <c r="C58" i="27"/>
  <c r="C62" i="27"/>
  <c r="B110" i="27"/>
  <c r="C7" i="28"/>
  <c r="B14" i="28"/>
  <c r="C29" i="28"/>
  <c r="B29" i="28"/>
  <c r="C48" i="28"/>
  <c r="B101" i="28"/>
  <c r="C81" i="28"/>
  <c r="B81" i="28"/>
  <c r="B105" i="27"/>
  <c r="C62" i="28"/>
  <c r="B62" i="28"/>
  <c r="C65" i="28"/>
  <c r="B65" i="28"/>
  <c r="C21" i="28"/>
  <c r="B21" i="28"/>
  <c r="C74" i="28"/>
  <c r="B74" i="28"/>
  <c r="C77" i="28"/>
  <c r="B77" i="28"/>
  <c r="B5" i="27"/>
  <c r="B9" i="27"/>
  <c r="B13" i="27"/>
  <c r="B17" i="27"/>
  <c r="B21" i="27"/>
  <c r="B25" i="27"/>
  <c r="B29" i="27"/>
  <c r="B33" i="27"/>
  <c r="B37" i="27"/>
  <c r="B41" i="27"/>
  <c r="B45" i="27"/>
  <c r="B49" i="27"/>
  <c r="B53" i="27"/>
  <c r="B57" i="27"/>
  <c r="B61" i="27"/>
  <c r="B65" i="27"/>
  <c r="B69" i="27"/>
  <c r="B73" i="27"/>
  <c r="B77" i="27"/>
  <c r="B81" i="27"/>
  <c r="B85" i="27"/>
  <c r="B97" i="27"/>
  <c r="B17" i="28"/>
  <c r="C86" i="28"/>
  <c r="B86" i="28"/>
  <c r="C89" i="28"/>
  <c r="B89" i="28"/>
  <c r="C37" i="28"/>
  <c r="B37" i="28"/>
  <c r="C56" i="28"/>
  <c r="C90" i="28"/>
  <c r="B90" i="28"/>
  <c r="C93" i="28"/>
  <c r="B93" i="28"/>
  <c r="C107" i="27"/>
  <c r="C122" i="27"/>
  <c r="C13" i="28"/>
  <c r="B13" i="28"/>
  <c r="C32" i="28"/>
  <c r="C47" i="28"/>
  <c r="C98" i="28"/>
  <c r="B98" i="28"/>
  <c r="C115" i="28"/>
  <c r="B115" i="28"/>
  <c r="C45" i="29"/>
  <c r="B45" i="29"/>
  <c r="C47" i="29"/>
  <c r="B77" i="29"/>
  <c r="C77" i="29"/>
  <c r="B88" i="27"/>
  <c r="C99" i="27"/>
  <c r="C24" i="28"/>
  <c r="C39" i="28"/>
  <c r="B54" i="28"/>
  <c r="C61" i="28"/>
  <c r="B61" i="28"/>
  <c r="C113" i="28"/>
  <c r="B113" i="28"/>
  <c r="B4" i="27"/>
  <c r="B8" i="27"/>
  <c r="B12" i="27"/>
  <c r="B16" i="27"/>
  <c r="B20" i="27"/>
  <c r="B24" i="27"/>
  <c r="B28" i="27"/>
  <c r="B32" i="27"/>
  <c r="B36" i="27"/>
  <c r="B40" i="27"/>
  <c r="B44" i="27"/>
  <c r="B48" i="27"/>
  <c r="B52" i="27"/>
  <c r="B56" i="27"/>
  <c r="B60" i="27"/>
  <c r="B64" i="27"/>
  <c r="B68" i="27"/>
  <c r="B72" i="27"/>
  <c r="B76" i="27"/>
  <c r="B80" i="27"/>
  <c r="B84" i="27"/>
  <c r="B114" i="27"/>
  <c r="C70" i="28"/>
  <c r="B70" i="28"/>
  <c r="C73" i="28"/>
  <c r="B73" i="28"/>
  <c r="C5" i="28"/>
  <c r="B5" i="28"/>
  <c r="C82" i="28"/>
  <c r="B82" i="28"/>
  <c r="C85" i="28"/>
  <c r="B85" i="28"/>
  <c r="C104" i="28"/>
  <c r="B104" i="28"/>
  <c r="G125" i="28"/>
  <c r="O132" i="28"/>
  <c r="I144" i="28"/>
  <c r="O144" i="28" s="1"/>
  <c r="C16" i="29"/>
  <c r="B16" i="29"/>
  <c r="C94" i="28"/>
  <c r="B94" i="28"/>
  <c r="C97" i="28"/>
  <c r="B97" i="28"/>
  <c r="I127" i="28"/>
  <c r="C7" i="29"/>
  <c r="B7" i="29"/>
  <c r="C14" i="29"/>
  <c r="B14" i="29"/>
  <c r="C26" i="29"/>
  <c r="B26" i="29"/>
  <c r="B101" i="27"/>
  <c r="C23" i="28"/>
  <c r="B38" i="28"/>
  <c r="C53" i="28"/>
  <c r="B53" i="28"/>
  <c r="I143" i="28"/>
  <c r="O143" i="28" s="1"/>
  <c r="C78" i="28"/>
  <c r="B78" i="28"/>
  <c r="B93" i="27"/>
  <c r="C15" i="28"/>
  <c r="C45" i="28"/>
  <c r="B45" i="28"/>
  <c r="C66" i="28"/>
  <c r="B66" i="28"/>
  <c r="C69" i="28"/>
  <c r="B69" i="28"/>
  <c r="I129" i="28"/>
  <c r="C60" i="28"/>
  <c r="B60" i="28"/>
  <c r="C64" i="28"/>
  <c r="B64" i="28"/>
  <c r="C68" i="28"/>
  <c r="B68" i="28"/>
  <c r="C72" i="28"/>
  <c r="B72" i="28"/>
  <c r="C76" i="28"/>
  <c r="B76" i="28"/>
  <c r="C80" i="28"/>
  <c r="B80" i="28"/>
  <c r="C84" i="28"/>
  <c r="B84" i="28"/>
  <c r="C88" i="28"/>
  <c r="B88" i="28"/>
  <c r="C92" i="28"/>
  <c r="B92" i="28"/>
  <c r="C96" i="28"/>
  <c r="B96" i="28"/>
  <c r="C114" i="28"/>
  <c r="B114" i="28"/>
  <c r="C100" i="28"/>
  <c r="B100" i="28"/>
  <c r="C111" i="28"/>
  <c r="B111" i="28"/>
  <c r="C122" i="28"/>
  <c r="B122" i="28"/>
  <c r="A123" i="28"/>
  <c r="C119" i="29"/>
  <c r="B119" i="29"/>
  <c r="C119" i="28"/>
  <c r="B119" i="28"/>
  <c r="C5" i="29"/>
  <c r="C71" i="29"/>
  <c r="B71" i="29"/>
  <c r="C87" i="29"/>
  <c r="B87" i="29"/>
  <c r="B3" i="28"/>
  <c r="B11" i="28"/>
  <c r="B19" i="28"/>
  <c r="B27" i="28"/>
  <c r="B35" i="28"/>
  <c r="B43" i="28"/>
  <c r="B51" i="28"/>
  <c r="B59" i="28"/>
  <c r="C63" i="28"/>
  <c r="B63" i="28"/>
  <c r="C67" i="28"/>
  <c r="B67" i="28"/>
  <c r="C71" i="28"/>
  <c r="B71" i="28"/>
  <c r="C75" i="28"/>
  <c r="B75" i="28"/>
  <c r="C79" i="28"/>
  <c r="B79" i="28"/>
  <c r="C83" i="28"/>
  <c r="B83" i="28"/>
  <c r="C87" i="28"/>
  <c r="B87" i="28"/>
  <c r="C91" i="28"/>
  <c r="B91" i="28"/>
  <c r="C95" i="28"/>
  <c r="B95" i="28"/>
  <c r="B105" i="28"/>
  <c r="C121" i="28"/>
  <c r="B121" i="28"/>
  <c r="G139" i="28"/>
  <c r="M139" i="28" s="1"/>
  <c r="G133" i="28"/>
  <c r="G128" i="28"/>
  <c r="B59" i="29"/>
  <c r="C59" i="29"/>
  <c r="H142" i="29"/>
  <c r="O142" i="29" s="1"/>
  <c r="C110" i="28"/>
  <c r="B110" i="28"/>
  <c r="C118" i="28"/>
  <c r="B118" i="28"/>
  <c r="B36" i="29"/>
  <c r="B99" i="29"/>
  <c r="G124" i="28"/>
  <c r="C108" i="29"/>
  <c r="B108" i="29"/>
  <c r="G140" i="29"/>
  <c r="N140" i="29" s="1"/>
  <c r="C109" i="28"/>
  <c r="B109" i="28"/>
  <c r="C117" i="28"/>
  <c r="B117" i="28"/>
  <c r="I133" i="28"/>
  <c r="B78" i="29"/>
  <c r="H140" i="29"/>
  <c r="O140" i="29" s="1"/>
  <c r="B9" i="29"/>
  <c r="B28" i="29"/>
  <c r="B108" i="28"/>
  <c r="C116" i="28"/>
  <c r="B116" i="28"/>
  <c r="C38" i="29"/>
  <c r="C57" i="29"/>
  <c r="B107" i="28"/>
  <c r="B2" i="29"/>
  <c r="C83" i="29"/>
  <c r="B83" i="29"/>
  <c r="C17" i="29"/>
  <c r="B17" i="29"/>
  <c r="C53" i="29"/>
  <c r="B53" i="29"/>
  <c r="C112" i="28"/>
  <c r="B112" i="28"/>
  <c r="C120" i="28"/>
  <c r="B120" i="28"/>
  <c r="C55" i="29"/>
  <c r="B55" i="29"/>
  <c r="B76" i="29"/>
  <c r="G134" i="29"/>
  <c r="N134" i="29" s="1"/>
  <c r="G142" i="29"/>
  <c r="N142" i="29" s="1"/>
  <c r="G145" i="29"/>
  <c r="N145" i="29" s="1"/>
  <c r="N133" i="29"/>
  <c r="B61" i="29"/>
  <c r="C69" i="29"/>
  <c r="B69" i="29"/>
  <c r="C75" i="29"/>
  <c r="B90" i="29"/>
  <c r="B115" i="29"/>
  <c r="G137" i="29"/>
  <c r="N137" i="29" s="1"/>
  <c r="B21" i="29"/>
  <c r="B25" i="29"/>
  <c r="B29" i="29"/>
  <c r="B33" i="29"/>
  <c r="B43" i="29"/>
  <c r="B73" i="29"/>
  <c r="B93" i="29"/>
  <c r="G135" i="29"/>
  <c r="N135" i="29" s="1"/>
  <c r="B54" i="29"/>
  <c r="B100" i="29"/>
  <c r="C114" i="29"/>
  <c r="B114" i="29"/>
  <c r="H135" i="29"/>
  <c r="O135" i="29" s="1"/>
  <c r="C81" i="29"/>
  <c r="B81" i="29"/>
  <c r="Y5" i="30"/>
  <c r="X5" i="30"/>
  <c r="M6" i="30"/>
  <c r="B7" i="30"/>
  <c r="B92" i="29"/>
  <c r="B107" i="29"/>
  <c r="B52" i="29"/>
  <c r="B68" i="29"/>
  <c r="B117" i="29"/>
  <c r="B51" i="29"/>
  <c r="B67" i="29"/>
  <c r="B91" i="29"/>
  <c r="G139" i="29"/>
  <c r="N139" i="29" s="1"/>
  <c r="H139" i="29"/>
  <c r="O139" i="29" s="1"/>
  <c r="G138" i="29"/>
  <c r="N138" i="29" s="1"/>
  <c r="B96" i="29"/>
  <c r="B104" i="29"/>
  <c r="B112" i="29"/>
  <c r="B120" i="29"/>
  <c r="N132" i="29"/>
  <c r="N128" i="20"/>
  <c r="DJ4" i="2" l="1"/>
  <c r="DH33" i="2"/>
  <c r="DI41" i="2" s="1"/>
  <c r="DH17" i="2"/>
  <c r="DH41" i="2" s="1"/>
  <c r="B122" i="27"/>
  <c r="F138" i="31"/>
  <c r="M138" i="31" s="1"/>
  <c r="B123" i="27"/>
  <c r="H139" i="20"/>
  <c r="N139" i="20" s="1"/>
  <c r="N127" i="20"/>
  <c r="C123" i="27"/>
  <c r="O133" i="29"/>
  <c r="G141" i="29"/>
  <c r="N141" i="29" s="1"/>
  <c r="H141" i="29"/>
  <c r="O141" i="29" s="1"/>
  <c r="M130" i="31"/>
  <c r="F143" i="31"/>
  <c r="M143" i="31" s="1"/>
  <c r="N129" i="31"/>
  <c r="M129" i="31"/>
  <c r="G134" i="31"/>
  <c r="N134" i="31" s="1"/>
  <c r="N122" i="31"/>
  <c r="G136" i="31"/>
  <c r="N136" i="31" s="1"/>
  <c r="N124" i="31"/>
  <c r="C122" i="31"/>
  <c r="B122" i="31"/>
  <c r="A123" i="31"/>
  <c r="N123" i="31"/>
  <c r="G135" i="31"/>
  <c r="N135" i="31" s="1"/>
  <c r="N125" i="31"/>
  <c r="G137" i="31"/>
  <c r="N137" i="31" s="1"/>
  <c r="G138" i="31"/>
  <c r="N138" i="31" s="1"/>
  <c r="N126" i="31"/>
  <c r="G139" i="31"/>
  <c r="N139" i="31" s="1"/>
  <c r="N127" i="31"/>
  <c r="C122" i="29"/>
  <c r="A123" i="29"/>
  <c r="G136" i="28"/>
  <c r="M136" i="28" s="1"/>
  <c r="C124" i="27"/>
  <c r="B124" i="27"/>
  <c r="A125" i="27"/>
  <c r="C123" i="28"/>
  <c r="B123" i="28"/>
  <c r="A124" i="28"/>
  <c r="I145" i="28"/>
  <c r="O145" i="28" s="1"/>
  <c r="O133" i="28"/>
  <c r="I141" i="28"/>
  <c r="O141" i="28" s="1"/>
  <c r="I139" i="28"/>
  <c r="O139" i="28" s="1"/>
  <c r="B8" i="30"/>
  <c r="C7" i="30"/>
  <c r="G137" i="28"/>
  <c r="M137" i="28" s="1"/>
  <c r="M7" i="30"/>
  <c r="N6" i="30"/>
  <c r="Y6" i="30"/>
  <c r="G140" i="28"/>
  <c r="M140" i="28" s="1"/>
  <c r="X6" i="30"/>
  <c r="AI5" i="30"/>
  <c r="M133" i="28"/>
  <c r="G145" i="28"/>
  <c r="M145" i="28" s="1"/>
  <c r="DK4" i="2" l="1"/>
  <c r="DJ17" i="2"/>
  <c r="DH43" i="2" s="1"/>
  <c r="DI17" i="2"/>
  <c r="DH42" i="2" s="1"/>
  <c r="DI33" i="2"/>
  <c r="DI42" i="2" s="1"/>
  <c r="C123" i="31"/>
  <c r="B123" i="31"/>
  <c r="A124" i="31"/>
  <c r="B123" i="29"/>
  <c r="C123" i="29"/>
  <c r="A124" i="29"/>
  <c r="C125" i="27"/>
  <c r="B125" i="27"/>
  <c r="A126" i="27"/>
  <c r="AP5" i="30"/>
  <c r="AO5" i="30"/>
  <c r="AO6" i="30" s="1"/>
  <c r="AO7" i="30" s="1"/>
  <c r="AO8" i="30" s="1"/>
  <c r="AO9" i="30" s="1"/>
  <c r="AO10" i="30" s="1"/>
  <c r="AO11" i="30" s="1"/>
  <c r="AO12" i="30" s="1"/>
  <c r="AO13" i="30" s="1"/>
  <c r="AO14" i="30" s="1"/>
  <c r="AO15" i="30" s="1"/>
  <c r="AO16" i="30" s="1"/>
  <c r="AJ5" i="30"/>
  <c r="AI6" i="30"/>
  <c r="M8" i="30"/>
  <c r="N7" i="30"/>
  <c r="Y7" i="30"/>
  <c r="B9" i="30"/>
  <c r="C8" i="30"/>
  <c r="A125" i="28"/>
  <c r="C124" i="28"/>
  <c r="B124" i="28"/>
  <c r="X7" i="30"/>
  <c r="DL4" i="2" l="1"/>
  <c r="DJ33" i="2"/>
  <c r="DI43" i="2" s="1"/>
  <c r="C3" i="33"/>
  <c r="C124" i="31"/>
  <c r="B124" i="31"/>
  <c r="A125" i="31"/>
  <c r="A125" i="29"/>
  <c r="B124" i="29"/>
  <c r="C124" i="29"/>
  <c r="AI7" i="30"/>
  <c r="AJ6" i="30"/>
  <c r="AP6" i="30"/>
  <c r="X8" i="30"/>
  <c r="N8" i="30"/>
  <c r="C4" i="33" s="1"/>
  <c r="Y8" i="30"/>
  <c r="C5" i="33" s="1"/>
  <c r="M9" i="30"/>
  <c r="A126" i="28"/>
  <c r="C125" i="28"/>
  <c r="B125" i="28"/>
  <c r="A127" i="27"/>
  <c r="C126" i="27"/>
  <c r="B126" i="27"/>
  <c r="C9" i="30"/>
  <c r="D3" i="33" s="1"/>
  <c r="B10" i="30"/>
  <c r="DK33" i="2" l="1"/>
  <c r="DI44" i="2" s="1"/>
  <c r="DM4" i="2"/>
  <c r="DK17" i="2"/>
  <c r="DH44" i="2" s="1"/>
  <c r="A126" i="31"/>
  <c r="C125" i="31"/>
  <c r="B125" i="31"/>
  <c r="C125" i="29"/>
  <c r="B125" i="29"/>
  <c r="A126" i="29"/>
  <c r="N9" i="30"/>
  <c r="D4" i="33" s="1"/>
  <c r="M10" i="30"/>
  <c r="Y9" i="30"/>
  <c r="D5" i="33" s="1"/>
  <c r="B11" i="30"/>
  <c r="C10" i="30"/>
  <c r="X9" i="30"/>
  <c r="C127" i="27"/>
  <c r="A128" i="27"/>
  <c r="B127" i="27"/>
  <c r="A127" i="28"/>
  <c r="C126" i="28"/>
  <c r="B126" i="28"/>
  <c r="AI8" i="30"/>
  <c r="AJ7" i="30"/>
  <c r="AP7" i="30"/>
  <c r="DL17" i="2" l="1"/>
  <c r="DH45" i="2" s="1"/>
  <c r="DN4" i="2"/>
  <c r="DM33" i="2"/>
  <c r="DI46" i="2" s="1"/>
  <c r="DM17" i="2"/>
  <c r="DH46" i="2" s="1"/>
  <c r="DL33" i="2"/>
  <c r="DI45" i="2" s="1"/>
  <c r="E3" i="33"/>
  <c r="A127" i="31"/>
  <c r="B126" i="31"/>
  <c r="C126" i="31"/>
  <c r="A127" i="29"/>
  <c r="B126" i="29"/>
  <c r="C126" i="29"/>
  <c r="AJ8" i="30"/>
  <c r="C6" i="33" s="1"/>
  <c r="AP8" i="30"/>
  <c r="C7" i="33" s="1"/>
  <c r="AI9" i="30"/>
  <c r="B12" i="30"/>
  <c r="C11" i="30"/>
  <c r="Y10" i="30"/>
  <c r="M11" i="30"/>
  <c r="N10" i="30"/>
  <c r="E4" i="33" s="1"/>
  <c r="C127" i="28"/>
  <c r="A128" i="28"/>
  <c r="B127" i="28"/>
  <c r="X10" i="30"/>
  <c r="A129" i="27"/>
  <c r="C128" i="27"/>
  <c r="B128" i="27"/>
  <c r="DO4" i="2" l="1"/>
  <c r="E5" i="33"/>
  <c r="F3" i="33"/>
  <c r="C8" i="33"/>
  <c r="C127" i="31"/>
  <c r="B127" i="31"/>
  <c r="A128" i="31"/>
  <c r="A128" i="29"/>
  <c r="C127" i="29"/>
  <c r="B127" i="29"/>
  <c r="Y11" i="30"/>
  <c r="M12" i="30"/>
  <c r="N11" i="30"/>
  <c r="C12" i="30"/>
  <c r="G3" i="33" s="1"/>
  <c r="B13" i="30"/>
  <c r="A130" i="27"/>
  <c r="C129" i="27"/>
  <c r="B129" i="27"/>
  <c r="X11" i="30"/>
  <c r="AJ9" i="30"/>
  <c r="D6" i="33" s="1"/>
  <c r="AI10" i="30"/>
  <c r="AP9" i="30"/>
  <c r="D7" i="33" s="1"/>
  <c r="C128" i="28"/>
  <c r="A129" i="28"/>
  <c r="B128" i="28"/>
  <c r="DN17" i="2" l="1"/>
  <c r="DH47" i="2" s="1"/>
  <c r="DO33" i="2"/>
  <c r="DI48" i="2" s="1"/>
  <c r="DP4" i="2"/>
  <c r="DN33" i="2"/>
  <c r="DI47" i="2" s="1"/>
  <c r="D8" i="33"/>
  <c r="F4" i="33"/>
  <c r="F5" i="33"/>
  <c r="B128" i="31"/>
  <c r="A129" i="31"/>
  <c r="C128" i="31"/>
  <c r="A129" i="29"/>
  <c r="B128" i="29"/>
  <c r="C128" i="29"/>
  <c r="B130" i="27"/>
  <c r="A131" i="27"/>
  <c r="C130" i="27"/>
  <c r="C129" i="28"/>
  <c r="B129" i="28"/>
  <c r="A130" i="28"/>
  <c r="C13" i="30"/>
  <c r="H3" i="33" s="1"/>
  <c r="B14" i="30"/>
  <c r="X12" i="30"/>
  <c r="AJ10" i="30"/>
  <c r="E6" i="33" s="1"/>
  <c r="AP10" i="30"/>
  <c r="E7" i="33" s="1"/>
  <c r="AI11" i="30"/>
  <c r="Y12" i="30"/>
  <c r="M13" i="30"/>
  <c r="N12" i="30"/>
  <c r="DO17" i="2" l="1"/>
  <c r="DH48" i="2" s="1"/>
  <c r="E8" i="33"/>
  <c r="G4" i="33"/>
  <c r="G5" i="33"/>
  <c r="C129" i="31"/>
  <c r="B129" i="31"/>
  <c r="A130" i="31"/>
  <c r="C129" i="29"/>
  <c r="B129" i="29"/>
  <c r="A130" i="29"/>
  <c r="X13" i="30"/>
  <c r="B15" i="30"/>
  <c r="C14" i="30"/>
  <c r="B130" i="28"/>
  <c r="C130" i="28"/>
  <c r="A131" i="28"/>
  <c r="AI12" i="30"/>
  <c r="AP11" i="30"/>
  <c r="F7" i="33" s="1"/>
  <c r="AJ11" i="30"/>
  <c r="F6" i="33" s="1"/>
  <c r="C131" i="27"/>
  <c r="A132" i="27"/>
  <c r="B131" i="27"/>
  <c r="Y13" i="30"/>
  <c r="N13" i="30"/>
  <c r="H4" i="33" s="1"/>
  <c r="M14" i="30"/>
  <c r="DP33" i="2" l="1"/>
  <c r="DI49" i="2" s="1"/>
  <c r="DP17" i="2"/>
  <c r="DH49" i="2" s="1"/>
  <c r="I3" i="33"/>
  <c r="H5" i="33"/>
  <c r="F8" i="33"/>
  <c r="A131" i="31"/>
  <c r="C130" i="31"/>
  <c r="B130" i="31"/>
  <c r="A131" i="29"/>
  <c r="B130" i="29"/>
  <c r="C130" i="29"/>
  <c r="N14" i="30"/>
  <c r="M15" i="30"/>
  <c r="Y14" i="30"/>
  <c r="AP12" i="30"/>
  <c r="G7" i="33" s="1"/>
  <c r="AJ12" i="30"/>
  <c r="G6" i="33" s="1"/>
  <c r="AI13" i="30"/>
  <c r="A133" i="27"/>
  <c r="C132" i="27"/>
  <c r="B132" i="27"/>
  <c r="X14" i="30"/>
  <c r="B16" i="30"/>
  <c r="C131" i="28"/>
  <c r="A132" i="28"/>
  <c r="B131" i="28"/>
  <c r="I5" i="33" l="1"/>
  <c r="G8" i="33"/>
  <c r="I4" i="33"/>
  <c r="A132" i="31"/>
  <c r="C131" i="31"/>
  <c r="B131" i="31"/>
  <c r="A132" i="29"/>
  <c r="B131" i="29"/>
  <c r="C131" i="29"/>
  <c r="X15" i="30"/>
  <c r="C133" i="27"/>
  <c r="A134" i="27"/>
  <c r="B133" i="27"/>
  <c r="AP13" i="30"/>
  <c r="H7" i="33" s="1"/>
  <c r="AI14" i="30"/>
  <c r="AJ13" i="30"/>
  <c r="H6" i="33" s="1"/>
  <c r="M16" i="30"/>
  <c r="C132" i="28"/>
  <c r="B132" i="28"/>
  <c r="A133" i="28"/>
  <c r="H8" i="33" l="1"/>
  <c r="B132" i="31"/>
  <c r="A133" i="31"/>
  <c r="C132" i="31"/>
  <c r="A133" i="29"/>
  <c r="B132" i="29"/>
  <c r="C132" i="29"/>
  <c r="C133" i="28"/>
  <c r="B133" i="28"/>
  <c r="A134" i="28"/>
  <c r="B134" i="27"/>
  <c r="A135" i="27"/>
  <c r="C134" i="27"/>
  <c r="AJ14" i="30"/>
  <c r="I6" i="33" s="1"/>
  <c r="AI15" i="30"/>
  <c r="AI16" i="30" s="1"/>
  <c r="AP14" i="30"/>
  <c r="I7" i="33" s="1"/>
  <c r="X16" i="30"/>
  <c r="I8" i="33" l="1"/>
  <c r="C133" i="31"/>
  <c r="A134" i="31"/>
  <c r="B133" i="31"/>
  <c r="B133" i="29"/>
  <c r="A134" i="29"/>
  <c r="C133" i="29"/>
  <c r="A136" i="27"/>
  <c r="C135" i="27"/>
  <c r="B135" i="27"/>
  <c r="A135" i="28"/>
  <c r="C134" i="28"/>
  <c r="B134" i="28"/>
  <c r="B134" i="31" l="1"/>
  <c r="A135" i="31"/>
  <c r="C134" i="31"/>
  <c r="C134" i="29"/>
  <c r="A135" i="29"/>
  <c r="B134" i="29"/>
  <c r="A136" i="28"/>
  <c r="C135" i="28"/>
  <c r="B135" i="28"/>
  <c r="C136" i="27"/>
  <c r="B136" i="27"/>
  <c r="A137" i="27"/>
  <c r="C135" i="31" l="1"/>
  <c r="B135" i="31"/>
  <c r="A136" i="31"/>
  <c r="C135" i="29"/>
  <c r="B135" i="29"/>
  <c r="A136" i="29"/>
  <c r="C137" i="27"/>
  <c r="A138" i="27"/>
  <c r="B137" i="27"/>
  <c r="B136" i="28"/>
  <c r="A137" i="28"/>
  <c r="C136" i="28"/>
  <c r="C136" i="31" l="1"/>
  <c r="B136" i="31"/>
  <c r="A137" i="31"/>
  <c r="C136" i="29"/>
  <c r="B136" i="29"/>
  <c r="A137" i="29"/>
  <c r="A139" i="27"/>
  <c r="C138" i="27"/>
  <c r="B138" i="27"/>
  <c r="A138" i="28"/>
  <c r="B137" i="28"/>
  <c r="C137" i="28"/>
  <c r="C137" i="31" l="1"/>
  <c r="B137" i="31"/>
  <c r="A138" i="31"/>
  <c r="C137" i="29"/>
  <c r="A138" i="29"/>
  <c r="B137" i="29"/>
  <c r="B138" i="28"/>
  <c r="A139" i="28"/>
  <c r="C138" i="28"/>
  <c r="C139" i="27"/>
  <c r="A140" i="27"/>
  <c r="B139" i="27"/>
  <c r="C138" i="31" l="1"/>
  <c r="B138" i="31"/>
  <c r="A139" i="31"/>
  <c r="C138" i="29"/>
  <c r="A139" i="29"/>
  <c r="B138" i="29"/>
  <c r="B140" i="27"/>
  <c r="A141" i="27"/>
  <c r="C140" i="27"/>
  <c r="B139" i="28"/>
  <c r="A140" i="28"/>
  <c r="C139" i="28"/>
  <c r="C139" i="31" l="1"/>
  <c r="B139" i="31"/>
  <c r="A140" i="31"/>
  <c r="A140" i="29"/>
  <c r="C139" i="29"/>
  <c r="B139" i="29"/>
  <c r="A141" i="28"/>
  <c r="C140" i="28"/>
  <c r="B140" i="28"/>
  <c r="A142" i="27"/>
  <c r="C141" i="27"/>
  <c r="B141" i="27"/>
  <c r="C140" i="31" l="1"/>
  <c r="B140" i="31"/>
  <c r="A141" i="31"/>
  <c r="C140" i="29"/>
  <c r="B140" i="29"/>
  <c r="A141" i="29"/>
  <c r="A143" i="27"/>
  <c r="C142" i="27"/>
  <c r="B142" i="27"/>
  <c r="C141" i="28"/>
  <c r="A142" i="28"/>
  <c r="B141" i="28"/>
  <c r="C141" i="31" l="1"/>
  <c r="B141" i="31"/>
  <c r="A142" i="31"/>
  <c r="C141" i="29"/>
  <c r="B141" i="29"/>
  <c r="A142" i="29"/>
  <c r="A143" i="28"/>
  <c r="B142" i="28"/>
  <c r="C142" i="28"/>
  <c r="C143" i="27"/>
  <c r="A144" i="27"/>
  <c r="B143" i="27"/>
  <c r="C142" i="31" l="1"/>
  <c r="A143" i="31"/>
  <c r="B142" i="31"/>
  <c r="C142" i="29"/>
  <c r="B142" i="29"/>
  <c r="A143" i="29"/>
  <c r="C144" i="27"/>
  <c r="A145" i="27"/>
  <c r="B144" i="27"/>
  <c r="A144" i="28"/>
  <c r="C143" i="28"/>
  <c r="B143" i="28"/>
  <c r="B143" i="31" l="1"/>
  <c r="C143" i="31"/>
  <c r="A144" i="31"/>
  <c r="A144" i="29"/>
  <c r="C143" i="29"/>
  <c r="B143" i="29"/>
  <c r="B145" i="27"/>
  <c r="C145" i="27"/>
  <c r="C144" i="28"/>
  <c r="A145" i="28"/>
  <c r="B144" i="28"/>
  <c r="A145" i="31" l="1"/>
  <c r="C144" i="31"/>
  <c r="B144" i="31"/>
  <c r="B144" i="29"/>
  <c r="C144" i="29"/>
  <c r="A145" i="29"/>
  <c r="C145" i="28"/>
  <c r="B145" i="28"/>
  <c r="C145" i="31" l="1"/>
  <c r="B145" i="31"/>
  <c r="C145" i="29"/>
  <c r="B145" i="29"/>
  <c r="G2" i="19" l="1"/>
  <c r="L2" i="19" s="1"/>
  <c r="G3" i="19"/>
  <c r="G4" i="19"/>
  <c r="G5" i="19"/>
  <c r="G6" i="19"/>
  <c r="G7" i="19"/>
  <c r="L7" i="19" s="1"/>
  <c r="G8" i="19"/>
  <c r="G9" i="19"/>
  <c r="G10" i="19"/>
  <c r="G11" i="19"/>
  <c r="L11" i="19" s="1"/>
  <c r="G12" i="19"/>
  <c r="G13" i="19"/>
  <c r="G14" i="19"/>
  <c r="G15" i="19"/>
  <c r="G16" i="19"/>
  <c r="L16" i="19" s="1"/>
  <c r="G17" i="19"/>
  <c r="L17" i="19" s="1"/>
  <c r="G18" i="19"/>
  <c r="G19" i="19"/>
  <c r="G20" i="19"/>
  <c r="G21" i="19"/>
  <c r="G22" i="19"/>
  <c r="G23" i="19"/>
  <c r="L23" i="19" s="1"/>
  <c r="G24" i="19"/>
  <c r="G25" i="19"/>
  <c r="G26" i="19"/>
  <c r="G27" i="19"/>
  <c r="G28" i="19"/>
  <c r="G29" i="19"/>
  <c r="G30" i="19"/>
  <c r="G31" i="19"/>
  <c r="G32" i="19"/>
  <c r="L32" i="19" s="1"/>
  <c r="G33" i="19"/>
  <c r="L33" i="19" s="1"/>
  <c r="G34" i="19"/>
  <c r="G35" i="19"/>
  <c r="G36" i="19"/>
  <c r="G37" i="19"/>
  <c r="G38" i="19"/>
  <c r="G39" i="19"/>
  <c r="L39" i="19" s="1"/>
  <c r="G40" i="19"/>
  <c r="G41" i="19"/>
  <c r="L41" i="19" s="1"/>
  <c r="G42" i="19"/>
  <c r="G43" i="19"/>
  <c r="L43" i="19" s="1"/>
  <c r="G44" i="19"/>
  <c r="G45" i="19"/>
  <c r="G46" i="19"/>
  <c r="G47" i="19"/>
  <c r="G48" i="19"/>
  <c r="L48" i="19" s="1"/>
  <c r="G49" i="19"/>
  <c r="L49" i="19" s="1"/>
  <c r="G50" i="19"/>
  <c r="G51" i="19"/>
  <c r="G52" i="19"/>
  <c r="G53" i="19"/>
  <c r="G54" i="19"/>
  <c r="G55" i="19"/>
  <c r="L55" i="19" s="1"/>
  <c r="G56" i="19"/>
  <c r="G57" i="19"/>
  <c r="G58" i="19"/>
  <c r="G59" i="19"/>
  <c r="L59" i="19" s="1"/>
  <c r="G60" i="19"/>
  <c r="G61" i="19"/>
  <c r="G62" i="19"/>
  <c r="G63" i="19"/>
  <c r="G64" i="19"/>
  <c r="L64" i="19" s="1"/>
  <c r="G65" i="19"/>
  <c r="L65" i="19" s="1"/>
  <c r="G66" i="19"/>
  <c r="G67" i="19"/>
  <c r="G68" i="19"/>
  <c r="G69" i="19"/>
  <c r="G70" i="19"/>
  <c r="G71" i="19"/>
  <c r="L71" i="19" s="1"/>
  <c r="G72" i="19"/>
  <c r="G73" i="19"/>
  <c r="G74" i="19"/>
  <c r="G75" i="19"/>
  <c r="L75" i="19" s="1"/>
  <c r="G76" i="19"/>
  <c r="G77" i="19"/>
  <c r="G78" i="19"/>
  <c r="G79" i="19"/>
  <c r="G80" i="19"/>
  <c r="L80" i="19" s="1"/>
  <c r="G81" i="19"/>
  <c r="L81" i="19" s="1"/>
  <c r="G82" i="19"/>
  <c r="G83" i="19"/>
  <c r="G84" i="19"/>
  <c r="G85" i="19"/>
  <c r="G86" i="19"/>
  <c r="G87" i="19"/>
  <c r="L87" i="19" s="1"/>
  <c r="G88" i="19"/>
  <c r="G89" i="19"/>
  <c r="G90" i="19"/>
  <c r="G91" i="19"/>
  <c r="L91" i="19" s="1"/>
  <c r="G92" i="19"/>
  <c r="G93" i="19"/>
  <c r="G94" i="19"/>
  <c r="G95" i="19"/>
  <c r="G96" i="19"/>
  <c r="L96" i="19" s="1"/>
  <c r="G97" i="19"/>
  <c r="L97" i="19" s="1"/>
  <c r="G98" i="19"/>
  <c r="G99" i="19"/>
  <c r="G100" i="19"/>
  <c r="G101" i="19"/>
  <c r="G102" i="19"/>
  <c r="G103" i="19"/>
  <c r="L103" i="19" s="1"/>
  <c r="G104" i="19"/>
  <c r="G105" i="19"/>
  <c r="G106" i="19"/>
  <c r="G107" i="19"/>
  <c r="G108" i="19"/>
  <c r="G109" i="19"/>
  <c r="G110" i="19"/>
  <c r="G111" i="19"/>
  <c r="G112" i="19"/>
  <c r="L112" i="19" s="1"/>
  <c r="G113" i="19"/>
  <c r="L113" i="19" s="1"/>
  <c r="G114" i="19"/>
  <c r="G115" i="19"/>
  <c r="G116" i="19"/>
  <c r="G117" i="19"/>
  <c r="G118" i="19"/>
  <c r="G119" i="19"/>
  <c r="L119" i="19" s="1"/>
  <c r="G120" i="19"/>
  <c r="G121" i="19"/>
  <c r="L123" i="19"/>
  <c r="L128" i="19"/>
  <c r="L129" i="19"/>
  <c r="L135" i="19"/>
  <c r="L139" i="19"/>
  <c r="L144" i="19"/>
  <c r="L145" i="19"/>
  <c r="G1" i="19"/>
  <c r="F2" i="19"/>
  <c r="K2" i="19" s="1"/>
  <c r="F3" i="19"/>
  <c r="F4" i="19"/>
  <c r="F5" i="19"/>
  <c r="K5" i="19" s="1"/>
  <c r="F6" i="19"/>
  <c r="F7" i="19"/>
  <c r="F8" i="19"/>
  <c r="F9" i="19"/>
  <c r="F10" i="19"/>
  <c r="K10" i="19" s="1"/>
  <c r="F11" i="19"/>
  <c r="F12" i="19"/>
  <c r="F13" i="19"/>
  <c r="K13" i="19" s="1"/>
  <c r="F14" i="19"/>
  <c r="K14" i="19" s="1"/>
  <c r="F15" i="19"/>
  <c r="F16" i="19"/>
  <c r="F17" i="19"/>
  <c r="K17" i="19" s="1"/>
  <c r="F18" i="19"/>
  <c r="F19" i="19"/>
  <c r="F20" i="19"/>
  <c r="F21" i="19"/>
  <c r="K21" i="19" s="1"/>
  <c r="F22" i="19"/>
  <c r="F23" i="19"/>
  <c r="F24" i="19"/>
  <c r="F25" i="19"/>
  <c r="F26" i="19"/>
  <c r="K26" i="19" s="1"/>
  <c r="F27" i="19"/>
  <c r="F28" i="19"/>
  <c r="F29" i="19"/>
  <c r="K29" i="19" s="1"/>
  <c r="F30" i="19"/>
  <c r="K30" i="19" s="1"/>
  <c r="F31" i="19"/>
  <c r="F32" i="19"/>
  <c r="F33" i="19"/>
  <c r="K33" i="19" s="1"/>
  <c r="F34" i="19"/>
  <c r="F35" i="19"/>
  <c r="F36" i="19"/>
  <c r="F37" i="19"/>
  <c r="K37" i="19" s="1"/>
  <c r="F38" i="19"/>
  <c r="F39" i="19"/>
  <c r="F40" i="19"/>
  <c r="K40" i="19" s="1"/>
  <c r="F41" i="19"/>
  <c r="F42" i="19"/>
  <c r="K42" i="19" s="1"/>
  <c r="F43" i="19"/>
  <c r="F44" i="19"/>
  <c r="F45" i="19"/>
  <c r="K45" i="19" s="1"/>
  <c r="F46" i="19"/>
  <c r="K46" i="19" s="1"/>
  <c r="F47" i="19"/>
  <c r="F48" i="19"/>
  <c r="F49" i="19"/>
  <c r="K49" i="19" s="1"/>
  <c r="F50" i="19"/>
  <c r="F51" i="19"/>
  <c r="F52" i="19"/>
  <c r="F53" i="19"/>
  <c r="K53" i="19" s="1"/>
  <c r="F54" i="19"/>
  <c r="F55" i="19"/>
  <c r="F56" i="19"/>
  <c r="F57" i="19"/>
  <c r="F58" i="19"/>
  <c r="K58" i="19" s="1"/>
  <c r="F59" i="19"/>
  <c r="F60" i="19"/>
  <c r="K60" i="19" s="1"/>
  <c r="F61" i="19"/>
  <c r="K61" i="19" s="1"/>
  <c r="F62" i="19"/>
  <c r="K62" i="19" s="1"/>
  <c r="F63" i="19"/>
  <c r="F64" i="19"/>
  <c r="F65" i="19"/>
  <c r="K65" i="19" s="1"/>
  <c r="F66" i="19"/>
  <c r="F67" i="19"/>
  <c r="F68" i="19"/>
  <c r="F69" i="19"/>
  <c r="K69" i="19" s="1"/>
  <c r="F70" i="19"/>
  <c r="F71" i="19"/>
  <c r="F72" i="19"/>
  <c r="F73" i="19"/>
  <c r="F74" i="19"/>
  <c r="K74" i="19" s="1"/>
  <c r="F75" i="19"/>
  <c r="F76" i="19"/>
  <c r="F77" i="19"/>
  <c r="K77" i="19" s="1"/>
  <c r="F78" i="19"/>
  <c r="K78" i="19" s="1"/>
  <c r="F79" i="19"/>
  <c r="K79" i="19" s="1"/>
  <c r="F80" i="19"/>
  <c r="F81" i="19"/>
  <c r="K81" i="19" s="1"/>
  <c r="F82" i="19"/>
  <c r="F83" i="19"/>
  <c r="F84" i="19"/>
  <c r="F85" i="19"/>
  <c r="K85" i="19" s="1"/>
  <c r="F86" i="19"/>
  <c r="F87" i="19"/>
  <c r="F88" i="19"/>
  <c r="F89" i="19"/>
  <c r="F90" i="19"/>
  <c r="K90" i="19" s="1"/>
  <c r="F91" i="19"/>
  <c r="F92" i="19"/>
  <c r="K92" i="19" s="1"/>
  <c r="F93" i="19"/>
  <c r="K93" i="19" s="1"/>
  <c r="F94" i="19"/>
  <c r="K94" i="19" s="1"/>
  <c r="F95" i="19"/>
  <c r="K95" i="19" s="1"/>
  <c r="F96" i="19"/>
  <c r="F97" i="19"/>
  <c r="K97" i="19" s="1"/>
  <c r="F98" i="19"/>
  <c r="F99" i="19"/>
  <c r="F100" i="19"/>
  <c r="F101" i="19"/>
  <c r="K101" i="19" s="1"/>
  <c r="F102" i="19"/>
  <c r="F103" i="19"/>
  <c r="F104" i="19"/>
  <c r="F105" i="19"/>
  <c r="F106" i="19"/>
  <c r="K106" i="19" s="1"/>
  <c r="F107" i="19"/>
  <c r="F108" i="19"/>
  <c r="F109" i="19"/>
  <c r="K109" i="19" s="1"/>
  <c r="F110" i="19"/>
  <c r="K110" i="19" s="1"/>
  <c r="F111" i="19"/>
  <c r="K111" i="19" s="1"/>
  <c r="F112" i="19"/>
  <c r="F113" i="19"/>
  <c r="K113" i="19" s="1"/>
  <c r="F114" i="19"/>
  <c r="F115" i="19"/>
  <c r="F116" i="19"/>
  <c r="F117" i="19"/>
  <c r="K117" i="19" s="1"/>
  <c r="F118" i="19"/>
  <c r="F119" i="19"/>
  <c r="F120" i="19"/>
  <c r="F121" i="19"/>
  <c r="K125" i="19"/>
  <c r="K126" i="19"/>
  <c r="K127" i="19"/>
  <c r="K129" i="19"/>
  <c r="K133" i="19"/>
  <c r="K138" i="19"/>
  <c r="K142" i="19"/>
  <c r="K145" i="19"/>
  <c r="F1" i="19"/>
  <c r="G2" i="3"/>
  <c r="L2" i="3" s="1"/>
  <c r="G3" i="3"/>
  <c r="G4" i="3"/>
  <c r="G5" i="3"/>
  <c r="G6" i="3"/>
  <c r="L6" i="3" s="1"/>
  <c r="G7" i="3"/>
  <c r="L7" i="3" s="1"/>
  <c r="G8" i="3"/>
  <c r="G9" i="3"/>
  <c r="G10" i="3"/>
  <c r="G11" i="3"/>
  <c r="G12" i="3"/>
  <c r="G13" i="3"/>
  <c r="G14" i="3"/>
  <c r="G15" i="3"/>
  <c r="L15" i="3" s="1"/>
  <c r="G16" i="3"/>
  <c r="G17" i="3"/>
  <c r="L17" i="3" s="1"/>
  <c r="G18" i="3"/>
  <c r="G19" i="3"/>
  <c r="G20" i="3"/>
  <c r="G21" i="3"/>
  <c r="G22" i="3"/>
  <c r="G23" i="3"/>
  <c r="L23" i="3" s="1"/>
  <c r="G24" i="3"/>
  <c r="L24" i="3" s="1"/>
  <c r="G25" i="3"/>
  <c r="G26" i="3"/>
  <c r="G27" i="3"/>
  <c r="G28" i="3"/>
  <c r="G29" i="3"/>
  <c r="G30" i="3"/>
  <c r="G31" i="3"/>
  <c r="L31" i="3" s="1"/>
  <c r="G32" i="3"/>
  <c r="G33" i="3"/>
  <c r="L33" i="3" s="1"/>
  <c r="G34" i="3"/>
  <c r="G35" i="3"/>
  <c r="G36" i="3"/>
  <c r="G37" i="3"/>
  <c r="G38" i="3"/>
  <c r="G39" i="3"/>
  <c r="L39" i="3" s="1"/>
  <c r="G40" i="3"/>
  <c r="G41" i="3"/>
  <c r="G42" i="3"/>
  <c r="G43" i="3"/>
  <c r="G44" i="3"/>
  <c r="G45" i="3"/>
  <c r="G46" i="3"/>
  <c r="G47" i="3"/>
  <c r="L47" i="3" s="1"/>
  <c r="G48" i="3"/>
  <c r="G49" i="3"/>
  <c r="L49" i="3" s="1"/>
  <c r="G50" i="3"/>
  <c r="G51" i="3"/>
  <c r="G52" i="3"/>
  <c r="G53" i="3"/>
  <c r="G54" i="3"/>
  <c r="L54" i="3" s="1"/>
  <c r="G55" i="3"/>
  <c r="L55" i="3" s="1"/>
  <c r="G56" i="3"/>
  <c r="G57" i="3"/>
  <c r="G58" i="3"/>
  <c r="G59" i="3"/>
  <c r="G60" i="3"/>
  <c r="G61" i="3"/>
  <c r="G62" i="3"/>
  <c r="G63" i="3"/>
  <c r="L63" i="3" s="1"/>
  <c r="G64" i="3"/>
  <c r="G65" i="3"/>
  <c r="L65" i="3" s="1"/>
  <c r="G66" i="3"/>
  <c r="G67" i="3"/>
  <c r="G68" i="3"/>
  <c r="G69" i="3"/>
  <c r="G70" i="3"/>
  <c r="G71" i="3"/>
  <c r="L71" i="3" s="1"/>
  <c r="G72" i="3"/>
  <c r="L72" i="3" s="1"/>
  <c r="G73" i="3"/>
  <c r="G74" i="3"/>
  <c r="G75" i="3"/>
  <c r="G76" i="3"/>
  <c r="G77" i="3"/>
  <c r="G78" i="3"/>
  <c r="G79" i="3"/>
  <c r="L79" i="3" s="1"/>
  <c r="G80" i="3"/>
  <c r="G81" i="3"/>
  <c r="L81" i="3" s="1"/>
  <c r="G82" i="3"/>
  <c r="G83" i="3"/>
  <c r="G84" i="3"/>
  <c r="G85" i="3"/>
  <c r="G86" i="3"/>
  <c r="L86" i="3" s="1"/>
  <c r="G87" i="3"/>
  <c r="L87" i="3" s="1"/>
  <c r="G88" i="3"/>
  <c r="L88" i="3" s="1"/>
  <c r="G89" i="3"/>
  <c r="G90" i="3"/>
  <c r="G91" i="3"/>
  <c r="G92" i="3"/>
  <c r="G93" i="3"/>
  <c r="G94" i="3"/>
  <c r="G95" i="3"/>
  <c r="L95" i="3" s="1"/>
  <c r="G96" i="3"/>
  <c r="G97" i="3"/>
  <c r="L97" i="3" s="1"/>
  <c r="G98" i="3"/>
  <c r="G99" i="3"/>
  <c r="G100" i="3"/>
  <c r="G101" i="3"/>
  <c r="G102" i="3"/>
  <c r="G103" i="3"/>
  <c r="L103" i="3" s="1"/>
  <c r="G104" i="3"/>
  <c r="L104" i="3" s="1"/>
  <c r="G105" i="3"/>
  <c r="G106" i="3"/>
  <c r="L106" i="3" s="1"/>
  <c r="G107" i="3"/>
  <c r="G108" i="3"/>
  <c r="G109" i="3"/>
  <c r="G110" i="3"/>
  <c r="G111" i="3"/>
  <c r="L111" i="3" s="1"/>
  <c r="G112" i="3"/>
  <c r="G113" i="3"/>
  <c r="L113" i="3" s="1"/>
  <c r="G114" i="3"/>
  <c r="G115" i="3"/>
  <c r="G116" i="3"/>
  <c r="G117" i="3"/>
  <c r="G118" i="3"/>
  <c r="G119" i="3"/>
  <c r="L119" i="3" s="1"/>
  <c r="G120" i="3"/>
  <c r="L120" i="3" s="1"/>
  <c r="G121" i="3"/>
  <c r="G1" i="3"/>
  <c r="F2" i="3"/>
  <c r="F3" i="3"/>
  <c r="F4" i="3"/>
  <c r="F5" i="3"/>
  <c r="F6" i="3"/>
  <c r="K6" i="3" s="1"/>
  <c r="F7" i="3"/>
  <c r="F8" i="3"/>
  <c r="F9" i="3"/>
  <c r="F10" i="3"/>
  <c r="F11" i="3"/>
  <c r="F12" i="3"/>
  <c r="F13" i="3"/>
  <c r="F14" i="3"/>
  <c r="F15" i="3"/>
  <c r="F16" i="3"/>
  <c r="K16" i="3" s="1"/>
  <c r="F17" i="3"/>
  <c r="K17" i="3" s="1"/>
  <c r="F18" i="3"/>
  <c r="F19" i="3"/>
  <c r="F20" i="3"/>
  <c r="F21" i="3"/>
  <c r="F22" i="3"/>
  <c r="K22" i="3" s="1"/>
  <c r="F23" i="3"/>
  <c r="F24" i="3"/>
  <c r="F25" i="3"/>
  <c r="F26" i="3"/>
  <c r="F27" i="3"/>
  <c r="F28" i="3"/>
  <c r="F29" i="3"/>
  <c r="F30" i="3"/>
  <c r="F31" i="3"/>
  <c r="K31" i="3" s="1"/>
  <c r="F32" i="3"/>
  <c r="K32" i="3" s="1"/>
  <c r="F33" i="3"/>
  <c r="K33" i="3" s="1"/>
  <c r="F34" i="3"/>
  <c r="F35" i="3"/>
  <c r="F36" i="3"/>
  <c r="F37" i="3"/>
  <c r="F38" i="3"/>
  <c r="K38" i="3" s="1"/>
  <c r="F39" i="3"/>
  <c r="F40" i="3"/>
  <c r="F41" i="3"/>
  <c r="F42" i="3"/>
  <c r="F43" i="3"/>
  <c r="F44" i="3"/>
  <c r="F45" i="3"/>
  <c r="F46" i="3"/>
  <c r="F47" i="3"/>
  <c r="F48" i="3"/>
  <c r="K48" i="3" s="1"/>
  <c r="F49" i="3"/>
  <c r="K49" i="3" s="1"/>
  <c r="F50" i="3"/>
  <c r="F51" i="3"/>
  <c r="F52" i="3"/>
  <c r="F53" i="3"/>
  <c r="F54" i="3"/>
  <c r="K54" i="3" s="1"/>
  <c r="F55" i="3"/>
  <c r="F56" i="3"/>
  <c r="F57" i="3"/>
  <c r="F58" i="3"/>
  <c r="F59" i="3"/>
  <c r="F60" i="3"/>
  <c r="F61" i="3"/>
  <c r="F62" i="3"/>
  <c r="F63" i="3"/>
  <c r="F64" i="3"/>
  <c r="K64" i="3" s="1"/>
  <c r="F65" i="3"/>
  <c r="K65" i="3" s="1"/>
  <c r="F66" i="3"/>
  <c r="F67" i="3"/>
  <c r="F68" i="3"/>
  <c r="F69" i="3"/>
  <c r="F70" i="3"/>
  <c r="K70" i="3" s="1"/>
  <c r="F71" i="3"/>
  <c r="F72" i="3"/>
  <c r="F73" i="3"/>
  <c r="F74" i="3"/>
  <c r="F75" i="3"/>
  <c r="F76" i="3"/>
  <c r="F77" i="3"/>
  <c r="K77" i="3" s="1"/>
  <c r="F78" i="3"/>
  <c r="F79" i="3"/>
  <c r="K79" i="3" s="1"/>
  <c r="F80" i="3"/>
  <c r="K80" i="3" s="1"/>
  <c r="F81" i="3"/>
  <c r="K81" i="3" s="1"/>
  <c r="F82" i="3"/>
  <c r="F83" i="3"/>
  <c r="F84" i="3"/>
  <c r="F85" i="3"/>
  <c r="F86" i="3"/>
  <c r="K86" i="3" s="1"/>
  <c r="F87" i="3"/>
  <c r="F88" i="3"/>
  <c r="F89" i="3"/>
  <c r="F90" i="3"/>
  <c r="F91" i="3"/>
  <c r="F92" i="3"/>
  <c r="F93" i="3"/>
  <c r="F94" i="3"/>
  <c r="F95" i="3"/>
  <c r="K95" i="3" s="1"/>
  <c r="F96" i="3"/>
  <c r="K96" i="3" s="1"/>
  <c r="F97" i="3"/>
  <c r="K97" i="3" s="1"/>
  <c r="F98" i="3"/>
  <c r="F99" i="3"/>
  <c r="F100" i="3"/>
  <c r="F101" i="3"/>
  <c r="F102" i="3"/>
  <c r="K102" i="3" s="1"/>
  <c r="F103" i="3"/>
  <c r="F104" i="3"/>
  <c r="F105" i="3"/>
  <c r="F106" i="3"/>
  <c r="F107" i="3"/>
  <c r="F108" i="3"/>
  <c r="F109" i="3"/>
  <c r="F110" i="3"/>
  <c r="F111" i="3"/>
  <c r="K111" i="3" s="1"/>
  <c r="F112" i="3"/>
  <c r="K112" i="3" s="1"/>
  <c r="F113" i="3"/>
  <c r="K113" i="3" s="1"/>
  <c r="F114" i="3"/>
  <c r="F115" i="3"/>
  <c r="F116" i="3"/>
  <c r="F117" i="3"/>
  <c r="F118" i="3"/>
  <c r="K118" i="3" s="1"/>
  <c r="F119" i="3"/>
  <c r="F120" i="3"/>
  <c r="F121" i="3"/>
  <c r="F1" i="3"/>
  <c r="BB3" i="1"/>
  <c r="BB4" i="1"/>
  <c r="BB5" i="1"/>
  <c r="BB6" i="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1" i="1"/>
  <c r="BB112" i="1"/>
  <c r="BB113" i="1"/>
  <c r="BB114" i="1"/>
  <c r="BB115" i="1"/>
  <c r="BB116" i="1"/>
  <c r="BB117" i="1"/>
  <c r="BB118" i="1"/>
  <c r="BB119" i="1"/>
  <c r="BB120" i="1"/>
  <c r="BB121" i="1"/>
  <c r="BB2" i="1"/>
  <c r="BA3" i="1"/>
  <c r="BA4" i="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I94" i="5" s="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2" i="1"/>
  <c r="I14" i="5"/>
  <c r="I16" i="5"/>
  <c r="I23" i="5"/>
  <c r="I40" i="5"/>
  <c r="I48" i="5"/>
  <c r="I71" i="5"/>
  <c r="I112" i="5"/>
  <c r="I22" i="5"/>
  <c r="I47" i="5"/>
  <c r="I79" i="5"/>
  <c r="I80" i="5"/>
  <c r="I95" i="5"/>
  <c r="I117" i="5"/>
  <c r="I74" i="5"/>
  <c r="I19" i="5"/>
  <c r="I99" i="5"/>
  <c r="I102" i="5"/>
  <c r="I3" i="5"/>
  <c r="I28" i="5"/>
  <c r="I32" i="5"/>
  <c r="I35" i="5"/>
  <c r="I67" i="5"/>
  <c r="I12" i="5"/>
  <c r="I6" i="5"/>
  <c r="I38" i="5"/>
  <c r="I83" i="5"/>
  <c r="I108" i="5"/>
  <c r="I2" i="5"/>
  <c r="I1"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2" i="5"/>
  <c r="E1" i="5"/>
  <c r="E14" i="24"/>
  <c r="L10" i="23"/>
  <c r="G2" i="20"/>
  <c r="M2" i="20" s="1"/>
  <c r="G3" i="20"/>
  <c r="M3" i="20" s="1"/>
  <c r="G4" i="20"/>
  <c r="M4" i="20" s="1"/>
  <c r="G5" i="20"/>
  <c r="M5" i="20" s="1"/>
  <c r="G6" i="20"/>
  <c r="M6" i="20" s="1"/>
  <c r="G7" i="20"/>
  <c r="M7" i="20" s="1"/>
  <c r="G8" i="20"/>
  <c r="M8" i="20" s="1"/>
  <c r="G9" i="20"/>
  <c r="M9" i="20" s="1"/>
  <c r="G10" i="20"/>
  <c r="M10" i="20" s="1"/>
  <c r="G11" i="20"/>
  <c r="M11" i="20" s="1"/>
  <c r="G12" i="20"/>
  <c r="M12" i="20" s="1"/>
  <c r="G13" i="20"/>
  <c r="M13" i="20" s="1"/>
  <c r="G14" i="20"/>
  <c r="M14" i="20" s="1"/>
  <c r="G15" i="20"/>
  <c r="M15" i="20" s="1"/>
  <c r="G16" i="20"/>
  <c r="M16" i="20" s="1"/>
  <c r="G17" i="20"/>
  <c r="M17" i="20" s="1"/>
  <c r="G18" i="20"/>
  <c r="M18" i="20" s="1"/>
  <c r="G19" i="20"/>
  <c r="M19" i="20" s="1"/>
  <c r="G20" i="20"/>
  <c r="M20" i="20" s="1"/>
  <c r="G21" i="20"/>
  <c r="M21" i="20" s="1"/>
  <c r="G22" i="20"/>
  <c r="M22" i="20" s="1"/>
  <c r="G23" i="20"/>
  <c r="M23" i="20" s="1"/>
  <c r="G24" i="20"/>
  <c r="M24" i="20" s="1"/>
  <c r="G25" i="20"/>
  <c r="M25" i="20" s="1"/>
  <c r="G26" i="20"/>
  <c r="M26" i="20" s="1"/>
  <c r="G27" i="20"/>
  <c r="M27" i="20" s="1"/>
  <c r="G28" i="20"/>
  <c r="M28" i="20" s="1"/>
  <c r="G29" i="20"/>
  <c r="M29" i="20" s="1"/>
  <c r="G30" i="20"/>
  <c r="M30" i="20" s="1"/>
  <c r="G31" i="20"/>
  <c r="M31" i="20" s="1"/>
  <c r="G32" i="20"/>
  <c r="M32" i="20" s="1"/>
  <c r="G33" i="20"/>
  <c r="M33" i="20" s="1"/>
  <c r="G34" i="20"/>
  <c r="M34" i="20" s="1"/>
  <c r="G35" i="20"/>
  <c r="M35" i="20" s="1"/>
  <c r="G36" i="20"/>
  <c r="M36" i="20" s="1"/>
  <c r="G37" i="20"/>
  <c r="M37" i="20" s="1"/>
  <c r="G38" i="20"/>
  <c r="M38" i="20" s="1"/>
  <c r="G39" i="20"/>
  <c r="M39" i="20" s="1"/>
  <c r="G40" i="20"/>
  <c r="M40" i="20" s="1"/>
  <c r="G41" i="20"/>
  <c r="M41" i="20" s="1"/>
  <c r="G42" i="20"/>
  <c r="M42" i="20" s="1"/>
  <c r="G43" i="20"/>
  <c r="M43" i="20" s="1"/>
  <c r="G44" i="20"/>
  <c r="M44" i="20" s="1"/>
  <c r="G45" i="20"/>
  <c r="M45" i="20" s="1"/>
  <c r="G46" i="20"/>
  <c r="M46" i="20" s="1"/>
  <c r="G47" i="20"/>
  <c r="M47" i="20" s="1"/>
  <c r="G48" i="20"/>
  <c r="M48" i="20" s="1"/>
  <c r="G49" i="20"/>
  <c r="M49" i="20" s="1"/>
  <c r="G50" i="20"/>
  <c r="M50" i="20" s="1"/>
  <c r="G51" i="20"/>
  <c r="M51" i="20" s="1"/>
  <c r="G52" i="20"/>
  <c r="M52" i="20" s="1"/>
  <c r="G53" i="20"/>
  <c r="M53" i="20" s="1"/>
  <c r="G54" i="20"/>
  <c r="M54" i="20" s="1"/>
  <c r="G55" i="20"/>
  <c r="M55" i="20" s="1"/>
  <c r="G56" i="20"/>
  <c r="M56" i="20" s="1"/>
  <c r="G57" i="20"/>
  <c r="M57" i="20" s="1"/>
  <c r="G58" i="20"/>
  <c r="M58" i="20" s="1"/>
  <c r="G59" i="20"/>
  <c r="M59" i="20" s="1"/>
  <c r="G60" i="20"/>
  <c r="M60" i="20" s="1"/>
  <c r="G61" i="20"/>
  <c r="M61" i="20" s="1"/>
  <c r="G62" i="20"/>
  <c r="M62" i="20" s="1"/>
  <c r="G63" i="20"/>
  <c r="M63" i="20" s="1"/>
  <c r="G64" i="20"/>
  <c r="M64" i="20" s="1"/>
  <c r="G65" i="20"/>
  <c r="M65" i="20" s="1"/>
  <c r="G66" i="20"/>
  <c r="M66" i="20" s="1"/>
  <c r="G67" i="20"/>
  <c r="M67" i="20" s="1"/>
  <c r="G68" i="20"/>
  <c r="M68" i="20" s="1"/>
  <c r="G69" i="20"/>
  <c r="M69" i="20" s="1"/>
  <c r="G70" i="20"/>
  <c r="M70" i="20" s="1"/>
  <c r="G71" i="20"/>
  <c r="M71" i="20" s="1"/>
  <c r="G72" i="20"/>
  <c r="M72" i="20" s="1"/>
  <c r="G73" i="20"/>
  <c r="M73" i="20" s="1"/>
  <c r="G74" i="20"/>
  <c r="M74" i="20" s="1"/>
  <c r="G75" i="20"/>
  <c r="M75" i="20" s="1"/>
  <c r="G76" i="20"/>
  <c r="M76" i="20" s="1"/>
  <c r="G77" i="20"/>
  <c r="M77" i="20" s="1"/>
  <c r="G78" i="20"/>
  <c r="M78" i="20" s="1"/>
  <c r="G79" i="20"/>
  <c r="M79" i="20" s="1"/>
  <c r="G80" i="20"/>
  <c r="M80" i="20" s="1"/>
  <c r="G81" i="20"/>
  <c r="M81" i="20" s="1"/>
  <c r="G82" i="20"/>
  <c r="M82" i="20" s="1"/>
  <c r="G83" i="20"/>
  <c r="M83" i="20" s="1"/>
  <c r="G84" i="20"/>
  <c r="M84" i="20" s="1"/>
  <c r="G85" i="20"/>
  <c r="M85" i="20" s="1"/>
  <c r="G86" i="20"/>
  <c r="M86" i="20" s="1"/>
  <c r="G87" i="20"/>
  <c r="M87" i="20" s="1"/>
  <c r="G88" i="20"/>
  <c r="M88" i="20" s="1"/>
  <c r="G89" i="20"/>
  <c r="M89" i="20" s="1"/>
  <c r="G90" i="20"/>
  <c r="M90" i="20" s="1"/>
  <c r="G91" i="20"/>
  <c r="M91" i="20" s="1"/>
  <c r="G92" i="20"/>
  <c r="M92" i="20" s="1"/>
  <c r="G93" i="20"/>
  <c r="M93" i="20" s="1"/>
  <c r="G94" i="20"/>
  <c r="M94" i="20" s="1"/>
  <c r="G95" i="20"/>
  <c r="M95" i="20" s="1"/>
  <c r="G96" i="20"/>
  <c r="M96" i="20" s="1"/>
  <c r="G97" i="20"/>
  <c r="M97" i="20" s="1"/>
  <c r="G98" i="20"/>
  <c r="M98" i="20" s="1"/>
  <c r="G99" i="20"/>
  <c r="M99" i="20" s="1"/>
  <c r="G100" i="20"/>
  <c r="M100" i="20" s="1"/>
  <c r="G101" i="20"/>
  <c r="M101" i="20" s="1"/>
  <c r="G102" i="20"/>
  <c r="M102" i="20" s="1"/>
  <c r="G103" i="20"/>
  <c r="M103" i="20" s="1"/>
  <c r="G104" i="20"/>
  <c r="M104" i="20" s="1"/>
  <c r="G105" i="20"/>
  <c r="M105" i="20" s="1"/>
  <c r="G106" i="20"/>
  <c r="M106" i="20" s="1"/>
  <c r="G107" i="20"/>
  <c r="M107" i="20" s="1"/>
  <c r="G108" i="20"/>
  <c r="M108" i="20" s="1"/>
  <c r="G109" i="20"/>
  <c r="M109" i="20" s="1"/>
  <c r="G110" i="20"/>
  <c r="M110" i="20" s="1"/>
  <c r="G111" i="20"/>
  <c r="M111" i="20" s="1"/>
  <c r="G112" i="20"/>
  <c r="M112" i="20" s="1"/>
  <c r="G113" i="20"/>
  <c r="M113" i="20" s="1"/>
  <c r="G114" i="20"/>
  <c r="M114" i="20" s="1"/>
  <c r="G115" i="20"/>
  <c r="M115" i="20" s="1"/>
  <c r="G116" i="20"/>
  <c r="M116" i="20" s="1"/>
  <c r="G117" i="20"/>
  <c r="M117" i="20" s="1"/>
  <c r="G118" i="20"/>
  <c r="M118" i="20" s="1"/>
  <c r="G119" i="20"/>
  <c r="M119" i="20" s="1"/>
  <c r="G120" i="20"/>
  <c r="M120" i="20" s="1"/>
  <c r="G121" i="20"/>
  <c r="M121" i="20" s="1"/>
  <c r="G1" i="20"/>
  <c r="M1" i="20" s="1"/>
  <c r="E1" i="20"/>
  <c r="E1" i="4"/>
  <c r="G2" i="4"/>
  <c r="M2" i="4" s="1"/>
  <c r="G3" i="4"/>
  <c r="M3" i="4" s="1"/>
  <c r="G4" i="4"/>
  <c r="M4" i="4" s="1"/>
  <c r="G5" i="4"/>
  <c r="M5" i="4" s="1"/>
  <c r="G6" i="4"/>
  <c r="M6" i="4" s="1"/>
  <c r="G7" i="4"/>
  <c r="M7" i="4" s="1"/>
  <c r="G8" i="4"/>
  <c r="M8" i="4" s="1"/>
  <c r="G9" i="4"/>
  <c r="M9" i="4" s="1"/>
  <c r="G10" i="4"/>
  <c r="M10" i="4" s="1"/>
  <c r="G11" i="4"/>
  <c r="M11" i="4" s="1"/>
  <c r="G12" i="4"/>
  <c r="M12" i="4" s="1"/>
  <c r="G13" i="4"/>
  <c r="M13" i="4" s="1"/>
  <c r="G14" i="4"/>
  <c r="M14" i="4" s="1"/>
  <c r="G15" i="4"/>
  <c r="M15" i="4" s="1"/>
  <c r="G16" i="4"/>
  <c r="M16" i="4" s="1"/>
  <c r="G17" i="4"/>
  <c r="M17" i="4" s="1"/>
  <c r="G18" i="4"/>
  <c r="M18" i="4" s="1"/>
  <c r="G19" i="4"/>
  <c r="M19" i="4" s="1"/>
  <c r="G20" i="4"/>
  <c r="M20" i="4" s="1"/>
  <c r="G21" i="4"/>
  <c r="M21" i="4" s="1"/>
  <c r="G22" i="4"/>
  <c r="M22" i="4" s="1"/>
  <c r="G23" i="4"/>
  <c r="M23" i="4" s="1"/>
  <c r="G24" i="4"/>
  <c r="M24" i="4" s="1"/>
  <c r="G25" i="4"/>
  <c r="M25" i="4" s="1"/>
  <c r="G26" i="4"/>
  <c r="M26" i="4" s="1"/>
  <c r="G27" i="4"/>
  <c r="M27" i="4" s="1"/>
  <c r="G28" i="4"/>
  <c r="M28" i="4" s="1"/>
  <c r="G29" i="4"/>
  <c r="M29" i="4" s="1"/>
  <c r="G30" i="4"/>
  <c r="M30" i="4" s="1"/>
  <c r="G31" i="4"/>
  <c r="M31" i="4" s="1"/>
  <c r="G32" i="4"/>
  <c r="M32" i="4" s="1"/>
  <c r="G33" i="4"/>
  <c r="M33" i="4" s="1"/>
  <c r="G34" i="4"/>
  <c r="M34" i="4" s="1"/>
  <c r="G35" i="4"/>
  <c r="M35" i="4" s="1"/>
  <c r="G36" i="4"/>
  <c r="M36" i="4" s="1"/>
  <c r="G37" i="4"/>
  <c r="M37" i="4" s="1"/>
  <c r="G38" i="4"/>
  <c r="M38" i="4" s="1"/>
  <c r="G39" i="4"/>
  <c r="M39" i="4" s="1"/>
  <c r="G40" i="4"/>
  <c r="M40" i="4" s="1"/>
  <c r="G41" i="4"/>
  <c r="M41" i="4" s="1"/>
  <c r="G42" i="4"/>
  <c r="M42" i="4" s="1"/>
  <c r="G43" i="4"/>
  <c r="M43" i="4" s="1"/>
  <c r="G44" i="4"/>
  <c r="M44" i="4" s="1"/>
  <c r="G45" i="4"/>
  <c r="M45" i="4" s="1"/>
  <c r="G46" i="4"/>
  <c r="M46" i="4" s="1"/>
  <c r="G47" i="4"/>
  <c r="M47" i="4" s="1"/>
  <c r="G48" i="4"/>
  <c r="M48" i="4" s="1"/>
  <c r="G49" i="4"/>
  <c r="M49" i="4" s="1"/>
  <c r="G50" i="4"/>
  <c r="M50" i="4" s="1"/>
  <c r="G51" i="4"/>
  <c r="M51" i="4" s="1"/>
  <c r="G52" i="4"/>
  <c r="M52" i="4" s="1"/>
  <c r="G53" i="4"/>
  <c r="M53" i="4" s="1"/>
  <c r="G54" i="4"/>
  <c r="M54" i="4" s="1"/>
  <c r="G55" i="4"/>
  <c r="M55" i="4" s="1"/>
  <c r="G56" i="4"/>
  <c r="M56" i="4" s="1"/>
  <c r="G57" i="4"/>
  <c r="M57" i="4" s="1"/>
  <c r="G58" i="4"/>
  <c r="M58" i="4" s="1"/>
  <c r="G59" i="4"/>
  <c r="M59" i="4" s="1"/>
  <c r="G60" i="4"/>
  <c r="M60" i="4" s="1"/>
  <c r="G61" i="4"/>
  <c r="M61" i="4" s="1"/>
  <c r="G62" i="4"/>
  <c r="M62" i="4" s="1"/>
  <c r="G63" i="4"/>
  <c r="M63" i="4" s="1"/>
  <c r="G64" i="4"/>
  <c r="M64" i="4" s="1"/>
  <c r="G65" i="4"/>
  <c r="M65" i="4" s="1"/>
  <c r="G66" i="4"/>
  <c r="M66" i="4" s="1"/>
  <c r="G67" i="4"/>
  <c r="M67" i="4" s="1"/>
  <c r="G68" i="4"/>
  <c r="M68" i="4" s="1"/>
  <c r="G69" i="4"/>
  <c r="M69" i="4" s="1"/>
  <c r="G70" i="4"/>
  <c r="M70" i="4" s="1"/>
  <c r="G71" i="4"/>
  <c r="M71" i="4" s="1"/>
  <c r="G72" i="4"/>
  <c r="M72" i="4" s="1"/>
  <c r="G73" i="4"/>
  <c r="M73" i="4" s="1"/>
  <c r="G74" i="4"/>
  <c r="M74" i="4" s="1"/>
  <c r="G75" i="4"/>
  <c r="M75" i="4" s="1"/>
  <c r="G76" i="4"/>
  <c r="M76" i="4" s="1"/>
  <c r="G77" i="4"/>
  <c r="M77" i="4" s="1"/>
  <c r="G78" i="4"/>
  <c r="M78" i="4" s="1"/>
  <c r="G79" i="4"/>
  <c r="M79" i="4" s="1"/>
  <c r="G80" i="4"/>
  <c r="M80" i="4" s="1"/>
  <c r="G81" i="4"/>
  <c r="M81" i="4" s="1"/>
  <c r="G82" i="4"/>
  <c r="M82" i="4" s="1"/>
  <c r="G83" i="4"/>
  <c r="M83" i="4" s="1"/>
  <c r="G84" i="4"/>
  <c r="M84" i="4" s="1"/>
  <c r="G85" i="4"/>
  <c r="M85" i="4" s="1"/>
  <c r="G86" i="4"/>
  <c r="M86" i="4" s="1"/>
  <c r="G87" i="4"/>
  <c r="M87" i="4" s="1"/>
  <c r="G88" i="4"/>
  <c r="M88" i="4" s="1"/>
  <c r="G89" i="4"/>
  <c r="M89" i="4" s="1"/>
  <c r="G90" i="4"/>
  <c r="M90" i="4" s="1"/>
  <c r="G91" i="4"/>
  <c r="M91" i="4" s="1"/>
  <c r="G92" i="4"/>
  <c r="M92" i="4" s="1"/>
  <c r="G93" i="4"/>
  <c r="M93" i="4" s="1"/>
  <c r="G94" i="4"/>
  <c r="M94" i="4" s="1"/>
  <c r="G95" i="4"/>
  <c r="M95" i="4" s="1"/>
  <c r="G96" i="4"/>
  <c r="M96" i="4" s="1"/>
  <c r="G97" i="4"/>
  <c r="M97" i="4" s="1"/>
  <c r="G98" i="4"/>
  <c r="M98" i="4" s="1"/>
  <c r="G99" i="4"/>
  <c r="M99" i="4" s="1"/>
  <c r="G100" i="4"/>
  <c r="M100" i="4" s="1"/>
  <c r="G101" i="4"/>
  <c r="M101" i="4" s="1"/>
  <c r="G102" i="4"/>
  <c r="M102" i="4" s="1"/>
  <c r="G103" i="4"/>
  <c r="M103" i="4" s="1"/>
  <c r="G104" i="4"/>
  <c r="M104" i="4" s="1"/>
  <c r="G105" i="4"/>
  <c r="M105" i="4" s="1"/>
  <c r="G106" i="4"/>
  <c r="M106" i="4" s="1"/>
  <c r="G107" i="4"/>
  <c r="M107" i="4" s="1"/>
  <c r="G108" i="4"/>
  <c r="M108" i="4" s="1"/>
  <c r="G109" i="4"/>
  <c r="M109" i="4" s="1"/>
  <c r="G110" i="4"/>
  <c r="M110" i="4" s="1"/>
  <c r="G111" i="4"/>
  <c r="M111" i="4" s="1"/>
  <c r="G112" i="4"/>
  <c r="M112" i="4" s="1"/>
  <c r="G113" i="4"/>
  <c r="M113" i="4" s="1"/>
  <c r="G114" i="4"/>
  <c r="M114" i="4" s="1"/>
  <c r="G115" i="4"/>
  <c r="M115" i="4" s="1"/>
  <c r="G116" i="4"/>
  <c r="M116" i="4" s="1"/>
  <c r="G117" i="4"/>
  <c r="M117" i="4" s="1"/>
  <c r="G118" i="4"/>
  <c r="M118" i="4" s="1"/>
  <c r="G119" i="4"/>
  <c r="M119" i="4" s="1"/>
  <c r="G120" i="4"/>
  <c r="M120" i="4" s="1"/>
  <c r="G121" i="4"/>
  <c r="M121" i="4" s="1"/>
  <c r="G1" i="4"/>
  <c r="M1" i="4" s="1"/>
  <c r="D1" i="4"/>
  <c r="K136" i="19"/>
  <c r="K139" i="19"/>
  <c r="K140" i="19"/>
  <c r="E1" i="19"/>
  <c r="K3" i="19"/>
  <c r="K4" i="19"/>
  <c r="K6" i="19"/>
  <c r="K7" i="19"/>
  <c r="K8" i="19"/>
  <c r="K9" i="19"/>
  <c r="K11" i="19"/>
  <c r="K12" i="19"/>
  <c r="K15" i="19"/>
  <c r="K16" i="19"/>
  <c r="K18" i="19"/>
  <c r="K19" i="19"/>
  <c r="K20" i="19"/>
  <c r="K22" i="19"/>
  <c r="K23" i="19"/>
  <c r="K24" i="19"/>
  <c r="K25" i="19"/>
  <c r="K27" i="19"/>
  <c r="K28" i="19"/>
  <c r="K31" i="19"/>
  <c r="K32" i="19"/>
  <c r="K34" i="19"/>
  <c r="K35" i="19"/>
  <c r="K36" i="19"/>
  <c r="K38" i="19"/>
  <c r="K39" i="19"/>
  <c r="K41" i="19"/>
  <c r="K43" i="19"/>
  <c r="K44" i="19"/>
  <c r="K47" i="19"/>
  <c r="K48" i="19"/>
  <c r="K50" i="19"/>
  <c r="K51" i="19"/>
  <c r="K52" i="19"/>
  <c r="K54" i="19"/>
  <c r="K55" i="19"/>
  <c r="K56" i="19"/>
  <c r="K57" i="19"/>
  <c r="K59" i="19"/>
  <c r="K63" i="19"/>
  <c r="K64" i="19"/>
  <c r="K66" i="19"/>
  <c r="K67" i="19"/>
  <c r="K68" i="19"/>
  <c r="K70" i="19"/>
  <c r="K71" i="19"/>
  <c r="K72" i="19"/>
  <c r="K73" i="19"/>
  <c r="K75" i="19"/>
  <c r="K76" i="19"/>
  <c r="K80" i="19"/>
  <c r="K82" i="19"/>
  <c r="K83" i="19"/>
  <c r="K84" i="19"/>
  <c r="K86" i="19"/>
  <c r="K87" i="19"/>
  <c r="K88" i="19"/>
  <c r="K89" i="19"/>
  <c r="K91" i="19"/>
  <c r="K96" i="19"/>
  <c r="K98" i="19"/>
  <c r="K99" i="19"/>
  <c r="K100" i="19"/>
  <c r="K102" i="19"/>
  <c r="K103" i="19"/>
  <c r="K104" i="19"/>
  <c r="K105" i="19"/>
  <c r="K107" i="19"/>
  <c r="K108" i="19"/>
  <c r="K112" i="19"/>
  <c r="K114" i="19"/>
  <c r="K115" i="19"/>
  <c r="K116" i="19"/>
  <c r="K118" i="19"/>
  <c r="K119" i="19"/>
  <c r="K120" i="19"/>
  <c r="K121" i="19"/>
  <c r="K122" i="19"/>
  <c r="K123" i="19"/>
  <c r="K124" i="19"/>
  <c r="K128" i="19"/>
  <c r="K130" i="19"/>
  <c r="K131" i="19"/>
  <c r="K132" i="19"/>
  <c r="K134" i="19"/>
  <c r="K135" i="19"/>
  <c r="K137" i="19"/>
  <c r="K141" i="19"/>
  <c r="K143" i="19"/>
  <c r="K144" i="19"/>
  <c r="L3" i="19"/>
  <c r="L4" i="19"/>
  <c r="L5" i="19"/>
  <c r="L6" i="19"/>
  <c r="L8" i="19"/>
  <c r="L9" i="19"/>
  <c r="L10" i="19"/>
  <c r="L12" i="19"/>
  <c r="L13" i="19"/>
  <c r="L14" i="19"/>
  <c r="L15" i="19"/>
  <c r="L18" i="19"/>
  <c r="L19" i="19"/>
  <c r="L20" i="19"/>
  <c r="L21" i="19"/>
  <c r="L22" i="19"/>
  <c r="L24" i="19"/>
  <c r="L25" i="19"/>
  <c r="L26" i="19"/>
  <c r="L27" i="19"/>
  <c r="L28" i="19"/>
  <c r="L29" i="19"/>
  <c r="L30" i="19"/>
  <c r="L31" i="19"/>
  <c r="L34" i="19"/>
  <c r="L35" i="19"/>
  <c r="L36" i="19"/>
  <c r="L37" i="19"/>
  <c r="L38" i="19"/>
  <c r="L40" i="19"/>
  <c r="L42" i="19"/>
  <c r="L44" i="19"/>
  <c r="L45" i="19"/>
  <c r="L46" i="19"/>
  <c r="L47" i="19"/>
  <c r="L50" i="19"/>
  <c r="L51" i="19"/>
  <c r="L52" i="19"/>
  <c r="L53" i="19"/>
  <c r="L54" i="19"/>
  <c r="L56" i="19"/>
  <c r="L57" i="19"/>
  <c r="L58" i="19"/>
  <c r="L60" i="19"/>
  <c r="L61" i="19"/>
  <c r="L62" i="19"/>
  <c r="L63" i="19"/>
  <c r="L66" i="19"/>
  <c r="L67" i="19"/>
  <c r="L68" i="19"/>
  <c r="L69" i="19"/>
  <c r="L70" i="19"/>
  <c r="L72" i="19"/>
  <c r="L73" i="19"/>
  <c r="L74" i="19"/>
  <c r="L76" i="19"/>
  <c r="L77" i="19"/>
  <c r="L78" i="19"/>
  <c r="L79" i="19"/>
  <c r="L82" i="19"/>
  <c r="L83" i="19"/>
  <c r="L84" i="19"/>
  <c r="L85" i="19"/>
  <c r="L86" i="19"/>
  <c r="L88" i="19"/>
  <c r="L89" i="19"/>
  <c r="L90" i="19"/>
  <c r="L92" i="19"/>
  <c r="L93" i="19"/>
  <c r="L94" i="19"/>
  <c r="L95" i="19"/>
  <c r="L98" i="19"/>
  <c r="L99" i="19"/>
  <c r="L100" i="19"/>
  <c r="L101" i="19"/>
  <c r="L102" i="19"/>
  <c r="L104" i="19"/>
  <c r="L105" i="19"/>
  <c r="L106" i="19"/>
  <c r="L107" i="19"/>
  <c r="L108" i="19"/>
  <c r="L109" i="19"/>
  <c r="L110" i="19"/>
  <c r="L111" i="19"/>
  <c r="L114" i="19"/>
  <c r="L115" i="19"/>
  <c r="L116" i="19"/>
  <c r="L117" i="19"/>
  <c r="L118" i="19"/>
  <c r="L120" i="19"/>
  <c r="L121" i="19"/>
  <c r="L122" i="19"/>
  <c r="L124" i="19"/>
  <c r="L125" i="19"/>
  <c r="L126" i="19"/>
  <c r="L127" i="19"/>
  <c r="L130" i="19"/>
  <c r="L131" i="19"/>
  <c r="L132" i="19"/>
  <c r="L133" i="19"/>
  <c r="L134" i="19"/>
  <c r="L136" i="19"/>
  <c r="L137" i="19"/>
  <c r="L138" i="19"/>
  <c r="L140" i="19"/>
  <c r="L141" i="19"/>
  <c r="L142" i="19"/>
  <c r="L143" i="19"/>
  <c r="K1" i="19"/>
  <c r="L3" i="3"/>
  <c r="L4" i="3"/>
  <c r="L5" i="3"/>
  <c r="L8" i="3"/>
  <c r="L9" i="3"/>
  <c r="L10" i="3"/>
  <c r="L11" i="3"/>
  <c r="L12" i="3"/>
  <c r="L13" i="3"/>
  <c r="L14" i="3"/>
  <c r="L16" i="3"/>
  <c r="L18" i="3"/>
  <c r="L19" i="3"/>
  <c r="L20" i="3"/>
  <c r="L21" i="3"/>
  <c r="L22" i="3"/>
  <c r="L25" i="3"/>
  <c r="L26" i="3"/>
  <c r="L27" i="3"/>
  <c r="L28" i="3"/>
  <c r="L29" i="3"/>
  <c r="L30" i="3"/>
  <c r="L32" i="3"/>
  <c r="L34" i="3"/>
  <c r="L35" i="3"/>
  <c r="L36" i="3"/>
  <c r="L37" i="3"/>
  <c r="L38" i="3"/>
  <c r="L40" i="3"/>
  <c r="L41" i="3"/>
  <c r="L42" i="3"/>
  <c r="L43" i="3"/>
  <c r="L44" i="3"/>
  <c r="L45" i="3"/>
  <c r="L46" i="3"/>
  <c r="L48" i="3"/>
  <c r="L50" i="3"/>
  <c r="L51" i="3"/>
  <c r="L52" i="3"/>
  <c r="L53" i="3"/>
  <c r="L56" i="3"/>
  <c r="L57" i="3"/>
  <c r="L58" i="3"/>
  <c r="L59" i="3"/>
  <c r="L60" i="3"/>
  <c r="L61" i="3"/>
  <c r="L62" i="3"/>
  <c r="L64" i="3"/>
  <c r="L66" i="3"/>
  <c r="L67" i="3"/>
  <c r="L68" i="3"/>
  <c r="L69" i="3"/>
  <c r="L70" i="3"/>
  <c r="L73" i="3"/>
  <c r="L74" i="3"/>
  <c r="L75" i="3"/>
  <c r="L76" i="3"/>
  <c r="L77" i="3"/>
  <c r="L78" i="3"/>
  <c r="L80" i="3"/>
  <c r="L82" i="3"/>
  <c r="L83" i="3"/>
  <c r="L84" i="3"/>
  <c r="L85" i="3"/>
  <c r="L89" i="3"/>
  <c r="L90" i="3"/>
  <c r="L91" i="3"/>
  <c r="L92" i="3"/>
  <c r="L93" i="3"/>
  <c r="L94" i="3"/>
  <c r="L96" i="3"/>
  <c r="L98" i="3"/>
  <c r="L99" i="3"/>
  <c r="L100" i="3"/>
  <c r="L101" i="3"/>
  <c r="L102" i="3"/>
  <c r="L105" i="3"/>
  <c r="L107" i="3"/>
  <c r="L108" i="3"/>
  <c r="L109" i="3"/>
  <c r="L110" i="3"/>
  <c r="L112" i="3"/>
  <c r="L114" i="3"/>
  <c r="L115" i="3"/>
  <c r="L116" i="3"/>
  <c r="L117" i="3"/>
  <c r="L118" i="3"/>
  <c r="L121" i="3"/>
  <c r="K3" i="3"/>
  <c r="K4" i="3"/>
  <c r="K5" i="3"/>
  <c r="K7" i="3"/>
  <c r="K8" i="3"/>
  <c r="K9" i="3"/>
  <c r="K10" i="3"/>
  <c r="K11" i="3"/>
  <c r="K12" i="3"/>
  <c r="K13" i="3"/>
  <c r="K14" i="3"/>
  <c r="K15" i="3"/>
  <c r="K18" i="3"/>
  <c r="K19" i="3"/>
  <c r="K20" i="3"/>
  <c r="K21" i="3"/>
  <c r="K23" i="3"/>
  <c r="K24" i="3"/>
  <c r="K25" i="3"/>
  <c r="K26" i="3"/>
  <c r="K27" i="3"/>
  <c r="K28" i="3"/>
  <c r="K29" i="3"/>
  <c r="K30" i="3"/>
  <c r="K34" i="3"/>
  <c r="K35" i="3"/>
  <c r="K36" i="3"/>
  <c r="K37" i="3"/>
  <c r="K39" i="3"/>
  <c r="K40" i="3"/>
  <c r="K41" i="3"/>
  <c r="K42" i="3"/>
  <c r="K43" i="3"/>
  <c r="K44" i="3"/>
  <c r="K45" i="3"/>
  <c r="K46" i="3"/>
  <c r="K47" i="3"/>
  <c r="K50" i="3"/>
  <c r="K51" i="3"/>
  <c r="K52" i="3"/>
  <c r="K53" i="3"/>
  <c r="K55" i="3"/>
  <c r="K56" i="3"/>
  <c r="K57" i="3"/>
  <c r="K58" i="3"/>
  <c r="K59" i="3"/>
  <c r="K60" i="3"/>
  <c r="K61" i="3"/>
  <c r="K62" i="3"/>
  <c r="K63" i="3"/>
  <c r="K66" i="3"/>
  <c r="K67" i="3"/>
  <c r="K68" i="3"/>
  <c r="K69" i="3"/>
  <c r="K71" i="3"/>
  <c r="K72" i="3"/>
  <c r="K73" i="3"/>
  <c r="K74" i="3"/>
  <c r="K75" i="3"/>
  <c r="K76" i="3"/>
  <c r="K78" i="3"/>
  <c r="K82" i="3"/>
  <c r="K83" i="3"/>
  <c r="K84" i="3"/>
  <c r="K85" i="3"/>
  <c r="K87" i="3"/>
  <c r="K88" i="3"/>
  <c r="K89" i="3"/>
  <c r="K90" i="3"/>
  <c r="K91" i="3"/>
  <c r="K92" i="3"/>
  <c r="K93" i="3"/>
  <c r="K94" i="3"/>
  <c r="K98" i="3"/>
  <c r="K99" i="3"/>
  <c r="K100" i="3"/>
  <c r="K101" i="3"/>
  <c r="K103" i="3"/>
  <c r="K104" i="3"/>
  <c r="K105" i="3"/>
  <c r="K106" i="3"/>
  <c r="K107" i="3"/>
  <c r="K108" i="3"/>
  <c r="K109" i="3"/>
  <c r="K110" i="3"/>
  <c r="K114" i="3"/>
  <c r="K115" i="3"/>
  <c r="K116" i="3"/>
  <c r="K117" i="3"/>
  <c r="K119" i="3"/>
  <c r="K120" i="3"/>
  <c r="K121" i="3"/>
  <c r="K2" i="3"/>
  <c r="K1" i="3"/>
  <c r="E1" i="3"/>
  <c r="AV3" i="1"/>
  <c r="AW3" i="1"/>
  <c r="AV4" i="1"/>
  <c r="AW4" i="1"/>
  <c r="AV5" i="1"/>
  <c r="AW5" i="1"/>
  <c r="AV6" i="1"/>
  <c r="AW6" i="1"/>
  <c r="AV7" i="1"/>
  <c r="AW7" i="1"/>
  <c r="AV8" i="1"/>
  <c r="AW8" i="1"/>
  <c r="AV9" i="1"/>
  <c r="AW9" i="1"/>
  <c r="AV10" i="1"/>
  <c r="AW10" i="1"/>
  <c r="AV11" i="1"/>
  <c r="AW11" i="1"/>
  <c r="AV12" i="1"/>
  <c r="AW12" i="1"/>
  <c r="AV13" i="1"/>
  <c r="AW13" i="1"/>
  <c r="AV14" i="1"/>
  <c r="AW14" i="1"/>
  <c r="AV15" i="1"/>
  <c r="AW15" i="1"/>
  <c r="AV16" i="1"/>
  <c r="AW16" i="1"/>
  <c r="AV17" i="1"/>
  <c r="AW17" i="1"/>
  <c r="AV18" i="1"/>
  <c r="AW18" i="1"/>
  <c r="AV19" i="1"/>
  <c r="AW19" i="1"/>
  <c r="AV20" i="1"/>
  <c r="AW20" i="1"/>
  <c r="AV21" i="1"/>
  <c r="AW21" i="1"/>
  <c r="AV22" i="1"/>
  <c r="AW22" i="1"/>
  <c r="AV23" i="1"/>
  <c r="AW23" i="1"/>
  <c r="AV24" i="1"/>
  <c r="AW24" i="1"/>
  <c r="AV25" i="1"/>
  <c r="AW25" i="1"/>
  <c r="AV26" i="1"/>
  <c r="AW26" i="1"/>
  <c r="AV27" i="1"/>
  <c r="AW27" i="1"/>
  <c r="AV28" i="1"/>
  <c r="AW28" i="1"/>
  <c r="AV29" i="1"/>
  <c r="AW29" i="1"/>
  <c r="AV30" i="1"/>
  <c r="AW30" i="1"/>
  <c r="AV31" i="1"/>
  <c r="AW31" i="1"/>
  <c r="AV32" i="1"/>
  <c r="AW32" i="1"/>
  <c r="AV33" i="1"/>
  <c r="AW33" i="1"/>
  <c r="AV34" i="1"/>
  <c r="AW34" i="1"/>
  <c r="AV35" i="1"/>
  <c r="AW35" i="1"/>
  <c r="AV36" i="1"/>
  <c r="AW36" i="1"/>
  <c r="AV37" i="1"/>
  <c r="AW37" i="1"/>
  <c r="AV38" i="1"/>
  <c r="AW38" i="1"/>
  <c r="AV39" i="1"/>
  <c r="AW39" i="1"/>
  <c r="AV40" i="1"/>
  <c r="AW40" i="1"/>
  <c r="AV41" i="1"/>
  <c r="AW41" i="1"/>
  <c r="AV42" i="1"/>
  <c r="AW42" i="1"/>
  <c r="AV43" i="1"/>
  <c r="AW43" i="1"/>
  <c r="AV44" i="1"/>
  <c r="AW44" i="1"/>
  <c r="AV45" i="1"/>
  <c r="AW45" i="1"/>
  <c r="AV46" i="1"/>
  <c r="AW46" i="1"/>
  <c r="AV47" i="1"/>
  <c r="AW47" i="1"/>
  <c r="AV48" i="1"/>
  <c r="AW48" i="1"/>
  <c r="AV49" i="1"/>
  <c r="AW49" i="1"/>
  <c r="AV50" i="1"/>
  <c r="AW50" i="1"/>
  <c r="AV51" i="1"/>
  <c r="AW51" i="1"/>
  <c r="AV52" i="1"/>
  <c r="AW52" i="1"/>
  <c r="AV53" i="1"/>
  <c r="AW53" i="1"/>
  <c r="AV54" i="1"/>
  <c r="AW54" i="1"/>
  <c r="AV55" i="1"/>
  <c r="AW55" i="1"/>
  <c r="AV56" i="1"/>
  <c r="AW56" i="1"/>
  <c r="AV57" i="1"/>
  <c r="AW57" i="1"/>
  <c r="AV58" i="1"/>
  <c r="AW58" i="1"/>
  <c r="AV59" i="1"/>
  <c r="AW59" i="1"/>
  <c r="AV60" i="1"/>
  <c r="AW60" i="1"/>
  <c r="AV61" i="1"/>
  <c r="AW61" i="1"/>
  <c r="AV62" i="1"/>
  <c r="AW62" i="1"/>
  <c r="AV63" i="1"/>
  <c r="AW63" i="1"/>
  <c r="AV64" i="1"/>
  <c r="AW64" i="1"/>
  <c r="AV65" i="1"/>
  <c r="AW65" i="1"/>
  <c r="AV66" i="1"/>
  <c r="AW66" i="1"/>
  <c r="AV67" i="1"/>
  <c r="AW67" i="1"/>
  <c r="AV68" i="1"/>
  <c r="AW68" i="1"/>
  <c r="AV69" i="1"/>
  <c r="AW69" i="1"/>
  <c r="AV70" i="1"/>
  <c r="AW70" i="1"/>
  <c r="AV71" i="1"/>
  <c r="AW71" i="1"/>
  <c r="AV72" i="1"/>
  <c r="AW72" i="1"/>
  <c r="AV73" i="1"/>
  <c r="AW73" i="1"/>
  <c r="AV74" i="1"/>
  <c r="AW74" i="1"/>
  <c r="AV75" i="1"/>
  <c r="AW75" i="1"/>
  <c r="AV76" i="1"/>
  <c r="AW76" i="1"/>
  <c r="AV77" i="1"/>
  <c r="AW77" i="1"/>
  <c r="AV78" i="1"/>
  <c r="AW78" i="1"/>
  <c r="AV79" i="1"/>
  <c r="AW79" i="1"/>
  <c r="AV80" i="1"/>
  <c r="AW80" i="1"/>
  <c r="AV81" i="1"/>
  <c r="AW81" i="1"/>
  <c r="AV82" i="1"/>
  <c r="AW82" i="1"/>
  <c r="AV83" i="1"/>
  <c r="AW83" i="1"/>
  <c r="AV84" i="1"/>
  <c r="AW84" i="1"/>
  <c r="AV85" i="1"/>
  <c r="AW85" i="1"/>
  <c r="AV86" i="1"/>
  <c r="AW86" i="1"/>
  <c r="AV87" i="1"/>
  <c r="AW87" i="1"/>
  <c r="AV88" i="1"/>
  <c r="AW88" i="1"/>
  <c r="AV89" i="1"/>
  <c r="AW89" i="1"/>
  <c r="AV90" i="1"/>
  <c r="AW90" i="1"/>
  <c r="AV91" i="1"/>
  <c r="AW91" i="1"/>
  <c r="AV92" i="1"/>
  <c r="AW92" i="1"/>
  <c r="AV93" i="1"/>
  <c r="AW93" i="1"/>
  <c r="AV94" i="1"/>
  <c r="AW94" i="1"/>
  <c r="AV95" i="1"/>
  <c r="AW95" i="1"/>
  <c r="AV96" i="1"/>
  <c r="AW96" i="1"/>
  <c r="AV97" i="1"/>
  <c r="AW97" i="1"/>
  <c r="AV98" i="1"/>
  <c r="AW98" i="1"/>
  <c r="AV99" i="1"/>
  <c r="AW99" i="1"/>
  <c r="AV100" i="1"/>
  <c r="AW100" i="1"/>
  <c r="AV101" i="1"/>
  <c r="AW101" i="1"/>
  <c r="AV102" i="1"/>
  <c r="AW102" i="1"/>
  <c r="AV103" i="1"/>
  <c r="AW103" i="1"/>
  <c r="AV104" i="1"/>
  <c r="AW104" i="1"/>
  <c r="AV105" i="1"/>
  <c r="AW105" i="1"/>
  <c r="AV106" i="1"/>
  <c r="AW106" i="1"/>
  <c r="AV107" i="1"/>
  <c r="AW107" i="1"/>
  <c r="AV108" i="1"/>
  <c r="AW108" i="1"/>
  <c r="AV109" i="1"/>
  <c r="AW109" i="1"/>
  <c r="AV110" i="1"/>
  <c r="AW110" i="1"/>
  <c r="AV111" i="1"/>
  <c r="AW111" i="1"/>
  <c r="AV112" i="1"/>
  <c r="AW112" i="1"/>
  <c r="AV113" i="1"/>
  <c r="AW113" i="1"/>
  <c r="AV114" i="1"/>
  <c r="AW114" i="1"/>
  <c r="AV115" i="1"/>
  <c r="AW115" i="1"/>
  <c r="AV116" i="1"/>
  <c r="AW116" i="1"/>
  <c r="AV117" i="1"/>
  <c r="AW117" i="1"/>
  <c r="AV118" i="1"/>
  <c r="AW118" i="1"/>
  <c r="AV119" i="1"/>
  <c r="AW119" i="1"/>
  <c r="AV120" i="1"/>
  <c r="AW120" i="1"/>
  <c r="AV121" i="1"/>
  <c r="AW121" i="1"/>
  <c r="AW2" i="1"/>
  <c r="AV2" i="1"/>
  <c r="AP3" i="1"/>
  <c r="AQ3" i="1"/>
  <c r="AR3" i="1"/>
  <c r="AS3" i="1"/>
  <c r="AP4" i="1"/>
  <c r="AQ4" i="1"/>
  <c r="AR4" i="1"/>
  <c r="AS4" i="1"/>
  <c r="AP5" i="1"/>
  <c r="AQ5" i="1"/>
  <c r="AR5" i="1"/>
  <c r="AS5" i="1"/>
  <c r="AP6" i="1"/>
  <c r="AQ6" i="1"/>
  <c r="AR6" i="1"/>
  <c r="AS6" i="1"/>
  <c r="AP7" i="1"/>
  <c r="AQ7" i="1"/>
  <c r="AR7" i="1"/>
  <c r="AS7" i="1"/>
  <c r="AP8" i="1"/>
  <c r="AQ8" i="1"/>
  <c r="AR8" i="1"/>
  <c r="AS8" i="1"/>
  <c r="AP9" i="1"/>
  <c r="AQ9" i="1"/>
  <c r="AR9" i="1"/>
  <c r="AS9" i="1"/>
  <c r="AP10" i="1"/>
  <c r="AQ10" i="1"/>
  <c r="AR10" i="1"/>
  <c r="AS10" i="1"/>
  <c r="AP11" i="1"/>
  <c r="AQ11" i="1"/>
  <c r="AR11" i="1"/>
  <c r="AS11" i="1"/>
  <c r="AP12" i="1"/>
  <c r="AQ12" i="1"/>
  <c r="AR12" i="1"/>
  <c r="AS12" i="1"/>
  <c r="AP13" i="1"/>
  <c r="AQ13" i="1"/>
  <c r="AR13" i="1"/>
  <c r="AS13" i="1"/>
  <c r="AP14" i="1"/>
  <c r="AQ14" i="1"/>
  <c r="AR14" i="1"/>
  <c r="AS14" i="1"/>
  <c r="AP15" i="1"/>
  <c r="AQ15" i="1"/>
  <c r="AR15" i="1"/>
  <c r="AS15" i="1"/>
  <c r="AP16" i="1"/>
  <c r="AQ16" i="1"/>
  <c r="AR16" i="1"/>
  <c r="AS16" i="1"/>
  <c r="AP17" i="1"/>
  <c r="AQ17" i="1"/>
  <c r="AR17" i="1"/>
  <c r="AS17" i="1"/>
  <c r="AP18" i="1"/>
  <c r="AQ18" i="1"/>
  <c r="AR18" i="1"/>
  <c r="AS18" i="1"/>
  <c r="AP19" i="1"/>
  <c r="AQ19" i="1"/>
  <c r="AR19" i="1"/>
  <c r="AS19" i="1"/>
  <c r="AP20" i="1"/>
  <c r="AQ20" i="1"/>
  <c r="AR20" i="1"/>
  <c r="AS20" i="1"/>
  <c r="AP21" i="1"/>
  <c r="AQ21" i="1"/>
  <c r="AR21" i="1"/>
  <c r="AS21" i="1"/>
  <c r="AP22" i="1"/>
  <c r="AQ22" i="1"/>
  <c r="AR22" i="1"/>
  <c r="AS22" i="1"/>
  <c r="AP23" i="1"/>
  <c r="AQ23" i="1"/>
  <c r="AR23" i="1"/>
  <c r="AS23" i="1"/>
  <c r="AP24" i="1"/>
  <c r="AQ24" i="1"/>
  <c r="AR24" i="1"/>
  <c r="AS24" i="1"/>
  <c r="AP25" i="1"/>
  <c r="AQ25" i="1"/>
  <c r="AR25" i="1"/>
  <c r="AS25" i="1"/>
  <c r="AP26" i="1"/>
  <c r="AQ26" i="1"/>
  <c r="AR26" i="1"/>
  <c r="AS26" i="1"/>
  <c r="AP27" i="1"/>
  <c r="AQ27" i="1"/>
  <c r="AR27" i="1"/>
  <c r="AS27" i="1"/>
  <c r="AP28" i="1"/>
  <c r="AQ28" i="1"/>
  <c r="AR28" i="1"/>
  <c r="AS28" i="1"/>
  <c r="AP29" i="1"/>
  <c r="AQ29" i="1"/>
  <c r="AR29" i="1"/>
  <c r="AS29" i="1"/>
  <c r="AP30" i="1"/>
  <c r="AQ30" i="1"/>
  <c r="AR30" i="1"/>
  <c r="AS30" i="1"/>
  <c r="AP31" i="1"/>
  <c r="AQ31" i="1"/>
  <c r="AR31" i="1"/>
  <c r="AS31" i="1"/>
  <c r="AP32" i="1"/>
  <c r="AQ32" i="1"/>
  <c r="AR32" i="1"/>
  <c r="AS32" i="1"/>
  <c r="AP33" i="1"/>
  <c r="AQ33" i="1"/>
  <c r="AR33" i="1"/>
  <c r="AS33" i="1"/>
  <c r="AP34" i="1"/>
  <c r="AQ34" i="1"/>
  <c r="AR34" i="1"/>
  <c r="AS34" i="1"/>
  <c r="AP35" i="1"/>
  <c r="AQ35" i="1"/>
  <c r="AR35" i="1"/>
  <c r="AS35" i="1"/>
  <c r="AP36" i="1"/>
  <c r="AQ36" i="1"/>
  <c r="AR36" i="1"/>
  <c r="AS36" i="1"/>
  <c r="AP37" i="1"/>
  <c r="AQ37" i="1"/>
  <c r="AR37" i="1"/>
  <c r="AS37" i="1"/>
  <c r="AP38" i="1"/>
  <c r="AQ38" i="1"/>
  <c r="AR38" i="1"/>
  <c r="AS38" i="1"/>
  <c r="AP39" i="1"/>
  <c r="AQ39" i="1"/>
  <c r="AR39" i="1"/>
  <c r="AS39" i="1"/>
  <c r="AP40" i="1"/>
  <c r="AQ40" i="1"/>
  <c r="AR40" i="1"/>
  <c r="AS40" i="1"/>
  <c r="AP41" i="1"/>
  <c r="AQ41" i="1"/>
  <c r="AR41" i="1"/>
  <c r="AS41" i="1"/>
  <c r="AP42" i="1"/>
  <c r="AQ42" i="1"/>
  <c r="AR42" i="1"/>
  <c r="AS42" i="1"/>
  <c r="AP43" i="1"/>
  <c r="AQ43" i="1"/>
  <c r="AR43" i="1"/>
  <c r="AS43" i="1"/>
  <c r="AP44" i="1"/>
  <c r="AQ44" i="1"/>
  <c r="AR44" i="1"/>
  <c r="AS44" i="1"/>
  <c r="AP45" i="1"/>
  <c r="AQ45" i="1"/>
  <c r="AR45" i="1"/>
  <c r="AS45" i="1"/>
  <c r="AP46" i="1"/>
  <c r="AQ46" i="1"/>
  <c r="AR46" i="1"/>
  <c r="AS46" i="1"/>
  <c r="AP47" i="1"/>
  <c r="AQ47" i="1"/>
  <c r="AR47" i="1"/>
  <c r="AS47" i="1"/>
  <c r="AP48" i="1"/>
  <c r="AQ48" i="1"/>
  <c r="AR48" i="1"/>
  <c r="AS48" i="1"/>
  <c r="AP49" i="1"/>
  <c r="AQ49" i="1"/>
  <c r="AR49" i="1"/>
  <c r="AS49" i="1"/>
  <c r="AP50" i="1"/>
  <c r="AQ50" i="1"/>
  <c r="AR50" i="1"/>
  <c r="AS50" i="1"/>
  <c r="AP51" i="1"/>
  <c r="AQ51" i="1"/>
  <c r="AR51" i="1"/>
  <c r="AS51" i="1"/>
  <c r="AP52" i="1"/>
  <c r="AQ52" i="1"/>
  <c r="AR52" i="1"/>
  <c r="AS52" i="1"/>
  <c r="AP53" i="1"/>
  <c r="AQ53" i="1"/>
  <c r="AR53" i="1"/>
  <c r="AS53" i="1"/>
  <c r="AP54" i="1"/>
  <c r="AQ54" i="1"/>
  <c r="AR54" i="1"/>
  <c r="AS54" i="1"/>
  <c r="AP55" i="1"/>
  <c r="AQ55" i="1"/>
  <c r="AR55" i="1"/>
  <c r="AS55" i="1"/>
  <c r="AP56" i="1"/>
  <c r="AQ56" i="1"/>
  <c r="AR56" i="1"/>
  <c r="AS56" i="1"/>
  <c r="AP57" i="1"/>
  <c r="AQ57" i="1"/>
  <c r="AR57" i="1"/>
  <c r="AS57" i="1"/>
  <c r="AP58" i="1"/>
  <c r="AQ58" i="1"/>
  <c r="AR58" i="1"/>
  <c r="AS58" i="1"/>
  <c r="AP59" i="1"/>
  <c r="AQ59" i="1"/>
  <c r="AR59" i="1"/>
  <c r="AS59" i="1"/>
  <c r="AP60" i="1"/>
  <c r="AQ60" i="1"/>
  <c r="AR60" i="1"/>
  <c r="AS60" i="1"/>
  <c r="AP61" i="1"/>
  <c r="AQ61" i="1"/>
  <c r="AR61" i="1"/>
  <c r="AS61" i="1"/>
  <c r="AP62" i="1"/>
  <c r="AQ62" i="1"/>
  <c r="AR62" i="1"/>
  <c r="AS62" i="1"/>
  <c r="AP63" i="1"/>
  <c r="AQ63" i="1"/>
  <c r="AR63" i="1"/>
  <c r="AS63" i="1"/>
  <c r="AP64" i="1"/>
  <c r="AQ64" i="1"/>
  <c r="AR64" i="1"/>
  <c r="AS64" i="1"/>
  <c r="AP65" i="1"/>
  <c r="AQ65" i="1"/>
  <c r="AR65" i="1"/>
  <c r="AS65" i="1"/>
  <c r="AP66" i="1"/>
  <c r="AQ66" i="1"/>
  <c r="AR66" i="1"/>
  <c r="AS66" i="1"/>
  <c r="AP67" i="1"/>
  <c r="AQ67" i="1"/>
  <c r="AR67" i="1"/>
  <c r="AS67" i="1"/>
  <c r="AP68" i="1"/>
  <c r="AQ68" i="1"/>
  <c r="AR68" i="1"/>
  <c r="AS68" i="1"/>
  <c r="AP69" i="1"/>
  <c r="AQ69" i="1"/>
  <c r="AR69" i="1"/>
  <c r="AS69" i="1"/>
  <c r="AP70" i="1"/>
  <c r="AQ70" i="1"/>
  <c r="AR70" i="1"/>
  <c r="AS70" i="1"/>
  <c r="AP71" i="1"/>
  <c r="AQ71" i="1"/>
  <c r="AR71" i="1"/>
  <c r="AS71" i="1"/>
  <c r="AP72" i="1"/>
  <c r="AQ72" i="1"/>
  <c r="AR72" i="1"/>
  <c r="AS72" i="1"/>
  <c r="AP73" i="1"/>
  <c r="AQ73" i="1"/>
  <c r="AR73" i="1"/>
  <c r="AS73" i="1"/>
  <c r="AP74" i="1"/>
  <c r="AQ74" i="1"/>
  <c r="AR74" i="1"/>
  <c r="AS74" i="1"/>
  <c r="AP75" i="1"/>
  <c r="AQ75" i="1"/>
  <c r="AR75" i="1"/>
  <c r="AS75" i="1"/>
  <c r="AP76" i="1"/>
  <c r="AQ76" i="1"/>
  <c r="AR76" i="1"/>
  <c r="AS76" i="1"/>
  <c r="AP77" i="1"/>
  <c r="AQ77" i="1"/>
  <c r="AR77" i="1"/>
  <c r="AS77" i="1"/>
  <c r="AP78" i="1"/>
  <c r="AQ78" i="1"/>
  <c r="AR78" i="1"/>
  <c r="AS78" i="1"/>
  <c r="AP79" i="1"/>
  <c r="AQ79" i="1"/>
  <c r="AR79" i="1"/>
  <c r="AS79" i="1"/>
  <c r="AP80" i="1"/>
  <c r="AQ80" i="1"/>
  <c r="AR80" i="1"/>
  <c r="AS80" i="1"/>
  <c r="AP81" i="1"/>
  <c r="AQ81" i="1"/>
  <c r="AR81" i="1"/>
  <c r="AS81" i="1"/>
  <c r="AP82" i="1"/>
  <c r="AQ82" i="1"/>
  <c r="AR82" i="1"/>
  <c r="AS82" i="1"/>
  <c r="AP83" i="1"/>
  <c r="AQ83" i="1"/>
  <c r="AR83" i="1"/>
  <c r="AS83" i="1"/>
  <c r="AP84" i="1"/>
  <c r="AQ84" i="1"/>
  <c r="AR84" i="1"/>
  <c r="AS84" i="1"/>
  <c r="AP85" i="1"/>
  <c r="AQ85" i="1"/>
  <c r="AR85" i="1"/>
  <c r="AS85" i="1"/>
  <c r="AP86" i="1"/>
  <c r="AQ86" i="1"/>
  <c r="AR86" i="1"/>
  <c r="AS86" i="1"/>
  <c r="AP87" i="1"/>
  <c r="AQ87" i="1"/>
  <c r="AR87" i="1"/>
  <c r="AS87" i="1"/>
  <c r="AP88" i="1"/>
  <c r="AQ88" i="1"/>
  <c r="AR88" i="1"/>
  <c r="AS88" i="1"/>
  <c r="AP89" i="1"/>
  <c r="AQ89" i="1"/>
  <c r="AR89" i="1"/>
  <c r="AS89" i="1"/>
  <c r="AP90" i="1"/>
  <c r="AQ90" i="1"/>
  <c r="AR90" i="1"/>
  <c r="AS90" i="1"/>
  <c r="AP91" i="1"/>
  <c r="AQ91" i="1"/>
  <c r="AR91" i="1"/>
  <c r="AS91" i="1"/>
  <c r="AP92" i="1"/>
  <c r="AQ92" i="1"/>
  <c r="AR92" i="1"/>
  <c r="AS92" i="1"/>
  <c r="AP93" i="1"/>
  <c r="AQ93" i="1"/>
  <c r="AR93" i="1"/>
  <c r="AS93" i="1"/>
  <c r="AP94" i="1"/>
  <c r="AQ94" i="1"/>
  <c r="AR94" i="1"/>
  <c r="AS94" i="1"/>
  <c r="AP95" i="1"/>
  <c r="AQ95" i="1"/>
  <c r="AR95" i="1"/>
  <c r="AS95" i="1"/>
  <c r="AP96" i="1"/>
  <c r="AQ96" i="1"/>
  <c r="AR96" i="1"/>
  <c r="AS96" i="1"/>
  <c r="AP97" i="1"/>
  <c r="AQ97" i="1"/>
  <c r="AR97" i="1"/>
  <c r="AS97" i="1"/>
  <c r="AP98" i="1"/>
  <c r="AQ98" i="1"/>
  <c r="AR98" i="1"/>
  <c r="AS98" i="1"/>
  <c r="AP99" i="1"/>
  <c r="AQ99" i="1"/>
  <c r="AR99" i="1"/>
  <c r="AS99" i="1"/>
  <c r="AP100" i="1"/>
  <c r="AQ100" i="1"/>
  <c r="AR100" i="1"/>
  <c r="AS100" i="1"/>
  <c r="AP101" i="1"/>
  <c r="AQ101" i="1"/>
  <c r="AR101" i="1"/>
  <c r="AS101" i="1"/>
  <c r="AP102" i="1"/>
  <c r="AQ102" i="1"/>
  <c r="AR102" i="1"/>
  <c r="AS102" i="1"/>
  <c r="AP103" i="1"/>
  <c r="AQ103" i="1"/>
  <c r="AR103" i="1"/>
  <c r="AS103" i="1"/>
  <c r="AP104" i="1"/>
  <c r="AQ104" i="1"/>
  <c r="AR104" i="1"/>
  <c r="AS104" i="1"/>
  <c r="AP105" i="1"/>
  <c r="AQ105" i="1"/>
  <c r="AR105" i="1"/>
  <c r="AS105" i="1"/>
  <c r="AP106" i="1"/>
  <c r="AQ106" i="1"/>
  <c r="AR106" i="1"/>
  <c r="AS106" i="1"/>
  <c r="AP107" i="1"/>
  <c r="AQ107" i="1"/>
  <c r="AR107" i="1"/>
  <c r="AS107" i="1"/>
  <c r="AP108" i="1"/>
  <c r="AQ108" i="1"/>
  <c r="AR108" i="1"/>
  <c r="AS108" i="1"/>
  <c r="AP109" i="1"/>
  <c r="AQ109" i="1"/>
  <c r="AR109" i="1"/>
  <c r="AS109" i="1"/>
  <c r="AP110" i="1"/>
  <c r="AQ110" i="1"/>
  <c r="AR110" i="1"/>
  <c r="AS110" i="1"/>
  <c r="AP111" i="1"/>
  <c r="AQ111" i="1"/>
  <c r="AR111" i="1"/>
  <c r="AS111" i="1"/>
  <c r="AP112" i="1"/>
  <c r="AQ112" i="1"/>
  <c r="AR112" i="1"/>
  <c r="AS112" i="1"/>
  <c r="AP113" i="1"/>
  <c r="AQ113" i="1"/>
  <c r="AR113" i="1"/>
  <c r="AS113" i="1"/>
  <c r="AP114" i="1"/>
  <c r="AQ114" i="1"/>
  <c r="AR114" i="1"/>
  <c r="AS114" i="1"/>
  <c r="AP115" i="1"/>
  <c r="AQ115" i="1"/>
  <c r="AR115" i="1"/>
  <c r="AS115" i="1"/>
  <c r="AP116" i="1"/>
  <c r="AQ116" i="1"/>
  <c r="AR116" i="1"/>
  <c r="AS116" i="1"/>
  <c r="AP117" i="1"/>
  <c r="AQ117" i="1"/>
  <c r="AR117" i="1"/>
  <c r="AS117" i="1"/>
  <c r="AP118" i="1"/>
  <c r="AQ118" i="1"/>
  <c r="AR118" i="1"/>
  <c r="AS118" i="1"/>
  <c r="AP119" i="1"/>
  <c r="AQ119" i="1"/>
  <c r="AR119" i="1"/>
  <c r="AS119" i="1"/>
  <c r="AP120" i="1"/>
  <c r="AQ120" i="1"/>
  <c r="AR120" i="1"/>
  <c r="AS120" i="1"/>
  <c r="AP121" i="1"/>
  <c r="AQ121" i="1"/>
  <c r="AR121" i="1"/>
  <c r="AS121" i="1"/>
  <c r="AQ2" i="1"/>
  <c r="AR2" i="1"/>
  <c r="AS2" i="1"/>
  <c r="AP2" i="1"/>
  <c r="Q127" i="13"/>
  <c r="Q139" i="13" s="1"/>
  <c r="R127" i="13"/>
  <c r="R139" i="13" s="1"/>
  <c r="Q128" i="13"/>
  <c r="Q140" i="13" s="1"/>
  <c r="R128" i="13"/>
  <c r="R140" i="13" s="1"/>
  <c r="Q129" i="13"/>
  <c r="Q141" i="13" s="1"/>
  <c r="R129" i="13"/>
  <c r="R141" i="13" s="1"/>
  <c r="Q130" i="13"/>
  <c r="Q142" i="13" s="1"/>
  <c r="R130" i="13"/>
  <c r="Q131" i="13"/>
  <c r="R131" i="13"/>
  <c r="R143" i="13" s="1"/>
  <c r="Q132" i="13"/>
  <c r="R132" i="13"/>
  <c r="R144" i="13" s="1"/>
  <c r="Q133" i="13"/>
  <c r="Q145" i="13" s="1"/>
  <c r="R133" i="13"/>
  <c r="R145" i="13" s="1"/>
  <c r="Q134" i="13"/>
  <c r="Q146" i="13" s="1"/>
  <c r="R134" i="13"/>
  <c r="R146" i="13" s="1"/>
  <c r="Q135" i="13"/>
  <c r="R135" i="13"/>
  <c r="R147" i="13" s="1"/>
  <c r="Q136" i="13"/>
  <c r="R136" i="13"/>
  <c r="Q137" i="13"/>
  <c r="R137" i="13"/>
  <c r="Q138" i="13"/>
  <c r="R138" i="13"/>
  <c r="R142" i="13"/>
  <c r="Q143" i="13"/>
  <c r="Q144" i="13"/>
  <c r="Q147" i="13"/>
  <c r="D25" i="24"/>
  <c r="E25" i="24" s="1"/>
  <c r="F25" i="24" s="1"/>
  <c r="G25" i="24" s="1"/>
  <c r="D24" i="24"/>
  <c r="E24" i="24" s="1"/>
  <c r="F24" i="24" s="1"/>
  <c r="G24" i="24" s="1"/>
  <c r="E13" i="24"/>
  <c r="F13" i="24" s="1"/>
  <c r="G13" i="24" s="1"/>
  <c r="C4" i="23"/>
  <c r="C5" i="23"/>
  <c r="C6" i="23"/>
  <c r="C3" i="23"/>
  <c r="I4" i="23"/>
  <c r="I5" i="23"/>
  <c r="I6" i="23"/>
  <c r="I3" i="23"/>
  <c r="J6" i="23"/>
  <c r="J5" i="23"/>
  <c r="J3" i="23"/>
  <c r="J4" i="23"/>
  <c r="H6" i="23"/>
  <c r="D6" i="23" s="1"/>
  <c r="H5" i="23"/>
  <c r="D5" i="23" s="1"/>
  <c r="H4" i="23"/>
  <c r="H3" i="23"/>
  <c r="AF36" i="22"/>
  <c r="Q2"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 i="22"/>
  <c r="G11" i="26"/>
  <c r="V15" i="24"/>
  <c r="T15" i="24"/>
  <c r="W14" i="24"/>
  <c r="U14" i="24"/>
  <c r="F14" i="24"/>
  <c r="W13" i="24"/>
  <c r="U13" i="24"/>
  <c r="W12" i="24"/>
  <c r="U12" i="24"/>
  <c r="W11" i="24"/>
  <c r="U11" i="24"/>
  <c r="W10" i="24"/>
  <c r="U10" i="24"/>
  <c r="W9" i="24"/>
  <c r="U9" i="24"/>
  <c r="W8" i="24"/>
  <c r="U8" i="24"/>
  <c r="W7" i="24"/>
  <c r="U7" i="24"/>
  <c r="D7" i="24"/>
  <c r="W6" i="24"/>
  <c r="U6" i="24"/>
  <c r="W5" i="24"/>
  <c r="U5" i="24"/>
  <c r="C5" i="24"/>
  <c r="W4" i="24"/>
  <c r="U4" i="24"/>
  <c r="D4" i="24"/>
  <c r="W3" i="24"/>
  <c r="U3" i="24"/>
  <c r="D3" i="24"/>
  <c r="E126" i="23"/>
  <c r="H120" i="23"/>
  <c r="G120" i="23"/>
  <c r="F120" i="23"/>
  <c r="E120" i="23"/>
  <c r="E127" i="23" s="1"/>
  <c r="H119" i="23"/>
  <c r="G119" i="23"/>
  <c r="F119" i="23"/>
  <c r="E119" i="23"/>
  <c r="H118" i="23"/>
  <c r="G118" i="23"/>
  <c r="F118" i="23"/>
  <c r="E118" i="23"/>
  <c r="E125" i="23" s="1"/>
  <c r="H117" i="23"/>
  <c r="K117" i="23" s="1"/>
  <c r="N117" i="23" s="1"/>
  <c r="G117" i="23"/>
  <c r="J117" i="23" s="1"/>
  <c r="M117" i="23" s="1"/>
  <c r="F117" i="23"/>
  <c r="I117" i="23" s="1"/>
  <c r="L117" i="23" s="1"/>
  <c r="E111" i="23"/>
  <c r="E107" i="23"/>
  <c r="E103" i="23"/>
  <c r="E90" i="23"/>
  <c r="I89" i="23"/>
  <c r="I87" i="23"/>
  <c r="H87" i="23"/>
  <c r="G87" i="23"/>
  <c r="F87" i="23"/>
  <c r="L80" i="23"/>
  <c r="L65" i="23" s="1"/>
  <c r="K80" i="23"/>
  <c r="K65" i="23" s="1"/>
  <c r="J80" i="23"/>
  <c r="J65" i="23" s="1"/>
  <c r="I80" i="23"/>
  <c r="I65" i="23" s="1"/>
  <c r="H80" i="23"/>
  <c r="H65" i="23" s="1"/>
  <c r="G80" i="23"/>
  <c r="G65" i="23" s="1"/>
  <c r="F80" i="23"/>
  <c r="F65" i="23" s="1"/>
  <c r="E76" i="23"/>
  <c r="E75" i="23"/>
  <c r="E74" i="23"/>
  <c r="E73" i="23"/>
  <c r="G60" i="23"/>
  <c r="H60" i="23" s="1"/>
  <c r="I60" i="23" s="1"/>
  <c r="J60" i="23" s="1"/>
  <c r="K60" i="23" s="1"/>
  <c r="L60" i="23" s="1"/>
  <c r="M60" i="23" s="1"/>
  <c r="N60" i="23" s="1"/>
  <c r="N89" i="22"/>
  <c r="P88" i="22"/>
  <c r="N79" i="22"/>
  <c r="M78" i="22"/>
  <c r="M77" i="22"/>
  <c r="O77" i="22"/>
  <c r="P76" i="22"/>
  <c r="P75" i="22"/>
  <c r="O74" i="22"/>
  <c r="N74" i="22"/>
  <c r="N73" i="22"/>
  <c r="P72" i="22"/>
  <c r="N70" i="22"/>
  <c r="P68" i="22"/>
  <c r="P66" i="22"/>
  <c r="N65" i="22"/>
  <c r="M64" i="22"/>
  <c r="P63" i="22"/>
  <c r="O62" i="22"/>
  <c r="N62" i="22"/>
  <c r="Q62" i="22" s="1"/>
  <c r="M62" i="22"/>
  <c r="P62" i="22"/>
  <c r="P60" i="22"/>
  <c r="N60" i="22"/>
  <c r="O60" i="22"/>
  <c r="M59" i="22"/>
  <c r="N58" i="22"/>
  <c r="P57" i="22"/>
  <c r="M56" i="22"/>
  <c r="N55" i="22"/>
  <c r="M54" i="22"/>
  <c r="O51" i="22"/>
  <c r="O50" i="22"/>
  <c r="P49" i="22"/>
  <c r="P48" i="22"/>
  <c r="O46" i="22"/>
  <c r="P45" i="22"/>
  <c r="P42" i="22"/>
  <c r="N42" i="22"/>
  <c r="P41" i="22"/>
  <c r="N41" i="22"/>
  <c r="O41" i="22"/>
  <c r="O40" i="22"/>
  <c r="N40" i="22"/>
  <c r="N39" i="22"/>
  <c r="O38" i="22"/>
  <c r="P37" i="22"/>
  <c r="AT36" i="22"/>
  <c r="AS36" i="22"/>
  <c r="AR36" i="22"/>
  <c r="AQ36" i="22"/>
  <c r="AP36" i="22"/>
  <c r="AO36" i="22"/>
  <c r="AN36" i="22"/>
  <c r="AM36" i="22"/>
  <c r="AL36" i="22"/>
  <c r="AK36" i="22"/>
  <c r="AJ36" i="22"/>
  <c r="AI36" i="22"/>
  <c r="AH36" i="22"/>
  <c r="AG36" i="22"/>
  <c r="Z34" i="22"/>
  <c r="O34" i="22"/>
  <c r="Z33" i="22"/>
  <c r="P33" i="22"/>
  <c r="Z32" i="22"/>
  <c r="O32" i="22"/>
  <c r="Z31" i="22"/>
  <c r="M31" i="22"/>
  <c r="C31" i="22"/>
  <c r="Z30" i="22"/>
  <c r="O30" i="22"/>
  <c r="N30" i="22"/>
  <c r="M30" i="22"/>
  <c r="C30" i="22"/>
  <c r="Z29" i="22"/>
  <c r="O29" i="22"/>
  <c r="C29" i="22"/>
  <c r="Z28" i="22"/>
  <c r="P28" i="22"/>
  <c r="C28" i="22"/>
  <c r="Z27" i="22"/>
  <c r="C27" i="22"/>
  <c r="Z26" i="22"/>
  <c r="M26" i="22"/>
  <c r="C26" i="22"/>
  <c r="Z25" i="22"/>
  <c r="C25" i="22"/>
  <c r="Z24" i="22"/>
  <c r="C24" i="22"/>
  <c r="Z23" i="22"/>
  <c r="C23" i="22"/>
  <c r="Z22" i="22"/>
  <c r="M22" i="22"/>
  <c r="C22" i="22"/>
  <c r="Z21" i="22"/>
  <c r="C21" i="22"/>
  <c r="Z20" i="22"/>
  <c r="O20" i="22"/>
  <c r="C20" i="22"/>
  <c r="Z19" i="22"/>
  <c r="C19" i="22"/>
  <c r="Z18" i="22"/>
  <c r="M18" i="22"/>
  <c r="C18" i="22"/>
  <c r="Z17" i="22"/>
  <c r="O17" i="22"/>
  <c r="C17" i="22"/>
  <c r="Z16" i="22"/>
  <c r="C16" i="22"/>
  <c r="Z15" i="22"/>
  <c r="P15" i="22"/>
  <c r="C15" i="22"/>
  <c r="Z14" i="22"/>
  <c r="M14" i="22"/>
  <c r="C14" i="22"/>
  <c r="Z13" i="22"/>
  <c r="C13" i="22"/>
  <c r="Z12" i="22"/>
  <c r="C12" i="22"/>
  <c r="Z11" i="22"/>
  <c r="P11" i="22"/>
  <c r="C11" i="22"/>
  <c r="Z10" i="22"/>
  <c r="M10" i="22"/>
  <c r="C10" i="22"/>
  <c r="Z9" i="22"/>
  <c r="P9" i="22"/>
  <c r="C9" i="22"/>
  <c r="Z8" i="22"/>
  <c r="C8" i="22"/>
  <c r="Z7" i="22"/>
  <c r="C7" i="22"/>
  <c r="Z6" i="22"/>
  <c r="M6" i="22"/>
  <c r="C6" i="22"/>
  <c r="M5" i="22"/>
  <c r="P5" i="22"/>
  <c r="C5" i="22"/>
  <c r="M4" i="22"/>
  <c r="C4" i="22"/>
  <c r="O3" i="22"/>
  <c r="C3" i="22"/>
  <c r="V2" i="22"/>
  <c r="U2" i="22"/>
  <c r="T2" i="22"/>
  <c r="S2" i="22"/>
  <c r="R2" i="22"/>
  <c r="J111" i="29" l="1"/>
  <c r="I111" i="31"/>
  <c r="J95" i="29"/>
  <c r="I95" i="31"/>
  <c r="I79" i="31"/>
  <c r="J79" i="29"/>
  <c r="J63" i="29"/>
  <c r="I63" i="31"/>
  <c r="J47" i="29"/>
  <c r="I47" i="31"/>
  <c r="J31" i="29"/>
  <c r="I31" i="31"/>
  <c r="J15" i="29"/>
  <c r="I15" i="31"/>
  <c r="I109" i="31"/>
  <c r="J109" i="29"/>
  <c r="I93" i="31"/>
  <c r="J93" i="29"/>
  <c r="J77" i="29"/>
  <c r="I77" i="31"/>
  <c r="I61" i="31"/>
  <c r="J61" i="29"/>
  <c r="I45" i="31"/>
  <c r="J45" i="29"/>
  <c r="I29" i="31"/>
  <c r="J29" i="29"/>
  <c r="J13" i="29"/>
  <c r="I13" i="31"/>
  <c r="I110" i="31"/>
  <c r="J110" i="29"/>
  <c r="I94" i="31"/>
  <c r="J94" i="29"/>
  <c r="I78" i="31"/>
  <c r="J78" i="29"/>
  <c r="J62" i="29"/>
  <c r="I62" i="31"/>
  <c r="J46" i="29"/>
  <c r="I46" i="31"/>
  <c r="I30" i="5"/>
  <c r="I30" i="31"/>
  <c r="J30" i="29"/>
  <c r="I14" i="31"/>
  <c r="J14" i="29"/>
  <c r="I108" i="31"/>
  <c r="J108" i="29"/>
  <c r="I92" i="31"/>
  <c r="J92" i="29"/>
  <c r="J76" i="29"/>
  <c r="I76" i="31"/>
  <c r="I60" i="31"/>
  <c r="J60" i="29"/>
  <c r="I44" i="31"/>
  <c r="J44" i="29"/>
  <c r="I28" i="31"/>
  <c r="J28" i="29"/>
  <c r="I12" i="31"/>
  <c r="J12" i="29"/>
  <c r="I107" i="31"/>
  <c r="J107" i="29"/>
  <c r="I91" i="31"/>
  <c r="J91" i="29"/>
  <c r="J75" i="29"/>
  <c r="I75" i="31"/>
  <c r="I43" i="31"/>
  <c r="J43" i="29"/>
  <c r="I27" i="31"/>
  <c r="J27" i="29"/>
  <c r="I11" i="31"/>
  <c r="J11" i="29"/>
  <c r="I109" i="5"/>
  <c r="I78" i="5"/>
  <c r="J2" i="29"/>
  <c r="I2" i="31"/>
  <c r="I106" i="31"/>
  <c r="J106" i="29"/>
  <c r="J90" i="29"/>
  <c r="I90" i="31"/>
  <c r="J74" i="29"/>
  <c r="I74" i="31"/>
  <c r="J58" i="29"/>
  <c r="I58" i="31"/>
  <c r="I42" i="5"/>
  <c r="J42" i="29"/>
  <c r="I42" i="31"/>
  <c r="J26" i="29"/>
  <c r="I26" i="31"/>
  <c r="I10" i="31"/>
  <c r="J10" i="29"/>
  <c r="I121" i="31"/>
  <c r="I122" i="31" s="1"/>
  <c r="I123" i="31" s="1"/>
  <c r="I124" i="31" s="1"/>
  <c r="I125" i="31" s="1"/>
  <c r="I126" i="31" s="1"/>
  <c r="I127" i="31" s="1"/>
  <c r="I128" i="31" s="1"/>
  <c r="I129" i="31" s="1"/>
  <c r="I130" i="31" s="1"/>
  <c r="I131" i="31" s="1"/>
  <c r="I132" i="31" s="1"/>
  <c r="I133" i="31" s="1"/>
  <c r="I134" i="31" s="1"/>
  <c r="I135" i="31" s="1"/>
  <c r="I136" i="31" s="1"/>
  <c r="I137" i="31" s="1"/>
  <c r="I138" i="31" s="1"/>
  <c r="I139" i="31" s="1"/>
  <c r="I140" i="31" s="1"/>
  <c r="I141" i="31" s="1"/>
  <c r="I142" i="31" s="1"/>
  <c r="I143" i="31" s="1"/>
  <c r="I144" i="31" s="1"/>
  <c r="I145" i="31" s="1"/>
  <c r="J121" i="29"/>
  <c r="J132" i="29" s="1"/>
  <c r="J133" i="29" s="1"/>
  <c r="J134" i="29" s="1"/>
  <c r="J135" i="29" s="1"/>
  <c r="J136" i="29" s="1"/>
  <c r="J137" i="29" s="1"/>
  <c r="J138" i="29" s="1"/>
  <c r="J139" i="29" s="1"/>
  <c r="J140" i="29" s="1"/>
  <c r="J141" i="29" s="1"/>
  <c r="J142" i="29" s="1"/>
  <c r="J143" i="29" s="1"/>
  <c r="J144" i="29" s="1"/>
  <c r="J145" i="29" s="1"/>
  <c r="I105" i="5"/>
  <c r="I105" i="31"/>
  <c r="J105" i="29"/>
  <c r="I89" i="5"/>
  <c r="I89" i="31"/>
  <c r="J89" i="29"/>
  <c r="I73" i="5"/>
  <c r="J73" i="29"/>
  <c r="I73" i="31"/>
  <c r="I57" i="5"/>
  <c r="J57" i="29"/>
  <c r="I57" i="31"/>
  <c r="I41" i="5"/>
  <c r="I41" i="31"/>
  <c r="J41" i="29"/>
  <c r="I25" i="31"/>
  <c r="J25" i="29"/>
  <c r="J9" i="29"/>
  <c r="I9" i="31"/>
  <c r="I59" i="31"/>
  <c r="J59" i="29"/>
  <c r="I93" i="5"/>
  <c r="I46" i="5"/>
  <c r="I120" i="31"/>
  <c r="J120" i="29"/>
  <c r="I104" i="5"/>
  <c r="J104" i="29"/>
  <c r="I104" i="31"/>
  <c r="I88" i="5"/>
  <c r="J88" i="29"/>
  <c r="I88" i="31"/>
  <c r="I72" i="31"/>
  <c r="J72" i="29"/>
  <c r="I56" i="5"/>
  <c r="I56" i="31"/>
  <c r="J56" i="29"/>
  <c r="I40" i="31"/>
  <c r="J40" i="29"/>
  <c r="I24" i="31"/>
  <c r="J24" i="29"/>
  <c r="I8" i="31"/>
  <c r="J8" i="29"/>
  <c r="I76" i="5"/>
  <c r="I119" i="5"/>
  <c r="J119" i="29"/>
  <c r="I119" i="31"/>
  <c r="I103" i="5"/>
  <c r="J103" i="29"/>
  <c r="I103" i="31"/>
  <c r="I87" i="5"/>
  <c r="J87" i="29"/>
  <c r="I87" i="31"/>
  <c r="J71" i="29"/>
  <c r="I71" i="31"/>
  <c r="I55" i="5"/>
  <c r="J55" i="29"/>
  <c r="I55" i="31"/>
  <c r="I39" i="31"/>
  <c r="J39" i="29"/>
  <c r="J23" i="29"/>
  <c r="I23" i="31"/>
  <c r="I7" i="5"/>
  <c r="I7" i="31"/>
  <c r="J7" i="29"/>
  <c r="I77" i="5"/>
  <c r="I60" i="5"/>
  <c r="J118" i="29"/>
  <c r="I118" i="31"/>
  <c r="J102" i="29"/>
  <c r="I102" i="31"/>
  <c r="J86" i="29"/>
  <c r="I86" i="31"/>
  <c r="I70" i="5"/>
  <c r="I70" i="31"/>
  <c r="J70" i="29"/>
  <c r="I54" i="31"/>
  <c r="J54" i="29"/>
  <c r="I38" i="31"/>
  <c r="J38" i="29"/>
  <c r="J22" i="29"/>
  <c r="I22" i="31"/>
  <c r="J6" i="29"/>
  <c r="I6" i="31"/>
  <c r="I61" i="5"/>
  <c r="I54" i="5"/>
  <c r="I111" i="5"/>
  <c r="I117" i="31"/>
  <c r="J117" i="29"/>
  <c r="I101" i="31"/>
  <c r="J101" i="29"/>
  <c r="I85" i="31"/>
  <c r="J85" i="29"/>
  <c r="I69" i="5"/>
  <c r="I69" i="31"/>
  <c r="J69" i="29"/>
  <c r="I53" i="5"/>
  <c r="I53" i="31"/>
  <c r="J53" i="29"/>
  <c r="I37" i="31"/>
  <c r="J37" i="29"/>
  <c r="I21" i="5"/>
  <c r="J21" i="29"/>
  <c r="I21" i="31"/>
  <c r="I5" i="5"/>
  <c r="J5" i="29"/>
  <c r="I5" i="31"/>
  <c r="I45" i="5"/>
  <c r="I44" i="5"/>
  <c r="I107" i="5"/>
  <c r="J116" i="29"/>
  <c r="I116" i="31"/>
  <c r="J100" i="29"/>
  <c r="I100" i="31"/>
  <c r="J84" i="29"/>
  <c r="I84" i="31"/>
  <c r="I68" i="31"/>
  <c r="J68" i="29"/>
  <c r="I52" i="31"/>
  <c r="J52" i="29"/>
  <c r="I36" i="31"/>
  <c r="J36" i="29"/>
  <c r="J20" i="29"/>
  <c r="I20" i="31"/>
  <c r="J4" i="29"/>
  <c r="I4" i="31"/>
  <c r="J115" i="29"/>
  <c r="I115" i="31"/>
  <c r="J99" i="29"/>
  <c r="I99" i="31"/>
  <c r="I83" i="31"/>
  <c r="J83" i="29"/>
  <c r="I67" i="31"/>
  <c r="J67" i="29"/>
  <c r="I51" i="31"/>
  <c r="J51" i="29"/>
  <c r="J35" i="29"/>
  <c r="I35" i="31"/>
  <c r="I19" i="31"/>
  <c r="J19" i="29"/>
  <c r="I3" i="31"/>
  <c r="J3" i="29"/>
  <c r="I29" i="5"/>
  <c r="I84" i="5"/>
  <c r="I68" i="5"/>
  <c r="I114" i="31"/>
  <c r="J114" i="29"/>
  <c r="I98" i="31"/>
  <c r="J98" i="29"/>
  <c r="J82" i="29"/>
  <c r="I82" i="31"/>
  <c r="J66" i="29"/>
  <c r="I66" i="31"/>
  <c r="J50" i="29"/>
  <c r="I50" i="31"/>
  <c r="J34" i="29"/>
  <c r="I34" i="31"/>
  <c r="J18" i="29"/>
  <c r="I18" i="31"/>
  <c r="I13" i="5"/>
  <c r="I63" i="5"/>
  <c r="I113" i="5"/>
  <c r="I113" i="31"/>
  <c r="J113" i="29"/>
  <c r="I97" i="31"/>
  <c r="J97" i="29"/>
  <c r="I81" i="5"/>
  <c r="I81" i="31"/>
  <c r="J81" i="29"/>
  <c r="I65" i="5"/>
  <c r="I65" i="31"/>
  <c r="J65" i="29"/>
  <c r="I49" i="5"/>
  <c r="J49" i="29"/>
  <c r="I49" i="31"/>
  <c r="J33" i="29"/>
  <c r="I33" i="31"/>
  <c r="I17" i="5"/>
  <c r="I17" i="31"/>
  <c r="J17" i="29"/>
  <c r="I39" i="5"/>
  <c r="I59" i="5"/>
  <c r="I112" i="31"/>
  <c r="J112" i="29"/>
  <c r="I96" i="31"/>
  <c r="J96" i="29"/>
  <c r="I80" i="31"/>
  <c r="J80" i="29"/>
  <c r="I64" i="5"/>
  <c r="J64" i="29"/>
  <c r="I64" i="31"/>
  <c r="I48" i="31"/>
  <c r="J48" i="29"/>
  <c r="I32" i="31"/>
  <c r="J32" i="29"/>
  <c r="I16" i="31"/>
  <c r="J16" i="29"/>
  <c r="I86" i="5"/>
  <c r="I37" i="5"/>
  <c r="I121" i="5"/>
  <c r="I90" i="5"/>
  <c r="I62" i="5"/>
  <c r="I72" i="5"/>
  <c r="I110" i="5"/>
  <c r="I15" i="5"/>
  <c r="I43" i="5"/>
  <c r="I97" i="5"/>
  <c r="I33" i="5"/>
  <c r="I36" i="5"/>
  <c r="I106" i="5"/>
  <c r="I58" i="5"/>
  <c r="I31" i="5"/>
  <c r="I92" i="5"/>
  <c r="I8" i="5"/>
  <c r="I25" i="5"/>
  <c r="I24" i="5"/>
  <c r="I4" i="5"/>
  <c r="I100" i="5"/>
  <c r="I52" i="5"/>
  <c r="I10" i="5"/>
  <c r="I51" i="5"/>
  <c r="I96" i="5"/>
  <c r="I91" i="5"/>
  <c r="I116" i="5"/>
  <c r="I20" i="5"/>
  <c r="I115" i="5"/>
  <c r="I85" i="5"/>
  <c r="I11" i="5"/>
  <c r="I120" i="5"/>
  <c r="I101" i="5"/>
  <c r="I118" i="5"/>
  <c r="I27" i="5"/>
  <c r="I9" i="5"/>
  <c r="I26" i="5"/>
  <c r="I75" i="5"/>
  <c r="I114" i="5"/>
  <c r="I98" i="5"/>
  <c r="I82" i="5"/>
  <c r="I66" i="5"/>
  <c r="I50" i="5"/>
  <c r="I34" i="5"/>
  <c r="I18" i="5"/>
  <c r="Q41" i="22"/>
  <c r="Q60" i="22"/>
  <c r="U15" i="24"/>
  <c r="C2" i="24" s="1"/>
  <c r="D5" i="24"/>
  <c r="H15" i="23"/>
  <c r="I15" i="23" s="1"/>
  <c r="J15" i="23" s="1"/>
  <c r="K15" i="23" s="1"/>
  <c r="L15" i="23" s="1"/>
  <c r="M15" i="23" s="1"/>
  <c r="N15" i="23" s="1"/>
  <c r="O15" i="23" s="1"/>
  <c r="P15" i="23" s="1"/>
  <c r="Q15" i="23" s="1"/>
  <c r="R15" i="23" s="1"/>
  <c r="S15" i="23" s="1"/>
  <c r="T15" i="23" s="1"/>
  <c r="U15" i="23" s="1"/>
  <c r="V15" i="23" s="1"/>
  <c r="W15" i="23" s="1"/>
  <c r="X15" i="23" s="1"/>
  <c r="O42" i="22"/>
  <c r="Q42" i="22" s="1"/>
  <c r="M51" i="22"/>
  <c r="P51" i="22"/>
  <c r="M57" i="22"/>
  <c r="N57" i="22"/>
  <c r="O39" i="22"/>
  <c r="P40" i="22"/>
  <c r="Q40" i="22" s="1"/>
  <c r="M58" i="22"/>
  <c r="P58" i="22"/>
  <c r="N5" i="22"/>
  <c r="M41" i="22"/>
  <c r="M60" i="22"/>
  <c r="P77" i="22"/>
  <c r="P22" i="22"/>
  <c r="O57" i="22"/>
  <c r="N75" i="22"/>
  <c r="M79" i="22"/>
  <c r="M75" i="22"/>
  <c r="M42" i="22"/>
  <c r="O75" i="22"/>
  <c r="O79" i="22"/>
  <c r="P79" i="22"/>
  <c r="P89" i="22"/>
  <c r="M76" i="22"/>
  <c r="M73" i="22"/>
  <c r="O73" i="22"/>
  <c r="Q73" i="22" s="1"/>
  <c r="P73" i="22"/>
  <c r="M11" i="22"/>
  <c r="P30" i="22"/>
  <c r="Q30" i="22" s="1"/>
  <c r="N77" i="22"/>
  <c r="Q77" i="22" s="1"/>
  <c r="N12" i="22"/>
  <c r="O14" i="22"/>
  <c r="M23" i="22"/>
  <c r="P3" i="22"/>
  <c r="U3" i="22" s="1"/>
  <c r="O12" i="22"/>
  <c r="N10" i="22"/>
  <c r="M19" i="22"/>
  <c r="M55" i="22"/>
  <c r="O65" i="22"/>
  <c r="M68" i="22"/>
  <c r="N14" i="22"/>
  <c r="M27" i="22"/>
  <c r="N23" i="22"/>
  <c r="P31" i="22"/>
  <c r="M45" i="22"/>
  <c r="M48" i="22"/>
  <c r="N4" i="22"/>
  <c r="P10" i="22"/>
  <c r="M15" i="22"/>
  <c r="N19" i="22"/>
  <c r="M28" i="22"/>
  <c r="P38" i="22"/>
  <c r="N45" i="22"/>
  <c r="Q45" i="22" s="1"/>
  <c r="O48" i="22"/>
  <c r="P55" i="22"/>
  <c r="P65" i="22"/>
  <c r="N68" i="22"/>
  <c r="Q68" i="22" s="1"/>
  <c r="O83" i="22"/>
  <c r="M89" i="22"/>
  <c r="N27" i="22"/>
  <c r="O31" i="22"/>
  <c r="O4" i="22"/>
  <c r="N15" i="22"/>
  <c r="O19" i="22"/>
  <c r="N28" i="22"/>
  <c r="O45" i="22"/>
  <c r="O68" i="22"/>
  <c r="O89" i="22"/>
  <c r="P4" i="22"/>
  <c r="O15" i="22"/>
  <c r="P19" i="22"/>
  <c r="O28" i="22"/>
  <c r="P18" i="22"/>
  <c r="P39" i="22"/>
  <c r="M50" i="22"/>
  <c r="N56" i="22"/>
  <c r="M12" i="22"/>
  <c r="P14" i="22"/>
  <c r="O27" i="22"/>
  <c r="P56" i="22"/>
  <c r="M44" i="22"/>
  <c r="M7" i="22"/>
  <c r="O23" i="22"/>
  <c r="P27" i="22"/>
  <c r="N44" i="22"/>
  <c r="M47" i="22"/>
  <c r="P50" i="22"/>
  <c r="N64" i="22"/>
  <c r="O64" i="22"/>
  <c r="O44" i="22"/>
  <c r="O47" i="22"/>
  <c r="O7" i="22"/>
  <c r="P23" i="22"/>
  <c r="E5" i="23"/>
  <c r="F20" i="23" s="1"/>
  <c r="G20" i="23" s="1"/>
  <c r="H20" i="23" s="1"/>
  <c r="I20" i="23" s="1"/>
  <c r="J20" i="23" s="1"/>
  <c r="K20" i="23" s="1"/>
  <c r="L20" i="23" s="1"/>
  <c r="M20" i="23" s="1"/>
  <c r="N20" i="23" s="1"/>
  <c r="O20" i="23" s="1"/>
  <c r="P20" i="23" s="1"/>
  <c r="Q20" i="23" s="1"/>
  <c r="R20" i="23" s="1"/>
  <c r="S20" i="23" s="1"/>
  <c r="T20" i="23" s="1"/>
  <c r="U20" i="23" s="1"/>
  <c r="V20" i="23" s="1"/>
  <c r="W20" i="23" s="1"/>
  <c r="X20" i="23" s="1"/>
  <c r="P44" i="22"/>
  <c r="P47" i="22"/>
  <c r="P64" i="22"/>
  <c r="P70" i="22"/>
  <c r="N76" i="22"/>
  <c r="Q76" i="22" s="1"/>
  <c r="N78" i="22"/>
  <c r="M82" i="22"/>
  <c r="M87" i="22"/>
  <c r="O5" i="22"/>
  <c r="P7" i="22"/>
  <c r="O11" i="22"/>
  <c r="M20" i="22"/>
  <c r="N22" i="22"/>
  <c r="N26" i="22"/>
  <c r="M29" i="22"/>
  <c r="N33" i="22"/>
  <c r="Q33" i="22" s="1"/>
  <c r="M40" i="22"/>
  <c r="N59" i="22"/>
  <c r="M67" i="22"/>
  <c r="O76" i="22"/>
  <c r="N82" i="22"/>
  <c r="O87" i="22"/>
  <c r="N18" i="22"/>
  <c r="N7" i="22"/>
  <c r="N11" i="22"/>
  <c r="M33" i="22"/>
  <c r="N20" i="22"/>
  <c r="O22" i="22"/>
  <c r="P26" i="22"/>
  <c r="O33" i="22"/>
  <c r="P59" i="22"/>
  <c r="P82" i="22"/>
  <c r="T3" i="22"/>
  <c r="N16" i="22"/>
  <c r="O16" i="22"/>
  <c r="P16" i="22"/>
  <c r="M16" i="22"/>
  <c r="N8" i="22"/>
  <c r="P8" i="22"/>
  <c r="O8" i="22"/>
  <c r="M8" i="22"/>
  <c r="F39" i="23"/>
  <c r="H33" i="23"/>
  <c r="L29" i="23"/>
  <c r="J29" i="23"/>
  <c r="L30" i="23"/>
  <c r="J30" i="23"/>
  <c r="H30" i="23"/>
  <c r="G30" i="23"/>
  <c r="F30" i="23"/>
  <c r="K29" i="23"/>
  <c r="I29" i="23"/>
  <c r="H29" i="23"/>
  <c r="K30" i="23"/>
  <c r="I30" i="23"/>
  <c r="G29" i="23"/>
  <c r="F29" i="23"/>
  <c r="P13" i="22"/>
  <c r="P21" i="22"/>
  <c r="N31" i="22"/>
  <c r="P32" i="22"/>
  <c r="P36" i="22"/>
  <c r="O36" i="22"/>
  <c r="N36" i="22"/>
  <c r="Q36" i="22" s="1"/>
  <c r="M36" i="22"/>
  <c r="N47" i="22"/>
  <c r="O70" i="22"/>
  <c r="Q70" i="22" s="1"/>
  <c r="M70" i="22"/>
  <c r="N52" i="22"/>
  <c r="N25" i="22"/>
  <c r="M43" i="22"/>
  <c r="M25" i="22"/>
  <c r="P35" i="22"/>
  <c r="O35" i="22"/>
  <c r="N35" i="22"/>
  <c r="Q35" i="22" s="1"/>
  <c r="M49" i="22"/>
  <c r="P52" i="22"/>
  <c r="M3" i="22"/>
  <c r="R3" i="22" s="1"/>
  <c r="R4" i="22" s="1"/>
  <c r="R5" i="22" s="1"/>
  <c r="R6" i="22" s="1"/>
  <c r="O9" i="22"/>
  <c r="P24" i="22"/>
  <c r="O25" i="22"/>
  <c r="M35" i="22"/>
  <c r="N43" i="22"/>
  <c r="M46" i="22"/>
  <c r="O49" i="22"/>
  <c r="O54" i="22"/>
  <c r="N54" i="22"/>
  <c r="O24" i="22"/>
  <c r="P34" i="22"/>
  <c r="O43" i="22"/>
  <c r="N46" i="22"/>
  <c r="N9" i="22"/>
  <c r="N17" i="22"/>
  <c r="Q17" i="22" s="1"/>
  <c r="N49" i="22"/>
  <c r="Q49" i="22" s="1"/>
  <c r="O52" i="22"/>
  <c r="M9" i="22"/>
  <c r="M17" i="22"/>
  <c r="N3" i="22"/>
  <c r="P17" i="22"/>
  <c r="P25" i="22"/>
  <c r="O10" i="22"/>
  <c r="O18" i="22"/>
  <c r="O26" i="22"/>
  <c r="M34" i="22"/>
  <c r="P43" i="22"/>
  <c r="P46" i="22"/>
  <c r="N51" i="22"/>
  <c r="Q51" i="22" s="1"/>
  <c r="P54" i="22"/>
  <c r="M24" i="22"/>
  <c r="N24" i="22"/>
  <c r="J40" i="23"/>
  <c r="H38" i="23"/>
  <c r="I34" i="23"/>
  <c r="G32" i="23"/>
  <c r="H40" i="23"/>
  <c r="F38" i="23"/>
  <c r="G34" i="23"/>
  <c r="L31" i="23"/>
  <c r="G40" i="23"/>
  <c r="L40" i="23"/>
  <c r="L37" i="23"/>
  <c r="I33" i="23"/>
  <c r="I40" i="23"/>
  <c r="J37" i="23"/>
  <c r="K36" i="23"/>
  <c r="G33" i="23"/>
  <c r="L39" i="23"/>
  <c r="H37" i="23"/>
  <c r="I36" i="23"/>
  <c r="L32" i="23"/>
  <c r="K39" i="23"/>
  <c r="G37" i="23"/>
  <c r="H36" i="23"/>
  <c r="K32" i="23"/>
  <c r="J39" i="23"/>
  <c r="F37" i="23"/>
  <c r="G36" i="23"/>
  <c r="J32" i="23"/>
  <c r="I39" i="23"/>
  <c r="F36" i="23"/>
  <c r="I32" i="23"/>
  <c r="H39" i="23"/>
  <c r="L34" i="23"/>
  <c r="H32" i="23"/>
  <c r="G39" i="23"/>
  <c r="K34" i="23"/>
  <c r="F32" i="23"/>
  <c r="I38" i="23"/>
  <c r="K33" i="23"/>
  <c r="G31" i="23"/>
  <c r="G38" i="23"/>
  <c r="J33" i="23"/>
  <c r="F31" i="23"/>
  <c r="L38" i="23"/>
  <c r="F33" i="23"/>
  <c r="K38" i="23"/>
  <c r="K31" i="23"/>
  <c r="J38" i="23"/>
  <c r="J31" i="23"/>
  <c r="K37" i="23"/>
  <c r="I31" i="23"/>
  <c r="I37" i="23"/>
  <c r="H31" i="23"/>
  <c r="L36" i="23"/>
  <c r="F88" i="23" s="1"/>
  <c r="J36" i="23"/>
  <c r="J34" i="23"/>
  <c r="H34" i="23"/>
  <c r="K40" i="23"/>
  <c r="F34" i="23"/>
  <c r="F40" i="23"/>
  <c r="L33" i="23"/>
  <c r="N34" i="22"/>
  <c r="Q34" i="22" s="1"/>
  <c r="M74" i="22"/>
  <c r="P74" i="22"/>
  <c r="Q74" i="22" s="1"/>
  <c r="M52" i="22"/>
  <c r="P29" i="22"/>
  <c r="N29" i="22"/>
  <c r="Q29" i="22" s="1"/>
  <c r="N48" i="22"/>
  <c r="N13" i="22"/>
  <c r="N21" i="22"/>
  <c r="M32" i="22"/>
  <c r="P53" i="22"/>
  <c r="N53" i="22"/>
  <c r="M63" i="22"/>
  <c r="P69" i="22"/>
  <c r="O69" i="22"/>
  <c r="N69" i="22"/>
  <c r="M69" i="22"/>
  <c r="P81" i="22"/>
  <c r="N81" i="22"/>
  <c r="M81" i="22"/>
  <c r="M13" i="22"/>
  <c r="M21" i="22"/>
  <c r="N32" i="22"/>
  <c r="M53" i="22"/>
  <c r="M61" i="22"/>
  <c r="P61" i="22"/>
  <c r="O61" i="22"/>
  <c r="N63" i="22"/>
  <c r="O81" i="22"/>
  <c r="N6" i="22"/>
  <c r="O6" i="22"/>
  <c r="P6" i="22"/>
  <c r="P12" i="22"/>
  <c r="O13" i="22"/>
  <c r="P20" i="22"/>
  <c r="O21" i="22"/>
  <c r="N50" i="22"/>
  <c r="O53" i="22"/>
  <c r="N61" i="22"/>
  <c r="Q61" i="22" s="1"/>
  <c r="O63" i="22"/>
  <c r="C6" i="24"/>
  <c r="C8" i="24" s="1"/>
  <c r="O80" i="22"/>
  <c r="M80" i="22"/>
  <c r="O84" i="22"/>
  <c r="N84" i="22"/>
  <c r="M84" i="22"/>
  <c r="N80" i="22"/>
  <c r="P84" i="22"/>
  <c r="P80" i="22"/>
  <c r="O86" i="22"/>
  <c r="P86" i="22"/>
  <c r="O55" i="22"/>
  <c r="O56" i="22"/>
  <c r="O58" i="22"/>
  <c r="O59" i="22"/>
  <c r="M86" i="22"/>
  <c r="O72" i="22"/>
  <c r="M72" i="22"/>
  <c r="N86" i="22"/>
  <c r="O88" i="22"/>
  <c r="M88" i="22"/>
  <c r="N72" i="22"/>
  <c r="Q72" i="22" s="1"/>
  <c r="N88" i="22"/>
  <c r="E6" i="23"/>
  <c r="F25" i="23" s="1"/>
  <c r="G25" i="23" s="1"/>
  <c r="H25" i="23" s="1"/>
  <c r="I25" i="23" s="1"/>
  <c r="J25" i="23" s="1"/>
  <c r="K25" i="23" s="1"/>
  <c r="L25" i="23" s="1"/>
  <c r="M25" i="23" s="1"/>
  <c r="N25" i="23" s="1"/>
  <c r="O25" i="23" s="1"/>
  <c r="P25" i="23" s="1"/>
  <c r="Q25" i="23" s="1"/>
  <c r="R25" i="23" s="1"/>
  <c r="S25" i="23" s="1"/>
  <c r="T25" i="23" s="1"/>
  <c r="U25" i="23" s="1"/>
  <c r="V25" i="23" s="1"/>
  <c r="W25" i="23" s="1"/>
  <c r="X25" i="23" s="1"/>
  <c r="N67" i="22"/>
  <c r="O78" i="22"/>
  <c r="M37" i="22"/>
  <c r="M66" i="22"/>
  <c r="O67" i="22"/>
  <c r="P71" i="22"/>
  <c r="N71" i="22"/>
  <c r="P78" i="22"/>
  <c r="N37" i="22"/>
  <c r="M38" i="22"/>
  <c r="N66" i="22"/>
  <c r="P67" i="22"/>
  <c r="M71" i="22"/>
  <c r="P85" i="22"/>
  <c r="O85" i="22"/>
  <c r="N85" i="22"/>
  <c r="W15" i="24"/>
  <c r="D2" i="24" s="1"/>
  <c r="O37" i="22"/>
  <c r="N38" i="22"/>
  <c r="Q38" i="22" s="1"/>
  <c r="M39" i="22"/>
  <c r="M65" i="22"/>
  <c r="O66" i="22"/>
  <c r="O71" i="22"/>
  <c r="M85" i="22"/>
  <c r="P87" i="22"/>
  <c r="N87" i="22"/>
  <c r="Q87" i="22" s="1"/>
  <c r="G14" i="24"/>
  <c r="M83" i="22"/>
  <c r="N83" i="22"/>
  <c r="O82" i="22"/>
  <c r="P83" i="22"/>
  <c r="Q53" i="22" l="1"/>
  <c r="Q86" i="22"/>
  <c r="Q89" i="22"/>
  <c r="Q57" i="22"/>
  <c r="Q44" i="22"/>
  <c r="Q79" i="22"/>
  <c r="Q11" i="22"/>
  <c r="Q65" i="22"/>
  <c r="Q54" i="22"/>
  <c r="Q18" i="22"/>
  <c r="Q39" i="22"/>
  <c r="Q71" i="22"/>
  <c r="Q21" i="22"/>
  <c r="Q28" i="22"/>
  <c r="Q32" i="22"/>
  <c r="Q48" i="22"/>
  <c r="Q47" i="22"/>
  <c r="Q16" i="22"/>
  <c r="Q15" i="22"/>
  <c r="Q55" i="22"/>
  <c r="Q58" i="22"/>
  <c r="Q50" i="22"/>
  <c r="Q67" i="22"/>
  <c r="Q81" i="22"/>
  <c r="Q24" i="22"/>
  <c r="Q56" i="22"/>
  <c r="D6" i="24"/>
  <c r="D8" i="24" s="1"/>
  <c r="G29" i="24" s="1"/>
  <c r="L42" i="23"/>
  <c r="N42" i="23" s="1"/>
  <c r="O42" i="23" s="1"/>
  <c r="Q25" i="22"/>
  <c r="Q78" i="22"/>
  <c r="Q10" i="22"/>
  <c r="Q13" i="22"/>
  <c r="Q52" i="22"/>
  <c r="Q82" i="22"/>
  <c r="S3" i="22"/>
  <c r="S4" i="22" s="1"/>
  <c r="S5" i="22" s="1"/>
  <c r="S6" i="22" s="1"/>
  <c r="S7" i="22" s="1"/>
  <c r="S8" i="22" s="1"/>
  <c r="S9" i="22" s="1"/>
  <c r="S10" i="22" s="1"/>
  <c r="S11" i="22" s="1"/>
  <c r="S12" i="22" s="1"/>
  <c r="S13" i="22" s="1"/>
  <c r="S14" i="22" s="1"/>
  <c r="S15" i="22" s="1"/>
  <c r="S16" i="22" s="1"/>
  <c r="S17" i="22" s="1"/>
  <c r="S18" i="22" s="1"/>
  <c r="S19" i="22" s="1"/>
  <c r="S20" i="22" s="1"/>
  <c r="S21" i="22" s="1"/>
  <c r="S22" i="22" s="1"/>
  <c r="S23" i="22" s="1"/>
  <c r="S24" i="22" s="1"/>
  <c r="S25" i="22" s="1"/>
  <c r="S26" i="22" s="1"/>
  <c r="S27" i="22" s="1"/>
  <c r="S28" i="22" s="1"/>
  <c r="S29" i="22" s="1"/>
  <c r="S30" i="22" s="1"/>
  <c r="S31" i="22" s="1"/>
  <c r="S32" i="22" s="1"/>
  <c r="S33" i="22" s="1"/>
  <c r="S34" i="22" s="1"/>
  <c r="S35" i="22" s="1"/>
  <c r="S36" i="22" s="1"/>
  <c r="S37" i="22" s="1"/>
  <c r="S38" i="22" s="1"/>
  <c r="S39" i="22" s="1"/>
  <c r="S40" i="22" s="1"/>
  <c r="S41" i="22" s="1"/>
  <c r="S42" i="22" s="1"/>
  <c r="S43" i="22" s="1"/>
  <c r="S44" i="22" s="1"/>
  <c r="S45" i="22" s="1"/>
  <c r="S46" i="22" s="1"/>
  <c r="S47" i="22" s="1"/>
  <c r="S48" i="22" s="1"/>
  <c r="S49" i="22" s="1"/>
  <c r="S50" i="22" s="1"/>
  <c r="S51" i="22" s="1"/>
  <c r="S52" i="22" s="1"/>
  <c r="S53" i="22" s="1"/>
  <c r="S54" i="22" s="1"/>
  <c r="S55" i="22" s="1"/>
  <c r="S56" i="22" s="1"/>
  <c r="S57" i="22" s="1"/>
  <c r="S58" i="22" s="1"/>
  <c r="S59" i="22" s="1"/>
  <c r="S60" i="22" s="1"/>
  <c r="S61" i="22" s="1"/>
  <c r="S62" i="22" s="1"/>
  <c r="S63" i="22" s="1"/>
  <c r="S64" i="22" s="1"/>
  <c r="S65" i="22" s="1"/>
  <c r="S66" i="22" s="1"/>
  <c r="S67" i="22" s="1"/>
  <c r="S68" i="22" s="1"/>
  <c r="S69" i="22" s="1"/>
  <c r="S70" i="22" s="1"/>
  <c r="S71" i="22" s="1"/>
  <c r="S72" i="22" s="1"/>
  <c r="S73" i="22" s="1"/>
  <c r="S74" i="22" s="1"/>
  <c r="S75" i="22" s="1"/>
  <c r="S76" i="22" s="1"/>
  <c r="S77" i="22" s="1"/>
  <c r="S78" i="22" s="1"/>
  <c r="S79" i="22" s="1"/>
  <c r="S80" i="22" s="1"/>
  <c r="S81" i="22" s="1"/>
  <c r="S82" i="22" s="1"/>
  <c r="S83" i="22" s="1"/>
  <c r="S84" i="22" s="1"/>
  <c r="S85" i="22" s="1"/>
  <c r="S86" i="22" s="1"/>
  <c r="S87" i="22" s="1"/>
  <c r="S88" i="22" s="1"/>
  <c r="S89" i="22" s="1"/>
  <c r="Q3" i="22"/>
  <c r="V3" i="22" s="1"/>
  <c r="V4" i="22" s="1"/>
  <c r="V5" i="22" s="1"/>
  <c r="Q19" i="22"/>
  <c r="Q43" i="22"/>
  <c r="Q8" i="22"/>
  <c r="Q59" i="22"/>
  <c r="Q75" i="22"/>
  <c r="T4" i="22"/>
  <c r="T5" i="22" s="1"/>
  <c r="T6" i="22" s="1"/>
  <c r="T7" i="22" s="1"/>
  <c r="T8" i="22" s="1"/>
  <c r="T9" i="22" s="1"/>
  <c r="T10" i="22" s="1"/>
  <c r="T11" i="22" s="1"/>
  <c r="T12" i="22" s="1"/>
  <c r="T13" i="22" s="1"/>
  <c r="T14" i="22" s="1"/>
  <c r="T15" i="22" s="1"/>
  <c r="T16" i="22" s="1"/>
  <c r="T17" i="22" s="1"/>
  <c r="T18" i="22" s="1"/>
  <c r="T19" i="22" s="1"/>
  <c r="T20" i="22" s="1"/>
  <c r="T21" i="22" s="1"/>
  <c r="T22" i="22" s="1"/>
  <c r="T23" i="22" s="1"/>
  <c r="T24" i="22" s="1"/>
  <c r="T25" i="22" s="1"/>
  <c r="T26" i="22" s="1"/>
  <c r="T27" i="22" s="1"/>
  <c r="T28" i="22" s="1"/>
  <c r="T29" i="22" s="1"/>
  <c r="T30" i="22" s="1"/>
  <c r="T31" i="22" s="1"/>
  <c r="T32" i="22" s="1"/>
  <c r="T33" i="22" s="1"/>
  <c r="T34" i="22" s="1"/>
  <c r="T35" i="22" s="1"/>
  <c r="T36" i="22" s="1"/>
  <c r="T37" i="22" s="1"/>
  <c r="T38" i="22" s="1"/>
  <c r="T39" i="22" s="1"/>
  <c r="T40" i="22" s="1"/>
  <c r="T41" i="22" s="1"/>
  <c r="T42" i="22" s="1"/>
  <c r="T43" i="22" s="1"/>
  <c r="T44" i="22" s="1"/>
  <c r="T45" i="22" s="1"/>
  <c r="T46" i="22" s="1"/>
  <c r="T47" i="22" s="1"/>
  <c r="T48" i="22" s="1"/>
  <c r="T49" i="22" s="1"/>
  <c r="T50" i="22" s="1"/>
  <c r="T51" i="22" s="1"/>
  <c r="T52" i="22" s="1"/>
  <c r="T53" i="22" s="1"/>
  <c r="T54" i="22" s="1"/>
  <c r="T55" i="22" s="1"/>
  <c r="T56" i="22" s="1"/>
  <c r="T57" i="22" s="1"/>
  <c r="T58" i="22" s="1"/>
  <c r="T59" i="22" s="1"/>
  <c r="T60" i="22" s="1"/>
  <c r="T61" i="22" s="1"/>
  <c r="T62" i="22" s="1"/>
  <c r="T63" i="22" s="1"/>
  <c r="T64" i="22" s="1"/>
  <c r="T65" i="22" s="1"/>
  <c r="T66" i="22" s="1"/>
  <c r="T67" i="22" s="1"/>
  <c r="T68" i="22" s="1"/>
  <c r="T69" i="22" s="1"/>
  <c r="T70" i="22" s="1"/>
  <c r="T71" i="22" s="1"/>
  <c r="T72" i="22" s="1"/>
  <c r="T73" i="22" s="1"/>
  <c r="T74" i="22" s="1"/>
  <c r="T75" i="22" s="1"/>
  <c r="T76" i="22" s="1"/>
  <c r="T77" i="22" s="1"/>
  <c r="T78" i="22" s="1"/>
  <c r="T79" i="22" s="1"/>
  <c r="T80" i="22" s="1"/>
  <c r="T81" i="22" s="1"/>
  <c r="T82" i="22" s="1"/>
  <c r="T83" i="22" s="1"/>
  <c r="T84" i="22" s="1"/>
  <c r="T85" i="22" s="1"/>
  <c r="T86" i="22" s="1"/>
  <c r="T87" i="22" s="1"/>
  <c r="T88" i="22" s="1"/>
  <c r="T89" i="22" s="1"/>
  <c r="Q4" i="22"/>
  <c r="Q12" i="22"/>
  <c r="Q80" i="22"/>
  <c r="Q9" i="22"/>
  <c r="Q26" i="22"/>
  <c r="Q27" i="22"/>
  <c r="Q6" i="22"/>
  <c r="Q69" i="22"/>
  <c r="Q46" i="22"/>
  <c r="Q22" i="22"/>
  <c r="Q23" i="22"/>
  <c r="Q66" i="22"/>
  <c r="Q31" i="22"/>
  <c r="Q63" i="22"/>
  <c r="Q20" i="22"/>
  <c r="Q14" i="22"/>
  <c r="Q5" i="22"/>
  <c r="Q37" i="22"/>
  <c r="Q64" i="22"/>
  <c r="Q7" i="22"/>
  <c r="Q88" i="22"/>
  <c r="Q85" i="22"/>
  <c r="Q83" i="22"/>
  <c r="Q84" i="22"/>
  <c r="U4" i="22"/>
  <c r="U5" i="22" s="1"/>
  <c r="U6" i="22"/>
  <c r="U7" i="22" s="1"/>
  <c r="U8" i="22" s="1"/>
  <c r="U9" i="22" s="1"/>
  <c r="U10" i="22" s="1"/>
  <c r="U11" i="22" s="1"/>
  <c r="U12" i="22" s="1"/>
  <c r="U13" i="22" s="1"/>
  <c r="U14" i="22" s="1"/>
  <c r="U15" i="22" s="1"/>
  <c r="U16" i="22" s="1"/>
  <c r="U17" i="22" s="1"/>
  <c r="U18" i="22" s="1"/>
  <c r="U19" i="22" s="1"/>
  <c r="U20" i="22" s="1"/>
  <c r="U21" i="22" s="1"/>
  <c r="U22" i="22" s="1"/>
  <c r="U23" i="22" s="1"/>
  <c r="U24" i="22" s="1"/>
  <c r="U25" i="22" s="1"/>
  <c r="U26" i="22" s="1"/>
  <c r="U27" i="22" s="1"/>
  <c r="U28" i="22" s="1"/>
  <c r="U29" i="22" s="1"/>
  <c r="U30" i="22" s="1"/>
  <c r="U31" i="22" s="1"/>
  <c r="U32" i="22" s="1"/>
  <c r="U33" i="22" s="1"/>
  <c r="U34" i="22" s="1"/>
  <c r="U35" i="22" s="1"/>
  <c r="U36" i="22" s="1"/>
  <c r="U37" i="22" s="1"/>
  <c r="U38" i="22" s="1"/>
  <c r="U39" i="22" s="1"/>
  <c r="U40" i="22" s="1"/>
  <c r="U41" i="22" s="1"/>
  <c r="U42" i="22" s="1"/>
  <c r="U43" i="22" s="1"/>
  <c r="U44" i="22" s="1"/>
  <c r="U45" i="22" s="1"/>
  <c r="U46" i="22" s="1"/>
  <c r="U47" i="22" s="1"/>
  <c r="U48" i="22" s="1"/>
  <c r="U49" i="22" s="1"/>
  <c r="U50" i="22" s="1"/>
  <c r="U51" i="22" s="1"/>
  <c r="U52" i="22" s="1"/>
  <c r="U53" i="22" s="1"/>
  <c r="U54" i="22" s="1"/>
  <c r="U55" i="22" s="1"/>
  <c r="U56" i="22" s="1"/>
  <c r="U57" i="22" s="1"/>
  <c r="U58" i="22" s="1"/>
  <c r="U59" i="22" s="1"/>
  <c r="U60" i="22" s="1"/>
  <c r="U61" i="22" s="1"/>
  <c r="U62" i="22" s="1"/>
  <c r="U63" i="22" s="1"/>
  <c r="U64" i="22" s="1"/>
  <c r="U65" i="22" s="1"/>
  <c r="U66" i="22" s="1"/>
  <c r="U67" i="22" s="1"/>
  <c r="U68" i="22" s="1"/>
  <c r="U69" i="22" s="1"/>
  <c r="U70" i="22" s="1"/>
  <c r="U71" i="22" s="1"/>
  <c r="U72" i="22" s="1"/>
  <c r="U73" i="22" s="1"/>
  <c r="U74" i="22" s="1"/>
  <c r="U75" i="22" s="1"/>
  <c r="U76" i="22" s="1"/>
  <c r="U77" i="22" s="1"/>
  <c r="U78" i="22" s="1"/>
  <c r="U79" i="22" s="1"/>
  <c r="U80" i="22" s="1"/>
  <c r="U81" i="22" s="1"/>
  <c r="U82" i="22" s="1"/>
  <c r="U83" i="22" s="1"/>
  <c r="U84" i="22" s="1"/>
  <c r="U85" i="22" s="1"/>
  <c r="U86" i="22" s="1"/>
  <c r="U87" i="22" s="1"/>
  <c r="U88" i="22" s="1"/>
  <c r="U89" i="22" s="1"/>
  <c r="R7" i="22"/>
  <c r="R8" i="22" s="1"/>
  <c r="R9" i="22" s="1"/>
  <c r="R10" i="22" s="1"/>
  <c r="R11" i="22" s="1"/>
  <c r="R12" i="22" s="1"/>
  <c r="R13" i="22" s="1"/>
  <c r="R14" i="22" s="1"/>
  <c r="R15" i="22" s="1"/>
  <c r="R16" i="22" s="1"/>
  <c r="R17" i="22" s="1"/>
  <c r="R18" i="22" s="1"/>
  <c r="R19" i="22" s="1"/>
  <c r="R20" i="22" s="1"/>
  <c r="R21" i="22" s="1"/>
  <c r="R22" i="22" s="1"/>
  <c r="R23" i="22" s="1"/>
  <c r="R24" i="22" s="1"/>
  <c r="R25" i="22" s="1"/>
  <c r="R26" i="22" s="1"/>
  <c r="R27" i="22" s="1"/>
  <c r="R28" i="22" s="1"/>
  <c r="R29" i="22" s="1"/>
  <c r="R30" i="22" s="1"/>
  <c r="R31" i="22" s="1"/>
  <c r="R32" i="22" s="1"/>
  <c r="R33" i="22" s="1"/>
  <c r="R34" i="22" s="1"/>
  <c r="R35" i="22" s="1"/>
  <c r="R36" i="22" s="1"/>
  <c r="R37" i="22" s="1"/>
  <c r="R38" i="22" s="1"/>
  <c r="R39" i="22" s="1"/>
  <c r="R40" i="22" s="1"/>
  <c r="R41" i="22" s="1"/>
  <c r="R42" i="22" s="1"/>
  <c r="R43" i="22" s="1"/>
  <c r="R44" i="22" s="1"/>
  <c r="R45" i="22" s="1"/>
  <c r="R46" i="22" s="1"/>
  <c r="R47" i="22" s="1"/>
  <c r="R48" i="22" s="1"/>
  <c r="R49" i="22" s="1"/>
  <c r="R50" i="22" s="1"/>
  <c r="R51" i="22" s="1"/>
  <c r="R52" i="22" s="1"/>
  <c r="R53" i="22" s="1"/>
  <c r="R54" i="22" s="1"/>
  <c r="R55" i="22" s="1"/>
  <c r="R56" i="22" s="1"/>
  <c r="R57" i="22" s="1"/>
  <c r="R58" i="22" s="1"/>
  <c r="R59" i="22" s="1"/>
  <c r="R60" i="22" s="1"/>
  <c r="R61" i="22" s="1"/>
  <c r="R62" i="22" s="1"/>
  <c r="R63" i="22" s="1"/>
  <c r="R64" i="22" s="1"/>
  <c r="R65" i="22" s="1"/>
  <c r="R66" i="22" s="1"/>
  <c r="R67" i="22" s="1"/>
  <c r="R68" i="22" s="1"/>
  <c r="R69" i="22" s="1"/>
  <c r="R70" i="22" s="1"/>
  <c r="R71" i="22" s="1"/>
  <c r="R72" i="22" s="1"/>
  <c r="R73" i="22" s="1"/>
  <c r="R74" i="22" s="1"/>
  <c r="R75" i="22" s="1"/>
  <c r="R76" i="22" s="1"/>
  <c r="R77" i="22" s="1"/>
  <c r="R78" i="22" s="1"/>
  <c r="R79" i="22" s="1"/>
  <c r="R80" i="22" s="1"/>
  <c r="R81" i="22" s="1"/>
  <c r="R82" i="22" s="1"/>
  <c r="R83" i="22" s="1"/>
  <c r="R84" i="22" s="1"/>
  <c r="R85" i="22" s="1"/>
  <c r="R86" i="22" s="1"/>
  <c r="R87" i="22" s="1"/>
  <c r="R88" i="22" s="1"/>
  <c r="R89" i="22" s="1"/>
  <c r="N36" i="23"/>
  <c r="L47" i="23"/>
  <c r="L71" i="23"/>
  <c r="F71" i="23"/>
  <c r="F47" i="23"/>
  <c r="F75" i="23" s="1"/>
  <c r="H71" i="23"/>
  <c r="H47" i="23"/>
  <c r="H75" i="23" s="1"/>
  <c r="F72" i="23"/>
  <c r="F48" i="23"/>
  <c r="F76" i="23" s="1"/>
  <c r="F45" i="23"/>
  <c r="F73" i="23" s="1"/>
  <c r="F69" i="23"/>
  <c r="F66" i="23"/>
  <c r="F42" i="23"/>
  <c r="F68" i="23" s="1"/>
  <c r="L66" i="23"/>
  <c r="J47" i="23"/>
  <c r="J75" i="23" s="1"/>
  <c r="J71" i="23"/>
  <c r="G42" i="23"/>
  <c r="G68" i="23" s="1"/>
  <c r="G66" i="23"/>
  <c r="J70" i="23"/>
  <c r="J46" i="23"/>
  <c r="J74" i="23" s="1"/>
  <c r="H72" i="23"/>
  <c r="H48" i="23"/>
  <c r="H76" i="23" s="1"/>
  <c r="I67" i="23"/>
  <c r="I43" i="23"/>
  <c r="J72" i="23"/>
  <c r="J48" i="23"/>
  <c r="J76" i="23" s="1"/>
  <c r="G45" i="23"/>
  <c r="G73" i="23" s="1"/>
  <c r="G69" i="23"/>
  <c r="K70" i="23"/>
  <c r="K46" i="23"/>
  <c r="K74" i="23" s="1"/>
  <c r="L69" i="23"/>
  <c r="L45" i="23"/>
  <c r="K67" i="23"/>
  <c r="K43" i="23"/>
  <c r="I47" i="23"/>
  <c r="I75" i="23" s="1"/>
  <c r="I71" i="23"/>
  <c r="K47" i="23"/>
  <c r="K75" i="23" s="1"/>
  <c r="K71" i="23"/>
  <c r="G72" i="23"/>
  <c r="G48" i="23"/>
  <c r="G76" i="23" s="1"/>
  <c r="H66" i="23"/>
  <c r="H42" i="23"/>
  <c r="H68" i="23" s="1"/>
  <c r="I66" i="23"/>
  <c r="I42" i="23"/>
  <c r="I68" i="23" s="1"/>
  <c r="F70" i="23"/>
  <c r="F46" i="23"/>
  <c r="F74" i="23" s="1"/>
  <c r="K48" i="23"/>
  <c r="K76" i="23" s="1"/>
  <c r="K72" i="23"/>
  <c r="L46" i="23"/>
  <c r="L70" i="23"/>
  <c r="G70" i="23"/>
  <c r="G46" i="23"/>
  <c r="G74" i="23" s="1"/>
  <c r="F67" i="23"/>
  <c r="F43" i="23"/>
  <c r="H45" i="23"/>
  <c r="H73" i="23" s="1"/>
  <c r="H69" i="23"/>
  <c r="K66" i="23"/>
  <c r="K42" i="23"/>
  <c r="K68" i="23" s="1"/>
  <c r="F29" i="24"/>
  <c r="E29" i="24"/>
  <c r="G18" i="24"/>
  <c r="F18" i="24"/>
  <c r="E18" i="24"/>
  <c r="D18" i="24"/>
  <c r="I45" i="23"/>
  <c r="I73" i="23" s="1"/>
  <c r="I69" i="23"/>
  <c r="I48" i="23"/>
  <c r="I76" i="23" s="1"/>
  <c r="I72" i="23"/>
  <c r="G67" i="23"/>
  <c r="G43" i="23"/>
  <c r="H70" i="23"/>
  <c r="H46" i="23"/>
  <c r="H74" i="23" s="1"/>
  <c r="H67" i="23"/>
  <c r="H43" i="23"/>
  <c r="H11" i="26"/>
  <c r="J45" i="23"/>
  <c r="J73" i="23" s="1"/>
  <c r="J69" i="23"/>
  <c r="L48" i="23"/>
  <c r="L72" i="23"/>
  <c r="J67" i="23"/>
  <c r="J43" i="23"/>
  <c r="G47" i="23"/>
  <c r="G75" i="23" s="1"/>
  <c r="G71" i="23"/>
  <c r="L43" i="23"/>
  <c r="L67" i="23"/>
  <c r="K69" i="23"/>
  <c r="K45" i="23"/>
  <c r="K73" i="23" s="1"/>
  <c r="I70" i="23"/>
  <c r="I46" i="23"/>
  <c r="I74" i="23" s="1"/>
  <c r="J66" i="23"/>
  <c r="J42" i="23"/>
  <c r="J68" i="23" s="1"/>
  <c r="P42" i="23" l="1"/>
  <c r="I90" i="23"/>
  <c r="D29" i="24"/>
  <c r="G88" i="23"/>
  <c r="J10" i="23"/>
  <c r="J13" i="23" s="1"/>
  <c r="H10" i="23"/>
  <c r="H18" i="23" s="1"/>
  <c r="V6" i="22"/>
  <c r="V7" i="22" s="1"/>
  <c r="V8" i="22" s="1"/>
  <c r="V9" i="22" s="1"/>
  <c r="V10" i="22" s="1"/>
  <c r="V11" i="22" s="1"/>
  <c r="V12" i="22" s="1"/>
  <c r="V13" i="22" s="1"/>
  <c r="V14" i="22" s="1"/>
  <c r="V15" i="22" s="1"/>
  <c r="V16" i="22" s="1"/>
  <c r="V17" i="22" s="1"/>
  <c r="V18" i="22" s="1"/>
  <c r="V19" i="22" s="1"/>
  <c r="V20" i="22" s="1"/>
  <c r="V21" i="22" s="1"/>
  <c r="V22" i="22" s="1"/>
  <c r="V23" i="22" s="1"/>
  <c r="V24" i="22" s="1"/>
  <c r="V25" i="22" s="1"/>
  <c r="V26" i="22" s="1"/>
  <c r="V27" i="22" s="1"/>
  <c r="V28" i="22" s="1"/>
  <c r="V29" i="22" s="1"/>
  <c r="V30" i="22" s="1"/>
  <c r="V31" i="22" s="1"/>
  <c r="V32" i="22" s="1"/>
  <c r="V33" i="22" s="1"/>
  <c r="V34" i="22" s="1"/>
  <c r="V35" i="22" s="1"/>
  <c r="V36" i="22" s="1"/>
  <c r="V37" i="22" s="1"/>
  <c r="V38" i="22" s="1"/>
  <c r="V39" i="22" s="1"/>
  <c r="V40" i="22" s="1"/>
  <c r="V41" i="22" s="1"/>
  <c r="V42" i="22" s="1"/>
  <c r="V43" i="22" s="1"/>
  <c r="V44" i="22" s="1"/>
  <c r="V45" i="22" s="1"/>
  <c r="V46" i="22" s="1"/>
  <c r="V47" i="22" s="1"/>
  <c r="V48" i="22" s="1"/>
  <c r="V49" i="22" s="1"/>
  <c r="V50" i="22" s="1"/>
  <c r="V51" i="22" s="1"/>
  <c r="V52" i="22" s="1"/>
  <c r="V53" i="22" s="1"/>
  <c r="V54" i="22" s="1"/>
  <c r="V55" i="22" s="1"/>
  <c r="V56" i="22" s="1"/>
  <c r="V57" i="22" s="1"/>
  <c r="V58" i="22" s="1"/>
  <c r="V59" i="22" s="1"/>
  <c r="V60" i="22" s="1"/>
  <c r="V61" i="22" s="1"/>
  <c r="V62" i="22" s="1"/>
  <c r="V63" i="22" s="1"/>
  <c r="V64" i="22" s="1"/>
  <c r="V65" i="22" s="1"/>
  <c r="V66" i="22" s="1"/>
  <c r="V67" i="22" s="1"/>
  <c r="V68" i="22" s="1"/>
  <c r="V69" i="22" s="1"/>
  <c r="V70" i="22" s="1"/>
  <c r="V71" i="22" s="1"/>
  <c r="V72" i="22" s="1"/>
  <c r="V73" i="22" s="1"/>
  <c r="V74" i="22" s="1"/>
  <c r="V75" i="22" s="1"/>
  <c r="V76" i="22" s="1"/>
  <c r="V77" i="22" s="1"/>
  <c r="V78" i="22" s="1"/>
  <c r="V79" i="22" s="1"/>
  <c r="V80" i="22" s="1"/>
  <c r="V81" i="22" s="1"/>
  <c r="V82" i="22" s="1"/>
  <c r="V83" i="22" s="1"/>
  <c r="V84" i="22" s="1"/>
  <c r="V85" i="22" s="1"/>
  <c r="V86" i="22" s="1"/>
  <c r="V87" i="22" s="1"/>
  <c r="V88" i="22" s="1"/>
  <c r="V89" i="22" s="1"/>
  <c r="M48" i="23"/>
  <c r="N48" i="23" s="1"/>
  <c r="O48" i="23" s="1"/>
  <c r="P48" i="23" s="1"/>
  <c r="Q48" i="23" s="1"/>
  <c r="R48" i="23" s="1"/>
  <c r="S48" i="23" s="1"/>
  <c r="T48" i="23" s="1"/>
  <c r="U48" i="23" s="1"/>
  <c r="V48" i="23" s="1"/>
  <c r="W48" i="23" s="1"/>
  <c r="X48" i="23" s="1"/>
  <c r="L76" i="23"/>
  <c r="K10" i="23"/>
  <c r="F10" i="23"/>
  <c r="I10" i="23"/>
  <c r="L18" i="23"/>
  <c r="M45" i="23"/>
  <c r="N45" i="23" s="1"/>
  <c r="O45" i="23" s="1"/>
  <c r="P45" i="23" s="1"/>
  <c r="Q45" i="23" s="1"/>
  <c r="R45" i="23" s="1"/>
  <c r="S45" i="23" s="1"/>
  <c r="T45" i="23" s="1"/>
  <c r="U45" i="23" s="1"/>
  <c r="V45" i="23" s="1"/>
  <c r="W45" i="23" s="1"/>
  <c r="X45" i="23" s="1"/>
  <c r="L73" i="23"/>
  <c r="L68" i="23"/>
  <c r="F90" i="23"/>
  <c r="M46" i="23"/>
  <c r="N46" i="23" s="1"/>
  <c r="O46" i="23" s="1"/>
  <c r="P46" i="23" s="1"/>
  <c r="Q46" i="23" s="1"/>
  <c r="R46" i="23" s="1"/>
  <c r="S46" i="23" s="1"/>
  <c r="T46" i="23" s="1"/>
  <c r="U46" i="23" s="1"/>
  <c r="V46" i="23" s="1"/>
  <c r="W46" i="23" s="1"/>
  <c r="X46" i="23" s="1"/>
  <c r="L74" i="23"/>
  <c r="G10" i="23"/>
  <c r="M47" i="23"/>
  <c r="N47" i="23" s="1"/>
  <c r="O47" i="23" s="1"/>
  <c r="P47" i="23" s="1"/>
  <c r="Q47" i="23" s="1"/>
  <c r="R47" i="23" s="1"/>
  <c r="S47" i="23" s="1"/>
  <c r="T47" i="23" s="1"/>
  <c r="U47" i="23" s="1"/>
  <c r="V47" i="23" s="1"/>
  <c r="W47" i="23" s="1"/>
  <c r="X47" i="23" s="1"/>
  <c r="L75" i="23"/>
  <c r="H88" i="23"/>
  <c r="O36" i="23"/>
  <c r="F89" i="23"/>
  <c r="F91" i="23" s="1"/>
  <c r="M43" i="23"/>
  <c r="Q42" i="23" l="1"/>
  <c r="J82" i="23"/>
  <c r="J18" i="23"/>
  <c r="J84" i="23" s="1"/>
  <c r="J23" i="23"/>
  <c r="J26" i="23" s="1"/>
  <c r="H13" i="23"/>
  <c r="H83" i="23" s="1"/>
  <c r="H82" i="23"/>
  <c r="H23" i="23"/>
  <c r="H26" i="23" s="1"/>
  <c r="F13" i="23"/>
  <c r="F11" i="23"/>
  <c r="G11" i="23" s="1"/>
  <c r="H11" i="23" s="1"/>
  <c r="I11" i="23" s="1"/>
  <c r="J11" i="23" s="1"/>
  <c r="K11" i="23" s="1"/>
  <c r="L11" i="23" s="1"/>
  <c r="F82" i="23"/>
  <c r="F23" i="23"/>
  <c r="F18" i="23"/>
  <c r="J83" i="23"/>
  <c r="J16" i="23"/>
  <c r="G89" i="23"/>
  <c r="G91" i="23" s="1"/>
  <c r="H90" i="23"/>
  <c r="G90" i="23"/>
  <c r="N43" i="23"/>
  <c r="K23" i="23"/>
  <c r="K82" i="23"/>
  <c r="K18" i="23"/>
  <c r="K13" i="23"/>
  <c r="H21" i="23"/>
  <c r="H84" i="23"/>
  <c r="P36" i="23"/>
  <c r="P13" i="23" s="1"/>
  <c r="I88" i="23"/>
  <c r="I91" i="23" s="1"/>
  <c r="G13" i="23"/>
  <c r="G18" i="23"/>
  <c r="G82" i="23"/>
  <c r="G23" i="23"/>
  <c r="L82" i="23"/>
  <c r="L13" i="23"/>
  <c r="F97" i="23" s="1"/>
  <c r="L23" i="23"/>
  <c r="I13" i="23"/>
  <c r="I23" i="23"/>
  <c r="I82" i="23"/>
  <c r="I18" i="23"/>
  <c r="G94" i="23" l="1"/>
  <c r="G93" i="23"/>
  <c r="G92" i="23"/>
  <c r="I92" i="23"/>
  <c r="I93" i="23"/>
  <c r="I94" i="23"/>
  <c r="N13" i="23"/>
  <c r="P18" i="23"/>
  <c r="P21" i="23" s="1"/>
  <c r="R42" i="23"/>
  <c r="P23" i="23"/>
  <c r="P26" i="23" s="1"/>
  <c r="M13" i="23"/>
  <c r="M10" i="23" s="1"/>
  <c r="M11" i="23" s="1"/>
  <c r="J21" i="23"/>
  <c r="H85" i="23"/>
  <c r="J85" i="23"/>
  <c r="H16" i="23"/>
  <c r="M26" i="23"/>
  <c r="G99" i="23"/>
  <c r="G111" i="23" s="1"/>
  <c r="O26" i="23"/>
  <c r="I99" i="23"/>
  <c r="I111" i="23" s="1"/>
  <c r="F21" i="23"/>
  <c r="F84" i="23"/>
  <c r="F19" i="23"/>
  <c r="G98" i="23"/>
  <c r="G107" i="23" s="1"/>
  <c r="M21" i="23"/>
  <c r="F99" i="23"/>
  <c r="F111" i="23" s="1"/>
  <c r="L85" i="23"/>
  <c r="L26" i="23"/>
  <c r="K16" i="23"/>
  <c r="K83" i="23"/>
  <c r="K84" i="23"/>
  <c r="K21" i="23"/>
  <c r="H89" i="23"/>
  <c r="H91" i="23" s="1"/>
  <c r="I85" i="23"/>
  <c r="I26" i="23"/>
  <c r="F24" i="23"/>
  <c r="F85" i="23"/>
  <c r="F26" i="23"/>
  <c r="O21" i="23"/>
  <c r="I98" i="23"/>
  <c r="I107" i="23" s="1"/>
  <c r="L83" i="23"/>
  <c r="L16" i="23"/>
  <c r="F103" i="23"/>
  <c r="I16" i="23"/>
  <c r="I83" i="23"/>
  <c r="G84" i="23"/>
  <c r="G21" i="23"/>
  <c r="Q36" i="23"/>
  <c r="Q13" i="23" s="1"/>
  <c r="L84" i="23"/>
  <c r="L21" i="23"/>
  <c r="F98" i="23"/>
  <c r="F107" i="23" s="1"/>
  <c r="K85" i="23"/>
  <c r="K26" i="23"/>
  <c r="G16" i="23"/>
  <c r="G83" i="23"/>
  <c r="G103" i="23"/>
  <c r="I84" i="23"/>
  <c r="I21" i="23"/>
  <c r="G85" i="23"/>
  <c r="G26" i="23"/>
  <c r="F14" i="23"/>
  <c r="F83" i="23"/>
  <c r="F16" i="23"/>
  <c r="M16" i="23" l="1"/>
  <c r="G97" i="23"/>
  <c r="F96" i="23"/>
  <c r="H93" i="23"/>
  <c r="H94" i="23"/>
  <c r="H92" i="23"/>
  <c r="S42" i="23"/>
  <c r="Q23" i="23"/>
  <c r="Q26" i="23" s="1"/>
  <c r="Q18" i="23"/>
  <c r="Q21" i="23" s="1"/>
  <c r="O13" i="23"/>
  <c r="G96" i="23"/>
  <c r="F17" i="23"/>
  <c r="G14" i="23"/>
  <c r="G24" i="23"/>
  <c r="F27" i="23"/>
  <c r="R36" i="23"/>
  <c r="R13" i="23" s="1"/>
  <c r="G19" i="23"/>
  <c r="F22" i="23"/>
  <c r="P16" i="23"/>
  <c r="P10" i="23"/>
  <c r="H98" i="23"/>
  <c r="H107" i="23" s="1"/>
  <c r="N21" i="23"/>
  <c r="N16" i="23"/>
  <c r="N10" i="23"/>
  <c r="N11" i="23" s="1"/>
  <c r="H97" i="23"/>
  <c r="H103" i="23"/>
  <c r="N26" i="23"/>
  <c r="H99" i="23"/>
  <c r="H111" i="23" s="1"/>
  <c r="F92" i="23" l="1"/>
  <c r="F93" i="23"/>
  <c r="F94" i="23"/>
  <c r="O10" i="23"/>
  <c r="O11" i="23" s="1"/>
  <c r="P11" i="23" s="1"/>
  <c r="O16" i="23"/>
  <c r="I97" i="23"/>
  <c r="I96" i="23" s="1"/>
  <c r="R18" i="23"/>
  <c r="R21" i="23" s="1"/>
  <c r="T42" i="23"/>
  <c r="S23" i="23"/>
  <c r="R23" i="23"/>
  <c r="R26" i="23" s="1"/>
  <c r="H19" i="23"/>
  <c r="G22" i="23"/>
  <c r="Q10" i="23"/>
  <c r="Q16" i="23"/>
  <c r="S36" i="23"/>
  <c r="S13" i="23" s="1"/>
  <c r="H24" i="23"/>
  <c r="G27" i="23"/>
  <c r="H96" i="23"/>
  <c r="H14" i="23"/>
  <c r="G17" i="23"/>
  <c r="F56" i="23"/>
  <c r="F61" i="23" s="1"/>
  <c r="F54" i="23"/>
  <c r="F55" i="23"/>
  <c r="U42" i="23" l="1"/>
  <c r="S18" i="23"/>
  <c r="S21" i="23" s="1"/>
  <c r="Q11" i="23"/>
  <c r="G56" i="23"/>
  <c r="G61" i="23" s="1"/>
  <c r="G55" i="23"/>
  <c r="G54" i="23"/>
  <c r="H17" i="23"/>
  <c r="I14" i="23"/>
  <c r="I24" i="23"/>
  <c r="H27" i="23"/>
  <c r="S26" i="23"/>
  <c r="T36" i="23"/>
  <c r="T13" i="23" s="1"/>
  <c r="R16" i="23"/>
  <c r="R10" i="23"/>
  <c r="I19" i="23"/>
  <c r="H22" i="23"/>
  <c r="T18" i="23" l="1"/>
  <c r="T21" i="23" s="1"/>
  <c r="T23" i="23"/>
  <c r="T26" i="23" s="1"/>
  <c r="V42" i="23"/>
  <c r="R11" i="23"/>
  <c r="J19" i="23"/>
  <c r="I22" i="23"/>
  <c r="U36" i="23"/>
  <c r="U13" i="23" s="1"/>
  <c r="S16" i="23"/>
  <c r="S10" i="23"/>
  <c r="I27" i="23"/>
  <c r="J24" i="23"/>
  <c r="I17" i="23"/>
  <c r="J14" i="23"/>
  <c r="H54" i="23"/>
  <c r="H56" i="23"/>
  <c r="H61" i="23" s="1"/>
  <c r="H55" i="23"/>
  <c r="U18" i="23" l="1"/>
  <c r="U23" i="23"/>
  <c r="W42" i="23"/>
  <c r="S11" i="23"/>
  <c r="K14" i="23"/>
  <c r="J17" i="23"/>
  <c r="I56" i="23"/>
  <c r="I61" i="23" s="1"/>
  <c r="I54" i="23"/>
  <c r="I55" i="23"/>
  <c r="J27" i="23"/>
  <c r="K24" i="23"/>
  <c r="U21" i="23"/>
  <c r="V36" i="23"/>
  <c r="V13" i="23" s="1"/>
  <c r="U26" i="23"/>
  <c r="T16" i="23"/>
  <c r="T10" i="23"/>
  <c r="K19" i="23"/>
  <c r="J22" i="23"/>
  <c r="V18" i="23" l="1"/>
  <c r="V21" i="23" s="1"/>
  <c r="V23" i="23"/>
  <c r="V26" i="23" s="1"/>
  <c r="X42" i="23"/>
  <c r="T11" i="23"/>
  <c r="K22" i="23"/>
  <c r="L19" i="23"/>
  <c r="W36" i="23"/>
  <c r="W13" i="23" s="1"/>
  <c r="U16" i="23"/>
  <c r="U10" i="23"/>
  <c r="K27" i="23"/>
  <c r="L24" i="23"/>
  <c r="J54" i="23"/>
  <c r="J56" i="23"/>
  <c r="J61" i="23" s="1"/>
  <c r="J55" i="23"/>
  <c r="K17" i="23"/>
  <c r="L14" i="23"/>
  <c r="W18" i="23" l="1"/>
  <c r="W21" i="23" s="1"/>
  <c r="W23" i="23"/>
  <c r="W26" i="23" s="1"/>
  <c r="U11" i="23"/>
  <c r="K54" i="23"/>
  <c r="K56" i="23"/>
  <c r="K61" i="23" s="1"/>
  <c r="K55" i="23"/>
  <c r="F104" i="23"/>
  <c r="M14" i="23"/>
  <c r="L17" i="23"/>
  <c r="F112" i="23"/>
  <c r="L27" i="23"/>
  <c r="F113" i="23" s="1"/>
  <c r="M24" i="23"/>
  <c r="X36" i="23"/>
  <c r="X13" i="23" s="1"/>
  <c r="V16" i="23"/>
  <c r="V10" i="23"/>
  <c r="L22" i="23"/>
  <c r="F109" i="23" s="1"/>
  <c r="F108" i="23"/>
  <c r="M19" i="23"/>
  <c r="X23" i="23" l="1"/>
  <c r="X18" i="23"/>
  <c r="V11" i="23"/>
  <c r="X21" i="23"/>
  <c r="X26" i="23"/>
  <c r="W16" i="23"/>
  <c r="W10" i="23"/>
  <c r="M27" i="23"/>
  <c r="G113" i="23" s="1"/>
  <c r="G114" i="23" s="1"/>
  <c r="K121" i="23" s="1"/>
  <c r="N24" i="23"/>
  <c r="G112" i="23"/>
  <c r="F105" i="23"/>
  <c r="L54" i="23"/>
  <c r="L56" i="23"/>
  <c r="L61" i="23" s="1"/>
  <c r="L55" i="23"/>
  <c r="M17" i="23"/>
  <c r="G104" i="23"/>
  <c r="N14" i="23"/>
  <c r="G108" i="23"/>
  <c r="M22" i="23"/>
  <c r="G109" i="23" s="1"/>
  <c r="G110" i="23" s="1"/>
  <c r="J121" i="23" s="1"/>
  <c r="N19" i="23"/>
  <c r="K57" i="23"/>
  <c r="W11" i="23" l="1"/>
  <c r="H104" i="23"/>
  <c r="L105" i="23" s="1"/>
  <c r="N17" i="23"/>
  <c r="O14" i="23"/>
  <c r="M54" i="23"/>
  <c r="G106" i="23"/>
  <c r="I121" i="23" s="1"/>
  <c r="M56" i="23"/>
  <c r="M55" i="23"/>
  <c r="D5" i="26" s="1"/>
  <c r="L57" i="23"/>
  <c r="H112" i="23"/>
  <c r="L113" i="23" s="1"/>
  <c r="N27" i="23"/>
  <c r="H113" i="23" s="1"/>
  <c r="H114" i="23" s="1"/>
  <c r="N121" i="23" s="1"/>
  <c r="O24" i="23"/>
  <c r="K119" i="23"/>
  <c r="K118" i="23"/>
  <c r="K120" i="23"/>
  <c r="N22" i="23"/>
  <c r="H109" i="23" s="1"/>
  <c r="H110" i="23" s="1"/>
  <c r="M121" i="23" s="1"/>
  <c r="O19" i="23"/>
  <c r="H108" i="23"/>
  <c r="L109" i="23" s="1"/>
  <c r="X10" i="23"/>
  <c r="X16" i="23"/>
  <c r="J119" i="23"/>
  <c r="J118" i="23"/>
  <c r="J120" i="23"/>
  <c r="X11" i="23" l="1"/>
  <c r="M120" i="23"/>
  <c r="M119" i="23"/>
  <c r="M118" i="23"/>
  <c r="O27" i="23"/>
  <c r="I113" i="23" s="1"/>
  <c r="I114" i="23" s="1"/>
  <c r="P24" i="23"/>
  <c r="I112" i="23"/>
  <c r="N119" i="23"/>
  <c r="N120" i="23"/>
  <c r="N118" i="23"/>
  <c r="D6" i="26"/>
  <c r="D14" i="26" s="1"/>
  <c r="M61" i="23"/>
  <c r="G6" i="26" s="1"/>
  <c r="I119" i="23"/>
  <c r="F126" i="23" s="1"/>
  <c r="I118" i="23"/>
  <c r="I120" i="23"/>
  <c r="F127" i="23" s="1"/>
  <c r="D4" i="26"/>
  <c r="M57" i="23"/>
  <c r="I104" i="23"/>
  <c r="O17" i="23"/>
  <c r="I105" i="23" s="1"/>
  <c r="P14" i="23"/>
  <c r="N54" i="23"/>
  <c r="H105" i="23"/>
  <c r="H106" i="23" s="1"/>
  <c r="L121" i="23" s="1"/>
  <c r="N56" i="23"/>
  <c r="N55" i="23"/>
  <c r="E5" i="26" s="1"/>
  <c r="I108" i="23"/>
  <c r="O22" i="23"/>
  <c r="I109" i="23" s="1"/>
  <c r="I110" i="23" s="1"/>
  <c r="P19" i="23"/>
  <c r="AF15" i="8" l="1"/>
  <c r="AF15" i="30"/>
  <c r="F25" i="6"/>
  <c r="G14" i="26"/>
  <c r="G15" i="26" s="1"/>
  <c r="G7" i="26"/>
  <c r="D7" i="26"/>
  <c r="L119" i="23"/>
  <c r="G126" i="23" s="1"/>
  <c r="H126" i="23" s="1"/>
  <c r="L118" i="23"/>
  <c r="G125" i="23" s="1"/>
  <c r="H125" i="23" s="1"/>
  <c r="L120" i="23"/>
  <c r="G127" i="23" s="1"/>
  <c r="H127" i="23" s="1"/>
  <c r="P17" i="23"/>
  <c r="Q14" i="23"/>
  <c r="F128" i="23"/>
  <c r="P22" i="23"/>
  <c r="Q19" i="23"/>
  <c r="E6" i="26"/>
  <c r="E14" i="26" s="1"/>
  <c r="N61" i="23"/>
  <c r="H6" i="26" s="1"/>
  <c r="E4" i="26"/>
  <c r="N57" i="23"/>
  <c r="P27" i="23"/>
  <c r="Q24" i="23"/>
  <c r="I106" i="23"/>
  <c r="AF16" i="8" l="1"/>
  <c r="AF16" i="30"/>
  <c r="F26" i="6"/>
  <c r="H14" i="26"/>
  <c r="H15" i="26" s="1"/>
  <c r="G128" i="23"/>
  <c r="H128" i="23" s="1"/>
  <c r="Q22" i="23"/>
  <c r="R19" i="23"/>
  <c r="Q27" i="23"/>
  <c r="R24" i="23"/>
  <c r="Q17" i="23"/>
  <c r="R14" i="23"/>
  <c r="E7" i="26"/>
  <c r="H7" i="26"/>
  <c r="R17" i="23" l="1"/>
  <c r="S14" i="23"/>
  <c r="R22" i="23"/>
  <c r="S19" i="23"/>
  <c r="R27" i="23"/>
  <c r="S24" i="23"/>
  <c r="S27" i="23" l="1"/>
  <c r="T24" i="23"/>
  <c r="S22" i="23"/>
  <c r="T19" i="23"/>
  <c r="T14" i="23"/>
  <c r="S17" i="23"/>
  <c r="T17" i="23" l="1"/>
  <c r="U14" i="23"/>
  <c r="U19" i="23"/>
  <c r="T22" i="23"/>
  <c r="T27" i="23"/>
  <c r="U24" i="23"/>
  <c r="V24" i="23" l="1"/>
  <c r="U27" i="23"/>
  <c r="U22" i="23"/>
  <c r="V19" i="23"/>
  <c r="V14" i="23"/>
  <c r="U17" i="23"/>
  <c r="V17" i="23" l="1"/>
  <c r="W14" i="23"/>
  <c r="W19" i="23"/>
  <c r="V22" i="23"/>
  <c r="V27" i="23"/>
  <c r="W24" i="23"/>
  <c r="W22" i="23" l="1"/>
  <c r="X19" i="23"/>
  <c r="X22" i="23" s="1"/>
  <c r="X24" i="23"/>
  <c r="X27" i="23" s="1"/>
  <c r="W27" i="23"/>
  <c r="X14" i="23"/>
  <c r="X17" i="23" s="1"/>
  <c r="W17" i="23"/>
  <c r="D1" i="20" l="1"/>
  <c r="D1" i="19"/>
  <c r="D1" i="5"/>
  <c r="D1" i="3"/>
  <c r="B37" i="9"/>
  <c r="B36" i="9"/>
  <c r="B35" i="9"/>
  <c r="B34" i="9"/>
  <c r="B33" i="9"/>
  <c r="B28" i="9"/>
  <c r="B27" i="9"/>
  <c r="B16" i="9"/>
  <c r="B15" i="9"/>
  <c r="B14" i="9"/>
  <c r="B13" i="9"/>
  <c r="B12" i="9"/>
  <c r="AO5" i="8"/>
  <c r="AI5" i="8"/>
  <c r="C5" i="8"/>
  <c r="J145" i="20"/>
  <c r="J144" i="20"/>
  <c r="J143" i="20"/>
  <c r="J142" i="20"/>
  <c r="J141" i="20"/>
  <c r="J140" i="20"/>
  <c r="J139" i="20"/>
  <c r="J138" i="20"/>
  <c r="J137" i="20"/>
  <c r="J136" i="20"/>
  <c r="J135" i="20"/>
  <c r="J134" i="20"/>
  <c r="J133" i="20"/>
  <c r="J132" i="20"/>
  <c r="J131" i="20"/>
  <c r="J130" i="20"/>
  <c r="J129" i="20"/>
  <c r="J128" i="20"/>
  <c r="J127" i="20"/>
  <c r="J126" i="20"/>
  <c r="J125" i="20"/>
  <c r="J124" i="20"/>
  <c r="J123" i="20"/>
  <c r="J122" i="20"/>
  <c r="J121" i="20"/>
  <c r="F121" i="20"/>
  <c r="L121" i="20" s="1"/>
  <c r="A121" i="20"/>
  <c r="B121" i="20" s="1"/>
  <c r="J120" i="20"/>
  <c r="F120" i="20"/>
  <c r="L120" i="20" s="1"/>
  <c r="A120" i="20"/>
  <c r="C120" i="20" s="1"/>
  <c r="J119" i="20"/>
  <c r="F119" i="20"/>
  <c r="L119" i="20" s="1"/>
  <c r="A119" i="20"/>
  <c r="B119" i="20" s="1"/>
  <c r="J118" i="20"/>
  <c r="F118" i="20"/>
  <c r="L118" i="20" s="1"/>
  <c r="A118" i="20"/>
  <c r="C118" i="20" s="1"/>
  <c r="J117" i="20"/>
  <c r="F117" i="20"/>
  <c r="L117" i="20" s="1"/>
  <c r="A117" i="20"/>
  <c r="C117" i="20" s="1"/>
  <c r="J116" i="20"/>
  <c r="F116" i="20"/>
  <c r="L116" i="20" s="1"/>
  <c r="A116" i="20"/>
  <c r="B116" i="20" s="1"/>
  <c r="J115" i="20"/>
  <c r="F115" i="20"/>
  <c r="L115" i="20" s="1"/>
  <c r="A115" i="20"/>
  <c r="C115" i="20" s="1"/>
  <c r="J114" i="20"/>
  <c r="F114" i="20"/>
  <c r="L114" i="20" s="1"/>
  <c r="A114" i="20"/>
  <c r="C114" i="20" s="1"/>
  <c r="J113" i="20"/>
  <c r="F113" i="20"/>
  <c r="L113" i="20" s="1"/>
  <c r="A113" i="20"/>
  <c r="C113" i="20" s="1"/>
  <c r="J112" i="20"/>
  <c r="F112" i="20"/>
  <c r="L112" i="20" s="1"/>
  <c r="A112" i="20"/>
  <c r="J111" i="20"/>
  <c r="F111" i="20"/>
  <c r="L111" i="20" s="1"/>
  <c r="A111" i="20"/>
  <c r="C111" i="20" s="1"/>
  <c r="J110" i="20"/>
  <c r="F110" i="20"/>
  <c r="L110" i="20" s="1"/>
  <c r="A110" i="20"/>
  <c r="C110" i="20" s="1"/>
  <c r="J109" i="20"/>
  <c r="F109" i="20"/>
  <c r="L109" i="20" s="1"/>
  <c r="A109" i="20"/>
  <c r="B109" i="20" s="1"/>
  <c r="J108" i="20"/>
  <c r="F108" i="20"/>
  <c r="L108" i="20" s="1"/>
  <c r="A108" i="20"/>
  <c r="J107" i="20"/>
  <c r="F107" i="20"/>
  <c r="L107" i="20" s="1"/>
  <c r="A107" i="20"/>
  <c r="C107" i="20" s="1"/>
  <c r="J106" i="20"/>
  <c r="F106" i="20"/>
  <c r="L106" i="20" s="1"/>
  <c r="A106" i="20"/>
  <c r="C106" i="20" s="1"/>
  <c r="J105" i="20"/>
  <c r="F105" i="20"/>
  <c r="L105" i="20" s="1"/>
  <c r="A105" i="20"/>
  <c r="J104" i="20"/>
  <c r="F104" i="20"/>
  <c r="L104" i="20" s="1"/>
  <c r="A104" i="20"/>
  <c r="C104" i="20" s="1"/>
  <c r="J103" i="20"/>
  <c r="F103" i="20"/>
  <c r="L103" i="20" s="1"/>
  <c r="A103" i="20"/>
  <c r="C103" i="20" s="1"/>
  <c r="J102" i="20"/>
  <c r="F102" i="20"/>
  <c r="L102" i="20" s="1"/>
  <c r="A102" i="20"/>
  <c r="C102" i="20" s="1"/>
  <c r="J101" i="20"/>
  <c r="F101" i="20"/>
  <c r="L101" i="20" s="1"/>
  <c r="A101" i="20"/>
  <c r="C101" i="20" s="1"/>
  <c r="J100" i="20"/>
  <c r="F100" i="20"/>
  <c r="L100" i="20" s="1"/>
  <c r="A100" i="20"/>
  <c r="B100" i="20" s="1"/>
  <c r="J99" i="20"/>
  <c r="F99" i="20"/>
  <c r="L99" i="20" s="1"/>
  <c r="A99" i="20"/>
  <c r="J98" i="20"/>
  <c r="F98" i="20"/>
  <c r="L98" i="20" s="1"/>
  <c r="A98" i="20"/>
  <c r="J97" i="20"/>
  <c r="F97" i="20"/>
  <c r="L97" i="20" s="1"/>
  <c r="A97" i="20"/>
  <c r="C97" i="20" s="1"/>
  <c r="J96" i="20"/>
  <c r="F96" i="20"/>
  <c r="L96" i="20" s="1"/>
  <c r="A96" i="20"/>
  <c r="C96" i="20" s="1"/>
  <c r="J95" i="20"/>
  <c r="F95" i="20"/>
  <c r="L95" i="20" s="1"/>
  <c r="A95" i="20"/>
  <c r="C95" i="20" s="1"/>
  <c r="J94" i="20"/>
  <c r="F94" i="20"/>
  <c r="L94" i="20" s="1"/>
  <c r="A94" i="20"/>
  <c r="C94" i="20" s="1"/>
  <c r="J93" i="20"/>
  <c r="F93" i="20"/>
  <c r="L93" i="20" s="1"/>
  <c r="A93" i="20"/>
  <c r="C93" i="20" s="1"/>
  <c r="J92" i="20"/>
  <c r="F92" i="20"/>
  <c r="L92" i="20" s="1"/>
  <c r="A92" i="20"/>
  <c r="J91" i="20"/>
  <c r="F91" i="20"/>
  <c r="L91" i="20" s="1"/>
  <c r="A91" i="20"/>
  <c r="C91" i="20" s="1"/>
  <c r="J90" i="20"/>
  <c r="F90" i="20"/>
  <c r="L90" i="20" s="1"/>
  <c r="A90" i="20"/>
  <c r="C90" i="20" s="1"/>
  <c r="J89" i="20"/>
  <c r="F89" i="20"/>
  <c r="L89" i="20" s="1"/>
  <c r="A89" i="20"/>
  <c r="C89" i="20" s="1"/>
  <c r="J88" i="20"/>
  <c r="F88" i="20"/>
  <c r="L88" i="20" s="1"/>
  <c r="A88" i="20"/>
  <c r="B88" i="20" s="1"/>
  <c r="J87" i="20"/>
  <c r="F87" i="20"/>
  <c r="L87" i="20" s="1"/>
  <c r="A87" i="20"/>
  <c r="B87" i="20" s="1"/>
  <c r="J86" i="20"/>
  <c r="F86" i="20"/>
  <c r="L86" i="20" s="1"/>
  <c r="A86" i="20"/>
  <c r="J85" i="20"/>
  <c r="F85" i="20"/>
  <c r="L85" i="20" s="1"/>
  <c r="A85" i="20"/>
  <c r="J84" i="20"/>
  <c r="F84" i="20"/>
  <c r="L84" i="20" s="1"/>
  <c r="A84" i="20"/>
  <c r="B84" i="20" s="1"/>
  <c r="J83" i="20"/>
  <c r="F83" i="20"/>
  <c r="L83" i="20" s="1"/>
  <c r="A83" i="20"/>
  <c r="C83" i="20" s="1"/>
  <c r="J82" i="20"/>
  <c r="F82" i="20"/>
  <c r="L82" i="20" s="1"/>
  <c r="A82" i="20"/>
  <c r="J81" i="20"/>
  <c r="F81" i="20"/>
  <c r="L81" i="20" s="1"/>
  <c r="A81" i="20"/>
  <c r="C81" i="20" s="1"/>
  <c r="J80" i="20"/>
  <c r="F80" i="20"/>
  <c r="L80" i="20" s="1"/>
  <c r="A80" i="20"/>
  <c r="C80" i="20" s="1"/>
  <c r="J79" i="20"/>
  <c r="F79" i="20"/>
  <c r="L79" i="20" s="1"/>
  <c r="A79" i="20"/>
  <c r="C79" i="20" s="1"/>
  <c r="J78" i="20"/>
  <c r="F78" i="20"/>
  <c r="L78" i="20" s="1"/>
  <c r="A78" i="20"/>
  <c r="C78" i="20" s="1"/>
  <c r="J77" i="20"/>
  <c r="F77" i="20"/>
  <c r="L77" i="20" s="1"/>
  <c r="A77" i="20"/>
  <c r="C77" i="20" s="1"/>
  <c r="J76" i="20"/>
  <c r="F76" i="20"/>
  <c r="L76" i="20" s="1"/>
  <c r="A76" i="20"/>
  <c r="J75" i="20"/>
  <c r="F75" i="20"/>
  <c r="L75" i="20" s="1"/>
  <c r="A75" i="20"/>
  <c r="J74" i="20"/>
  <c r="F74" i="20"/>
  <c r="L74" i="20" s="1"/>
  <c r="A74" i="20"/>
  <c r="J73" i="20"/>
  <c r="F73" i="20"/>
  <c r="L73" i="20" s="1"/>
  <c r="A73" i="20"/>
  <c r="J72" i="20"/>
  <c r="F72" i="20"/>
  <c r="L72" i="20" s="1"/>
  <c r="A72" i="20"/>
  <c r="B72" i="20" s="1"/>
  <c r="J71" i="20"/>
  <c r="F71" i="20"/>
  <c r="L71" i="20" s="1"/>
  <c r="A71" i="20"/>
  <c r="B71" i="20" s="1"/>
  <c r="J70" i="20"/>
  <c r="F70" i="20"/>
  <c r="L70" i="20" s="1"/>
  <c r="A70" i="20"/>
  <c r="C70" i="20" s="1"/>
  <c r="J69" i="20"/>
  <c r="F69" i="20"/>
  <c r="L69" i="20" s="1"/>
  <c r="A69" i="20"/>
  <c r="C69" i="20" s="1"/>
  <c r="J68" i="20"/>
  <c r="F68" i="20"/>
  <c r="L68" i="20" s="1"/>
  <c r="A68" i="20"/>
  <c r="B68" i="20" s="1"/>
  <c r="J67" i="20"/>
  <c r="F67" i="20"/>
  <c r="L67" i="20" s="1"/>
  <c r="A67" i="20"/>
  <c r="B67" i="20" s="1"/>
  <c r="J66" i="20"/>
  <c r="F66" i="20"/>
  <c r="L66" i="20" s="1"/>
  <c r="A66" i="20"/>
  <c r="C66" i="20" s="1"/>
  <c r="J65" i="20"/>
  <c r="F65" i="20"/>
  <c r="L65" i="20" s="1"/>
  <c r="A65" i="20"/>
  <c r="C65" i="20" s="1"/>
  <c r="J64" i="20"/>
  <c r="F64" i="20"/>
  <c r="L64" i="20" s="1"/>
  <c r="A64" i="20"/>
  <c r="C64" i="20" s="1"/>
  <c r="J63" i="20"/>
  <c r="F63" i="20"/>
  <c r="L63" i="20" s="1"/>
  <c r="A63" i="20"/>
  <c r="B63" i="20" s="1"/>
  <c r="J62" i="20"/>
  <c r="F62" i="20"/>
  <c r="L62" i="20" s="1"/>
  <c r="A62" i="20"/>
  <c r="C62" i="20" s="1"/>
  <c r="J61" i="20"/>
  <c r="F61" i="20"/>
  <c r="L61" i="20" s="1"/>
  <c r="A61" i="20"/>
  <c r="C61" i="20" s="1"/>
  <c r="J60" i="20"/>
  <c r="F60" i="20"/>
  <c r="L60" i="20" s="1"/>
  <c r="A60" i="20"/>
  <c r="J59" i="20"/>
  <c r="F59" i="20"/>
  <c r="L59" i="20" s="1"/>
  <c r="A59" i="20"/>
  <c r="C59" i="20" s="1"/>
  <c r="J58" i="20"/>
  <c r="F58" i="20"/>
  <c r="L58" i="20" s="1"/>
  <c r="A58" i="20"/>
  <c r="C58" i="20" s="1"/>
  <c r="J57" i="20"/>
  <c r="F57" i="20"/>
  <c r="L57" i="20" s="1"/>
  <c r="A57" i="20"/>
  <c r="C57" i="20" s="1"/>
  <c r="J56" i="20"/>
  <c r="F56" i="20"/>
  <c r="L56" i="20" s="1"/>
  <c r="A56" i="20"/>
  <c r="C56" i="20" s="1"/>
  <c r="J55" i="20"/>
  <c r="F55" i="20"/>
  <c r="L55" i="20" s="1"/>
  <c r="A55" i="20"/>
  <c r="C55" i="20" s="1"/>
  <c r="J54" i="20"/>
  <c r="F54" i="20"/>
  <c r="L54" i="20" s="1"/>
  <c r="A54" i="20"/>
  <c r="B54" i="20" s="1"/>
  <c r="J53" i="20"/>
  <c r="F53" i="20"/>
  <c r="L53" i="20" s="1"/>
  <c r="A53" i="20"/>
  <c r="C53" i="20" s="1"/>
  <c r="J52" i="20"/>
  <c r="F52" i="20"/>
  <c r="L52" i="20" s="1"/>
  <c r="A52" i="20"/>
  <c r="J51" i="20"/>
  <c r="F51" i="20"/>
  <c r="L51" i="20" s="1"/>
  <c r="A51" i="20"/>
  <c r="C51" i="20" s="1"/>
  <c r="J50" i="20"/>
  <c r="F50" i="20"/>
  <c r="L50" i="20" s="1"/>
  <c r="A50" i="20"/>
  <c r="C50" i="20" s="1"/>
  <c r="J49" i="20"/>
  <c r="F49" i="20"/>
  <c r="L49" i="20" s="1"/>
  <c r="A49" i="20"/>
  <c r="C49" i="20" s="1"/>
  <c r="J48" i="20"/>
  <c r="F48" i="20"/>
  <c r="L48" i="20" s="1"/>
  <c r="A48" i="20"/>
  <c r="C48" i="20" s="1"/>
  <c r="J47" i="20"/>
  <c r="F47" i="20"/>
  <c r="L47" i="20" s="1"/>
  <c r="A47" i="20"/>
  <c r="J46" i="20"/>
  <c r="F46" i="20"/>
  <c r="L46" i="20" s="1"/>
  <c r="A46" i="20"/>
  <c r="C46" i="20" s="1"/>
  <c r="J45" i="20"/>
  <c r="F45" i="20"/>
  <c r="L45" i="20" s="1"/>
  <c r="A45" i="20"/>
  <c r="C45" i="20" s="1"/>
  <c r="J44" i="20"/>
  <c r="F44" i="20"/>
  <c r="L44" i="20" s="1"/>
  <c r="A44" i="20"/>
  <c r="J43" i="20"/>
  <c r="F43" i="20"/>
  <c r="L43" i="20" s="1"/>
  <c r="A43" i="20"/>
  <c r="B43" i="20" s="1"/>
  <c r="J42" i="20"/>
  <c r="F42" i="20"/>
  <c r="L42" i="20" s="1"/>
  <c r="A42" i="20"/>
  <c r="B42" i="20" s="1"/>
  <c r="J41" i="20"/>
  <c r="F41" i="20"/>
  <c r="L41" i="20" s="1"/>
  <c r="A41" i="20"/>
  <c r="C41" i="20" s="1"/>
  <c r="J40" i="20"/>
  <c r="F40" i="20"/>
  <c r="L40" i="20" s="1"/>
  <c r="A40" i="20"/>
  <c r="C40" i="20" s="1"/>
  <c r="J39" i="20"/>
  <c r="F39" i="20"/>
  <c r="L39" i="20" s="1"/>
  <c r="A39" i="20"/>
  <c r="B39" i="20" s="1"/>
  <c r="J38" i="20"/>
  <c r="F38" i="20"/>
  <c r="L38" i="20" s="1"/>
  <c r="A38" i="20"/>
  <c r="C38" i="20" s="1"/>
  <c r="J37" i="20"/>
  <c r="F37" i="20"/>
  <c r="L37" i="20" s="1"/>
  <c r="A37" i="20"/>
  <c r="C37" i="20" s="1"/>
  <c r="J36" i="20"/>
  <c r="F36" i="20"/>
  <c r="L36" i="20" s="1"/>
  <c r="A36" i="20"/>
  <c r="B36" i="20" s="1"/>
  <c r="J35" i="20"/>
  <c r="F35" i="20"/>
  <c r="L35" i="20" s="1"/>
  <c r="A35" i="20"/>
  <c r="J34" i="20"/>
  <c r="F34" i="20"/>
  <c r="L34" i="20" s="1"/>
  <c r="A34" i="20"/>
  <c r="C34" i="20" s="1"/>
  <c r="J33" i="20"/>
  <c r="F33" i="20"/>
  <c r="L33" i="20" s="1"/>
  <c r="A33" i="20"/>
  <c r="C33" i="20" s="1"/>
  <c r="J32" i="20"/>
  <c r="F32" i="20"/>
  <c r="L32" i="20" s="1"/>
  <c r="A32" i="20"/>
  <c r="C32" i="20" s="1"/>
  <c r="J31" i="20"/>
  <c r="F31" i="20"/>
  <c r="L31" i="20" s="1"/>
  <c r="A31" i="20"/>
  <c r="J30" i="20"/>
  <c r="F30" i="20"/>
  <c r="L30" i="20" s="1"/>
  <c r="A30" i="20"/>
  <c r="C30" i="20" s="1"/>
  <c r="J29" i="20"/>
  <c r="F29" i="20"/>
  <c r="L29" i="20" s="1"/>
  <c r="A29" i="20"/>
  <c r="C29" i="20" s="1"/>
  <c r="J28" i="20"/>
  <c r="F28" i="20"/>
  <c r="L28" i="20" s="1"/>
  <c r="A28" i="20"/>
  <c r="J27" i="20"/>
  <c r="F27" i="20"/>
  <c r="L27" i="20" s="1"/>
  <c r="A27" i="20"/>
  <c r="C27" i="20" s="1"/>
  <c r="J26" i="20"/>
  <c r="F26" i="20"/>
  <c r="L26" i="20" s="1"/>
  <c r="A26" i="20"/>
  <c r="C26" i="20" s="1"/>
  <c r="J25" i="20"/>
  <c r="F25" i="20"/>
  <c r="L25" i="20" s="1"/>
  <c r="A25" i="20"/>
  <c r="C25" i="20" s="1"/>
  <c r="J24" i="20"/>
  <c r="F24" i="20"/>
  <c r="L24" i="20" s="1"/>
  <c r="A24" i="20"/>
  <c r="B24" i="20" s="1"/>
  <c r="J23" i="20"/>
  <c r="F23" i="20"/>
  <c r="L23" i="20" s="1"/>
  <c r="A23" i="20"/>
  <c r="B23" i="20" s="1"/>
  <c r="J22" i="20"/>
  <c r="F22" i="20"/>
  <c r="L22" i="20" s="1"/>
  <c r="A22" i="20"/>
  <c r="J21" i="20"/>
  <c r="F21" i="20"/>
  <c r="L21" i="20" s="1"/>
  <c r="A21" i="20"/>
  <c r="C21" i="20" s="1"/>
  <c r="J20" i="20"/>
  <c r="F20" i="20"/>
  <c r="L20" i="20" s="1"/>
  <c r="A20" i="20"/>
  <c r="B20" i="20" s="1"/>
  <c r="J19" i="20"/>
  <c r="F19" i="20"/>
  <c r="L19" i="20" s="1"/>
  <c r="A19" i="20"/>
  <c r="B19" i="20" s="1"/>
  <c r="J18" i="20"/>
  <c r="F18" i="20"/>
  <c r="L18" i="20" s="1"/>
  <c r="A18" i="20"/>
  <c r="C18" i="20" s="1"/>
  <c r="J17" i="20"/>
  <c r="F17" i="20"/>
  <c r="L17" i="20" s="1"/>
  <c r="A17" i="20"/>
  <c r="J16" i="20"/>
  <c r="F16" i="20"/>
  <c r="L16" i="20" s="1"/>
  <c r="A16" i="20"/>
  <c r="C16" i="20" s="1"/>
  <c r="J15" i="20"/>
  <c r="F15" i="20"/>
  <c r="L15" i="20" s="1"/>
  <c r="A15" i="20"/>
  <c r="J14" i="20"/>
  <c r="F14" i="20"/>
  <c r="L14" i="20" s="1"/>
  <c r="A14" i="20"/>
  <c r="B14" i="20" s="1"/>
  <c r="J13" i="20"/>
  <c r="F13" i="20"/>
  <c r="L13" i="20" s="1"/>
  <c r="A13" i="20"/>
  <c r="J12" i="20"/>
  <c r="F12" i="20"/>
  <c r="L12" i="20" s="1"/>
  <c r="A12" i="20"/>
  <c r="C12" i="20" s="1"/>
  <c r="J11" i="20"/>
  <c r="F11" i="20"/>
  <c r="L11" i="20" s="1"/>
  <c r="A11" i="20"/>
  <c r="J10" i="20"/>
  <c r="F10" i="20"/>
  <c r="L10" i="20" s="1"/>
  <c r="A10" i="20"/>
  <c r="C10" i="20" s="1"/>
  <c r="J9" i="20"/>
  <c r="F9" i="20"/>
  <c r="L9" i="20" s="1"/>
  <c r="A9" i="20"/>
  <c r="C9" i="20" s="1"/>
  <c r="J8" i="20"/>
  <c r="F8" i="20"/>
  <c r="L8" i="20" s="1"/>
  <c r="C8" i="20"/>
  <c r="A8" i="20"/>
  <c r="B8" i="20" s="1"/>
  <c r="J7" i="20"/>
  <c r="F7" i="20"/>
  <c r="L7" i="20" s="1"/>
  <c r="A7" i="20"/>
  <c r="J6" i="20"/>
  <c r="F6" i="20"/>
  <c r="L6" i="20" s="1"/>
  <c r="A6" i="20"/>
  <c r="J5" i="20"/>
  <c r="F5" i="20"/>
  <c r="L5" i="20" s="1"/>
  <c r="A5" i="20"/>
  <c r="C5" i="20" s="1"/>
  <c r="J4" i="20"/>
  <c r="F4" i="20"/>
  <c r="L4" i="20" s="1"/>
  <c r="A4" i="20"/>
  <c r="C4" i="20" s="1"/>
  <c r="J3" i="20"/>
  <c r="F3" i="20"/>
  <c r="L3" i="20" s="1"/>
  <c r="A3" i="20"/>
  <c r="J2" i="20"/>
  <c r="F2" i="20"/>
  <c r="L2" i="20" s="1"/>
  <c r="A2" i="20"/>
  <c r="C2" i="20" s="1"/>
  <c r="N1" i="20"/>
  <c r="F1" i="20"/>
  <c r="L1" i="20" s="1"/>
  <c r="K1" i="20"/>
  <c r="A1" i="20"/>
  <c r="I145" i="19"/>
  <c r="I144" i="19"/>
  <c r="I143" i="19"/>
  <c r="I142" i="19"/>
  <c r="I141" i="19"/>
  <c r="I140" i="19"/>
  <c r="I139" i="19"/>
  <c r="I138" i="19"/>
  <c r="I137" i="19"/>
  <c r="I136" i="19"/>
  <c r="I135" i="19"/>
  <c r="I134" i="19"/>
  <c r="I133" i="19"/>
  <c r="I132" i="19"/>
  <c r="I131" i="19"/>
  <c r="I130" i="19"/>
  <c r="I129" i="19"/>
  <c r="I128" i="19"/>
  <c r="I127" i="19"/>
  <c r="I126" i="19"/>
  <c r="I125" i="19"/>
  <c r="I124" i="19"/>
  <c r="I123" i="19"/>
  <c r="I122" i="19"/>
  <c r="I121" i="19"/>
  <c r="A121" i="19"/>
  <c r="B121" i="19" s="1"/>
  <c r="I120" i="19"/>
  <c r="A120" i="19"/>
  <c r="C120" i="19" s="1"/>
  <c r="I119" i="19"/>
  <c r="A119" i="19"/>
  <c r="B119" i="19" s="1"/>
  <c r="I118" i="19"/>
  <c r="B118" i="19"/>
  <c r="A118" i="19"/>
  <c r="C118" i="19" s="1"/>
  <c r="I117" i="19"/>
  <c r="A117" i="19"/>
  <c r="I116" i="19"/>
  <c r="A116" i="19"/>
  <c r="B116" i="19" s="1"/>
  <c r="I115" i="19"/>
  <c r="A115" i="19"/>
  <c r="C115" i="19" s="1"/>
  <c r="I114" i="19"/>
  <c r="A114" i="19"/>
  <c r="C114" i="19" s="1"/>
  <c r="I113" i="19"/>
  <c r="A113" i="19"/>
  <c r="C113" i="19" s="1"/>
  <c r="I112" i="19"/>
  <c r="A112" i="19"/>
  <c r="B112" i="19" s="1"/>
  <c r="I111" i="19"/>
  <c r="A111" i="19"/>
  <c r="C111" i="19" s="1"/>
  <c r="I110" i="19"/>
  <c r="A110" i="19"/>
  <c r="B110" i="19" s="1"/>
  <c r="I109" i="19"/>
  <c r="A109" i="19"/>
  <c r="B109" i="19" s="1"/>
  <c r="I108" i="19"/>
  <c r="A108" i="19"/>
  <c r="I107" i="19"/>
  <c r="A107" i="19"/>
  <c r="C107" i="19" s="1"/>
  <c r="I106" i="19"/>
  <c r="A106" i="19"/>
  <c r="I105" i="19"/>
  <c r="A105" i="19"/>
  <c r="C105" i="19" s="1"/>
  <c r="I104" i="19"/>
  <c r="A104" i="19"/>
  <c r="I103" i="19"/>
  <c r="A103" i="19"/>
  <c r="C103" i="19" s="1"/>
  <c r="I102" i="19"/>
  <c r="A102" i="19"/>
  <c r="C102" i="19" s="1"/>
  <c r="I101" i="19"/>
  <c r="A101" i="19"/>
  <c r="C101" i="19" s="1"/>
  <c r="I100" i="19"/>
  <c r="A100" i="19"/>
  <c r="B100" i="19" s="1"/>
  <c r="I99" i="19"/>
  <c r="A99" i="19"/>
  <c r="I98" i="19"/>
  <c r="A98" i="19"/>
  <c r="B98" i="19" s="1"/>
  <c r="I97" i="19"/>
  <c r="A97" i="19"/>
  <c r="B97" i="19" s="1"/>
  <c r="I96" i="19"/>
  <c r="A96" i="19"/>
  <c r="B96" i="19" s="1"/>
  <c r="I95" i="19"/>
  <c r="A95" i="19"/>
  <c r="B95" i="19" s="1"/>
  <c r="I94" i="19"/>
  <c r="A94" i="19"/>
  <c r="C94" i="19" s="1"/>
  <c r="I93" i="19"/>
  <c r="A93" i="19"/>
  <c r="B93" i="19" s="1"/>
  <c r="I92" i="19"/>
  <c r="A92" i="19"/>
  <c r="C92" i="19" s="1"/>
  <c r="I91" i="19"/>
  <c r="A91" i="19"/>
  <c r="C91" i="19" s="1"/>
  <c r="I90" i="19"/>
  <c r="A90" i="19"/>
  <c r="I89" i="19"/>
  <c r="A89" i="19"/>
  <c r="B89" i="19" s="1"/>
  <c r="I88" i="19"/>
  <c r="A88" i="19"/>
  <c r="B88" i="19" s="1"/>
  <c r="I87" i="19"/>
  <c r="A87" i="19"/>
  <c r="B87" i="19" s="1"/>
  <c r="I86" i="19"/>
  <c r="A86" i="19"/>
  <c r="I85" i="19"/>
  <c r="A85" i="19"/>
  <c r="C85" i="19" s="1"/>
  <c r="I84" i="19"/>
  <c r="A84" i="19"/>
  <c r="B84" i="19" s="1"/>
  <c r="I83" i="19"/>
  <c r="A83" i="19"/>
  <c r="C83" i="19" s="1"/>
  <c r="I82" i="19"/>
  <c r="A82" i="19"/>
  <c r="C82" i="19" s="1"/>
  <c r="I81" i="19"/>
  <c r="A81" i="19"/>
  <c r="I80" i="19"/>
  <c r="A80" i="19"/>
  <c r="C80" i="19" s="1"/>
  <c r="I79" i="19"/>
  <c r="A79" i="19"/>
  <c r="C79" i="19" s="1"/>
  <c r="I78" i="19"/>
  <c r="A78" i="19"/>
  <c r="C78" i="19" s="1"/>
  <c r="I77" i="19"/>
  <c r="A77" i="19"/>
  <c r="C77" i="19" s="1"/>
  <c r="I76" i="19"/>
  <c r="A76" i="19"/>
  <c r="B76" i="19" s="1"/>
  <c r="I75" i="19"/>
  <c r="A75" i="19"/>
  <c r="I74" i="19"/>
  <c r="A74" i="19"/>
  <c r="B74" i="19" s="1"/>
  <c r="I73" i="19"/>
  <c r="A73" i="19"/>
  <c r="C73" i="19" s="1"/>
  <c r="I72" i="19"/>
  <c r="A72" i="19"/>
  <c r="C72" i="19" s="1"/>
  <c r="I71" i="19"/>
  <c r="A71" i="19"/>
  <c r="B71" i="19" s="1"/>
  <c r="I70" i="19"/>
  <c r="A70" i="19"/>
  <c r="C70" i="19" s="1"/>
  <c r="I69" i="19"/>
  <c r="A69" i="19"/>
  <c r="I68" i="19"/>
  <c r="A68" i="19"/>
  <c r="B68" i="19" s="1"/>
  <c r="I67" i="19"/>
  <c r="A67" i="19"/>
  <c r="C67" i="19" s="1"/>
  <c r="I66" i="19"/>
  <c r="A66" i="19"/>
  <c r="B66" i="19" s="1"/>
  <c r="I65" i="19"/>
  <c r="A65" i="19"/>
  <c r="C65" i="19" s="1"/>
  <c r="I64" i="19"/>
  <c r="A64" i="19"/>
  <c r="B64" i="19" s="1"/>
  <c r="I63" i="19"/>
  <c r="A63" i="19"/>
  <c r="C63" i="19" s="1"/>
  <c r="I62" i="19"/>
  <c r="A62" i="19"/>
  <c r="C62" i="19" s="1"/>
  <c r="I61" i="19"/>
  <c r="A61" i="19"/>
  <c r="C61" i="19" s="1"/>
  <c r="I60" i="19"/>
  <c r="A60" i="19"/>
  <c r="B60" i="19" s="1"/>
  <c r="I59" i="19"/>
  <c r="A59" i="19"/>
  <c r="C59" i="19" s="1"/>
  <c r="I58" i="19"/>
  <c r="A58" i="19"/>
  <c r="C58" i="19" s="1"/>
  <c r="I57" i="19"/>
  <c r="A57" i="19"/>
  <c r="B57" i="19" s="1"/>
  <c r="I56" i="19"/>
  <c r="A56" i="19"/>
  <c r="C56" i="19" s="1"/>
  <c r="I55" i="19"/>
  <c r="A55" i="19"/>
  <c r="C55" i="19" s="1"/>
  <c r="I54" i="19"/>
  <c r="A54" i="19"/>
  <c r="C54" i="19" s="1"/>
  <c r="I53" i="19"/>
  <c r="A53" i="19"/>
  <c r="C53" i="19" s="1"/>
  <c r="I52" i="19"/>
  <c r="A52" i="19"/>
  <c r="C52" i="19" s="1"/>
  <c r="I51" i="19"/>
  <c r="A51" i="19"/>
  <c r="C51" i="19" s="1"/>
  <c r="I50" i="19"/>
  <c r="A50" i="19"/>
  <c r="C50" i="19" s="1"/>
  <c r="I49" i="19"/>
  <c r="A49" i="19"/>
  <c r="C49" i="19" s="1"/>
  <c r="I48" i="19"/>
  <c r="A48" i="19"/>
  <c r="C48" i="19" s="1"/>
  <c r="I47" i="19"/>
  <c r="A47" i="19"/>
  <c r="C47" i="19" s="1"/>
  <c r="I46" i="19"/>
  <c r="A46" i="19"/>
  <c r="B46" i="19" s="1"/>
  <c r="I45" i="19"/>
  <c r="A45" i="19"/>
  <c r="B45" i="19" s="1"/>
  <c r="I44" i="19"/>
  <c r="A44" i="19"/>
  <c r="C44" i="19" s="1"/>
  <c r="I43" i="19"/>
  <c r="A43" i="19"/>
  <c r="C43" i="19" s="1"/>
  <c r="I42" i="19"/>
  <c r="A42" i="19"/>
  <c r="C42" i="19" s="1"/>
  <c r="I41" i="19"/>
  <c r="A41" i="19"/>
  <c r="B41" i="19" s="1"/>
  <c r="I40" i="19"/>
  <c r="A40" i="19"/>
  <c r="C40" i="19" s="1"/>
  <c r="I39" i="19"/>
  <c r="A39" i="19"/>
  <c r="C39" i="19" s="1"/>
  <c r="I38" i="19"/>
  <c r="A38" i="19"/>
  <c r="C38" i="19" s="1"/>
  <c r="I37" i="19"/>
  <c r="A37" i="19"/>
  <c r="C37" i="19" s="1"/>
  <c r="I36" i="19"/>
  <c r="A36" i="19"/>
  <c r="C36" i="19" s="1"/>
  <c r="I35" i="19"/>
  <c r="A35" i="19"/>
  <c r="C35" i="19" s="1"/>
  <c r="I34" i="19"/>
  <c r="A34" i="19"/>
  <c r="C34" i="19" s="1"/>
  <c r="I33" i="19"/>
  <c r="A33" i="19"/>
  <c r="C33" i="19" s="1"/>
  <c r="I32" i="19"/>
  <c r="A32" i="19"/>
  <c r="I31" i="19"/>
  <c r="A31" i="19"/>
  <c r="C31" i="19" s="1"/>
  <c r="I30" i="19"/>
  <c r="A30" i="19"/>
  <c r="C30" i="19" s="1"/>
  <c r="I29" i="19"/>
  <c r="A29" i="19"/>
  <c r="C29" i="19" s="1"/>
  <c r="I28" i="19"/>
  <c r="A28" i="19"/>
  <c r="C28" i="19" s="1"/>
  <c r="I27" i="19"/>
  <c r="A27" i="19"/>
  <c r="C27" i="19" s="1"/>
  <c r="I26" i="19"/>
  <c r="A26" i="19"/>
  <c r="B26" i="19" s="1"/>
  <c r="I25" i="19"/>
  <c r="A25" i="19"/>
  <c r="C25" i="19" s="1"/>
  <c r="I24" i="19"/>
  <c r="A24" i="19"/>
  <c r="C24" i="19" s="1"/>
  <c r="I23" i="19"/>
  <c r="A23" i="19"/>
  <c r="C23" i="19" s="1"/>
  <c r="I22" i="19"/>
  <c r="A22" i="19"/>
  <c r="C22" i="19" s="1"/>
  <c r="I21" i="19"/>
  <c r="A21" i="19"/>
  <c r="C21" i="19" s="1"/>
  <c r="I20" i="19"/>
  <c r="A20" i="19"/>
  <c r="C20" i="19" s="1"/>
  <c r="I19" i="19"/>
  <c r="A19" i="19"/>
  <c r="C19" i="19" s="1"/>
  <c r="I18" i="19"/>
  <c r="A18" i="19"/>
  <c r="C18" i="19" s="1"/>
  <c r="I17" i="19"/>
  <c r="A17" i="19"/>
  <c r="C17" i="19" s="1"/>
  <c r="I16" i="19"/>
  <c r="A16" i="19"/>
  <c r="C16" i="19" s="1"/>
  <c r="I15" i="19"/>
  <c r="A15" i="19"/>
  <c r="C15" i="19" s="1"/>
  <c r="I14" i="19"/>
  <c r="A14" i="19"/>
  <c r="I13" i="19"/>
  <c r="A13" i="19"/>
  <c r="B13" i="19" s="1"/>
  <c r="I12" i="19"/>
  <c r="A12" i="19"/>
  <c r="C12" i="19" s="1"/>
  <c r="I11" i="19"/>
  <c r="A11" i="19"/>
  <c r="C11" i="19" s="1"/>
  <c r="I10" i="19"/>
  <c r="A10" i="19"/>
  <c r="C10" i="19" s="1"/>
  <c r="I9" i="19"/>
  <c r="A9" i="19"/>
  <c r="C9" i="19" s="1"/>
  <c r="I8" i="19"/>
  <c r="A8" i="19"/>
  <c r="C8" i="19" s="1"/>
  <c r="I7" i="19"/>
  <c r="A7" i="19"/>
  <c r="C7" i="19" s="1"/>
  <c r="I6" i="19"/>
  <c r="A6" i="19"/>
  <c r="C6" i="19" s="1"/>
  <c r="I5" i="19"/>
  <c r="A5" i="19"/>
  <c r="C5" i="19" s="1"/>
  <c r="I4" i="19"/>
  <c r="A4" i="19"/>
  <c r="C4" i="19" s="1"/>
  <c r="I3" i="19"/>
  <c r="A3" i="19"/>
  <c r="I2" i="19"/>
  <c r="A2" i="19"/>
  <c r="B2" i="19" s="1"/>
  <c r="I1" i="19"/>
  <c r="L1" i="19"/>
  <c r="A1" i="19"/>
  <c r="M5" i="8"/>
  <c r="N5" i="8" s="1"/>
  <c r="C60" i="19" l="1"/>
  <c r="C26" i="19"/>
  <c r="B34" i="19"/>
  <c r="B97" i="20"/>
  <c r="F127" i="20"/>
  <c r="L127" i="20" s="1"/>
  <c r="F129" i="20"/>
  <c r="L129" i="20" s="1"/>
  <c r="B113" i="20"/>
  <c r="F130" i="20"/>
  <c r="L130" i="20" s="1"/>
  <c r="B45" i="20"/>
  <c r="C67" i="20"/>
  <c r="B120" i="20"/>
  <c r="C43" i="20"/>
  <c r="B40" i="20"/>
  <c r="B96" i="20"/>
  <c r="C71" i="20"/>
  <c r="C19" i="20"/>
  <c r="B83" i="20"/>
  <c r="B65" i="20"/>
  <c r="C72" i="20"/>
  <c r="B5" i="20"/>
  <c r="C14" i="20"/>
  <c r="B38" i="20"/>
  <c r="B80" i="20"/>
  <c r="B59" i="20"/>
  <c r="B18" i="20"/>
  <c r="C42" i="20"/>
  <c r="C24" i="20"/>
  <c r="B37" i="20"/>
  <c r="B93" i="20"/>
  <c r="B27" i="20"/>
  <c r="B58" i="19"/>
  <c r="B12" i="19"/>
  <c r="J1" i="19"/>
  <c r="C109" i="19"/>
  <c r="C2" i="19"/>
  <c r="B94" i="19"/>
  <c r="B52" i="19"/>
  <c r="C71" i="19"/>
  <c r="B91" i="19"/>
  <c r="B49" i="19"/>
  <c r="B20" i="19"/>
  <c r="C64" i="19"/>
  <c r="B78" i="19"/>
  <c r="B83" i="19"/>
  <c r="B70" i="19"/>
  <c r="C84" i="19"/>
  <c r="B113" i="19"/>
  <c r="B57" i="20"/>
  <c r="C41" i="19"/>
  <c r="C45" i="19"/>
  <c r="C76" i="19"/>
  <c r="B85" i="19"/>
  <c r="C89" i="19"/>
  <c r="C93" i="19"/>
  <c r="C97" i="19"/>
  <c r="B10" i="20"/>
  <c r="B61" i="20"/>
  <c r="B64" i="20"/>
  <c r="B70" i="20"/>
  <c r="C109" i="20"/>
  <c r="C116" i="20"/>
  <c r="B6" i="19"/>
  <c r="B10" i="19"/>
  <c r="C121" i="19"/>
  <c r="C23" i="20"/>
  <c r="C36" i="20"/>
  <c r="B24" i="19"/>
  <c r="C54" i="20"/>
  <c r="F133" i="20"/>
  <c r="L133" i="20" s="1"/>
  <c r="B56" i="19"/>
  <c r="C100" i="20"/>
  <c r="A122" i="19"/>
  <c r="A123" i="19" s="1"/>
  <c r="A124" i="19" s="1"/>
  <c r="B124" i="19" s="1"/>
  <c r="B4" i="19"/>
  <c r="B9" i="20"/>
  <c r="B49" i="20"/>
  <c r="B104" i="20"/>
  <c r="B8" i="19"/>
  <c r="B40" i="19"/>
  <c r="C100" i="19"/>
  <c r="B32" i="20"/>
  <c r="B44" i="19"/>
  <c r="B12" i="20"/>
  <c r="C88" i="20"/>
  <c r="C81" i="19"/>
  <c r="B81" i="19"/>
  <c r="C22" i="20"/>
  <c r="B22" i="20"/>
  <c r="C35" i="20"/>
  <c r="B35" i="20"/>
  <c r="C69" i="19"/>
  <c r="B69" i="19"/>
  <c r="B4" i="20"/>
  <c r="B73" i="19"/>
  <c r="C117" i="19"/>
  <c r="B117" i="19"/>
  <c r="C86" i="20"/>
  <c r="B86" i="20"/>
  <c r="B16" i="19"/>
  <c r="B25" i="19"/>
  <c r="C86" i="19"/>
  <c r="B86" i="19"/>
  <c r="C17" i="20"/>
  <c r="B17" i="20"/>
  <c r="C99" i="20"/>
  <c r="B99" i="20"/>
  <c r="F128" i="20"/>
  <c r="L128" i="20" s="1"/>
  <c r="B99" i="19"/>
  <c r="C99" i="19"/>
  <c r="F125" i="20"/>
  <c r="L125" i="20" s="1"/>
  <c r="C112" i="20"/>
  <c r="B112" i="20"/>
  <c r="B52" i="20"/>
  <c r="C52" i="20"/>
  <c r="F122" i="20"/>
  <c r="L122" i="20" s="1"/>
  <c r="C32" i="19"/>
  <c r="B32" i="19"/>
  <c r="B56" i="20"/>
  <c r="C3" i="20"/>
  <c r="B3" i="20"/>
  <c r="C14" i="19"/>
  <c r="B14" i="19"/>
  <c r="B101" i="19"/>
  <c r="F142" i="20"/>
  <c r="L142" i="20" s="1"/>
  <c r="C106" i="19"/>
  <c r="B106" i="19"/>
  <c r="B16" i="20"/>
  <c r="B26" i="20"/>
  <c r="B34" i="20"/>
  <c r="B69" i="20"/>
  <c r="B103" i="20"/>
  <c r="B118" i="20"/>
  <c r="C46" i="19"/>
  <c r="C57" i="19"/>
  <c r="B72" i="19"/>
  <c r="B105" i="19"/>
  <c r="C112" i="19"/>
  <c r="B29" i="20"/>
  <c r="B78" i="20"/>
  <c r="B81" i="20"/>
  <c r="B28" i="19"/>
  <c r="B36" i="19"/>
  <c r="B65" i="19"/>
  <c r="C39" i="20"/>
  <c r="C13" i="19"/>
  <c r="C119" i="19"/>
  <c r="F132" i="20"/>
  <c r="L132" i="20" s="1"/>
  <c r="B50" i="19"/>
  <c r="C84" i="20"/>
  <c r="B18" i="19"/>
  <c r="B37" i="19"/>
  <c r="B77" i="19"/>
  <c r="B103" i="19"/>
  <c r="B102" i="20"/>
  <c r="C119" i="20"/>
  <c r="B48" i="19"/>
  <c r="C110" i="19"/>
  <c r="B2" i="20"/>
  <c r="B33" i="20"/>
  <c r="B51" i="20"/>
  <c r="C68" i="20"/>
  <c r="C20" i="20"/>
  <c r="C74" i="19"/>
  <c r="B114" i="19"/>
  <c r="F124" i="20"/>
  <c r="L124" i="20" s="1"/>
  <c r="Y5" i="8"/>
  <c r="C6" i="6" s="1"/>
  <c r="X5" i="8"/>
  <c r="B33" i="19"/>
  <c r="B21" i="19"/>
  <c r="B54" i="19"/>
  <c r="C66" i="19"/>
  <c r="C95" i="19"/>
  <c r="B111" i="19"/>
  <c r="B53" i="20"/>
  <c r="C7" i="20"/>
  <c r="B7" i="20"/>
  <c r="B9" i="19"/>
  <c r="B42" i="19"/>
  <c r="C68" i="19"/>
  <c r="B80" i="19"/>
  <c r="C90" i="19"/>
  <c r="B90" i="19"/>
  <c r="B102" i="19"/>
  <c r="B55" i="20"/>
  <c r="C82" i="20"/>
  <c r="B82" i="20"/>
  <c r="C88" i="19"/>
  <c r="B30" i="19"/>
  <c r="B61" i="19"/>
  <c r="B92" i="19"/>
  <c r="B104" i="19"/>
  <c r="C104" i="19"/>
  <c r="B15" i="20"/>
  <c r="C15" i="20"/>
  <c r="B50" i="20"/>
  <c r="F141" i="20"/>
  <c r="L141" i="20" s="1"/>
  <c r="C75" i="20"/>
  <c r="B75" i="20"/>
  <c r="B76" i="20"/>
  <c r="C76" i="20"/>
  <c r="B48" i="20"/>
  <c r="C75" i="19"/>
  <c r="B75" i="19"/>
  <c r="B108" i="19"/>
  <c r="C108" i="19"/>
  <c r="B47" i="20"/>
  <c r="C47" i="20"/>
  <c r="C73" i="20"/>
  <c r="B73" i="20"/>
  <c r="C3" i="19"/>
  <c r="B3" i="19"/>
  <c r="C87" i="19"/>
  <c r="C96" i="19"/>
  <c r="B115" i="19"/>
  <c r="B66" i="20"/>
  <c r="B22" i="19"/>
  <c r="B53" i="19"/>
  <c r="B79" i="19"/>
  <c r="C63" i="20"/>
  <c r="B114" i="20"/>
  <c r="C11" i="20"/>
  <c r="B11" i="20"/>
  <c r="B31" i="20"/>
  <c r="C31" i="20"/>
  <c r="B29" i="19"/>
  <c r="B62" i="19"/>
  <c r="B107" i="20"/>
  <c r="B17" i="19"/>
  <c r="C105" i="20"/>
  <c r="B105" i="20"/>
  <c r="F126" i="20"/>
  <c r="L126" i="20" s="1"/>
  <c r="B5" i="19"/>
  <c r="B38" i="19"/>
  <c r="C98" i="19"/>
  <c r="C116" i="19"/>
  <c r="B21" i="20"/>
  <c r="B58" i="20"/>
  <c r="F123" i="20"/>
  <c r="L123" i="20" s="1"/>
  <c r="B7" i="19"/>
  <c r="B11" i="19"/>
  <c r="B15" i="19"/>
  <c r="B19" i="19"/>
  <c r="B23" i="19"/>
  <c r="B27" i="19"/>
  <c r="B31" i="19"/>
  <c r="B35" i="19"/>
  <c r="B39" i="19"/>
  <c r="B43" i="19"/>
  <c r="B47" i="19"/>
  <c r="B51" i="19"/>
  <c r="B55" i="19"/>
  <c r="B59" i="19"/>
  <c r="B63" i="19"/>
  <c r="B67" i="19"/>
  <c r="B82" i="19"/>
  <c r="B107" i="19"/>
  <c r="B77" i="20"/>
  <c r="B62" i="20"/>
  <c r="C87" i="20"/>
  <c r="B89" i="20"/>
  <c r="C98" i="20"/>
  <c r="B98" i="20"/>
  <c r="B110" i="20"/>
  <c r="C6" i="20"/>
  <c r="B6" i="20"/>
  <c r="C13" i="20"/>
  <c r="B13" i="20"/>
  <c r="B28" i="20"/>
  <c r="C28" i="20"/>
  <c r="B44" i="20"/>
  <c r="C44" i="20"/>
  <c r="B92" i="20"/>
  <c r="C92" i="20"/>
  <c r="C85" i="20"/>
  <c r="B85" i="20"/>
  <c r="C121" i="20"/>
  <c r="A122" i="20"/>
  <c r="B25" i="20"/>
  <c r="B30" i="20"/>
  <c r="B41" i="20"/>
  <c r="B46" i="20"/>
  <c r="B91" i="20"/>
  <c r="B115" i="20"/>
  <c r="F131" i="20"/>
  <c r="L131" i="20" s="1"/>
  <c r="B120" i="19"/>
  <c r="B94" i="20"/>
  <c r="B60" i="20"/>
  <c r="C60" i="20"/>
  <c r="C74" i="20"/>
  <c r="B74" i="20"/>
  <c r="B108" i="20"/>
  <c r="C108" i="20"/>
  <c r="B101" i="20"/>
  <c r="B117" i="20"/>
  <c r="B90" i="20"/>
  <c r="B106" i="20"/>
  <c r="B79" i="20"/>
  <c r="B95" i="20"/>
  <c r="B111" i="20"/>
  <c r="F137" i="20" l="1"/>
  <c r="L137" i="20" s="1"/>
  <c r="F144" i="20"/>
  <c r="L144" i="20" s="1"/>
  <c r="F145" i="20"/>
  <c r="L145" i="20" s="1"/>
  <c r="F139" i="20"/>
  <c r="L139" i="20" s="1"/>
  <c r="C124" i="19"/>
  <c r="A125" i="19"/>
  <c r="A126" i="19" s="1"/>
  <c r="C123" i="19"/>
  <c r="B122" i="19"/>
  <c r="C122" i="19"/>
  <c r="B123" i="19"/>
  <c r="F140" i="20"/>
  <c r="L140" i="20" s="1"/>
  <c r="F136" i="20"/>
  <c r="L136" i="20" s="1"/>
  <c r="F134" i="20"/>
  <c r="L134" i="20" s="1"/>
  <c r="F138" i="20"/>
  <c r="L138" i="20" s="1"/>
  <c r="F143" i="20"/>
  <c r="L143" i="20" s="1"/>
  <c r="F135" i="20"/>
  <c r="L135" i="20" s="1"/>
  <c r="C122" i="20"/>
  <c r="B122" i="20"/>
  <c r="A123" i="20"/>
  <c r="B125" i="19" l="1"/>
  <c r="C125" i="19"/>
  <c r="C123" i="20"/>
  <c r="A124" i="20"/>
  <c r="B123" i="20"/>
  <c r="C126" i="19"/>
  <c r="B126" i="19"/>
  <c r="A127" i="19"/>
  <c r="B6" i="8"/>
  <c r="X6" i="8"/>
  <c r="C6" i="8" l="1"/>
  <c r="B127" i="19"/>
  <c r="A128" i="19"/>
  <c r="C127" i="19"/>
  <c r="A125" i="20"/>
  <c r="B124" i="20"/>
  <c r="C124" i="20"/>
  <c r="B7" i="8"/>
  <c r="X7" i="8"/>
  <c r="M6" i="8"/>
  <c r="C7" i="8" l="1"/>
  <c r="N6" i="8"/>
  <c r="Y6" i="8"/>
  <c r="C125" i="20"/>
  <c r="A126" i="20"/>
  <c r="B125" i="20"/>
  <c r="C128" i="19"/>
  <c r="B128" i="19"/>
  <c r="A129" i="19"/>
  <c r="B8" i="8"/>
  <c r="M7" i="8"/>
  <c r="X8" i="8"/>
  <c r="C8" i="8" l="1"/>
  <c r="C7" i="6"/>
  <c r="N7" i="8"/>
  <c r="Y7" i="8"/>
  <c r="C8" i="6" s="1"/>
  <c r="A130" i="19"/>
  <c r="C129" i="19"/>
  <c r="B129" i="19"/>
  <c r="B126" i="20"/>
  <c r="A127" i="20"/>
  <c r="C126" i="20"/>
  <c r="X9" i="8"/>
  <c r="M8" i="8"/>
  <c r="B9" i="8"/>
  <c r="C3" i="9" l="1"/>
  <c r="C15" i="34"/>
  <c r="C9" i="8"/>
  <c r="N8" i="8"/>
  <c r="Y8" i="8"/>
  <c r="A128" i="20"/>
  <c r="B127" i="20"/>
  <c r="C127" i="20"/>
  <c r="B130" i="19"/>
  <c r="A131" i="19"/>
  <c r="C130" i="19"/>
  <c r="B10" i="8"/>
  <c r="M9" i="8"/>
  <c r="X10" i="8"/>
  <c r="C4" i="9" l="1"/>
  <c r="C16" i="34"/>
  <c r="D3" i="9"/>
  <c r="D15" i="34"/>
  <c r="C5" i="9"/>
  <c r="C17" i="34"/>
  <c r="C9" i="6"/>
  <c r="C10" i="8"/>
  <c r="N9" i="8"/>
  <c r="Y9" i="8"/>
  <c r="D17" i="34" s="1"/>
  <c r="C131" i="19"/>
  <c r="A132" i="19"/>
  <c r="B131" i="19"/>
  <c r="A129" i="20"/>
  <c r="C128" i="20"/>
  <c r="B128" i="20"/>
  <c r="X11" i="8"/>
  <c r="B11" i="8"/>
  <c r="M10" i="8"/>
  <c r="E3" i="9" l="1"/>
  <c r="E15" i="34"/>
  <c r="D4" i="9"/>
  <c r="D16" i="34"/>
  <c r="C10" i="6"/>
  <c r="D5" i="9"/>
  <c r="N10" i="8"/>
  <c r="Y10" i="8"/>
  <c r="C11" i="8"/>
  <c r="C129" i="20"/>
  <c r="B129" i="20"/>
  <c r="A130" i="20"/>
  <c r="A133" i="19"/>
  <c r="C132" i="19"/>
  <c r="B132" i="19"/>
  <c r="M11" i="8"/>
  <c r="B12" i="8"/>
  <c r="X12" i="8"/>
  <c r="F3" i="9" l="1"/>
  <c r="F15" i="34"/>
  <c r="E5" i="9"/>
  <c r="E17" i="34"/>
  <c r="E4" i="9"/>
  <c r="E16" i="34"/>
  <c r="C12" i="8"/>
  <c r="C11" i="6"/>
  <c r="N11" i="8"/>
  <c r="Y11" i="8"/>
  <c r="F17" i="34" s="1"/>
  <c r="A131" i="20"/>
  <c r="C130" i="20"/>
  <c r="B130" i="20"/>
  <c r="A134" i="19"/>
  <c r="C133" i="19"/>
  <c r="B133" i="19"/>
  <c r="B13" i="8"/>
  <c r="X13" i="8"/>
  <c r="M12" i="8"/>
  <c r="F4" i="9" l="1"/>
  <c r="F16" i="34"/>
  <c r="G3" i="9"/>
  <c r="G15" i="34"/>
  <c r="C12" i="6"/>
  <c r="F5" i="9"/>
  <c r="N12" i="8"/>
  <c r="Y12" i="8"/>
  <c r="G17" i="34" s="1"/>
  <c r="C13" i="8"/>
  <c r="A135" i="19"/>
  <c r="C134" i="19"/>
  <c r="B134" i="19"/>
  <c r="C131" i="20"/>
  <c r="B131" i="20"/>
  <c r="A132" i="20"/>
  <c r="B14" i="8"/>
  <c r="M13" i="8"/>
  <c r="X14" i="8"/>
  <c r="G4" i="9" l="1"/>
  <c r="G16" i="34"/>
  <c r="H3" i="9"/>
  <c r="H15" i="34"/>
  <c r="C13" i="6"/>
  <c r="G5" i="9"/>
  <c r="Y13" i="8"/>
  <c r="H17" i="34" s="1"/>
  <c r="N13" i="8"/>
  <c r="C14" i="8"/>
  <c r="C132" i="20"/>
  <c r="A133" i="20"/>
  <c r="B132" i="20"/>
  <c r="C135" i="19"/>
  <c r="A136" i="19"/>
  <c r="B135" i="19"/>
  <c r="M14" i="8"/>
  <c r="B15" i="8"/>
  <c r="X15" i="8"/>
  <c r="I3" i="9" l="1"/>
  <c r="I15" i="34"/>
  <c r="H4" i="9"/>
  <c r="H16" i="34"/>
  <c r="C14" i="6"/>
  <c r="H5" i="9"/>
  <c r="Y14" i="8"/>
  <c r="I17" i="34" s="1"/>
  <c r="N14" i="8"/>
  <c r="A137" i="19"/>
  <c r="C136" i="19"/>
  <c r="B136" i="19"/>
  <c r="C133" i="20"/>
  <c r="A134" i="20"/>
  <c r="B133" i="20"/>
  <c r="X16" i="8"/>
  <c r="B16" i="8"/>
  <c r="M15" i="8"/>
  <c r="I4" i="9" l="1"/>
  <c r="I16" i="34"/>
  <c r="C15" i="6"/>
  <c r="I5" i="9"/>
  <c r="A135" i="20"/>
  <c r="C134" i="20"/>
  <c r="B134" i="20"/>
  <c r="C137" i="19"/>
  <c r="B137" i="19"/>
  <c r="A138" i="19"/>
  <c r="M16" i="8"/>
  <c r="C29" i="6" l="1"/>
  <c r="C30" i="6"/>
  <c r="A139" i="19"/>
  <c r="C138" i="19"/>
  <c r="B138" i="19"/>
  <c r="A136" i="20"/>
  <c r="B135" i="20"/>
  <c r="C135" i="20"/>
  <c r="C136" i="20" l="1"/>
  <c r="B136" i="20"/>
  <c r="A137" i="20"/>
  <c r="A140" i="19"/>
  <c r="C139" i="19"/>
  <c r="B139" i="19"/>
  <c r="B140" i="19" l="1"/>
  <c r="C140" i="19"/>
  <c r="A141" i="19"/>
  <c r="A138" i="20"/>
  <c r="C137" i="20"/>
  <c r="B137" i="20"/>
  <c r="C138" i="20" l="1"/>
  <c r="B138" i="20"/>
  <c r="A139" i="20"/>
  <c r="C141" i="19"/>
  <c r="A142" i="19"/>
  <c r="B141" i="19"/>
  <c r="C142" i="19" l="1"/>
  <c r="A143" i="19"/>
  <c r="B142" i="19"/>
  <c r="C139" i="20"/>
  <c r="A140" i="20"/>
  <c r="B139" i="20"/>
  <c r="C140" i="20" l="1"/>
  <c r="B140" i="20"/>
  <c r="A141" i="20"/>
  <c r="B143" i="19"/>
  <c r="A144" i="19"/>
  <c r="C143" i="19"/>
  <c r="C144" i="19" l="1"/>
  <c r="B144" i="19"/>
  <c r="A145" i="19"/>
  <c r="C141" i="20"/>
  <c r="A142" i="20"/>
  <c r="B141" i="20"/>
  <c r="A143" i="20" l="1"/>
  <c r="C142" i="20"/>
  <c r="B142" i="20"/>
  <c r="B145" i="19"/>
  <c r="C145" i="19"/>
  <c r="A144" i="20" l="1"/>
  <c r="C143" i="20"/>
  <c r="B143" i="20"/>
  <c r="A145" i="20" l="1"/>
  <c r="C144" i="20"/>
  <c r="B144" i="20"/>
  <c r="C145" i="20" l="1"/>
  <c r="B145" i="20"/>
  <c r="S37" i="7" l="1"/>
  <c r="S38" i="7"/>
  <c r="S39" i="7"/>
  <c r="S40" i="7"/>
  <c r="S41" i="7"/>
  <c r="S42" i="7"/>
  <c r="S43" i="7"/>
  <c r="S44" i="7"/>
  <c r="S45" i="7"/>
  <c r="S46" i="7"/>
  <c r="S47" i="7"/>
  <c r="S36" i="7"/>
  <c r="O36" i="7"/>
  <c r="O37" i="7"/>
  <c r="O38" i="7"/>
  <c r="O39" i="7"/>
  <c r="O40" i="7"/>
  <c r="O41" i="7"/>
  <c r="O42" i="7"/>
  <c r="O43" i="7"/>
  <c r="O44" i="7"/>
  <c r="O45" i="7"/>
  <c r="O46" i="7"/>
  <c r="P46" i="7" s="1"/>
  <c r="K36" i="7"/>
  <c r="K37" i="7"/>
  <c r="K38" i="7"/>
  <c r="K39" i="7"/>
  <c r="K40" i="7"/>
  <c r="K41" i="7"/>
  <c r="K42" i="7"/>
  <c r="K43" i="7"/>
  <c r="K44" i="7"/>
  <c r="K45" i="7"/>
  <c r="K46" i="7"/>
  <c r="K47" i="7"/>
  <c r="L48" i="7" s="1"/>
  <c r="G36" i="7"/>
  <c r="G37" i="7"/>
  <c r="G38" i="7"/>
  <c r="H38" i="7" s="1"/>
  <c r="G39" i="7"/>
  <c r="G40" i="7"/>
  <c r="G41" i="7"/>
  <c r="G42" i="7"/>
  <c r="G43" i="7"/>
  <c r="G44" i="7"/>
  <c r="G45" i="7"/>
  <c r="G46" i="7"/>
  <c r="H48" i="7"/>
  <c r="C36" i="7"/>
  <c r="C37" i="7"/>
  <c r="C38" i="7"/>
  <c r="C39" i="7"/>
  <c r="C40" i="7"/>
  <c r="C41" i="7"/>
  <c r="C42" i="7"/>
  <c r="C43" i="7"/>
  <c r="C44" i="7"/>
  <c r="C45" i="7"/>
  <c r="D46" i="7"/>
  <c r="L40" i="7" l="1"/>
  <c r="T43" i="7"/>
  <c r="L38" i="7"/>
  <c r="T39" i="7"/>
  <c r="P40" i="7"/>
  <c r="L37" i="7"/>
  <c r="D40" i="7"/>
  <c r="D43" i="7"/>
  <c r="H46" i="7"/>
  <c r="H43" i="7"/>
  <c r="H40" i="7"/>
  <c r="L46" i="7"/>
  <c r="T37" i="7"/>
  <c r="D38" i="7"/>
  <c r="D47" i="7"/>
  <c r="T40" i="7"/>
  <c r="D44" i="7"/>
  <c r="D41" i="7"/>
  <c r="H44" i="7"/>
  <c r="H41" i="7"/>
  <c r="L44" i="7"/>
  <c r="L47" i="7"/>
  <c r="L41" i="7"/>
  <c r="P38" i="7"/>
  <c r="T44" i="7"/>
  <c r="T47" i="7"/>
  <c r="T38" i="7"/>
  <c r="D39" i="7"/>
  <c r="H39" i="7"/>
  <c r="H42" i="7"/>
  <c r="L42" i="7"/>
  <c r="P39" i="7"/>
  <c r="P42" i="7"/>
  <c r="T45" i="7"/>
  <c r="P44" i="7"/>
  <c r="P45" i="7"/>
  <c r="P47" i="7"/>
  <c r="L45" i="7"/>
  <c r="T42" i="7"/>
  <c r="D37" i="7"/>
  <c r="P41" i="7"/>
  <c r="H37" i="7"/>
  <c r="L39" i="7"/>
  <c r="D42" i="7"/>
  <c r="P37" i="7"/>
  <c r="T46" i="7"/>
  <c r="P43" i="7"/>
  <c r="H47" i="7"/>
  <c r="H58" i="7" s="1"/>
  <c r="D45" i="7"/>
  <c r="H45" i="7"/>
  <c r="L43" i="7"/>
  <c r="T41" i="7"/>
  <c r="H59" i="7" l="1"/>
  <c r="H60" i="7" s="1"/>
  <c r="H61" i="7" s="1"/>
  <c r="H62" i="7" s="1"/>
  <c r="H63" i="7" s="1"/>
  <c r="H64" i="7" s="1"/>
  <c r="H65" i="7" s="1"/>
  <c r="H66" i="7" s="1"/>
  <c r="H67" i="7" s="1"/>
  <c r="H68" i="7" s="1"/>
  <c r="H69" i="7" s="1"/>
  <c r="H70" i="7" s="1"/>
  <c r="H71" i="7" s="1"/>
  <c r="AX3" i="1"/>
  <c r="AY3" i="1"/>
  <c r="AX4" i="1"/>
  <c r="AY4" i="1"/>
  <c r="AX5" i="1"/>
  <c r="AY5" i="1"/>
  <c r="AX6" i="1"/>
  <c r="AY6" i="1"/>
  <c r="AX7" i="1"/>
  <c r="AY7" i="1"/>
  <c r="AX8" i="1"/>
  <c r="AY8" i="1"/>
  <c r="AX9" i="1"/>
  <c r="AY9" i="1"/>
  <c r="AX10" i="1"/>
  <c r="AY10" i="1"/>
  <c r="AX11" i="1"/>
  <c r="AY11" i="1"/>
  <c r="AX12" i="1"/>
  <c r="AY12" i="1"/>
  <c r="AX13" i="1"/>
  <c r="AY13" i="1"/>
  <c r="AX14" i="1"/>
  <c r="AY14" i="1"/>
  <c r="AX15" i="1"/>
  <c r="AY15" i="1"/>
  <c r="AX16" i="1"/>
  <c r="AY16" i="1"/>
  <c r="AX17" i="1"/>
  <c r="AY17" i="1"/>
  <c r="AX18" i="1"/>
  <c r="AY18" i="1"/>
  <c r="AX19" i="1"/>
  <c r="AY19" i="1"/>
  <c r="AX20" i="1"/>
  <c r="AY20" i="1"/>
  <c r="AX21" i="1"/>
  <c r="AY21" i="1"/>
  <c r="AX22" i="1"/>
  <c r="AY22" i="1"/>
  <c r="AX23" i="1"/>
  <c r="AY23" i="1"/>
  <c r="AX24" i="1"/>
  <c r="AY24" i="1"/>
  <c r="AX25" i="1"/>
  <c r="AY25" i="1"/>
  <c r="AX26" i="1"/>
  <c r="AY26" i="1"/>
  <c r="AX27" i="1"/>
  <c r="AY27" i="1"/>
  <c r="AX28" i="1"/>
  <c r="AY28" i="1"/>
  <c r="AX29" i="1"/>
  <c r="AY29" i="1"/>
  <c r="AX30" i="1"/>
  <c r="AY30" i="1"/>
  <c r="AX31" i="1"/>
  <c r="AY31" i="1"/>
  <c r="AX32" i="1"/>
  <c r="AY32" i="1"/>
  <c r="AX33" i="1"/>
  <c r="AY33" i="1"/>
  <c r="AX34" i="1"/>
  <c r="AY34" i="1"/>
  <c r="AX35" i="1"/>
  <c r="AY35" i="1"/>
  <c r="AX36" i="1"/>
  <c r="AY36" i="1"/>
  <c r="AX37" i="1"/>
  <c r="AY37" i="1"/>
  <c r="AX38" i="1"/>
  <c r="AY38" i="1"/>
  <c r="AX39" i="1"/>
  <c r="AY39" i="1"/>
  <c r="AX40" i="1"/>
  <c r="AY40" i="1"/>
  <c r="AX41" i="1"/>
  <c r="AY41" i="1"/>
  <c r="AX42" i="1"/>
  <c r="AY42" i="1"/>
  <c r="AX43" i="1"/>
  <c r="AY43" i="1"/>
  <c r="AX44" i="1"/>
  <c r="AY44" i="1"/>
  <c r="AX45" i="1"/>
  <c r="AY45" i="1"/>
  <c r="AX46" i="1"/>
  <c r="AY46" i="1"/>
  <c r="AX47" i="1"/>
  <c r="AY47" i="1"/>
  <c r="AX48" i="1"/>
  <c r="AY48" i="1"/>
  <c r="AX49" i="1"/>
  <c r="AY49" i="1"/>
  <c r="AX50" i="1"/>
  <c r="AY50" i="1"/>
  <c r="AX51" i="1"/>
  <c r="AY51" i="1"/>
  <c r="AX52" i="1"/>
  <c r="AY52" i="1"/>
  <c r="AX53" i="1"/>
  <c r="AY53" i="1"/>
  <c r="AX54" i="1"/>
  <c r="AY54" i="1"/>
  <c r="AX55" i="1"/>
  <c r="AY55" i="1"/>
  <c r="AX56" i="1"/>
  <c r="AY56" i="1"/>
  <c r="AX57" i="1"/>
  <c r="AY57" i="1"/>
  <c r="AX58" i="1"/>
  <c r="AY58" i="1"/>
  <c r="AX59" i="1"/>
  <c r="AY59" i="1"/>
  <c r="AX60" i="1"/>
  <c r="AY60" i="1"/>
  <c r="AX61" i="1"/>
  <c r="AY61" i="1"/>
  <c r="AX62" i="1"/>
  <c r="AY62" i="1"/>
  <c r="AX63" i="1"/>
  <c r="AY63" i="1"/>
  <c r="AX64" i="1"/>
  <c r="AY64" i="1"/>
  <c r="AX65" i="1"/>
  <c r="AY65" i="1"/>
  <c r="AX66" i="1"/>
  <c r="AY66" i="1"/>
  <c r="AX67" i="1"/>
  <c r="AY67" i="1"/>
  <c r="AX68" i="1"/>
  <c r="AY68" i="1"/>
  <c r="AX69" i="1"/>
  <c r="AY69" i="1"/>
  <c r="AX70" i="1"/>
  <c r="AY70" i="1"/>
  <c r="AX71" i="1"/>
  <c r="AY71" i="1"/>
  <c r="AX72" i="1"/>
  <c r="AY72" i="1"/>
  <c r="AX73" i="1"/>
  <c r="AY73" i="1"/>
  <c r="AX74" i="1"/>
  <c r="AY74" i="1"/>
  <c r="AX75" i="1"/>
  <c r="AY75" i="1"/>
  <c r="AX76" i="1"/>
  <c r="AY76" i="1"/>
  <c r="AX77" i="1"/>
  <c r="AY77" i="1"/>
  <c r="AX78" i="1"/>
  <c r="AY78" i="1"/>
  <c r="AX79" i="1"/>
  <c r="AY79" i="1"/>
  <c r="AX80" i="1"/>
  <c r="AY80" i="1"/>
  <c r="AX81" i="1"/>
  <c r="AY81" i="1"/>
  <c r="AX82" i="1"/>
  <c r="AY82" i="1"/>
  <c r="AX83" i="1"/>
  <c r="AY83" i="1"/>
  <c r="AX84" i="1"/>
  <c r="AY84" i="1"/>
  <c r="AX85" i="1"/>
  <c r="AY85" i="1"/>
  <c r="AX86" i="1"/>
  <c r="AY86" i="1"/>
  <c r="AX87" i="1"/>
  <c r="AY87" i="1"/>
  <c r="AX88" i="1"/>
  <c r="AY88" i="1"/>
  <c r="AX89" i="1"/>
  <c r="AY89" i="1"/>
  <c r="AX90" i="1"/>
  <c r="AY90" i="1"/>
  <c r="AX91" i="1"/>
  <c r="AY91" i="1"/>
  <c r="AX92" i="1"/>
  <c r="AY92" i="1"/>
  <c r="AX93" i="1"/>
  <c r="AY93" i="1"/>
  <c r="AX94" i="1"/>
  <c r="AY94" i="1"/>
  <c r="AX95" i="1"/>
  <c r="AY95" i="1"/>
  <c r="AX96" i="1"/>
  <c r="AY96" i="1"/>
  <c r="AX97" i="1"/>
  <c r="AY97" i="1"/>
  <c r="AX98" i="1"/>
  <c r="AY98" i="1"/>
  <c r="AX99" i="1"/>
  <c r="AY99" i="1"/>
  <c r="AX100" i="1"/>
  <c r="AY100" i="1"/>
  <c r="AX101" i="1"/>
  <c r="AY101" i="1"/>
  <c r="AX102" i="1"/>
  <c r="AY102" i="1"/>
  <c r="AX103" i="1"/>
  <c r="AY103" i="1"/>
  <c r="AX104" i="1"/>
  <c r="AY104" i="1"/>
  <c r="AX105" i="1"/>
  <c r="AY105" i="1"/>
  <c r="AX106" i="1"/>
  <c r="AY106" i="1"/>
  <c r="AX107" i="1"/>
  <c r="AY107" i="1"/>
  <c r="AX108" i="1"/>
  <c r="AY108" i="1"/>
  <c r="AX109" i="1"/>
  <c r="AY109" i="1"/>
  <c r="AX110" i="1"/>
  <c r="AY110" i="1"/>
  <c r="AX111" i="1"/>
  <c r="AY111" i="1"/>
  <c r="AX112" i="1"/>
  <c r="AY112" i="1"/>
  <c r="AX113" i="1"/>
  <c r="AY113" i="1"/>
  <c r="AX114" i="1"/>
  <c r="AY114" i="1"/>
  <c r="AX115" i="1"/>
  <c r="AY115" i="1"/>
  <c r="AX116" i="1"/>
  <c r="AY116" i="1"/>
  <c r="AX117" i="1"/>
  <c r="AY117" i="1"/>
  <c r="AX118" i="1"/>
  <c r="AY118" i="1"/>
  <c r="AX119" i="1"/>
  <c r="AY119" i="1"/>
  <c r="AX120" i="1"/>
  <c r="AY120" i="1"/>
  <c r="AX121" i="1"/>
  <c r="AY121" i="1"/>
  <c r="AY2" i="1"/>
  <c r="AX2" i="1"/>
  <c r="AK3" i="1"/>
  <c r="AL3" i="1"/>
  <c r="AM3" i="1"/>
  <c r="AN3" i="1"/>
  <c r="AO3" i="1"/>
  <c r="AT3" i="1"/>
  <c r="AU3" i="1"/>
  <c r="AK4" i="1"/>
  <c r="AL4" i="1"/>
  <c r="AM4" i="1"/>
  <c r="AN4" i="1"/>
  <c r="AO4" i="1"/>
  <c r="AT4" i="1"/>
  <c r="AU4" i="1"/>
  <c r="AK5" i="1"/>
  <c r="AL5" i="1"/>
  <c r="AM5" i="1"/>
  <c r="AN5" i="1"/>
  <c r="AO5" i="1"/>
  <c r="AT5" i="1"/>
  <c r="AU5" i="1"/>
  <c r="AK6" i="1"/>
  <c r="AL6" i="1"/>
  <c r="AM6" i="1"/>
  <c r="AN6" i="1"/>
  <c r="AO6" i="1"/>
  <c r="AT6" i="1"/>
  <c r="AU6" i="1"/>
  <c r="AK7" i="1"/>
  <c r="AL7" i="1"/>
  <c r="AM7" i="1"/>
  <c r="AN7" i="1"/>
  <c r="AO7" i="1"/>
  <c r="AT7" i="1"/>
  <c r="AU7" i="1"/>
  <c r="AK8" i="1"/>
  <c r="AL8" i="1"/>
  <c r="AM8" i="1"/>
  <c r="AN8" i="1"/>
  <c r="AO8" i="1"/>
  <c r="AT8" i="1"/>
  <c r="AU8" i="1"/>
  <c r="AK9" i="1"/>
  <c r="AL9" i="1"/>
  <c r="AM9" i="1"/>
  <c r="AN9" i="1"/>
  <c r="AO9" i="1"/>
  <c r="AT9" i="1"/>
  <c r="AU9" i="1"/>
  <c r="AK10" i="1"/>
  <c r="AL10" i="1"/>
  <c r="AM10" i="1"/>
  <c r="AN10" i="1"/>
  <c r="AO10" i="1"/>
  <c r="AT10" i="1"/>
  <c r="AU10" i="1"/>
  <c r="AK11" i="1"/>
  <c r="AL11" i="1"/>
  <c r="AM11" i="1"/>
  <c r="AN11" i="1"/>
  <c r="AO11" i="1"/>
  <c r="AT11" i="1"/>
  <c r="AU11" i="1"/>
  <c r="AK12" i="1"/>
  <c r="AL12" i="1"/>
  <c r="AM12" i="1"/>
  <c r="AN12" i="1"/>
  <c r="AO12" i="1"/>
  <c r="AT12" i="1"/>
  <c r="AU12" i="1"/>
  <c r="AK13" i="1"/>
  <c r="AL13" i="1"/>
  <c r="AM13" i="1"/>
  <c r="AN13" i="1"/>
  <c r="AO13" i="1"/>
  <c r="AT13" i="1"/>
  <c r="AU13" i="1"/>
  <c r="AK14" i="1"/>
  <c r="AL14" i="1"/>
  <c r="AM14" i="1"/>
  <c r="AN14" i="1"/>
  <c r="AO14" i="1"/>
  <c r="AT14" i="1"/>
  <c r="AU14" i="1"/>
  <c r="AK15" i="1"/>
  <c r="AL15" i="1"/>
  <c r="AM15" i="1"/>
  <c r="AN15" i="1"/>
  <c r="AO15" i="1"/>
  <c r="AT15" i="1"/>
  <c r="AU15" i="1"/>
  <c r="AK16" i="1"/>
  <c r="AL16" i="1"/>
  <c r="AM16" i="1"/>
  <c r="AN16" i="1"/>
  <c r="AO16" i="1"/>
  <c r="AT16" i="1"/>
  <c r="AU16" i="1"/>
  <c r="AK17" i="1"/>
  <c r="AL17" i="1"/>
  <c r="AM17" i="1"/>
  <c r="AN17" i="1"/>
  <c r="AO17" i="1"/>
  <c r="AT17" i="1"/>
  <c r="AU17" i="1"/>
  <c r="AK18" i="1"/>
  <c r="AL18" i="1"/>
  <c r="AM18" i="1"/>
  <c r="AN18" i="1"/>
  <c r="AO18" i="1"/>
  <c r="AT18" i="1"/>
  <c r="AU18" i="1"/>
  <c r="AK19" i="1"/>
  <c r="AL19" i="1"/>
  <c r="AM19" i="1"/>
  <c r="AN19" i="1"/>
  <c r="AO19" i="1"/>
  <c r="AT19" i="1"/>
  <c r="AU19" i="1"/>
  <c r="AK20" i="1"/>
  <c r="AL20" i="1"/>
  <c r="AM20" i="1"/>
  <c r="AN20" i="1"/>
  <c r="AO20" i="1"/>
  <c r="AT20" i="1"/>
  <c r="AU20" i="1"/>
  <c r="AK21" i="1"/>
  <c r="AL21" i="1"/>
  <c r="AM21" i="1"/>
  <c r="AN21" i="1"/>
  <c r="AO21" i="1"/>
  <c r="AT21" i="1"/>
  <c r="AU21" i="1"/>
  <c r="AK22" i="1"/>
  <c r="AL22" i="1"/>
  <c r="AM22" i="1"/>
  <c r="AN22" i="1"/>
  <c r="AO22" i="1"/>
  <c r="AT22" i="1"/>
  <c r="AU22" i="1"/>
  <c r="AK23" i="1"/>
  <c r="AL23" i="1"/>
  <c r="AM23" i="1"/>
  <c r="AN23" i="1"/>
  <c r="AO23" i="1"/>
  <c r="AT23" i="1"/>
  <c r="AU23" i="1"/>
  <c r="AK24" i="1"/>
  <c r="AL24" i="1"/>
  <c r="AM24" i="1"/>
  <c r="AN24" i="1"/>
  <c r="AO24" i="1"/>
  <c r="AT24" i="1"/>
  <c r="AU24" i="1"/>
  <c r="AK25" i="1"/>
  <c r="AL25" i="1"/>
  <c r="AM25" i="1"/>
  <c r="AN25" i="1"/>
  <c r="AO25" i="1"/>
  <c r="AT25" i="1"/>
  <c r="AU25" i="1"/>
  <c r="AK26" i="1"/>
  <c r="AL26" i="1"/>
  <c r="AM26" i="1"/>
  <c r="AN26" i="1"/>
  <c r="AO26" i="1"/>
  <c r="AT26" i="1"/>
  <c r="AU26" i="1"/>
  <c r="AK27" i="1"/>
  <c r="AL27" i="1"/>
  <c r="AM27" i="1"/>
  <c r="AN27" i="1"/>
  <c r="AO27" i="1"/>
  <c r="AT27" i="1"/>
  <c r="AU27" i="1"/>
  <c r="AK28" i="1"/>
  <c r="AL28" i="1"/>
  <c r="AM28" i="1"/>
  <c r="AN28" i="1"/>
  <c r="AO28" i="1"/>
  <c r="AT28" i="1"/>
  <c r="AU28" i="1"/>
  <c r="AK29" i="1"/>
  <c r="AL29" i="1"/>
  <c r="AM29" i="1"/>
  <c r="AN29" i="1"/>
  <c r="AO29" i="1"/>
  <c r="AT29" i="1"/>
  <c r="AU29" i="1"/>
  <c r="AK30" i="1"/>
  <c r="AL30" i="1"/>
  <c r="AM30" i="1"/>
  <c r="AN30" i="1"/>
  <c r="AO30" i="1"/>
  <c r="AT30" i="1"/>
  <c r="AU30" i="1"/>
  <c r="AK31" i="1"/>
  <c r="AL31" i="1"/>
  <c r="AM31" i="1"/>
  <c r="AN31" i="1"/>
  <c r="AO31" i="1"/>
  <c r="AT31" i="1"/>
  <c r="AU31" i="1"/>
  <c r="AK32" i="1"/>
  <c r="AL32" i="1"/>
  <c r="AM32" i="1"/>
  <c r="AN32" i="1"/>
  <c r="AO32" i="1"/>
  <c r="AT32" i="1"/>
  <c r="AU32" i="1"/>
  <c r="AK33" i="1"/>
  <c r="AL33" i="1"/>
  <c r="AM33" i="1"/>
  <c r="AN33" i="1"/>
  <c r="AO33" i="1"/>
  <c r="AT33" i="1"/>
  <c r="AU33" i="1"/>
  <c r="AK34" i="1"/>
  <c r="AL34" i="1"/>
  <c r="AM34" i="1"/>
  <c r="AN34" i="1"/>
  <c r="AO34" i="1"/>
  <c r="AT34" i="1"/>
  <c r="AU34" i="1"/>
  <c r="AK35" i="1"/>
  <c r="AL35" i="1"/>
  <c r="AM35" i="1"/>
  <c r="AN35" i="1"/>
  <c r="AO35" i="1"/>
  <c r="AT35" i="1"/>
  <c r="AU35" i="1"/>
  <c r="AK36" i="1"/>
  <c r="AL36" i="1"/>
  <c r="AM36" i="1"/>
  <c r="AN36" i="1"/>
  <c r="AO36" i="1"/>
  <c r="AT36" i="1"/>
  <c r="AU36" i="1"/>
  <c r="AK37" i="1"/>
  <c r="AL37" i="1"/>
  <c r="AM37" i="1"/>
  <c r="AN37" i="1"/>
  <c r="AO37" i="1"/>
  <c r="AT37" i="1"/>
  <c r="AU37" i="1"/>
  <c r="AK38" i="1"/>
  <c r="AL38" i="1"/>
  <c r="AM38" i="1"/>
  <c r="AN38" i="1"/>
  <c r="AO38" i="1"/>
  <c r="AT38" i="1"/>
  <c r="AU38" i="1"/>
  <c r="AK39" i="1"/>
  <c r="AL39" i="1"/>
  <c r="AM39" i="1"/>
  <c r="AN39" i="1"/>
  <c r="AO39" i="1"/>
  <c r="AT39" i="1"/>
  <c r="AU39" i="1"/>
  <c r="AK40" i="1"/>
  <c r="AL40" i="1"/>
  <c r="AM40" i="1"/>
  <c r="AN40" i="1"/>
  <c r="AO40" i="1"/>
  <c r="AT40" i="1"/>
  <c r="AU40" i="1"/>
  <c r="AK41" i="1"/>
  <c r="AL41" i="1"/>
  <c r="AM41" i="1"/>
  <c r="AN41" i="1"/>
  <c r="AO41" i="1"/>
  <c r="AT41" i="1"/>
  <c r="AU41" i="1"/>
  <c r="AK42" i="1"/>
  <c r="AL42" i="1"/>
  <c r="AM42" i="1"/>
  <c r="AN42" i="1"/>
  <c r="AO42" i="1"/>
  <c r="AT42" i="1"/>
  <c r="AU42" i="1"/>
  <c r="AK43" i="1"/>
  <c r="AL43" i="1"/>
  <c r="AM43" i="1"/>
  <c r="AN43" i="1"/>
  <c r="AO43" i="1"/>
  <c r="AT43" i="1"/>
  <c r="AU43" i="1"/>
  <c r="AK44" i="1"/>
  <c r="AL44" i="1"/>
  <c r="AM44" i="1"/>
  <c r="AN44" i="1"/>
  <c r="AO44" i="1"/>
  <c r="AT44" i="1"/>
  <c r="AU44" i="1"/>
  <c r="AK45" i="1"/>
  <c r="AL45" i="1"/>
  <c r="AM45" i="1"/>
  <c r="AN45" i="1"/>
  <c r="AO45" i="1"/>
  <c r="AT45" i="1"/>
  <c r="AU45" i="1"/>
  <c r="AK46" i="1"/>
  <c r="AL46" i="1"/>
  <c r="AM46" i="1"/>
  <c r="AN46" i="1"/>
  <c r="AO46" i="1"/>
  <c r="AT46" i="1"/>
  <c r="AU46" i="1"/>
  <c r="AK47" i="1"/>
  <c r="AL47" i="1"/>
  <c r="AM47" i="1"/>
  <c r="AN47" i="1"/>
  <c r="AO47" i="1"/>
  <c r="AT47" i="1"/>
  <c r="AU47" i="1"/>
  <c r="AK48" i="1"/>
  <c r="AL48" i="1"/>
  <c r="AM48" i="1"/>
  <c r="AN48" i="1"/>
  <c r="AO48" i="1"/>
  <c r="AT48" i="1"/>
  <c r="AU48" i="1"/>
  <c r="AK49" i="1"/>
  <c r="AL49" i="1"/>
  <c r="AM49" i="1"/>
  <c r="AN49" i="1"/>
  <c r="AO49" i="1"/>
  <c r="AT49" i="1"/>
  <c r="AU49" i="1"/>
  <c r="AK50" i="1"/>
  <c r="AL50" i="1"/>
  <c r="AM50" i="1"/>
  <c r="AN50" i="1"/>
  <c r="AO50" i="1"/>
  <c r="AT50" i="1"/>
  <c r="AU50" i="1"/>
  <c r="AK51" i="1"/>
  <c r="AL51" i="1"/>
  <c r="AM51" i="1"/>
  <c r="AN51" i="1"/>
  <c r="AO51" i="1"/>
  <c r="AT51" i="1"/>
  <c r="AU51" i="1"/>
  <c r="AK52" i="1"/>
  <c r="AL52" i="1"/>
  <c r="AM52" i="1"/>
  <c r="AN52" i="1"/>
  <c r="AO52" i="1"/>
  <c r="AT52" i="1"/>
  <c r="AU52" i="1"/>
  <c r="AK53" i="1"/>
  <c r="AL53" i="1"/>
  <c r="AM53" i="1"/>
  <c r="AN53" i="1"/>
  <c r="AO53" i="1"/>
  <c r="AT53" i="1"/>
  <c r="AU53" i="1"/>
  <c r="AK54" i="1"/>
  <c r="AL54" i="1"/>
  <c r="AM54" i="1"/>
  <c r="AN54" i="1"/>
  <c r="AO54" i="1"/>
  <c r="AT54" i="1"/>
  <c r="AU54" i="1"/>
  <c r="AK55" i="1"/>
  <c r="AL55" i="1"/>
  <c r="AM55" i="1"/>
  <c r="AN55" i="1"/>
  <c r="AO55" i="1"/>
  <c r="AT55" i="1"/>
  <c r="AU55" i="1"/>
  <c r="AK56" i="1"/>
  <c r="AL56" i="1"/>
  <c r="AM56" i="1"/>
  <c r="AN56" i="1"/>
  <c r="AO56" i="1"/>
  <c r="AT56" i="1"/>
  <c r="AU56" i="1"/>
  <c r="AK57" i="1"/>
  <c r="AL57" i="1"/>
  <c r="AM57" i="1"/>
  <c r="AN57" i="1"/>
  <c r="AO57" i="1"/>
  <c r="AT57" i="1"/>
  <c r="AU57" i="1"/>
  <c r="AK58" i="1"/>
  <c r="AL58" i="1"/>
  <c r="AM58" i="1"/>
  <c r="AN58" i="1"/>
  <c r="AO58" i="1"/>
  <c r="AT58" i="1"/>
  <c r="AU58" i="1"/>
  <c r="AK59" i="1"/>
  <c r="AL59" i="1"/>
  <c r="AM59" i="1"/>
  <c r="AN59" i="1"/>
  <c r="AO59" i="1"/>
  <c r="AT59" i="1"/>
  <c r="AU59" i="1"/>
  <c r="AK60" i="1"/>
  <c r="AL60" i="1"/>
  <c r="AM60" i="1"/>
  <c r="AN60" i="1"/>
  <c r="AO60" i="1"/>
  <c r="AT60" i="1"/>
  <c r="AU60" i="1"/>
  <c r="AK61" i="1"/>
  <c r="AL61" i="1"/>
  <c r="AM61" i="1"/>
  <c r="AN61" i="1"/>
  <c r="AO61" i="1"/>
  <c r="AT61" i="1"/>
  <c r="AU61" i="1"/>
  <c r="AK62" i="1"/>
  <c r="AL62" i="1"/>
  <c r="AM62" i="1"/>
  <c r="AN62" i="1"/>
  <c r="AO62" i="1"/>
  <c r="AT62" i="1"/>
  <c r="AU62" i="1"/>
  <c r="AK63" i="1"/>
  <c r="AL63" i="1"/>
  <c r="AM63" i="1"/>
  <c r="AN63" i="1"/>
  <c r="AO63" i="1"/>
  <c r="AT63" i="1"/>
  <c r="AU63" i="1"/>
  <c r="AK64" i="1"/>
  <c r="AL64" i="1"/>
  <c r="AM64" i="1"/>
  <c r="AN64" i="1"/>
  <c r="AO64" i="1"/>
  <c r="AT64" i="1"/>
  <c r="AU64" i="1"/>
  <c r="AK65" i="1"/>
  <c r="AL65" i="1"/>
  <c r="AM65" i="1"/>
  <c r="AN65" i="1"/>
  <c r="AO65" i="1"/>
  <c r="AT65" i="1"/>
  <c r="AU65" i="1"/>
  <c r="AK66" i="1"/>
  <c r="AL66" i="1"/>
  <c r="AM66" i="1"/>
  <c r="AN66" i="1"/>
  <c r="AO66" i="1"/>
  <c r="AT66" i="1"/>
  <c r="AU66" i="1"/>
  <c r="AK67" i="1"/>
  <c r="AL67" i="1"/>
  <c r="AM67" i="1"/>
  <c r="AN67" i="1"/>
  <c r="AO67" i="1"/>
  <c r="AT67" i="1"/>
  <c r="AU67" i="1"/>
  <c r="AK68" i="1"/>
  <c r="AL68" i="1"/>
  <c r="AM68" i="1"/>
  <c r="AN68" i="1"/>
  <c r="AO68" i="1"/>
  <c r="AT68" i="1"/>
  <c r="AU68" i="1"/>
  <c r="AK69" i="1"/>
  <c r="AL69" i="1"/>
  <c r="AM69" i="1"/>
  <c r="AN69" i="1"/>
  <c r="AO69" i="1"/>
  <c r="AT69" i="1"/>
  <c r="AU69" i="1"/>
  <c r="AK70" i="1"/>
  <c r="AL70" i="1"/>
  <c r="AM70" i="1"/>
  <c r="AN70" i="1"/>
  <c r="AO70" i="1"/>
  <c r="AT70" i="1"/>
  <c r="AU70" i="1"/>
  <c r="AK71" i="1"/>
  <c r="AL71" i="1"/>
  <c r="AM71" i="1"/>
  <c r="AN71" i="1"/>
  <c r="AO71" i="1"/>
  <c r="AT71" i="1"/>
  <c r="AU71" i="1"/>
  <c r="AK72" i="1"/>
  <c r="AL72" i="1"/>
  <c r="AM72" i="1"/>
  <c r="AN72" i="1"/>
  <c r="AO72" i="1"/>
  <c r="AT72" i="1"/>
  <c r="AU72" i="1"/>
  <c r="AK73" i="1"/>
  <c r="AL73" i="1"/>
  <c r="AM73" i="1"/>
  <c r="AN73" i="1"/>
  <c r="AO73" i="1"/>
  <c r="AT73" i="1"/>
  <c r="AU73" i="1"/>
  <c r="AK74" i="1"/>
  <c r="AL74" i="1"/>
  <c r="AM74" i="1"/>
  <c r="AN74" i="1"/>
  <c r="AO74" i="1"/>
  <c r="AT74" i="1"/>
  <c r="AU74" i="1"/>
  <c r="AK75" i="1"/>
  <c r="AL75" i="1"/>
  <c r="AM75" i="1"/>
  <c r="AN75" i="1"/>
  <c r="AO75" i="1"/>
  <c r="AT75" i="1"/>
  <c r="AU75" i="1"/>
  <c r="AK76" i="1"/>
  <c r="AL76" i="1"/>
  <c r="AM76" i="1"/>
  <c r="AN76" i="1"/>
  <c r="AO76" i="1"/>
  <c r="AT76" i="1"/>
  <c r="AU76" i="1"/>
  <c r="AK77" i="1"/>
  <c r="AL77" i="1"/>
  <c r="AM77" i="1"/>
  <c r="AN77" i="1"/>
  <c r="AO77" i="1"/>
  <c r="AT77" i="1"/>
  <c r="AU77" i="1"/>
  <c r="AK78" i="1"/>
  <c r="AL78" i="1"/>
  <c r="AM78" i="1"/>
  <c r="AN78" i="1"/>
  <c r="AO78" i="1"/>
  <c r="AT78" i="1"/>
  <c r="AU78" i="1"/>
  <c r="AK79" i="1"/>
  <c r="AL79" i="1"/>
  <c r="AM79" i="1"/>
  <c r="AN79" i="1"/>
  <c r="AO79" i="1"/>
  <c r="AT79" i="1"/>
  <c r="AU79" i="1"/>
  <c r="AK80" i="1"/>
  <c r="AL80" i="1"/>
  <c r="AM80" i="1"/>
  <c r="AN80" i="1"/>
  <c r="AO80" i="1"/>
  <c r="AT80" i="1"/>
  <c r="AU80" i="1"/>
  <c r="AK81" i="1"/>
  <c r="AL81" i="1"/>
  <c r="AM81" i="1"/>
  <c r="AN81" i="1"/>
  <c r="AO81" i="1"/>
  <c r="AT81" i="1"/>
  <c r="AU81" i="1"/>
  <c r="AK82" i="1"/>
  <c r="AL82" i="1"/>
  <c r="AM82" i="1"/>
  <c r="AN82" i="1"/>
  <c r="AO82" i="1"/>
  <c r="AT82" i="1"/>
  <c r="AU82" i="1"/>
  <c r="AK83" i="1"/>
  <c r="AL83" i="1"/>
  <c r="AM83" i="1"/>
  <c r="AN83" i="1"/>
  <c r="AO83" i="1"/>
  <c r="AT83" i="1"/>
  <c r="AU83" i="1"/>
  <c r="AK84" i="1"/>
  <c r="AL84" i="1"/>
  <c r="AM84" i="1"/>
  <c r="AN84" i="1"/>
  <c r="AO84" i="1"/>
  <c r="AT84" i="1"/>
  <c r="AU84" i="1"/>
  <c r="AK85" i="1"/>
  <c r="AL85" i="1"/>
  <c r="AM85" i="1"/>
  <c r="AN85" i="1"/>
  <c r="AO85" i="1"/>
  <c r="AT85" i="1"/>
  <c r="AU85" i="1"/>
  <c r="AK86" i="1"/>
  <c r="AL86" i="1"/>
  <c r="AM86" i="1"/>
  <c r="AN86" i="1"/>
  <c r="AO86" i="1"/>
  <c r="AT86" i="1"/>
  <c r="AU86" i="1"/>
  <c r="AK87" i="1"/>
  <c r="AL87" i="1"/>
  <c r="AM87" i="1"/>
  <c r="AN87" i="1"/>
  <c r="AO87" i="1"/>
  <c r="AT87" i="1"/>
  <c r="AU87" i="1"/>
  <c r="AK88" i="1"/>
  <c r="AL88" i="1"/>
  <c r="AM88" i="1"/>
  <c r="AN88" i="1"/>
  <c r="AO88" i="1"/>
  <c r="AT88" i="1"/>
  <c r="AU88" i="1"/>
  <c r="AK89" i="1"/>
  <c r="AL89" i="1"/>
  <c r="AM89" i="1"/>
  <c r="AN89" i="1"/>
  <c r="AO89" i="1"/>
  <c r="AT89" i="1"/>
  <c r="AU89" i="1"/>
  <c r="AK90" i="1"/>
  <c r="AL90" i="1"/>
  <c r="AM90" i="1"/>
  <c r="AN90" i="1"/>
  <c r="AO90" i="1"/>
  <c r="AT90" i="1"/>
  <c r="AU90" i="1"/>
  <c r="AK91" i="1"/>
  <c r="AL91" i="1"/>
  <c r="AM91" i="1"/>
  <c r="AN91" i="1"/>
  <c r="AO91" i="1"/>
  <c r="AT91" i="1"/>
  <c r="AU91" i="1"/>
  <c r="AK92" i="1"/>
  <c r="AL92" i="1"/>
  <c r="AM92" i="1"/>
  <c r="AN92" i="1"/>
  <c r="AO92" i="1"/>
  <c r="AT92" i="1"/>
  <c r="AU92" i="1"/>
  <c r="AK93" i="1"/>
  <c r="AL93" i="1"/>
  <c r="AM93" i="1"/>
  <c r="AN93" i="1"/>
  <c r="AO93" i="1"/>
  <c r="AT93" i="1"/>
  <c r="AU93" i="1"/>
  <c r="AK94" i="1"/>
  <c r="AL94" i="1"/>
  <c r="AM94" i="1"/>
  <c r="AN94" i="1"/>
  <c r="AO94" i="1"/>
  <c r="AT94" i="1"/>
  <c r="AU94" i="1"/>
  <c r="AK95" i="1"/>
  <c r="AL95" i="1"/>
  <c r="AM95" i="1"/>
  <c r="AN95" i="1"/>
  <c r="AO95" i="1"/>
  <c r="AT95" i="1"/>
  <c r="AU95" i="1"/>
  <c r="AK96" i="1"/>
  <c r="AL96" i="1"/>
  <c r="AM96" i="1"/>
  <c r="AN96" i="1"/>
  <c r="AO96" i="1"/>
  <c r="AT96" i="1"/>
  <c r="AU96" i="1"/>
  <c r="AK97" i="1"/>
  <c r="AL97" i="1"/>
  <c r="AM97" i="1"/>
  <c r="AN97" i="1"/>
  <c r="AO97" i="1"/>
  <c r="AT97" i="1"/>
  <c r="AU97" i="1"/>
  <c r="AK98" i="1"/>
  <c r="AL98" i="1"/>
  <c r="AM98" i="1"/>
  <c r="AN98" i="1"/>
  <c r="AO98" i="1"/>
  <c r="AT98" i="1"/>
  <c r="AU98" i="1"/>
  <c r="AK99" i="1"/>
  <c r="AL99" i="1"/>
  <c r="AM99" i="1"/>
  <c r="AN99" i="1"/>
  <c r="AO99" i="1"/>
  <c r="AT99" i="1"/>
  <c r="AU99" i="1"/>
  <c r="AK100" i="1"/>
  <c r="AL100" i="1"/>
  <c r="AM100" i="1"/>
  <c r="AN100" i="1"/>
  <c r="AO100" i="1"/>
  <c r="AT100" i="1"/>
  <c r="AU100" i="1"/>
  <c r="AK101" i="1"/>
  <c r="AL101" i="1"/>
  <c r="AM101" i="1"/>
  <c r="AN101" i="1"/>
  <c r="AO101" i="1"/>
  <c r="AT101" i="1"/>
  <c r="AU101" i="1"/>
  <c r="AK102" i="1"/>
  <c r="AL102" i="1"/>
  <c r="AM102" i="1"/>
  <c r="AN102" i="1"/>
  <c r="AO102" i="1"/>
  <c r="AT102" i="1"/>
  <c r="AU102" i="1"/>
  <c r="AK103" i="1"/>
  <c r="AL103" i="1"/>
  <c r="AM103" i="1"/>
  <c r="AN103" i="1"/>
  <c r="AO103" i="1"/>
  <c r="AT103" i="1"/>
  <c r="AU103" i="1"/>
  <c r="AK104" i="1"/>
  <c r="AL104" i="1"/>
  <c r="AM104" i="1"/>
  <c r="AN104" i="1"/>
  <c r="AO104" i="1"/>
  <c r="AT104" i="1"/>
  <c r="AU104" i="1"/>
  <c r="AK105" i="1"/>
  <c r="AL105" i="1"/>
  <c r="AM105" i="1"/>
  <c r="AN105" i="1"/>
  <c r="AO105" i="1"/>
  <c r="AT105" i="1"/>
  <c r="AU105" i="1"/>
  <c r="AK106" i="1"/>
  <c r="AL106" i="1"/>
  <c r="AM106" i="1"/>
  <c r="AN106" i="1"/>
  <c r="AO106" i="1"/>
  <c r="AT106" i="1"/>
  <c r="AU106" i="1"/>
  <c r="AK107" i="1"/>
  <c r="AL107" i="1"/>
  <c r="AM107" i="1"/>
  <c r="AN107" i="1"/>
  <c r="AO107" i="1"/>
  <c r="AT107" i="1"/>
  <c r="AU107" i="1"/>
  <c r="AK108" i="1"/>
  <c r="AL108" i="1"/>
  <c r="AM108" i="1"/>
  <c r="AN108" i="1"/>
  <c r="AO108" i="1"/>
  <c r="AT108" i="1"/>
  <c r="AU108" i="1"/>
  <c r="AK109" i="1"/>
  <c r="AL109" i="1"/>
  <c r="AM109" i="1"/>
  <c r="AN109" i="1"/>
  <c r="AO109" i="1"/>
  <c r="AT109" i="1"/>
  <c r="AU109" i="1"/>
  <c r="AK110" i="1"/>
  <c r="AL110" i="1"/>
  <c r="AM110" i="1"/>
  <c r="AN110" i="1"/>
  <c r="AO110" i="1"/>
  <c r="AT110" i="1"/>
  <c r="AU110" i="1"/>
  <c r="AK111" i="1"/>
  <c r="AL111" i="1"/>
  <c r="AM111" i="1"/>
  <c r="AN111" i="1"/>
  <c r="AO111" i="1"/>
  <c r="AT111" i="1"/>
  <c r="AU111" i="1"/>
  <c r="AK112" i="1"/>
  <c r="AL112" i="1"/>
  <c r="AM112" i="1"/>
  <c r="AN112" i="1"/>
  <c r="AO112" i="1"/>
  <c r="AT112" i="1"/>
  <c r="AU112" i="1"/>
  <c r="AK113" i="1"/>
  <c r="AL113" i="1"/>
  <c r="AM113" i="1"/>
  <c r="AN113" i="1"/>
  <c r="AO113" i="1"/>
  <c r="AT113" i="1"/>
  <c r="AU113" i="1"/>
  <c r="AK114" i="1"/>
  <c r="AL114" i="1"/>
  <c r="AM114" i="1"/>
  <c r="AN114" i="1"/>
  <c r="AO114" i="1"/>
  <c r="AT114" i="1"/>
  <c r="AU114" i="1"/>
  <c r="AK115" i="1"/>
  <c r="AL115" i="1"/>
  <c r="AM115" i="1"/>
  <c r="AN115" i="1"/>
  <c r="AO115" i="1"/>
  <c r="AT115" i="1"/>
  <c r="AU115" i="1"/>
  <c r="AK116" i="1"/>
  <c r="AL116" i="1"/>
  <c r="AM116" i="1"/>
  <c r="AN116" i="1"/>
  <c r="AO116" i="1"/>
  <c r="AT116" i="1"/>
  <c r="AU116" i="1"/>
  <c r="AK117" i="1"/>
  <c r="AL117" i="1"/>
  <c r="AM117" i="1"/>
  <c r="AN117" i="1"/>
  <c r="AO117" i="1"/>
  <c r="AT117" i="1"/>
  <c r="AU117" i="1"/>
  <c r="AK118" i="1"/>
  <c r="AL118" i="1"/>
  <c r="AM118" i="1"/>
  <c r="AN118" i="1"/>
  <c r="AO118" i="1"/>
  <c r="AT118" i="1"/>
  <c r="AU118" i="1"/>
  <c r="AK119" i="1"/>
  <c r="AL119" i="1"/>
  <c r="AM119" i="1"/>
  <c r="AN119" i="1"/>
  <c r="AO119" i="1"/>
  <c r="AT119" i="1"/>
  <c r="AU119" i="1"/>
  <c r="AK120" i="1"/>
  <c r="AL120" i="1"/>
  <c r="AM120" i="1"/>
  <c r="AN120" i="1"/>
  <c r="AO120" i="1"/>
  <c r="AT120" i="1"/>
  <c r="AU120" i="1"/>
  <c r="AK121" i="1"/>
  <c r="AL121" i="1"/>
  <c r="AM121" i="1"/>
  <c r="AN121" i="1"/>
  <c r="AO121" i="1"/>
  <c r="AT121" i="1"/>
  <c r="AU121" i="1"/>
  <c r="AU2" i="1"/>
  <c r="AT2" i="1"/>
  <c r="AO2" i="1"/>
  <c r="AN2" i="1"/>
  <c r="AM2" i="1"/>
  <c r="AL2" i="1"/>
  <c r="AK2" i="1"/>
  <c r="B147" i="13"/>
  <c r="B146" i="13"/>
  <c r="B145" i="13"/>
  <c r="B144" i="13"/>
  <c r="B143" i="13"/>
  <c r="B142" i="13"/>
  <c r="B141" i="13"/>
  <c r="B140" i="13"/>
  <c r="B139" i="13"/>
  <c r="B138" i="13"/>
  <c r="B137" i="13"/>
  <c r="B136" i="13"/>
  <c r="C135" i="13"/>
  <c r="C147" i="13" s="1"/>
  <c r="B135" i="13"/>
  <c r="C134" i="13"/>
  <c r="C146" i="13" s="1"/>
  <c r="B134" i="13"/>
  <c r="C133" i="13"/>
  <c r="C145" i="13" s="1"/>
  <c r="B133" i="13"/>
  <c r="C132" i="13"/>
  <c r="C144" i="13" s="1"/>
  <c r="B132" i="13"/>
  <c r="C131" i="13"/>
  <c r="C143" i="13" s="1"/>
  <c r="B131" i="13"/>
  <c r="C130" i="13"/>
  <c r="C142" i="13" s="1"/>
  <c r="B130" i="13"/>
  <c r="C129" i="13"/>
  <c r="C141" i="13" s="1"/>
  <c r="B129" i="13"/>
  <c r="C128" i="13"/>
  <c r="C140" i="13" s="1"/>
  <c r="B128" i="13"/>
  <c r="C127" i="13"/>
  <c r="C139" i="13" s="1"/>
  <c r="B127" i="13"/>
  <c r="C126" i="13"/>
  <c r="C138" i="13" s="1"/>
  <c r="B126" i="13"/>
  <c r="C125" i="13"/>
  <c r="C137" i="13" s="1"/>
  <c r="B125" i="13"/>
  <c r="C124" i="13"/>
  <c r="C136" i="13" s="1"/>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AB21" i="13"/>
  <c r="AA21" i="13"/>
  <c r="E139" i="13" s="1"/>
  <c r="AB20" i="13"/>
  <c r="AA20" i="13"/>
  <c r="AB19" i="13"/>
  <c r="AA19" i="13"/>
  <c r="AB16" i="13"/>
  <c r="AA16" i="13"/>
  <c r="P137" i="13" s="1"/>
  <c r="AB15" i="13"/>
  <c r="AA15" i="13"/>
  <c r="AB14" i="13"/>
  <c r="AA14" i="13"/>
  <c r="G59" i="7" l="1"/>
  <c r="G60" i="7" s="1"/>
  <c r="O135" i="13"/>
  <c r="M127" i="13"/>
  <c r="M139" i="13" s="1"/>
  <c r="M131" i="13"/>
  <c r="M143" i="13" s="1"/>
  <c r="M135" i="13"/>
  <c r="M147" i="13" s="1"/>
  <c r="N127" i="13"/>
  <c r="N139" i="13" s="1"/>
  <c r="N131" i="13"/>
  <c r="N143" i="13" s="1"/>
  <c r="N135" i="13"/>
  <c r="N147" i="13" s="1"/>
  <c r="K124" i="13"/>
  <c r="K136" i="13" s="1"/>
  <c r="K128" i="13"/>
  <c r="K140" i="13" s="1"/>
  <c r="K132" i="13"/>
  <c r="K144" i="13" s="1"/>
  <c r="L124" i="13"/>
  <c r="L136" i="13" s="1"/>
  <c r="L128" i="13"/>
  <c r="L140" i="13" s="1"/>
  <c r="L132" i="13"/>
  <c r="L144" i="13" s="1"/>
  <c r="K133" i="13"/>
  <c r="K145" i="13" s="1"/>
  <c r="M124" i="13"/>
  <c r="M136" i="13" s="1"/>
  <c r="M128" i="13"/>
  <c r="M140" i="13" s="1"/>
  <c r="M132" i="13"/>
  <c r="M144" i="13" s="1"/>
  <c r="K129" i="13"/>
  <c r="K141" i="13" s="1"/>
  <c r="N124" i="13"/>
  <c r="N136" i="13" s="1"/>
  <c r="N128" i="13"/>
  <c r="N140" i="13" s="1"/>
  <c r="N132" i="13"/>
  <c r="N144" i="13" s="1"/>
  <c r="K125" i="13"/>
  <c r="K137" i="13" s="1"/>
  <c r="L125" i="13"/>
  <c r="L137" i="13" s="1"/>
  <c r="L129" i="13"/>
  <c r="L141" i="13" s="1"/>
  <c r="L133" i="13"/>
  <c r="L145" i="13" s="1"/>
  <c r="N130" i="13"/>
  <c r="N142" i="13" s="1"/>
  <c r="L131" i="13"/>
  <c r="L143" i="13" s="1"/>
  <c r="M125" i="13"/>
  <c r="M137" i="13" s="1"/>
  <c r="M129" i="13"/>
  <c r="M141" i="13" s="1"/>
  <c r="M133" i="13"/>
  <c r="M145" i="13" s="1"/>
  <c r="N125" i="13"/>
  <c r="N137" i="13" s="1"/>
  <c r="N129" i="13"/>
  <c r="N141" i="13" s="1"/>
  <c r="N133" i="13"/>
  <c r="N145" i="13" s="1"/>
  <c r="K126" i="13"/>
  <c r="K138" i="13" s="1"/>
  <c r="K130" i="13"/>
  <c r="K142" i="13" s="1"/>
  <c r="K134" i="13"/>
  <c r="K146" i="13" s="1"/>
  <c r="N134" i="13"/>
  <c r="N146" i="13" s="1"/>
  <c r="L126" i="13"/>
  <c r="L138" i="13" s="1"/>
  <c r="L130" i="13"/>
  <c r="L142" i="13" s="1"/>
  <c r="L134" i="13"/>
  <c r="L146" i="13" s="1"/>
  <c r="M126" i="13"/>
  <c r="M138" i="13" s="1"/>
  <c r="M130" i="13"/>
  <c r="M142" i="13" s="1"/>
  <c r="M134" i="13"/>
  <c r="M146" i="13" s="1"/>
  <c r="N126" i="13"/>
  <c r="N138" i="13" s="1"/>
  <c r="L135" i="13"/>
  <c r="L147" i="13" s="1"/>
  <c r="K127" i="13"/>
  <c r="K139" i="13" s="1"/>
  <c r="K131" i="13"/>
  <c r="K143" i="13" s="1"/>
  <c r="K135" i="13"/>
  <c r="K147" i="13" s="1"/>
  <c r="L127" i="13"/>
  <c r="L139" i="13" s="1"/>
  <c r="O130" i="13"/>
  <c r="O142" i="13" s="1"/>
  <c r="E138" i="13"/>
  <c r="O147" i="13"/>
  <c r="O138" i="13"/>
  <c r="P138" i="13"/>
  <c r="H134" i="13"/>
  <c r="H146" i="13" s="1"/>
  <c r="H124" i="13"/>
  <c r="H136" i="13" s="1"/>
  <c r="G127" i="13"/>
  <c r="G139" i="13" s="1"/>
  <c r="P132" i="13"/>
  <c r="P144" i="13" s="1"/>
  <c r="H135" i="13"/>
  <c r="H147" i="13" s="1"/>
  <c r="J134" i="13"/>
  <c r="J146" i="13" s="1"/>
  <c r="I124" i="13"/>
  <c r="I136" i="13" s="1"/>
  <c r="I128" i="13"/>
  <c r="I140" i="13" s="1"/>
  <c r="F125" i="13"/>
  <c r="F137" i="13" s="1"/>
  <c r="I125" i="13"/>
  <c r="I137" i="13" s="1"/>
  <c r="F133" i="13"/>
  <c r="F145" i="13" s="1"/>
  <c r="H127" i="13"/>
  <c r="H139" i="13" s="1"/>
  <c r="J128" i="13"/>
  <c r="J140" i="13" s="1"/>
  <c r="J125" i="13"/>
  <c r="J137" i="13" s="1"/>
  <c r="H129" i="13"/>
  <c r="H141" i="13" s="1"/>
  <c r="J124" i="13"/>
  <c r="J136" i="13" s="1"/>
  <c r="G130" i="13"/>
  <c r="G142" i="13" s="1"/>
  <c r="I134" i="13"/>
  <c r="I146" i="13" s="1"/>
  <c r="I127" i="13"/>
  <c r="I139" i="13" s="1"/>
  <c r="H131" i="13"/>
  <c r="H143" i="13" s="1"/>
  <c r="O134" i="13"/>
  <c r="O146" i="13" s="1"/>
  <c r="P127" i="13"/>
  <c r="P139" i="13" s="1"/>
  <c r="D133" i="13"/>
  <c r="D145" i="13" s="1"/>
  <c r="E131" i="13"/>
  <c r="E143" i="13" s="1"/>
  <c r="I129" i="13"/>
  <c r="I141" i="13" s="1"/>
  <c r="I133" i="13"/>
  <c r="I145" i="13" s="1"/>
  <c r="G135" i="13"/>
  <c r="G147" i="13" s="1"/>
  <c r="J129" i="13"/>
  <c r="J141" i="13" s="1"/>
  <c r="J133" i="13"/>
  <c r="J145" i="13" s="1"/>
  <c r="F126" i="13"/>
  <c r="F138" i="13" s="1"/>
  <c r="O129" i="13"/>
  <c r="O141" i="13" s="1"/>
  <c r="F131" i="13"/>
  <c r="F143" i="13" s="1"/>
  <c r="O133" i="13"/>
  <c r="O145" i="13" s="1"/>
  <c r="D137" i="13"/>
  <c r="E137" i="13"/>
  <c r="G126" i="13"/>
  <c r="G138" i="13" s="1"/>
  <c r="G131" i="13"/>
  <c r="G143" i="13" s="1"/>
  <c r="P133" i="13"/>
  <c r="P145" i="13" s="1"/>
  <c r="D140" i="13"/>
  <c r="H128" i="13"/>
  <c r="H140" i="13" s="1"/>
  <c r="F130" i="13"/>
  <c r="F142" i="13" s="1"/>
  <c r="P135" i="13"/>
  <c r="P147" i="13" s="1"/>
  <c r="D138" i="13"/>
  <c r="D132" i="13"/>
  <c r="D144" i="13" s="1"/>
  <c r="E132" i="13"/>
  <c r="E144" i="13" s="1"/>
  <c r="D134" i="13"/>
  <c r="D146" i="13" s="1"/>
  <c r="E133" i="13"/>
  <c r="E145" i="13" s="1"/>
  <c r="D131" i="13"/>
  <c r="D143" i="13" s="1"/>
  <c r="E130" i="13"/>
  <c r="E142" i="13" s="1"/>
  <c r="E134" i="13"/>
  <c r="E146" i="13" s="1"/>
  <c r="E135" i="13"/>
  <c r="E147" i="13" s="1"/>
  <c r="D130" i="13"/>
  <c r="D142" i="13" s="1"/>
  <c r="D135" i="13"/>
  <c r="D147" i="13" s="1"/>
  <c r="I126" i="13"/>
  <c r="I138" i="13" s="1"/>
  <c r="J131" i="13"/>
  <c r="J143" i="13" s="1"/>
  <c r="O136" i="13"/>
  <c r="E140" i="13"/>
  <c r="G133" i="13"/>
  <c r="G145" i="13" s="1"/>
  <c r="J126" i="13"/>
  <c r="J138" i="13" s="1"/>
  <c r="O131" i="13"/>
  <c r="O143" i="13" s="1"/>
  <c r="H132" i="13"/>
  <c r="H144" i="13" s="1"/>
  <c r="F134" i="13"/>
  <c r="F146" i="13" s="1"/>
  <c r="P136" i="13"/>
  <c r="G125" i="13"/>
  <c r="G137" i="13" s="1"/>
  <c r="I131" i="13"/>
  <c r="I143" i="13" s="1"/>
  <c r="P131" i="13"/>
  <c r="P143" i="13" s="1"/>
  <c r="I132" i="13"/>
  <c r="I144" i="13" s="1"/>
  <c r="G134" i="13"/>
  <c r="G146" i="13" s="1"/>
  <c r="D141" i="13"/>
  <c r="H126" i="13"/>
  <c r="H138" i="13" s="1"/>
  <c r="F129" i="13"/>
  <c r="F141" i="13" s="1"/>
  <c r="F124" i="13"/>
  <c r="F136" i="13" s="1"/>
  <c r="F128" i="13"/>
  <c r="F140" i="13" s="1"/>
  <c r="G129" i="13"/>
  <c r="G141" i="13" s="1"/>
  <c r="J132" i="13"/>
  <c r="J144" i="13" s="1"/>
  <c r="D136" i="13"/>
  <c r="O137" i="13"/>
  <c r="E141" i="13"/>
  <c r="P130" i="13"/>
  <c r="P142" i="13" s="1"/>
  <c r="G124" i="13"/>
  <c r="G136" i="13" s="1"/>
  <c r="H125" i="13"/>
  <c r="H137" i="13" s="1"/>
  <c r="F127" i="13"/>
  <c r="F139" i="13" s="1"/>
  <c r="G128" i="13"/>
  <c r="G140" i="13" s="1"/>
  <c r="O132" i="13"/>
  <c r="O144" i="13" s="1"/>
  <c r="H133" i="13"/>
  <c r="H145" i="13" s="1"/>
  <c r="F135" i="13"/>
  <c r="F147" i="13" s="1"/>
  <c r="E136" i="13"/>
  <c r="H130" i="13"/>
  <c r="H142" i="13" s="1"/>
  <c r="F132" i="13"/>
  <c r="F144" i="13" s="1"/>
  <c r="P134" i="13"/>
  <c r="P146" i="13" s="1"/>
  <c r="J135" i="13"/>
  <c r="J147" i="13" s="1"/>
  <c r="D139" i="13"/>
  <c r="I135" i="13"/>
  <c r="I147" i="13" s="1"/>
  <c r="J127" i="13"/>
  <c r="J139" i="13" s="1"/>
  <c r="O128" i="13"/>
  <c r="O140" i="13" s="1"/>
  <c r="P129" i="13"/>
  <c r="P141" i="13" s="1"/>
  <c r="I130" i="13"/>
  <c r="I142" i="13" s="1"/>
  <c r="G132" i="13"/>
  <c r="G144" i="13" s="1"/>
  <c r="O127" i="13"/>
  <c r="O139" i="13" s="1"/>
  <c r="P128" i="13"/>
  <c r="P140" i="13" s="1"/>
  <c r="J130" i="13"/>
  <c r="J142" i="13" s="1"/>
  <c r="G61" i="7" l="1"/>
  <c r="G62" i="7" s="1"/>
  <c r="G63" i="7" s="1"/>
  <c r="G64" i="7" s="1"/>
  <c r="G65" i="7" s="1"/>
  <c r="G66" i="7" s="1"/>
  <c r="G67" i="7" s="1"/>
  <c r="G68" i="7" s="1"/>
  <c r="G69" i="7" s="1"/>
  <c r="G70" i="7" s="1"/>
  <c r="G71" i="7" s="1"/>
  <c r="O30" i="10"/>
  <c r="P30" i="10"/>
  <c r="O31" i="10"/>
  <c r="P31" i="10"/>
  <c r="O29" i="10"/>
  <c r="P29" i="10"/>
  <c r="K47" i="10"/>
  <c r="K46" i="10"/>
  <c r="K45" i="10"/>
  <c r="K44" i="10"/>
  <c r="K43" i="10"/>
  <c r="K42" i="10"/>
  <c r="K41" i="10"/>
  <c r="K40" i="10"/>
  <c r="K39" i="10"/>
  <c r="K38" i="10"/>
  <c r="K37" i="10"/>
  <c r="K36" i="10"/>
  <c r="K35" i="10"/>
  <c r="P28" i="10"/>
  <c r="O28" i="10"/>
  <c r="N28" i="10"/>
  <c r="M28" i="10"/>
  <c r="L28" i="10"/>
  <c r="I111" i="10"/>
  <c r="I112" i="10"/>
  <c r="I113" i="10"/>
  <c r="I114" i="10"/>
  <c r="I115" i="10"/>
  <c r="I116" i="10"/>
  <c r="R21" i="11"/>
  <c r="Q21" i="11"/>
  <c r="F33" i="11"/>
  <c r="F37" i="11" s="1"/>
  <c r="I37" i="11" s="1"/>
  <c r="C33" i="11"/>
  <c r="I21" i="12"/>
  <c r="D21" i="12"/>
  <c r="O18" i="12"/>
  <c r="N18" i="12"/>
  <c r="K11" i="12"/>
  <c r="H11" i="12"/>
  <c r="E11" i="12"/>
  <c r="K10" i="12"/>
  <c r="H10" i="12"/>
  <c r="E10" i="12"/>
  <c r="J70" i="11"/>
  <c r="J69" i="11"/>
  <c r="J55" i="11" s="1"/>
  <c r="J68" i="11"/>
  <c r="J54" i="11" s="1"/>
  <c r="J67" i="11"/>
  <c r="J53" i="11" s="1"/>
  <c r="J66" i="11"/>
  <c r="J65" i="11"/>
  <c r="J64" i="11"/>
  <c r="J50" i="11" s="1"/>
  <c r="J63" i="11"/>
  <c r="J62" i="11"/>
  <c r="J48" i="11" s="1"/>
  <c r="J61" i="11"/>
  <c r="J47" i="11" s="1"/>
  <c r="O60" i="11"/>
  <c r="N60" i="11"/>
  <c r="M60" i="11"/>
  <c r="J56" i="11"/>
  <c r="S55" i="11"/>
  <c r="D55" i="11"/>
  <c r="J52" i="11"/>
  <c r="S51" i="11"/>
  <c r="J51" i="11"/>
  <c r="S50" i="11"/>
  <c r="S49" i="11"/>
  <c r="J49" i="11"/>
  <c r="S48" i="11"/>
  <c r="S47" i="11"/>
  <c r="M38" i="11"/>
  <c r="M37" i="11"/>
  <c r="M36" i="11"/>
  <c r="C37" i="11"/>
  <c r="F31" i="11"/>
  <c r="M27" i="11"/>
  <c r="M26" i="11"/>
  <c r="M25" i="11"/>
  <c r="M24" i="11"/>
  <c r="M23" i="11"/>
  <c r="G23" i="11"/>
  <c r="F23" i="11"/>
  <c r="E23" i="11"/>
  <c r="D23" i="11"/>
  <c r="C23" i="11"/>
  <c r="M22" i="11"/>
  <c r="I22" i="11"/>
  <c r="M21" i="11"/>
  <c r="I21" i="11"/>
  <c r="M20" i="11"/>
  <c r="M19" i="11"/>
  <c r="M18" i="11"/>
  <c r="F14" i="11"/>
  <c r="E14" i="11"/>
  <c r="D14" i="11"/>
  <c r="C14" i="11"/>
  <c r="Q13" i="11"/>
  <c r="P13" i="11"/>
  <c r="D59" i="11" s="1"/>
  <c r="O13" i="11"/>
  <c r="N13" i="11"/>
  <c r="N27" i="11" s="1"/>
  <c r="G13" i="11"/>
  <c r="R13" i="11" s="1"/>
  <c r="G12" i="11"/>
  <c r="Q11" i="11"/>
  <c r="P11" i="11"/>
  <c r="O11" i="11"/>
  <c r="N11" i="11"/>
  <c r="G11" i="11"/>
  <c r="R11" i="11" s="1"/>
  <c r="F57" i="11" s="1"/>
  <c r="Q10" i="11"/>
  <c r="E56" i="11" s="1"/>
  <c r="P10" i="11"/>
  <c r="D56" i="11" s="1"/>
  <c r="O10" i="11"/>
  <c r="N10" i="11"/>
  <c r="N24" i="11" s="1"/>
  <c r="G10" i="11"/>
  <c r="R10" i="11" s="1"/>
  <c r="Q9" i="11"/>
  <c r="E55" i="11" s="1"/>
  <c r="P9" i="11"/>
  <c r="O9" i="11"/>
  <c r="N9" i="11"/>
  <c r="C55" i="11" s="1"/>
  <c r="G9" i="11"/>
  <c r="R9" i="11" s="1"/>
  <c r="G8" i="11"/>
  <c r="G7" i="11"/>
  <c r="G6" i="11"/>
  <c r="I5" i="11"/>
  <c r="I6" i="11" s="1"/>
  <c r="I7" i="11" s="1"/>
  <c r="I8" i="11" s="1"/>
  <c r="G5" i="11"/>
  <c r="G4" i="11"/>
  <c r="H12" i="11" l="1"/>
  <c r="B12" i="23"/>
  <c r="D15" i="11"/>
  <c r="O24" i="11"/>
  <c r="P24" i="11"/>
  <c r="Q24" i="11"/>
  <c r="N23" i="11"/>
  <c r="F15" i="11"/>
  <c r="R25" i="11"/>
  <c r="I23" i="11"/>
  <c r="H5" i="11" s="1"/>
  <c r="R23" i="11"/>
  <c r="C56" i="11"/>
  <c r="G56" i="11" s="1"/>
  <c r="O25" i="11"/>
  <c r="P25" i="11"/>
  <c r="Q25" i="11"/>
  <c r="Q23" i="11"/>
  <c r="O27" i="11"/>
  <c r="Q27" i="11"/>
  <c r="R27" i="11"/>
  <c r="F59" i="11"/>
  <c r="R24" i="11"/>
  <c r="F56" i="11"/>
  <c r="P12" i="11"/>
  <c r="O12" i="11"/>
  <c r="N12" i="11"/>
  <c r="N26" i="11" s="1"/>
  <c r="N30" i="11" s="1"/>
  <c r="R12" i="11"/>
  <c r="Q12" i="11"/>
  <c r="E59" i="11"/>
  <c r="G14" i="11"/>
  <c r="C57" i="11"/>
  <c r="D57" i="11"/>
  <c r="E57" i="11"/>
  <c r="N25" i="11"/>
  <c r="P27" i="11"/>
  <c r="F55" i="11"/>
  <c r="G55" i="11" s="1"/>
  <c r="O23" i="11"/>
  <c r="E15" i="11"/>
  <c r="P23" i="11"/>
  <c r="G59" i="11" l="1"/>
  <c r="O70" i="11" s="1"/>
  <c r="H8" i="11"/>
  <c r="R8" i="11" s="1"/>
  <c r="H4" i="11"/>
  <c r="R4" i="11" s="1"/>
  <c r="H7" i="11"/>
  <c r="Q7" i="11" s="1"/>
  <c r="G57" i="11"/>
  <c r="H6" i="11"/>
  <c r="Q6" i="11" s="1"/>
  <c r="F58" i="11"/>
  <c r="R26" i="11"/>
  <c r="Q8" i="11"/>
  <c r="P8" i="11"/>
  <c r="O8" i="11"/>
  <c r="N8" i="11"/>
  <c r="E58" i="11"/>
  <c r="Q26" i="11"/>
  <c r="N4" i="11"/>
  <c r="O26" i="11"/>
  <c r="N6" i="11"/>
  <c r="D58" i="11"/>
  <c r="P26" i="11"/>
  <c r="R5" i="11"/>
  <c r="Q5" i="11"/>
  <c r="P5" i="11"/>
  <c r="O5" i="11"/>
  <c r="N5" i="11"/>
  <c r="F54" i="11"/>
  <c r="R6" i="11"/>
  <c r="M70" i="11" l="1"/>
  <c r="O6" i="11"/>
  <c r="P6" i="11"/>
  <c r="D52" i="11" s="1"/>
  <c r="Q4" i="11"/>
  <c r="P4" i="11"/>
  <c r="O4" i="11"/>
  <c r="R18" i="11" s="1"/>
  <c r="R7" i="11"/>
  <c r="N7" i="11"/>
  <c r="N36" i="11" s="1"/>
  <c r="D118" i="10" s="1"/>
  <c r="O7" i="11"/>
  <c r="P7" i="11"/>
  <c r="P21" i="11" s="1"/>
  <c r="G58" i="11"/>
  <c r="N70" i="11"/>
  <c r="O22" i="11"/>
  <c r="O20" i="11"/>
  <c r="E52" i="11"/>
  <c r="Q20" i="11"/>
  <c r="P20" i="11"/>
  <c r="E53" i="11"/>
  <c r="D54" i="11"/>
  <c r="P22" i="11"/>
  <c r="E54" i="11"/>
  <c r="Q22" i="11"/>
  <c r="R22" i="11"/>
  <c r="C54" i="11"/>
  <c r="N22" i="11"/>
  <c r="O68" i="11"/>
  <c r="N68" i="11"/>
  <c r="M68" i="11"/>
  <c r="O19" i="11"/>
  <c r="D51" i="11"/>
  <c r="P19" i="11"/>
  <c r="E51" i="11"/>
  <c r="Q19" i="11"/>
  <c r="C50" i="11"/>
  <c r="N18" i="11"/>
  <c r="F52" i="11"/>
  <c r="R20" i="11"/>
  <c r="D53" i="11"/>
  <c r="O66" i="11"/>
  <c r="N66" i="11"/>
  <c r="M66" i="11"/>
  <c r="C53" i="11"/>
  <c r="N21" i="11"/>
  <c r="C51" i="11"/>
  <c r="N19" i="11"/>
  <c r="F51" i="11"/>
  <c r="R19" i="11"/>
  <c r="Q37" i="11"/>
  <c r="Q36" i="11"/>
  <c r="D133" i="10" s="1"/>
  <c r="Q18" i="11"/>
  <c r="E50" i="11"/>
  <c r="Q38" i="11"/>
  <c r="R37" i="11"/>
  <c r="I8" i="12" s="1"/>
  <c r="K8" i="12" s="1"/>
  <c r="F50" i="11"/>
  <c r="C52" i="11"/>
  <c r="N20" i="11"/>
  <c r="F9" i="12" l="1"/>
  <c r="H9" i="12" s="1"/>
  <c r="F133" i="10"/>
  <c r="F8" i="12"/>
  <c r="H8" i="12" s="1"/>
  <c r="E133" i="10"/>
  <c r="I133" i="10"/>
  <c r="S70" i="11"/>
  <c r="N38" i="11"/>
  <c r="F118" i="10" s="1"/>
  <c r="P36" i="11"/>
  <c r="D129" i="10" s="1"/>
  <c r="R30" i="11"/>
  <c r="N37" i="11"/>
  <c r="F53" i="11"/>
  <c r="F61" i="11" s="1"/>
  <c r="P18" i="11"/>
  <c r="O37" i="11"/>
  <c r="E124" i="10" s="1"/>
  <c r="O21" i="11"/>
  <c r="R38" i="11"/>
  <c r="I9" i="12" s="1"/>
  <c r="K9" i="12" s="1"/>
  <c r="O38" i="11"/>
  <c r="F124" i="10" s="1"/>
  <c r="P37" i="11"/>
  <c r="G51" i="11"/>
  <c r="O18" i="11"/>
  <c r="O36" i="11"/>
  <c r="D124" i="10" s="1"/>
  <c r="P38" i="11"/>
  <c r="D50" i="11"/>
  <c r="R36" i="11"/>
  <c r="I7" i="12" s="1"/>
  <c r="G50" i="11"/>
  <c r="G52" i="11"/>
  <c r="O63" i="11" s="1"/>
  <c r="G54" i="11"/>
  <c r="G53" i="11"/>
  <c r="R31" i="11"/>
  <c r="S66" i="11"/>
  <c r="P32" i="11"/>
  <c r="Q40" i="11"/>
  <c r="F7" i="12"/>
  <c r="E61" i="11"/>
  <c r="C61" i="11"/>
  <c r="O31" i="11"/>
  <c r="O32" i="11"/>
  <c r="Q31" i="11"/>
  <c r="Q30" i="11"/>
  <c r="Q32" i="11"/>
  <c r="N32" i="11"/>
  <c r="N31" i="11"/>
  <c r="D61" i="11"/>
  <c r="O69" i="11"/>
  <c r="N69" i="11"/>
  <c r="M69" i="11"/>
  <c r="S68" i="11"/>
  <c r="O67" i="11"/>
  <c r="N67" i="11"/>
  <c r="M67" i="11"/>
  <c r="I124" i="10" l="1"/>
  <c r="C8" i="12"/>
  <c r="E8" i="12" s="1"/>
  <c r="E129" i="10"/>
  <c r="I129" i="10" s="1"/>
  <c r="C7" i="12"/>
  <c r="N40" i="11"/>
  <c r="E118" i="10"/>
  <c r="I118" i="10" s="1"/>
  <c r="C9" i="12"/>
  <c r="E9" i="12" s="1"/>
  <c r="F129" i="10"/>
  <c r="O40" i="11"/>
  <c r="R32" i="11"/>
  <c r="R34" i="11" s="1"/>
  <c r="O30" i="11"/>
  <c r="O34" i="11" s="1"/>
  <c r="P31" i="11"/>
  <c r="P30" i="11"/>
  <c r="P34" i="11" s="1"/>
  <c r="R40" i="11"/>
  <c r="P40" i="11"/>
  <c r="S69" i="11"/>
  <c r="G61" i="11"/>
  <c r="N34" i="11"/>
  <c r="S67" i="11"/>
  <c r="Q34" i="11"/>
  <c r="M63" i="11"/>
  <c r="N63" i="11"/>
  <c r="I12" i="12"/>
  <c r="K12" i="12" s="1"/>
  <c r="K7" i="12"/>
  <c r="O65" i="11"/>
  <c r="N65" i="11"/>
  <c r="M65" i="11"/>
  <c r="C12" i="12"/>
  <c r="E12" i="12" s="1"/>
  <c r="E7" i="12"/>
  <c r="N61" i="11"/>
  <c r="M61" i="11"/>
  <c r="O61" i="11"/>
  <c r="O62" i="11"/>
  <c r="N62" i="11"/>
  <c r="M62" i="11"/>
  <c r="O64" i="11"/>
  <c r="N64" i="11"/>
  <c r="M64" i="11"/>
  <c r="F12" i="12"/>
  <c r="H7" i="12"/>
  <c r="M7" i="12" s="1"/>
  <c r="M9" i="12" l="1"/>
  <c r="N9" i="12"/>
  <c r="N8" i="12"/>
  <c r="M8" i="12"/>
  <c r="S64" i="11"/>
  <c r="S63" i="11"/>
  <c r="O72" i="11"/>
  <c r="N7" i="12"/>
  <c r="S65" i="11"/>
  <c r="M72" i="11"/>
  <c r="S61" i="11"/>
  <c r="S62" i="11"/>
  <c r="D26" i="34" l="1"/>
  <c r="D14" i="33"/>
  <c r="D20" i="12"/>
  <c r="D22" i="12" s="1"/>
  <c r="D13" i="9"/>
  <c r="D25" i="34"/>
  <c r="D13" i="33"/>
  <c r="D12" i="9"/>
  <c r="D24" i="34"/>
  <c r="D29" i="34" s="1"/>
  <c r="D12" i="33"/>
  <c r="D17" i="33" s="1"/>
  <c r="I20" i="12"/>
  <c r="I22" i="12" s="1"/>
  <c r="D14" i="9"/>
  <c r="D17" i="9" s="1"/>
  <c r="S72" i="11"/>
  <c r="I104" i="10" l="1"/>
  <c r="I103" i="10"/>
  <c r="I63" i="10"/>
  <c r="I66" i="10"/>
  <c r="I62" i="10"/>
  <c r="I61" i="10"/>
  <c r="I20" i="10"/>
  <c r="C4" i="10"/>
  <c r="I28" i="10" l="1"/>
  <c r="I71" i="10"/>
  <c r="I19" i="10"/>
  <c r="I24" i="10"/>
  <c r="I67" i="10"/>
  <c r="I109" i="10"/>
  <c r="I29" i="10"/>
  <c r="I23" i="10"/>
  <c r="I108" i="10"/>
  <c r="C5" i="10"/>
  <c r="D125" i="10"/>
  <c r="D134" i="10"/>
  <c r="D119" i="10"/>
  <c r="D130" i="10"/>
  <c r="I22" i="10"/>
  <c r="I65" i="10"/>
  <c r="I107" i="10"/>
  <c r="I27" i="10"/>
  <c r="I70" i="10"/>
  <c r="D122" i="10"/>
  <c r="I32" i="10"/>
  <c r="I21" i="10"/>
  <c r="I64" i="10"/>
  <c r="I106" i="10"/>
  <c r="I26" i="10"/>
  <c r="I69" i="10"/>
  <c r="D121" i="10"/>
  <c r="D127" i="10"/>
  <c r="I31" i="10"/>
  <c r="I105" i="10"/>
  <c r="I25" i="10"/>
  <c r="I68" i="10"/>
  <c r="D131" i="10"/>
  <c r="D120" i="10"/>
  <c r="L29" i="10" s="1"/>
  <c r="D126" i="10"/>
  <c r="I30" i="10"/>
  <c r="I11" i="10"/>
  <c r="I4" i="10"/>
  <c r="I12" i="10"/>
  <c r="I16" i="10"/>
  <c r="I17" i="10"/>
  <c r="I10" i="10"/>
  <c r="I15" i="10"/>
  <c r="I8" i="10"/>
  <c r="I7" i="10"/>
  <c r="I13" i="10"/>
  <c r="I6" i="10"/>
  <c r="I5" i="10"/>
  <c r="I9" i="10"/>
  <c r="I3" i="10"/>
  <c r="I14" i="10"/>
  <c r="C6" i="10"/>
  <c r="C20" i="10"/>
  <c r="C34" i="10" s="1"/>
  <c r="C19" i="10"/>
  <c r="L31" i="10" l="1"/>
  <c r="H16" i="8" s="1"/>
  <c r="L30" i="10"/>
  <c r="H15" i="30" s="1"/>
  <c r="B48" i="10"/>
  <c r="B61" i="10" s="1"/>
  <c r="B73" i="10" s="1"/>
  <c r="B84" i="10" s="1"/>
  <c r="B94" i="10" s="1"/>
  <c r="B103" i="10" s="1"/>
  <c r="B111" i="10" s="1"/>
  <c r="B118" i="10" s="1"/>
  <c r="B124" i="10" s="1"/>
  <c r="B129" i="10" s="1"/>
  <c r="B133" i="10" s="1"/>
  <c r="C7" i="10"/>
  <c r="C21" i="10"/>
  <c r="C35" i="10" s="1"/>
  <c r="C48" i="10" s="1"/>
  <c r="H15" i="8" l="1"/>
  <c r="H16" i="30"/>
  <c r="C8" i="10"/>
  <c r="C22" i="10"/>
  <c r="C36" i="10" l="1"/>
  <c r="C49" i="10" s="1"/>
  <c r="C61" i="10" s="1"/>
  <c r="C9" i="10"/>
  <c r="C23" i="10"/>
  <c r="C37" i="10" s="1"/>
  <c r="C50" i="10" s="1"/>
  <c r="C62" i="10" s="1"/>
  <c r="C73" i="10" s="1"/>
  <c r="C10" i="10" l="1"/>
  <c r="C24" i="10"/>
  <c r="C38" i="10" s="1"/>
  <c r="C51" i="10" s="1"/>
  <c r="C63" i="10" s="1"/>
  <c r="C74" i="10" s="1"/>
  <c r="C84" i="10" s="1"/>
  <c r="C11" i="10" l="1"/>
  <c r="C25" i="10"/>
  <c r="C39" i="10" s="1"/>
  <c r="C52" i="10" s="1"/>
  <c r="C64" i="10" s="1"/>
  <c r="C75" i="10" s="1"/>
  <c r="C85" i="10" s="1"/>
  <c r="C94" i="10" s="1"/>
  <c r="C12" i="10" l="1"/>
  <c r="C26" i="10"/>
  <c r="C40" i="10" s="1"/>
  <c r="C53" i="10" s="1"/>
  <c r="C65" i="10" s="1"/>
  <c r="C76" i="10" s="1"/>
  <c r="C86" i="10" s="1"/>
  <c r="C95" i="10" s="1"/>
  <c r="C103" i="10" s="1"/>
  <c r="C13" i="10" l="1"/>
  <c r="C27" i="10"/>
  <c r="C41" i="10" s="1"/>
  <c r="C54" i="10" s="1"/>
  <c r="C66" i="10" s="1"/>
  <c r="C77" i="10" s="1"/>
  <c r="C87" i="10" s="1"/>
  <c r="C96" i="10" s="1"/>
  <c r="C104" i="10" s="1"/>
  <c r="C111" i="10" s="1"/>
  <c r="C14" i="10" l="1"/>
  <c r="C28" i="10"/>
  <c r="C42" i="10" s="1"/>
  <c r="C55" i="10" s="1"/>
  <c r="C67" i="10" s="1"/>
  <c r="C78" i="10" s="1"/>
  <c r="C88" i="10" s="1"/>
  <c r="C97" i="10" s="1"/>
  <c r="C105" i="10" s="1"/>
  <c r="C112" i="10" s="1"/>
  <c r="C118" i="10" s="1"/>
  <c r="C15" i="10" l="1"/>
  <c r="C29" i="10"/>
  <c r="C43" i="10" s="1"/>
  <c r="C56" i="10" s="1"/>
  <c r="C68" i="10" s="1"/>
  <c r="C79" i="10" s="1"/>
  <c r="C89" i="10" s="1"/>
  <c r="C98" i="10" s="1"/>
  <c r="C106" i="10" s="1"/>
  <c r="C113" i="10" s="1"/>
  <c r="C119" i="10" s="1"/>
  <c r="C124" i="10" s="1"/>
  <c r="C16" i="10" l="1"/>
  <c r="C30" i="10"/>
  <c r="C44" i="10" s="1"/>
  <c r="C57" i="10" s="1"/>
  <c r="C69" i="10" s="1"/>
  <c r="C80" i="10" s="1"/>
  <c r="C90" i="10" s="1"/>
  <c r="C99" i="10" s="1"/>
  <c r="C107" i="10" s="1"/>
  <c r="C114" i="10" s="1"/>
  <c r="C120" i="10" s="1"/>
  <c r="C125" i="10" s="1"/>
  <c r="C129" i="10" s="1"/>
  <c r="C17" i="10" l="1"/>
  <c r="C32" i="10" s="1"/>
  <c r="C46" i="10" s="1"/>
  <c r="C59" i="10" s="1"/>
  <c r="C71" i="10" s="1"/>
  <c r="C82" i="10" s="1"/>
  <c r="C92" i="10" s="1"/>
  <c r="C101" i="10" s="1"/>
  <c r="C109" i="10" s="1"/>
  <c r="C116" i="10" s="1"/>
  <c r="C122" i="10" s="1"/>
  <c r="C127" i="10" s="1"/>
  <c r="C131" i="10" s="1"/>
  <c r="C134" i="10" s="1"/>
  <c r="C31" i="10"/>
  <c r="C45" i="10" s="1"/>
  <c r="C58" i="10" s="1"/>
  <c r="C70" i="10" s="1"/>
  <c r="C81" i="10" s="1"/>
  <c r="C91" i="10" s="1"/>
  <c r="C100" i="10" s="1"/>
  <c r="C108" i="10" s="1"/>
  <c r="C115" i="10" s="1"/>
  <c r="C121" i="10" s="1"/>
  <c r="C126" i="10" s="1"/>
  <c r="C130" i="10" s="1"/>
  <c r="C133" i="10" s="1"/>
  <c r="P9" i="10" l="1"/>
  <c r="L5" i="10"/>
  <c r="L35" i="10" s="1"/>
  <c r="O17" i="10"/>
  <c r="P11" i="10"/>
  <c r="N5" i="10"/>
  <c r="N35" i="10" s="1"/>
  <c r="O14" i="10"/>
  <c r="M9" i="10"/>
  <c r="L11" i="10"/>
  <c r="L8" i="10"/>
  <c r="M8" i="10"/>
  <c r="L17" i="10"/>
  <c r="N6" i="10"/>
  <c r="N36" i="10" s="1"/>
  <c r="O6" i="10"/>
  <c r="M39" i="10" l="1"/>
  <c r="P8" i="10"/>
  <c r="O10" i="10"/>
  <c r="O18" i="10"/>
  <c r="O7" i="10"/>
  <c r="P19" i="10"/>
  <c r="P16" i="10"/>
  <c r="P14" i="10"/>
  <c r="P18" i="10"/>
  <c r="O8" i="10"/>
  <c r="O15" i="10"/>
  <c r="P15" i="10"/>
  <c r="P5" i="10"/>
  <c r="P7" i="10"/>
  <c r="M5" i="10"/>
  <c r="O11" i="10"/>
  <c r="O16" i="10"/>
  <c r="O5" i="10"/>
  <c r="P10" i="10"/>
  <c r="O9" i="10"/>
  <c r="P17" i="10"/>
  <c r="O12" i="10"/>
  <c r="L16" i="10"/>
  <c r="L46" i="10" s="1"/>
  <c r="O19" i="10"/>
  <c r="O13" i="10"/>
  <c r="L13" i="10"/>
  <c r="L43" i="10" s="1"/>
  <c r="P13" i="10"/>
  <c r="P6" i="10"/>
  <c r="P12" i="10"/>
  <c r="M6" i="10"/>
  <c r="L10" i="10"/>
  <c r="L14" i="10"/>
  <c r="L15" i="10"/>
  <c r="L6" i="10"/>
  <c r="L36" i="10" s="1"/>
  <c r="L12" i="10"/>
  <c r="L42" i="10" s="1"/>
  <c r="L19" i="10"/>
  <c r="L9" i="10"/>
  <c r="L39" i="10" s="1"/>
  <c r="M7" i="10"/>
  <c r="L7" i="10"/>
  <c r="L37" i="10" l="1"/>
  <c r="M37" i="10"/>
  <c r="E89" i="1"/>
  <c r="L47" i="10"/>
  <c r="L44" i="10"/>
  <c r="L40" i="10"/>
  <c r="L45" i="10"/>
  <c r="M36" i="10"/>
  <c r="Q5" i="10"/>
  <c r="M35" i="10"/>
  <c r="L41" i="10"/>
  <c r="M38" i="10"/>
  <c r="L38" i="10"/>
  <c r="Q6" i="10"/>
  <c r="I57" i="10" l="1"/>
  <c r="I49" i="10"/>
  <c r="I50" i="10"/>
  <c r="I58" i="10"/>
  <c r="I51" i="10"/>
  <c r="I59" i="10"/>
  <c r="I52" i="10"/>
  <c r="I53" i="10"/>
  <c r="I54" i="10"/>
  <c r="I55" i="10"/>
  <c r="I56" i="10"/>
  <c r="M13" i="10"/>
  <c r="M14" i="10"/>
  <c r="M44" i="10" l="1"/>
  <c r="I40" i="10"/>
  <c r="I39" i="10"/>
  <c r="I46" i="10"/>
  <c r="I45" i="10"/>
  <c r="I44" i="10"/>
  <c r="N9" i="10"/>
  <c r="I43" i="10"/>
  <c r="I42" i="10"/>
  <c r="I41" i="10"/>
  <c r="I37" i="10"/>
  <c r="I36" i="10"/>
  <c r="I35" i="10"/>
  <c r="I38" i="10"/>
  <c r="Q9" i="10" l="1"/>
  <c r="M12" i="10" l="1"/>
  <c r="M10" i="10"/>
  <c r="M40" i="10" s="1"/>
  <c r="M11" i="10"/>
  <c r="M41" i="10" l="1"/>
  <c r="M42" i="10"/>
  <c r="M43" i="10"/>
  <c r="I74" i="10"/>
  <c r="E127" i="10"/>
  <c r="E119" i="10"/>
  <c r="E120" i="10"/>
  <c r="E126" i="10"/>
  <c r="E121" i="10"/>
  <c r="E125" i="10"/>
  <c r="E122" i="10"/>
  <c r="E131" i="10"/>
  <c r="E130" i="10"/>
  <c r="E134" i="10"/>
  <c r="I94" i="10"/>
  <c r="I85" i="10"/>
  <c r="I91" i="10"/>
  <c r="I92" i="10"/>
  <c r="I86" i="10"/>
  <c r="N14" i="10"/>
  <c r="I90" i="10"/>
  <c r="I88" i="10"/>
  <c r="I87" i="10"/>
  <c r="I89" i="10"/>
  <c r="I99" i="10"/>
  <c r="I95" i="10"/>
  <c r="I98" i="10"/>
  <c r="I96" i="10"/>
  <c r="I101" i="10"/>
  <c r="I100" i="10"/>
  <c r="I97" i="10"/>
  <c r="N12" i="10"/>
  <c r="N7" i="10"/>
  <c r="N37" i="10" s="1"/>
  <c r="M19" i="10" l="1"/>
  <c r="M31" i="10"/>
  <c r="S16" i="30" s="1"/>
  <c r="M17" i="10"/>
  <c r="M29" i="10"/>
  <c r="M18" i="10"/>
  <c r="M30" i="10"/>
  <c r="S15" i="30" s="1"/>
  <c r="I48" i="10"/>
  <c r="N8" i="10"/>
  <c r="I80" i="10"/>
  <c r="I81" i="10"/>
  <c r="I82" i="10"/>
  <c r="N19" i="10"/>
  <c r="I78" i="10"/>
  <c r="N15" i="10"/>
  <c r="N45" i="10" s="1"/>
  <c r="M15" i="10"/>
  <c r="M45" i="10" s="1"/>
  <c r="M16" i="10"/>
  <c r="N13" i="10"/>
  <c r="I79" i="10"/>
  <c r="N16" i="10"/>
  <c r="I73" i="10"/>
  <c r="N10" i="10"/>
  <c r="N40" i="10" s="1"/>
  <c r="F130" i="10"/>
  <c r="I130" i="10" s="1"/>
  <c r="F131" i="10"/>
  <c r="I131" i="10" s="1"/>
  <c r="F126" i="10"/>
  <c r="I126" i="10" s="1"/>
  <c r="F120" i="10"/>
  <c r="I75" i="10"/>
  <c r="F119" i="10"/>
  <c r="I119" i="10" s="1"/>
  <c r="F134" i="10"/>
  <c r="N11" i="10" s="1"/>
  <c r="F125" i="10"/>
  <c r="I125" i="10" s="1"/>
  <c r="I34" i="10"/>
  <c r="Q7" i="10" s="1"/>
  <c r="I76" i="10"/>
  <c r="F121" i="10"/>
  <c r="F127" i="10"/>
  <c r="I127" i="10" s="1"/>
  <c r="I77" i="10"/>
  <c r="Q14" i="10" s="1"/>
  <c r="F122" i="10"/>
  <c r="I84" i="10"/>
  <c r="M46" i="10" l="1"/>
  <c r="M47" i="10"/>
  <c r="Q11" i="10"/>
  <c r="N41" i="10"/>
  <c r="I120" i="10"/>
  <c r="N29" i="10"/>
  <c r="S15" i="8"/>
  <c r="N38" i="10"/>
  <c r="N39" i="10"/>
  <c r="Q29" i="10"/>
  <c r="N46" i="10"/>
  <c r="N42" i="10"/>
  <c r="I122" i="10"/>
  <c r="N31" i="10"/>
  <c r="AD16" i="8" s="1"/>
  <c r="Q13" i="10"/>
  <c r="N43" i="10"/>
  <c r="N44" i="10"/>
  <c r="S16" i="8"/>
  <c r="I121" i="10"/>
  <c r="N30" i="10"/>
  <c r="AD15" i="8" s="1"/>
  <c r="N18" i="10"/>
  <c r="Q18" i="10" s="1"/>
  <c r="N17" i="10"/>
  <c r="Q10" i="10"/>
  <c r="Q8" i="10"/>
  <c r="Q16" i="10"/>
  <c r="Q12" i="10"/>
  <c r="Q15" i="10"/>
  <c r="I134" i="10"/>
  <c r="Q19" i="10" s="1"/>
  <c r="Q30" i="10" l="1"/>
  <c r="Q17" i="10"/>
  <c r="N47" i="10"/>
  <c r="Q31" i="10"/>
  <c r="J6" i="6" l="1"/>
  <c r="K6" i="6"/>
  <c r="I7" i="6"/>
  <c r="I8" i="6" s="1"/>
  <c r="J8" i="6" s="1"/>
  <c r="AP6" i="8"/>
  <c r="AP5" i="8"/>
  <c r="AJ5" i="8"/>
  <c r="AI6" i="8"/>
  <c r="AJ6" i="8" s="1"/>
  <c r="R5" i="7"/>
  <c r="R6" i="7" s="1"/>
  <c r="R7" i="7" s="1"/>
  <c r="R8" i="7" s="1"/>
  <c r="R9" i="7" s="1"/>
  <c r="R10" i="7" s="1"/>
  <c r="R11" i="7" s="1"/>
  <c r="R12" i="7" s="1"/>
  <c r="R13" i="7" s="1"/>
  <c r="N5" i="7"/>
  <c r="N6" i="7" s="1"/>
  <c r="N7" i="7" s="1"/>
  <c r="N8" i="7" s="1"/>
  <c r="N9" i="7" s="1"/>
  <c r="N10" i="7" s="1"/>
  <c r="N11" i="7" s="1"/>
  <c r="N12" i="7" s="1"/>
  <c r="N13" i="7" s="1"/>
  <c r="J5" i="7"/>
  <c r="J6" i="7" s="1"/>
  <c r="J7" i="7" s="1"/>
  <c r="J8" i="7" s="1"/>
  <c r="J9" i="7" s="1"/>
  <c r="J10" i="7" s="1"/>
  <c r="J11" i="7" s="1"/>
  <c r="J12" i="7" s="1"/>
  <c r="J13" i="7" s="1"/>
  <c r="B7" i="6"/>
  <c r="B8" i="6" s="1"/>
  <c r="D6" i="6"/>
  <c r="F2" i="5"/>
  <c r="M2" i="5" s="1"/>
  <c r="G2" i="5"/>
  <c r="N2" i="5" s="1"/>
  <c r="H2" i="5"/>
  <c r="F3" i="5"/>
  <c r="M3" i="5" s="1"/>
  <c r="G3" i="5"/>
  <c r="N3" i="5" s="1"/>
  <c r="H3" i="5"/>
  <c r="F4" i="5"/>
  <c r="M4" i="5" s="1"/>
  <c r="G4" i="5"/>
  <c r="N4" i="5" s="1"/>
  <c r="H4" i="5"/>
  <c r="F5" i="5"/>
  <c r="M5" i="5" s="1"/>
  <c r="G5" i="5"/>
  <c r="N5" i="5" s="1"/>
  <c r="H5" i="5"/>
  <c r="F6" i="5"/>
  <c r="M6" i="5" s="1"/>
  <c r="G6" i="5"/>
  <c r="N6" i="5" s="1"/>
  <c r="H6" i="5"/>
  <c r="F7" i="5"/>
  <c r="M7" i="5" s="1"/>
  <c r="G7" i="5"/>
  <c r="N7" i="5" s="1"/>
  <c r="H7" i="5"/>
  <c r="F8" i="5"/>
  <c r="M8" i="5" s="1"/>
  <c r="G8" i="5"/>
  <c r="N8" i="5" s="1"/>
  <c r="H8" i="5"/>
  <c r="F9" i="5"/>
  <c r="M9" i="5" s="1"/>
  <c r="G9" i="5"/>
  <c r="N9" i="5" s="1"/>
  <c r="H9" i="5"/>
  <c r="F10" i="5"/>
  <c r="M10" i="5" s="1"/>
  <c r="G10" i="5"/>
  <c r="N10" i="5" s="1"/>
  <c r="H10" i="5"/>
  <c r="F11" i="5"/>
  <c r="M11" i="5" s="1"/>
  <c r="G11" i="5"/>
  <c r="N11" i="5" s="1"/>
  <c r="H11" i="5"/>
  <c r="F12" i="5"/>
  <c r="M12" i="5" s="1"/>
  <c r="G12" i="5"/>
  <c r="N12" i="5" s="1"/>
  <c r="H12" i="5"/>
  <c r="F13" i="5"/>
  <c r="M13" i="5" s="1"/>
  <c r="G13" i="5"/>
  <c r="N13" i="5" s="1"/>
  <c r="H13" i="5"/>
  <c r="F14" i="5"/>
  <c r="M14" i="5" s="1"/>
  <c r="G14" i="5"/>
  <c r="N14" i="5" s="1"/>
  <c r="H14" i="5"/>
  <c r="F15" i="5"/>
  <c r="M15" i="5" s="1"/>
  <c r="G15" i="5"/>
  <c r="N15" i="5" s="1"/>
  <c r="H15" i="5"/>
  <c r="F16" i="5"/>
  <c r="M16" i="5" s="1"/>
  <c r="G16" i="5"/>
  <c r="N16" i="5" s="1"/>
  <c r="H16" i="5"/>
  <c r="F17" i="5"/>
  <c r="M17" i="5" s="1"/>
  <c r="G17" i="5"/>
  <c r="N17" i="5" s="1"/>
  <c r="H17" i="5"/>
  <c r="F18" i="5"/>
  <c r="M18" i="5" s="1"/>
  <c r="G18" i="5"/>
  <c r="N18" i="5" s="1"/>
  <c r="H18" i="5"/>
  <c r="F19" i="5"/>
  <c r="M19" i="5" s="1"/>
  <c r="G19" i="5"/>
  <c r="N19" i="5" s="1"/>
  <c r="H19" i="5"/>
  <c r="F20" i="5"/>
  <c r="M20" i="5" s="1"/>
  <c r="G20" i="5"/>
  <c r="N20" i="5" s="1"/>
  <c r="H20" i="5"/>
  <c r="F21" i="5"/>
  <c r="M21" i="5" s="1"/>
  <c r="G21" i="5"/>
  <c r="N21" i="5" s="1"/>
  <c r="H21" i="5"/>
  <c r="F22" i="5"/>
  <c r="M22" i="5" s="1"/>
  <c r="G22" i="5"/>
  <c r="N22" i="5" s="1"/>
  <c r="H22" i="5"/>
  <c r="F23" i="5"/>
  <c r="M23" i="5" s="1"/>
  <c r="G23" i="5"/>
  <c r="N23" i="5" s="1"/>
  <c r="H23" i="5"/>
  <c r="F24" i="5"/>
  <c r="M24" i="5" s="1"/>
  <c r="G24" i="5"/>
  <c r="N24" i="5" s="1"/>
  <c r="H24" i="5"/>
  <c r="F25" i="5"/>
  <c r="M25" i="5" s="1"/>
  <c r="G25" i="5"/>
  <c r="N25" i="5" s="1"/>
  <c r="H25" i="5"/>
  <c r="F26" i="5"/>
  <c r="M26" i="5" s="1"/>
  <c r="G26" i="5"/>
  <c r="N26" i="5" s="1"/>
  <c r="H26" i="5"/>
  <c r="F27" i="5"/>
  <c r="M27" i="5" s="1"/>
  <c r="G27" i="5"/>
  <c r="N27" i="5" s="1"/>
  <c r="H27" i="5"/>
  <c r="F28" i="5"/>
  <c r="M28" i="5" s="1"/>
  <c r="G28" i="5"/>
  <c r="N28" i="5" s="1"/>
  <c r="H28" i="5"/>
  <c r="F29" i="5"/>
  <c r="M29" i="5" s="1"/>
  <c r="G29" i="5"/>
  <c r="N29" i="5" s="1"/>
  <c r="H29" i="5"/>
  <c r="F30" i="5"/>
  <c r="M30" i="5" s="1"/>
  <c r="G30" i="5"/>
  <c r="N30" i="5" s="1"/>
  <c r="H30" i="5"/>
  <c r="F31" i="5"/>
  <c r="M31" i="5" s="1"/>
  <c r="G31" i="5"/>
  <c r="N31" i="5" s="1"/>
  <c r="H31" i="5"/>
  <c r="F32" i="5"/>
  <c r="M32" i="5" s="1"/>
  <c r="G32" i="5"/>
  <c r="N32" i="5" s="1"/>
  <c r="H32" i="5"/>
  <c r="F33" i="5"/>
  <c r="M33" i="5" s="1"/>
  <c r="G33" i="5"/>
  <c r="N33" i="5" s="1"/>
  <c r="H33" i="5"/>
  <c r="F34" i="5"/>
  <c r="M34" i="5" s="1"/>
  <c r="G34" i="5"/>
  <c r="N34" i="5" s="1"/>
  <c r="H34" i="5"/>
  <c r="F35" i="5"/>
  <c r="M35" i="5" s="1"/>
  <c r="G35" i="5"/>
  <c r="N35" i="5" s="1"/>
  <c r="H35" i="5"/>
  <c r="F36" i="5"/>
  <c r="M36" i="5" s="1"/>
  <c r="G36" i="5"/>
  <c r="N36" i="5" s="1"/>
  <c r="H36" i="5"/>
  <c r="F37" i="5"/>
  <c r="M37" i="5" s="1"/>
  <c r="G37" i="5"/>
  <c r="N37" i="5" s="1"/>
  <c r="H37" i="5"/>
  <c r="F38" i="5"/>
  <c r="M38" i="5" s="1"/>
  <c r="G38" i="5"/>
  <c r="N38" i="5" s="1"/>
  <c r="H38" i="5"/>
  <c r="F39" i="5"/>
  <c r="M39" i="5" s="1"/>
  <c r="G39" i="5"/>
  <c r="N39" i="5" s="1"/>
  <c r="H39" i="5"/>
  <c r="F40" i="5"/>
  <c r="M40" i="5" s="1"/>
  <c r="G40" i="5"/>
  <c r="N40" i="5" s="1"/>
  <c r="H40" i="5"/>
  <c r="F41" i="5"/>
  <c r="M41" i="5" s="1"/>
  <c r="G41" i="5"/>
  <c r="N41" i="5" s="1"/>
  <c r="H41" i="5"/>
  <c r="F42" i="5"/>
  <c r="M42" i="5" s="1"/>
  <c r="G42" i="5"/>
  <c r="N42" i="5" s="1"/>
  <c r="H42" i="5"/>
  <c r="F43" i="5"/>
  <c r="M43" i="5" s="1"/>
  <c r="G43" i="5"/>
  <c r="N43" i="5" s="1"/>
  <c r="H43" i="5"/>
  <c r="F44" i="5"/>
  <c r="M44" i="5" s="1"/>
  <c r="G44" i="5"/>
  <c r="N44" i="5" s="1"/>
  <c r="H44" i="5"/>
  <c r="F45" i="5"/>
  <c r="M45" i="5" s="1"/>
  <c r="G45" i="5"/>
  <c r="N45" i="5" s="1"/>
  <c r="H45" i="5"/>
  <c r="F46" i="5"/>
  <c r="M46" i="5" s="1"/>
  <c r="G46" i="5"/>
  <c r="N46" i="5" s="1"/>
  <c r="H46" i="5"/>
  <c r="F47" i="5"/>
  <c r="M47" i="5" s="1"/>
  <c r="G47" i="5"/>
  <c r="N47" i="5" s="1"/>
  <c r="H47" i="5"/>
  <c r="F48" i="5"/>
  <c r="M48" i="5" s="1"/>
  <c r="G48" i="5"/>
  <c r="N48" i="5" s="1"/>
  <c r="H48" i="5"/>
  <c r="F49" i="5"/>
  <c r="M49" i="5" s="1"/>
  <c r="G49" i="5"/>
  <c r="N49" i="5" s="1"/>
  <c r="H49" i="5"/>
  <c r="F50" i="5"/>
  <c r="M50" i="5" s="1"/>
  <c r="G50" i="5"/>
  <c r="N50" i="5" s="1"/>
  <c r="H50" i="5"/>
  <c r="F51" i="5"/>
  <c r="M51" i="5" s="1"/>
  <c r="G51" i="5"/>
  <c r="N51" i="5" s="1"/>
  <c r="H51" i="5"/>
  <c r="F52" i="5"/>
  <c r="M52" i="5" s="1"/>
  <c r="G52" i="5"/>
  <c r="N52" i="5" s="1"/>
  <c r="H52" i="5"/>
  <c r="F53" i="5"/>
  <c r="M53" i="5" s="1"/>
  <c r="G53" i="5"/>
  <c r="N53" i="5" s="1"/>
  <c r="H53" i="5"/>
  <c r="F54" i="5"/>
  <c r="M54" i="5" s="1"/>
  <c r="G54" i="5"/>
  <c r="N54" i="5" s="1"/>
  <c r="H54" i="5"/>
  <c r="F55" i="5"/>
  <c r="M55" i="5" s="1"/>
  <c r="G55" i="5"/>
  <c r="N55" i="5" s="1"/>
  <c r="H55" i="5"/>
  <c r="F56" i="5"/>
  <c r="M56" i="5" s="1"/>
  <c r="G56" i="5"/>
  <c r="N56" i="5" s="1"/>
  <c r="H56" i="5"/>
  <c r="F57" i="5"/>
  <c r="M57" i="5" s="1"/>
  <c r="G57" i="5"/>
  <c r="N57" i="5" s="1"/>
  <c r="H57" i="5"/>
  <c r="F58" i="5"/>
  <c r="M58" i="5" s="1"/>
  <c r="G58" i="5"/>
  <c r="N58" i="5" s="1"/>
  <c r="H58" i="5"/>
  <c r="F59" i="5"/>
  <c r="M59" i="5" s="1"/>
  <c r="G59" i="5"/>
  <c r="N59" i="5" s="1"/>
  <c r="H59" i="5"/>
  <c r="F60" i="5"/>
  <c r="M60" i="5" s="1"/>
  <c r="G60" i="5"/>
  <c r="N60" i="5" s="1"/>
  <c r="H60" i="5"/>
  <c r="F61" i="5"/>
  <c r="M61" i="5" s="1"/>
  <c r="G61" i="5"/>
  <c r="N61" i="5" s="1"/>
  <c r="H61" i="5"/>
  <c r="F62" i="5"/>
  <c r="M62" i="5" s="1"/>
  <c r="G62" i="5"/>
  <c r="N62" i="5" s="1"/>
  <c r="H62" i="5"/>
  <c r="F63" i="5"/>
  <c r="M63" i="5" s="1"/>
  <c r="G63" i="5"/>
  <c r="N63" i="5" s="1"/>
  <c r="H63" i="5"/>
  <c r="F64" i="5"/>
  <c r="M64" i="5" s="1"/>
  <c r="G64" i="5"/>
  <c r="N64" i="5" s="1"/>
  <c r="H64" i="5"/>
  <c r="F65" i="5"/>
  <c r="M65" i="5" s="1"/>
  <c r="G65" i="5"/>
  <c r="N65" i="5" s="1"/>
  <c r="H65" i="5"/>
  <c r="F66" i="5"/>
  <c r="M66" i="5" s="1"/>
  <c r="G66" i="5"/>
  <c r="N66" i="5" s="1"/>
  <c r="H66" i="5"/>
  <c r="F67" i="5"/>
  <c r="M67" i="5" s="1"/>
  <c r="G67" i="5"/>
  <c r="N67" i="5" s="1"/>
  <c r="H67" i="5"/>
  <c r="F68" i="5"/>
  <c r="M68" i="5" s="1"/>
  <c r="G68" i="5"/>
  <c r="N68" i="5" s="1"/>
  <c r="H68" i="5"/>
  <c r="F69" i="5"/>
  <c r="M69" i="5" s="1"/>
  <c r="G69" i="5"/>
  <c r="N69" i="5" s="1"/>
  <c r="H69" i="5"/>
  <c r="F70" i="5"/>
  <c r="M70" i="5" s="1"/>
  <c r="G70" i="5"/>
  <c r="N70" i="5" s="1"/>
  <c r="H70" i="5"/>
  <c r="F71" i="5"/>
  <c r="M71" i="5" s="1"/>
  <c r="G71" i="5"/>
  <c r="N71" i="5" s="1"/>
  <c r="H71" i="5"/>
  <c r="F72" i="5"/>
  <c r="M72" i="5" s="1"/>
  <c r="G72" i="5"/>
  <c r="N72" i="5" s="1"/>
  <c r="H72" i="5"/>
  <c r="F73" i="5"/>
  <c r="M73" i="5" s="1"/>
  <c r="G73" i="5"/>
  <c r="N73" i="5" s="1"/>
  <c r="H73" i="5"/>
  <c r="F74" i="5"/>
  <c r="M74" i="5" s="1"/>
  <c r="G74" i="5"/>
  <c r="N74" i="5" s="1"/>
  <c r="H74" i="5"/>
  <c r="F75" i="5"/>
  <c r="M75" i="5" s="1"/>
  <c r="G75" i="5"/>
  <c r="N75" i="5" s="1"/>
  <c r="H75" i="5"/>
  <c r="F76" i="5"/>
  <c r="M76" i="5" s="1"/>
  <c r="G76" i="5"/>
  <c r="N76" i="5" s="1"/>
  <c r="H76" i="5"/>
  <c r="F77" i="5"/>
  <c r="M77" i="5" s="1"/>
  <c r="G77" i="5"/>
  <c r="N77" i="5" s="1"/>
  <c r="H77" i="5"/>
  <c r="F78" i="5"/>
  <c r="M78" i="5" s="1"/>
  <c r="G78" i="5"/>
  <c r="N78" i="5" s="1"/>
  <c r="H78" i="5"/>
  <c r="F79" i="5"/>
  <c r="M79" i="5" s="1"/>
  <c r="G79" i="5"/>
  <c r="N79" i="5" s="1"/>
  <c r="H79" i="5"/>
  <c r="F80" i="5"/>
  <c r="M80" i="5" s="1"/>
  <c r="G80" i="5"/>
  <c r="N80" i="5" s="1"/>
  <c r="H80" i="5"/>
  <c r="F81" i="5"/>
  <c r="M81" i="5" s="1"/>
  <c r="G81" i="5"/>
  <c r="N81" i="5" s="1"/>
  <c r="H81" i="5"/>
  <c r="F82" i="5"/>
  <c r="M82" i="5" s="1"/>
  <c r="G82" i="5"/>
  <c r="N82" i="5" s="1"/>
  <c r="H82" i="5"/>
  <c r="F83" i="5"/>
  <c r="M83" i="5" s="1"/>
  <c r="G83" i="5"/>
  <c r="N83" i="5" s="1"/>
  <c r="H83" i="5"/>
  <c r="F84" i="5"/>
  <c r="M84" i="5" s="1"/>
  <c r="G84" i="5"/>
  <c r="N84" i="5" s="1"/>
  <c r="H84" i="5"/>
  <c r="F85" i="5"/>
  <c r="M85" i="5" s="1"/>
  <c r="G85" i="5"/>
  <c r="N85" i="5" s="1"/>
  <c r="H85" i="5"/>
  <c r="F86" i="5"/>
  <c r="M86" i="5" s="1"/>
  <c r="G86" i="5"/>
  <c r="N86" i="5" s="1"/>
  <c r="H86" i="5"/>
  <c r="F87" i="5"/>
  <c r="M87" i="5" s="1"/>
  <c r="G87" i="5"/>
  <c r="N87" i="5" s="1"/>
  <c r="H87" i="5"/>
  <c r="F88" i="5"/>
  <c r="M88" i="5" s="1"/>
  <c r="G88" i="5"/>
  <c r="N88" i="5" s="1"/>
  <c r="H88" i="5"/>
  <c r="F89" i="5"/>
  <c r="M89" i="5" s="1"/>
  <c r="G89" i="5"/>
  <c r="N89" i="5" s="1"/>
  <c r="H89" i="5"/>
  <c r="F90" i="5"/>
  <c r="M90" i="5" s="1"/>
  <c r="G90" i="5"/>
  <c r="N90" i="5" s="1"/>
  <c r="H90" i="5"/>
  <c r="F91" i="5"/>
  <c r="M91" i="5" s="1"/>
  <c r="G91" i="5"/>
  <c r="N91" i="5" s="1"/>
  <c r="H91" i="5"/>
  <c r="F92" i="5"/>
  <c r="M92" i="5" s="1"/>
  <c r="G92" i="5"/>
  <c r="N92" i="5" s="1"/>
  <c r="H92" i="5"/>
  <c r="F93" i="5"/>
  <c r="M93" i="5" s="1"/>
  <c r="G93" i="5"/>
  <c r="N93" i="5" s="1"/>
  <c r="H93" i="5"/>
  <c r="F94" i="5"/>
  <c r="M94" i="5" s="1"/>
  <c r="G94" i="5"/>
  <c r="N94" i="5" s="1"/>
  <c r="H94" i="5"/>
  <c r="F95" i="5"/>
  <c r="M95" i="5" s="1"/>
  <c r="G95" i="5"/>
  <c r="N95" i="5" s="1"/>
  <c r="H95" i="5"/>
  <c r="F96" i="5"/>
  <c r="M96" i="5" s="1"/>
  <c r="G96" i="5"/>
  <c r="N96" i="5" s="1"/>
  <c r="H96" i="5"/>
  <c r="F97" i="5"/>
  <c r="M97" i="5" s="1"/>
  <c r="G97" i="5"/>
  <c r="N97" i="5" s="1"/>
  <c r="H97" i="5"/>
  <c r="F98" i="5"/>
  <c r="M98" i="5" s="1"/>
  <c r="G98" i="5"/>
  <c r="N98" i="5" s="1"/>
  <c r="H98" i="5"/>
  <c r="F99" i="5"/>
  <c r="M99" i="5" s="1"/>
  <c r="G99" i="5"/>
  <c r="N99" i="5" s="1"/>
  <c r="H99" i="5"/>
  <c r="F100" i="5"/>
  <c r="M100" i="5" s="1"/>
  <c r="G100" i="5"/>
  <c r="N100" i="5" s="1"/>
  <c r="H100" i="5"/>
  <c r="F101" i="5"/>
  <c r="M101" i="5" s="1"/>
  <c r="G101" i="5"/>
  <c r="N101" i="5" s="1"/>
  <c r="H101" i="5"/>
  <c r="F102" i="5"/>
  <c r="M102" i="5" s="1"/>
  <c r="G102" i="5"/>
  <c r="N102" i="5" s="1"/>
  <c r="H102" i="5"/>
  <c r="F103" i="5"/>
  <c r="M103" i="5" s="1"/>
  <c r="G103" i="5"/>
  <c r="N103" i="5" s="1"/>
  <c r="H103" i="5"/>
  <c r="F104" i="5"/>
  <c r="M104" i="5" s="1"/>
  <c r="G104" i="5"/>
  <c r="N104" i="5" s="1"/>
  <c r="H104" i="5"/>
  <c r="F105" i="5"/>
  <c r="M105" i="5" s="1"/>
  <c r="G105" i="5"/>
  <c r="N105" i="5" s="1"/>
  <c r="H105" i="5"/>
  <c r="F106" i="5"/>
  <c r="M106" i="5" s="1"/>
  <c r="G106" i="5"/>
  <c r="N106" i="5" s="1"/>
  <c r="H106" i="5"/>
  <c r="F107" i="5"/>
  <c r="M107" i="5" s="1"/>
  <c r="G107" i="5"/>
  <c r="N107" i="5" s="1"/>
  <c r="H107" i="5"/>
  <c r="F108" i="5"/>
  <c r="M108" i="5" s="1"/>
  <c r="G108" i="5"/>
  <c r="N108" i="5" s="1"/>
  <c r="H108" i="5"/>
  <c r="F109" i="5"/>
  <c r="M109" i="5" s="1"/>
  <c r="G109" i="5"/>
  <c r="N109" i="5" s="1"/>
  <c r="H109" i="5"/>
  <c r="F110" i="5"/>
  <c r="M110" i="5" s="1"/>
  <c r="G110" i="5"/>
  <c r="N110" i="5" s="1"/>
  <c r="H110" i="5"/>
  <c r="F111" i="5"/>
  <c r="M111" i="5" s="1"/>
  <c r="G111" i="5"/>
  <c r="N111" i="5" s="1"/>
  <c r="H111" i="5"/>
  <c r="F112" i="5"/>
  <c r="M112" i="5" s="1"/>
  <c r="G112" i="5"/>
  <c r="N112" i="5" s="1"/>
  <c r="H112" i="5"/>
  <c r="F113" i="5"/>
  <c r="M113" i="5" s="1"/>
  <c r="G113" i="5"/>
  <c r="N113" i="5" s="1"/>
  <c r="H113" i="5"/>
  <c r="F114" i="5"/>
  <c r="M114" i="5" s="1"/>
  <c r="G114" i="5"/>
  <c r="N114" i="5" s="1"/>
  <c r="H114" i="5"/>
  <c r="F115" i="5"/>
  <c r="M115" i="5" s="1"/>
  <c r="G115" i="5"/>
  <c r="N115" i="5" s="1"/>
  <c r="H115" i="5"/>
  <c r="F116" i="5"/>
  <c r="M116" i="5" s="1"/>
  <c r="G116" i="5"/>
  <c r="N116" i="5" s="1"/>
  <c r="H116" i="5"/>
  <c r="F117" i="5"/>
  <c r="M117" i="5" s="1"/>
  <c r="G117" i="5"/>
  <c r="N117" i="5" s="1"/>
  <c r="H117" i="5"/>
  <c r="F118" i="5"/>
  <c r="M118" i="5" s="1"/>
  <c r="G118" i="5"/>
  <c r="N118" i="5" s="1"/>
  <c r="H118" i="5"/>
  <c r="F119" i="5"/>
  <c r="M119" i="5" s="1"/>
  <c r="G119" i="5"/>
  <c r="N119" i="5" s="1"/>
  <c r="H119" i="5"/>
  <c r="F120" i="5"/>
  <c r="M120" i="5" s="1"/>
  <c r="G120" i="5"/>
  <c r="N120" i="5" s="1"/>
  <c r="H120" i="5"/>
  <c r="F121" i="5"/>
  <c r="M121" i="5" s="1"/>
  <c r="G121" i="5"/>
  <c r="N121" i="5" s="1"/>
  <c r="H121" i="5"/>
  <c r="H1" i="5"/>
  <c r="G1" i="5"/>
  <c r="N1" i="5" s="1"/>
  <c r="F1" i="5"/>
  <c r="M1" i="5" s="1"/>
  <c r="L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 i="5"/>
  <c r="N1" i="4"/>
  <c r="F2" i="4"/>
  <c r="L2" i="4" s="1"/>
  <c r="F3" i="4"/>
  <c r="L3" i="4" s="1"/>
  <c r="F4" i="4"/>
  <c r="L4" i="4" s="1"/>
  <c r="F5" i="4"/>
  <c r="L5" i="4" s="1"/>
  <c r="F6" i="4"/>
  <c r="L6" i="4" s="1"/>
  <c r="F7" i="4"/>
  <c r="L7" i="4" s="1"/>
  <c r="F8" i="4"/>
  <c r="L8" i="4" s="1"/>
  <c r="F9" i="4"/>
  <c r="L9" i="4" s="1"/>
  <c r="F10" i="4"/>
  <c r="L10" i="4" s="1"/>
  <c r="F11" i="4"/>
  <c r="L11" i="4" s="1"/>
  <c r="F12" i="4"/>
  <c r="L12" i="4" s="1"/>
  <c r="F13" i="4"/>
  <c r="L13" i="4" s="1"/>
  <c r="F14" i="4"/>
  <c r="L14" i="4" s="1"/>
  <c r="F15" i="4"/>
  <c r="L15" i="4" s="1"/>
  <c r="F16" i="4"/>
  <c r="L16" i="4" s="1"/>
  <c r="F17" i="4"/>
  <c r="L17" i="4" s="1"/>
  <c r="F18" i="4"/>
  <c r="L18" i="4" s="1"/>
  <c r="F19" i="4"/>
  <c r="L19" i="4" s="1"/>
  <c r="F20" i="4"/>
  <c r="L20" i="4" s="1"/>
  <c r="F21" i="4"/>
  <c r="L21" i="4" s="1"/>
  <c r="F22" i="4"/>
  <c r="L22" i="4" s="1"/>
  <c r="F23" i="4"/>
  <c r="L23" i="4" s="1"/>
  <c r="F24" i="4"/>
  <c r="L24" i="4" s="1"/>
  <c r="F25" i="4"/>
  <c r="L25" i="4" s="1"/>
  <c r="F26" i="4"/>
  <c r="L26" i="4" s="1"/>
  <c r="F27" i="4"/>
  <c r="L27" i="4" s="1"/>
  <c r="F28" i="4"/>
  <c r="L28" i="4" s="1"/>
  <c r="F29" i="4"/>
  <c r="L29" i="4" s="1"/>
  <c r="F30" i="4"/>
  <c r="L30" i="4" s="1"/>
  <c r="F31" i="4"/>
  <c r="L31" i="4" s="1"/>
  <c r="F32" i="4"/>
  <c r="L32" i="4" s="1"/>
  <c r="F33" i="4"/>
  <c r="L33" i="4" s="1"/>
  <c r="F34" i="4"/>
  <c r="L34" i="4" s="1"/>
  <c r="F35" i="4"/>
  <c r="L35" i="4" s="1"/>
  <c r="F36" i="4"/>
  <c r="L36" i="4" s="1"/>
  <c r="F37" i="4"/>
  <c r="L37" i="4" s="1"/>
  <c r="F38" i="4"/>
  <c r="L38" i="4" s="1"/>
  <c r="F39" i="4"/>
  <c r="L39" i="4" s="1"/>
  <c r="F40" i="4"/>
  <c r="L40" i="4" s="1"/>
  <c r="F41" i="4"/>
  <c r="L41" i="4" s="1"/>
  <c r="F42" i="4"/>
  <c r="L42" i="4" s="1"/>
  <c r="F43" i="4"/>
  <c r="L43" i="4" s="1"/>
  <c r="F44" i="4"/>
  <c r="L44" i="4" s="1"/>
  <c r="F45" i="4"/>
  <c r="L45" i="4" s="1"/>
  <c r="F46" i="4"/>
  <c r="L46" i="4" s="1"/>
  <c r="F47" i="4"/>
  <c r="L47" i="4" s="1"/>
  <c r="F48" i="4"/>
  <c r="L48" i="4" s="1"/>
  <c r="F49" i="4"/>
  <c r="L49" i="4" s="1"/>
  <c r="F50" i="4"/>
  <c r="L50" i="4" s="1"/>
  <c r="F51" i="4"/>
  <c r="L51" i="4" s="1"/>
  <c r="F52" i="4"/>
  <c r="L52" i="4" s="1"/>
  <c r="F53" i="4"/>
  <c r="L53" i="4" s="1"/>
  <c r="F54" i="4"/>
  <c r="L54" i="4" s="1"/>
  <c r="F55" i="4"/>
  <c r="L55" i="4" s="1"/>
  <c r="F56" i="4"/>
  <c r="L56" i="4" s="1"/>
  <c r="F57" i="4"/>
  <c r="L57" i="4" s="1"/>
  <c r="F58" i="4"/>
  <c r="L58" i="4" s="1"/>
  <c r="F59" i="4"/>
  <c r="L59" i="4" s="1"/>
  <c r="F60" i="4"/>
  <c r="L60" i="4" s="1"/>
  <c r="F61" i="4"/>
  <c r="L61" i="4" s="1"/>
  <c r="F62" i="4"/>
  <c r="L62" i="4" s="1"/>
  <c r="F63" i="4"/>
  <c r="L63" i="4" s="1"/>
  <c r="F64" i="4"/>
  <c r="L64" i="4" s="1"/>
  <c r="F65" i="4"/>
  <c r="L65" i="4" s="1"/>
  <c r="F66" i="4"/>
  <c r="L66" i="4" s="1"/>
  <c r="F67" i="4"/>
  <c r="L67" i="4" s="1"/>
  <c r="F68" i="4"/>
  <c r="L68" i="4" s="1"/>
  <c r="F69" i="4"/>
  <c r="L69" i="4" s="1"/>
  <c r="F70" i="4"/>
  <c r="L70" i="4" s="1"/>
  <c r="F71" i="4"/>
  <c r="L71" i="4" s="1"/>
  <c r="F72" i="4"/>
  <c r="L72" i="4" s="1"/>
  <c r="F73" i="4"/>
  <c r="L73" i="4" s="1"/>
  <c r="F74" i="4"/>
  <c r="L74" i="4" s="1"/>
  <c r="F75" i="4"/>
  <c r="L75" i="4" s="1"/>
  <c r="F76" i="4"/>
  <c r="L76" i="4" s="1"/>
  <c r="F77" i="4"/>
  <c r="L77" i="4" s="1"/>
  <c r="F78" i="4"/>
  <c r="L78" i="4" s="1"/>
  <c r="F79" i="4"/>
  <c r="L79" i="4" s="1"/>
  <c r="F80" i="4"/>
  <c r="L80" i="4" s="1"/>
  <c r="F81" i="4"/>
  <c r="L81" i="4" s="1"/>
  <c r="F82" i="4"/>
  <c r="L82" i="4" s="1"/>
  <c r="F83" i="4"/>
  <c r="L83" i="4" s="1"/>
  <c r="F84" i="4"/>
  <c r="L84" i="4" s="1"/>
  <c r="F85" i="4"/>
  <c r="L85" i="4" s="1"/>
  <c r="F86" i="4"/>
  <c r="L86" i="4" s="1"/>
  <c r="F87" i="4"/>
  <c r="L87" i="4" s="1"/>
  <c r="F88" i="4"/>
  <c r="L88" i="4" s="1"/>
  <c r="F89" i="4"/>
  <c r="L89" i="4" s="1"/>
  <c r="F90" i="4"/>
  <c r="L90" i="4" s="1"/>
  <c r="F91" i="4"/>
  <c r="L91" i="4" s="1"/>
  <c r="F92" i="4"/>
  <c r="L92" i="4" s="1"/>
  <c r="F93" i="4"/>
  <c r="L93" i="4" s="1"/>
  <c r="F94" i="4"/>
  <c r="L94" i="4" s="1"/>
  <c r="F95" i="4"/>
  <c r="L95" i="4" s="1"/>
  <c r="F96" i="4"/>
  <c r="L96" i="4" s="1"/>
  <c r="F97" i="4"/>
  <c r="L97" i="4" s="1"/>
  <c r="F98" i="4"/>
  <c r="L98" i="4" s="1"/>
  <c r="F99" i="4"/>
  <c r="L99" i="4" s="1"/>
  <c r="F100" i="4"/>
  <c r="L100" i="4" s="1"/>
  <c r="F101" i="4"/>
  <c r="L101" i="4" s="1"/>
  <c r="F102" i="4"/>
  <c r="L102" i="4" s="1"/>
  <c r="F103" i="4"/>
  <c r="L103" i="4" s="1"/>
  <c r="F104" i="4"/>
  <c r="L104" i="4" s="1"/>
  <c r="F105" i="4"/>
  <c r="L105" i="4" s="1"/>
  <c r="F106" i="4"/>
  <c r="L106" i="4" s="1"/>
  <c r="F107" i="4"/>
  <c r="L107" i="4" s="1"/>
  <c r="F108" i="4"/>
  <c r="L108" i="4" s="1"/>
  <c r="F109" i="4"/>
  <c r="L109" i="4" s="1"/>
  <c r="F110" i="4"/>
  <c r="L110" i="4" s="1"/>
  <c r="F111" i="4"/>
  <c r="L111" i="4" s="1"/>
  <c r="F112" i="4"/>
  <c r="L112" i="4" s="1"/>
  <c r="F113" i="4"/>
  <c r="L113" i="4" s="1"/>
  <c r="F114" i="4"/>
  <c r="L114" i="4" s="1"/>
  <c r="F115" i="4"/>
  <c r="L115" i="4" s="1"/>
  <c r="F116" i="4"/>
  <c r="L116" i="4" s="1"/>
  <c r="F117" i="4"/>
  <c r="L117" i="4" s="1"/>
  <c r="F118" i="4"/>
  <c r="L118" i="4" s="1"/>
  <c r="F119" i="4"/>
  <c r="L119" i="4" s="1"/>
  <c r="F120" i="4"/>
  <c r="L120" i="4" s="1"/>
  <c r="F121" i="4"/>
  <c r="L121" i="4" s="1"/>
  <c r="F1" i="4"/>
  <c r="L1" i="4" s="1"/>
  <c r="A1"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2"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7" i="4"/>
  <c r="K1" i="4"/>
  <c r="A2" i="4"/>
  <c r="A3" i="4"/>
  <c r="A4" i="4"/>
  <c r="A5" i="4"/>
  <c r="A6" i="4"/>
  <c r="A116" i="3"/>
  <c r="I116" i="3"/>
  <c r="A117" i="3"/>
  <c r="I117" i="3"/>
  <c r="A118" i="3"/>
  <c r="I118" i="3"/>
  <c r="A119" i="3"/>
  <c r="I119" i="3"/>
  <c r="A120" i="3"/>
  <c r="I120" i="3"/>
  <c r="A121" i="3"/>
  <c r="I121" i="3"/>
  <c r="A85" i="3"/>
  <c r="I85" i="3"/>
  <c r="A86" i="3"/>
  <c r="I86" i="3"/>
  <c r="A87" i="3"/>
  <c r="I87" i="3"/>
  <c r="A88" i="3"/>
  <c r="I88" i="3"/>
  <c r="A89" i="3"/>
  <c r="I89" i="3"/>
  <c r="A90" i="3"/>
  <c r="I90" i="3"/>
  <c r="A91" i="3"/>
  <c r="I91" i="3"/>
  <c r="A92" i="3"/>
  <c r="I92" i="3"/>
  <c r="A93" i="3"/>
  <c r="I93" i="3"/>
  <c r="A94" i="3"/>
  <c r="I94" i="3"/>
  <c r="A95" i="3"/>
  <c r="I95" i="3"/>
  <c r="A96" i="3"/>
  <c r="I96" i="3"/>
  <c r="A97" i="3"/>
  <c r="I97" i="3"/>
  <c r="A98" i="3"/>
  <c r="I98" i="3"/>
  <c r="A99" i="3"/>
  <c r="I99" i="3"/>
  <c r="A100" i="3"/>
  <c r="I100" i="3"/>
  <c r="A101" i="3"/>
  <c r="I101" i="3"/>
  <c r="A102" i="3"/>
  <c r="I102" i="3"/>
  <c r="A103" i="3"/>
  <c r="I103" i="3"/>
  <c r="A104" i="3"/>
  <c r="I104" i="3"/>
  <c r="A105" i="3"/>
  <c r="I105" i="3"/>
  <c r="A106" i="3"/>
  <c r="I106" i="3"/>
  <c r="A107" i="3"/>
  <c r="I107" i="3"/>
  <c r="A108" i="3"/>
  <c r="I108" i="3"/>
  <c r="A109" i="3"/>
  <c r="I109" i="3"/>
  <c r="A110" i="3"/>
  <c r="I110" i="3"/>
  <c r="A111" i="3"/>
  <c r="I111" i="3"/>
  <c r="A112" i="3"/>
  <c r="I112" i="3"/>
  <c r="A113" i="3"/>
  <c r="I113" i="3"/>
  <c r="A114" i="3"/>
  <c r="I114" i="3"/>
  <c r="A115" i="3"/>
  <c r="I115" i="3"/>
  <c r="A35" i="3"/>
  <c r="I35" i="3"/>
  <c r="A36" i="3"/>
  <c r="I36" i="3"/>
  <c r="A37" i="3"/>
  <c r="I37" i="3"/>
  <c r="A38" i="3"/>
  <c r="I38" i="3"/>
  <c r="A39" i="3"/>
  <c r="I39" i="3"/>
  <c r="A40" i="3"/>
  <c r="I40" i="3"/>
  <c r="A41" i="3"/>
  <c r="I41" i="3"/>
  <c r="A42" i="3"/>
  <c r="I42" i="3"/>
  <c r="A43" i="3"/>
  <c r="I43" i="3"/>
  <c r="A44" i="3"/>
  <c r="I44" i="3"/>
  <c r="A45" i="3"/>
  <c r="I45" i="3"/>
  <c r="A46" i="3"/>
  <c r="I46" i="3"/>
  <c r="A47" i="3"/>
  <c r="I47" i="3"/>
  <c r="A48" i="3"/>
  <c r="I48" i="3"/>
  <c r="A49" i="3"/>
  <c r="I49" i="3"/>
  <c r="A50" i="3"/>
  <c r="I50" i="3"/>
  <c r="A51" i="3"/>
  <c r="I51" i="3"/>
  <c r="A52" i="3"/>
  <c r="I52" i="3"/>
  <c r="A53" i="3"/>
  <c r="I53" i="3"/>
  <c r="A54" i="3"/>
  <c r="I54" i="3"/>
  <c r="A55" i="3"/>
  <c r="I55" i="3"/>
  <c r="A56" i="3"/>
  <c r="I56" i="3"/>
  <c r="A57" i="3"/>
  <c r="I57" i="3"/>
  <c r="A58" i="3"/>
  <c r="I58" i="3"/>
  <c r="A59" i="3"/>
  <c r="I59" i="3"/>
  <c r="A60" i="3"/>
  <c r="I60" i="3"/>
  <c r="A61" i="3"/>
  <c r="I61" i="3"/>
  <c r="A62" i="3"/>
  <c r="I62" i="3"/>
  <c r="A63" i="3"/>
  <c r="I63" i="3"/>
  <c r="A64" i="3"/>
  <c r="I64" i="3"/>
  <c r="A65" i="3"/>
  <c r="I65" i="3"/>
  <c r="A66" i="3"/>
  <c r="I66" i="3"/>
  <c r="A67" i="3"/>
  <c r="I67" i="3"/>
  <c r="A68" i="3"/>
  <c r="I68" i="3"/>
  <c r="A69" i="3"/>
  <c r="I69" i="3"/>
  <c r="A70" i="3"/>
  <c r="I70" i="3"/>
  <c r="A71" i="3"/>
  <c r="I71" i="3"/>
  <c r="A72" i="3"/>
  <c r="I72" i="3"/>
  <c r="A73" i="3"/>
  <c r="I73" i="3"/>
  <c r="A74" i="3"/>
  <c r="I74" i="3"/>
  <c r="A75" i="3"/>
  <c r="I75" i="3"/>
  <c r="A76" i="3"/>
  <c r="I76" i="3"/>
  <c r="A77" i="3"/>
  <c r="I77" i="3"/>
  <c r="A78" i="3"/>
  <c r="I78" i="3"/>
  <c r="A79" i="3"/>
  <c r="I79" i="3"/>
  <c r="A80" i="3"/>
  <c r="I80" i="3"/>
  <c r="A81" i="3"/>
  <c r="I81" i="3"/>
  <c r="A82" i="3"/>
  <c r="I82" i="3"/>
  <c r="A83" i="3"/>
  <c r="I83" i="3"/>
  <c r="A84" i="3"/>
  <c r="I84"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L1" i="3"/>
  <c r="I2" i="3"/>
  <c r="I1" i="3"/>
  <c r="J1" i="3"/>
  <c r="AJ2" i="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V3" i="1"/>
  <c r="BX3" i="1" s="1"/>
  <c r="W3" i="1"/>
  <c r="BY3" i="1" s="1"/>
  <c r="X3" i="1"/>
  <c r="BZ3" i="1" s="1"/>
  <c r="Y3" i="1"/>
  <c r="CA3" i="1" s="1"/>
  <c r="Z3" i="1"/>
  <c r="AA3" i="1"/>
  <c r="CC3" i="1" s="1"/>
  <c r="AB3" i="1"/>
  <c r="CD3" i="1" s="1"/>
  <c r="AC3" i="1"/>
  <c r="CE3" i="1" s="1"/>
  <c r="AD3" i="1"/>
  <c r="CF3" i="1" s="1"/>
  <c r="AE3" i="1"/>
  <c r="CG3" i="1" s="1"/>
  <c r="AF3" i="1"/>
  <c r="AG3" i="1"/>
  <c r="CI3" i="1" s="1"/>
  <c r="V4" i="1"/>
  <c r="BX4" i="1" s="1"/>
  <c r="W4" i="1"/>
  <c r="BY4" i="1" s="1"/>
  <c r="X4" i="1"/>
  <c r="BZ4" i="1" s="1"/>
  <c r="Y4" i="1"/>
  <c r="CA4" i="1" s="1"/>
  <c r="Z4" i="1"/>
  <c r="AA4" i="1"/>
  <c r="CC4" i="1" s="1"/>
  <c r="AB4" i="1"/>
  <c r="CD4" i="1" s="1"/>
  <c r="AC4" i="1"/>
  <c r="CE4" i="1" s="1"/>
  <c r="AD4" i="1"/>
  <c r="CF4" i="1" s="1"/>
  <c r="AE4" i="1"/>
  <c r="CG4" i="1" s="1"/>
  <c r="AF4" i="1"/>
  <c r="AG4" i="1"/>
  <c r="CI4" i="1" s="1"/>
  <c r="V5" i="1"/>
  <c r="BX5" i="1" s="1"/>
  <c r="W5" i="1"/>
  <c r="BY5" i="1" s="1"/>
  <c r="X5" i="1"/>
  <c r="BZ5" i="1" s="1"/>
  <c r="Y5" i="1"/>
  <c r="CA5" i="1" s="1"/>
  <c r="Z5" i="1"/>
  <c r="CB5" i="1" s="1"/>
  <c r="AA5" i="1"/>
  <c r="CC5" i="1" s="1"/>
  <c r="AB5" i="1"/>
  <c r="CD5" i="1" s="1"/>
  <c r="AC5" i="1"/>
  <c r="CE5" i="1" s="1"/>
  <c r="AD5" i="1"/>
  <c r="CF5" i="1" s="1"/>
  <c r="AE5" i="1"/>
  <c r="CG5" i="1" s="1"/>
  <c r="AF5" i="1"/>
  <c r="AG5" i="1"/>
  <c r="CI5" i="1" s="1"/>
  <c r="V6" i="1"/>
  <c r="BX6" i="1" s="1"/>
  <c r="W6" i="1"/>
  <c r="BY6" i="1" s="1"/>
  <c r="X6" i="1"/>
  <c r="BZ6" i="1" s="1"/>
  <c r="Y6" i="1"/>
  <c r="CA6" i="1" s="1"/>
  <c r="Z6" i="1"/>
  <c r="AA6" i="1"/>
  <c r="CC6" i="1" s="1"/>
  <c r="AB6" i="1"/>
  <c r="CD6" i="1" s="1"/>
  <c r="AC6" i="1"/>
  <c r="CE6" i="1" s="1"/>
  <c r="AD6" i="1"/>
  <c r="CF6" i="1" s="1"/>
  <c r="AE6" i="1"/>
  <c r="CG6" i="1" s="1"/>
  <c r="AF6" i="1"/>
  <c r="AG6" i="1"/>
  <c r="CI6" i="1" s="1"/>
  <c r="V7" i="1"/>
  <c r="BX7" i="1" s="1"/>
  <c r="W7" i="1"/>
  <c r="BY7" i="1" s="1"/>
  <c r="X7" i="1"/>
  <c r="BZ7" i="1" s="1"/>
  <c r="Y7" i="1"/>
  <c r="CA7" i="1" s="1"/>
  <c r="Z7" i="1"/>
  <c r="AA7" i="1"/>
  <c r="CC7" i="1" s="1"/>
  <c r="AB7" i="1"/>
  <c r="CD7" i="1" s="1"/>
  <c r="AC7" i="1"/>
  <c r="CE7" i="1" s="1"/>
  <c r="AD7" i="1"/>
  <c r="CF7" i="1" s="1"/>
  <c r="AE7" i="1"/>
  <c r="CG7" i="1" s="1"/>
  <c r="AF7" i="1"/>
  <c r="AG7" i="1"/>
  <c r="CI7" i="1" s="1"/>
  <c r="V8" i="1"/>
  <c r="BX8" i="1" s="1"/>
  <c r="W8" i="1"/>
  <c r="BY8" i="1" s="1"/>
  <c r="X8" i="1"/>
  <c r="BZ8" i="1" s="1"/>
  <c r="Y8" i="1"/>
  <c r="CA8" i="1" s="1"/>
  <c r="Z8" i="1"/>
  <c r="CB8" i="1" s="1"/>
  <c r="AA8" i="1"/>
  <c r="CC8" i="1" s="1"/>
  <c r="AB8" i="1"/>
  <c r="CD8" i="1" s="1"/>
  <c r="AC8" i="1"/>
  <c r="CE8" i="1" s="1"/>
  <c r="AD8" i="1"/>
  <c r="CF8" i="1" s="1"/>
  <c r="AE8" i="1"/>
  <c r="CG8" i="1" s="1"/>
  <c r="AF8" i="1"/>
  <c r="AG8" i="1"/>
  <c r="CI8" i="1" s="1"/>
  <c r="V9" i="1"/>
  <c r="BX9" i="1" s="1"/>
  <c r="W9" i="1"/>
  <c r="BY9" i="1" s="1"/>
  <c r="X9" i="1"/>
  <c r="BZ9" i="1" s="1"/>
  <c r="Y9" i="1"/>
  <c r="CA9" i="1" s="1"/>
  <c r="Z9" i="1"/>
  <c r="AA9" i="1"/>
  <c r="CC9" i="1" s="1"/>
  <c r="AB9" i="1"/>
  <c r="CD9" i="1" s="1"/>
  <c r="AC9" i="1"/>
  <c r="CE9" i="1" s="1"/>
  <c r="AD9" i="1"/>
  <c r="CF9" i="1" s="1"/>
  <c r="AE9" i="1"/>
  <c r="CG9" i="1" s="1"/>
  <c r="AF9" i="1"/>
  <c r="AG9" i="1"/>
  <c r="CI9" i="1" s="1"/>
  <c r="V10" i="1"/>
  <c r="BX10" i="1" s="1"/>
  <c r="W10" i="1"/>
  <c r="BY10" i="1" s="1"/>
  <c r="X10" i="1"/>
  <c r="BZ10" i="1" s="1"/>
  <c r="Y10" i="1"/>
  <c r="CA10" i="1" s="1"/>
  <c r="Z10" i="1"/>
  <c r="AA10" i="1"/>
  <c r="CC10" i="1" s="1"/>
  <c r="AB10" i="1"/>
  <c r="CD10" i="1" s="1"/>
  <c r="AC10" i="1"/>
  <c r="CE10" i="1" s="1"/>
  <c r="AD10" i="1"/>
  <c r="CF10" i="1" s="1"/>
  <c r="AE10" i="1"/>
  <c r="CG10" i="1" s="1"/>
  <c r="AF10" i="1"/>
  <c r="AG10" i="1"/>
  <c r="CI10" i="1" s="1"/>
  <c r="V11" i="1"/>
  <c r="BX11" i="1" s="1"/>
  <c r="W11" i="1"/>
  <c r="BY11" i="1" s="1"/>
  <c r="X11" i="1"/>
  <c r="BZ11" i="1" s="1"/>
  <c r="Y11" i="1"/>
  <c r="CA11" i="1" s="1"/>
  <c r="Z11" i="1"/>
  <c r="AA11" i="1"/>
  <c r="CC11" i="1" s="1"/>
  <c r="AB11" i="1"/>
  <c r="CD11" i="1" s="1"/>
  <c r="AC11" i="1"/>
  <c r="CE11" i="1" s="1"/>
  <c r="AD11" i="1"/>
  <c r="CF11" i="1" s="1"/>
  <c r="AE11" i="1"/>
  <c r="CG11" i="1" s="1"/>
  <c r="AF11" i="1"/>
  <c r="AG11" i="1"/>
  <c r="CI11" i="1" s="1"/>
  <c r="V12" i="1"/>
  <c r="BX12" i="1" s="1"/>
  <c r="W12" i="1"/>
  <c r="BY12" i="1" s="1"/>
  <c r="X12" i="1"/>
  <c r="BZ12" i="1" s="1"/>
  <c r="Y12" i="1"/>
  <c r="CA12" i="1" s="1"/>
  <c r="Z12" i="1"/>
  <c r="AA12" i="1"/>
  <c r="CC12" i="1" s="1"/>
  <c r="AB12" i="1"/>
  <c r="CD12" i="1" s="1"/>
  <c r="AC12" i="1"/>
  <c r="CE12" i="1" s="1"/>
  <c r="AD12" i="1"/>
  <c r="CF12" i="1" s="1"/>
  <c r="AE12" i="1"/>
  <c r="CG12" i="1" s="1"/>
  <c r="AF12" i="1"/>
  <c r="AG12" i="1"/>
  <c r="CI12" i="1" s="1"/>
  <c r="V13" i="1"/>
  <c r="BX13" i="1" s="1"/>
  <c r="W13" i="1"/>
  <c r="BY13" i="1" s="1"/>
  <c r="X13" i="1"/>
  <c r="BZ13" i="1" s="1"/>
  <c r="Y13" i="1"/>
  <c r="CA13" i="1" s="1"/>
  <c r="Z13" i="1"/>
  <c r="AA13" i="1"/>
  <c r="CC13" i="1" s="1"/>
  <c r="AB13" i="1"/>
  <c r="CD13" i="1" s="1"/>
  <c r="AC13" i="1"/>
  <c r="CE13" i="1" s="1"/>
  <c r="AD13" i="1"/>
  <c r="CF13" i="1" s="1"/>
  <c r="AE13" i="1"/>
  <c r="CG13" i="1" s="1"/>
  <c r="AF13" i="1"/>
  <c r="AG13" i="1"/>
  <c r="CI13" i="1" s="1"/>
  <c r="V14" i="1"/>
  <c r="BX14" i="1" s="1"/>
  <c r="W14" i="1"/>
  <c r="BY14" i="1" s="1"/>
  <c r="X14" i="1"/>
  <c r="BZ14" i="1" s="1"/>
  <c r="Y14" i="1"/>
  <c r="CA14" i="1" s="1"/>
  <c r="Z14" i="1"/>
  <c r="AA14" i="1"/>
  <c r="CC14" i="1" s="1"/>
  <c r="AB14" i="1"/>
  <c r="CD14" i="1" s="1"/>
  <c r="AC14" i="1"/>
  <c r="CE14" i="1" s="1"/>
  <c r="AD14" i="1"/>
  <c r="CF14" i="1" s="1"/>
  <c r="AE14" i="1"/>
  <c r="CG14" i="1" s="1"/>
  <c r="AF14" i="1"/>
  <c r="AG14" i="1"/>
  <c r="CI14" i="1" s="1"/>
  <c r="V15" i="1"/>
  <c r="BX15" i="1" s="1"/>
  <c r="W15" i="1"/>
  <c r="BY15" i="1" s="1"/>
  <c r="X15" i="1"/>
  <c r="BZ15" i="1" s="1"/>
  <c r="Y15" i="1"/>
  <c r="CA15" i="1" s="1"/>
  <c r="Z15" i="1"/>
  <c r="AA15" i="1"/>
  <c r="CC15" i="1" s="1"/>
  <c r="AB15" i="1"/>
  <c r="CD15" i="1" s="1"/>
  <c r="AC15" i="1"/>
  <c r="CE15" i="1" s="1"/>
  <c r="AD15" i="1"/>
  <c r="CF15" i="1" s="1"/>
  <c r="AE15" i="1"/>
  <c r="CG15" i="1" s="1"/>
  <c r="AF15" i="1"/>
  <c r="AG15" i="1"/>
  <c r="CI15" i="1" s="1"/>
  <c r="V16" i="1"/>
  <c r="BX16" i="1" s="1"/>
  <c r="W16" i="1"/>
  <c r="BY16" i="1" s="1"/>
  <c r="X16" i="1"/>
  <c r="BZ16" i="1" s="1"/>
  <c r="Y16" i="1"/>
  <c r="CA16" i="1" s="1"/>
  <c r="Z16" i="1"/>
  <c r="AA16" i="1"/>
  <c r="CC16" i="1" s="1"/>
  <c r="AB16" i="1"/>
  <c r="CD16" i="1" s="1"/>
  <c r="AC16" i="1"/>
  <c r="CE16" i="1" s="1"/>
  <c r="AD16" i="1"/>
  <c r="CF16" i="1" s="1"/>
  <c r="AE16" i="1"/>
  <c r="CG16" i="1" s="1"/>
  <c r="AF16" i="1"/>
  <c r="AG16" i="1"/>
  <c r="CI16" i="1" s="1"/>
  <c r="V17" i="1"/>
  <c r="BX17" i="1" s="1"/>
  <c r="W17" i="1"/>
  <c r="BY17" i="1" s="1"/>
  <c r="X17" i="1"/>
  <c r="BZ17" i="1" s="1"/>
  <c r="Y17" i="1"/>
  <c r="CA17" i="1" s="1"/>
  <c r="Z17" i="1"/>
  <c r="AA17" i="1"/>
  <c r="CC17" i="1" s="1"/>
  <c r="AB17" i="1"/>
  <c r="CD17" i="1" s="1"/>
  <c r="AC17" i="1"/>
  <c r="CE17" i="1" s="1"/>
  <c r="AD17" i="1"/>
  <c r="CF17" i="1" s="1"/>
  <c r="AE17" i="1"/>
  <c r="CG17" i="1" s="1"/>
  <c r="AF17" i="1"/>
  <c r="AG17" i="1"/>
  <c r="CI17" i="1" s="1"/>
  <c r="V18" i="1"/>
  <c r="BX18" i="1" s="1"/>
  <c r="W18" i="1"/>
  <c r="BY18" i="1" s="1"/>
  <c r="X18" i="1"/>
  <c r="BZ18" i="1" s="1"/>
  <c r="Y18" i="1"/>
  <c r="CA18" i="1" s="1"/>
  <c r="Z18" i="1"/>
  <c r="AA18" i="1"/>
  <c r="CC18" i="1" s="1"/>
  <c r="AB18" i="1"/>
  <c r="CD18" i="1" s="1"/>
  <c r="AC18" i="1"/>
  <c r="CE18" i="1" s="1"/>
  <c r="AD18" i="1"/>
  <c r="CF18" i="1" s="1"/>
  <c r="AE18" i="1"/>
  <c r="CG18" i="1" s="1"/>
  <c r="AF18" i="1"/>
  <c r="AG18" i="1"/>
  <c r="CI18" i="1" s="1"/>
  <c r="V19" i="1"/>
  <c r="BX19" i="1" s="1"/>
  <c r="W19" i="1"/>
  <c r="BY19" i="1" s="1"/>
  <c r="X19" i="1"/>
  <c r="BZ19" i="1" s="1"/>
  <c r="Y19" i="1"/>
  <c r="CA19" i="1" s="1"/>
  <c r="Z19" i="1"/>
  <c r="AA19" i="1"/>
  <c r="CC19" i="1" s="1"/>
  <c r="AB19" i="1"/>
  <c r="CD19" i="1" s="1"/>
  <c r="AC19" i="1"/>
  <c r="CE19" i="1" s="1"/>
  <c r="AD19" i="1"/>
  <c r="CF19" i="1" s="1"/>
  <c r="AE19" i="1"/>
  <c r="CG19" i="1" s="1"/>
  <c r="AF19" i="1"/>
  <c r="AG19" i="1"/>
  <c r="CI19" i="1" s="1"/>
  <c r="V20" i="1"/>
  <c r="BX20" i="1" s="1"/>
  <c r="W20" i="1"/>
  <c r="BY20" i="1" s="1"/>
  <c r="X20" i="1"/>
  <c r="BZ20" i="1" s="1"/>
  <c r="Y20" i="1"/>
  <c r="CA20" i="1" s="1"/>
  <c r="Z20" i="1"/>
  <c r="AA20" i="1"/>
  <c r="CC20" i="1" s="1"/>
  <c r="AB20" i="1"/>
  <c r="CD20" i="1" s="1"/>
  <c r="AC20" i="1"/>
  <c r="CE20" i="1" s="1"/>
  <c r="AD20" i="1"/>
  <c r="CF20" i="1" s="1"/>
  <c r="AE20" i="1"/>
  <c r="CG20" i="1" s="1"/>
  <c r="AF20" i="1"/>
  <c r="AG20" i="1"/>
  <c r="CI20" i="1" s="1"/>
  <c r="V21" i="1"/>
  <c r="BX21" i="1" s="1"/>
  <c r="W21" i="1"/>
  <c r="BY21" i="1" s="1"/>
  <c r="X21" i="1"/>
  <c r="BZ21" i="1" s="1"/>
  <c r="Y21" i="1"/>
  <c r="CA21" i="1" s="1"/>
  <c r="Z21" i="1"/>
  <c r="AA21" i="1"/>
  <c r="CC21" i="1" s="1"/>
  <c r="AB21" i="1"/>
  <c r="CD21" i="1" s="1"/>
  <c r="AC21" i="1"/>
  <c r="CE21" i="1" s="1"/>
  <c r="AD21" i="1"/>
  <c r="CF21" i="1" s="1"/>
  <c r="AE21" i="1"/>
  <c r="CG21" i="1" s="1"/>
  <c r="AF21" i="1"/>
  <c r="AG21" i="1"/>
  <c r="CI21" i="1" s="1"/>
  <c r="V22" i="1"/>
  <c r="BX22" i="1" s="1"/>
  <c r="W22" i="1"/>
  <c r="BY22" i="1" s="1"/>
  <c r="X22" i="1"/>
  <c r="BZ22" i="1" s="1"/>
  <c r="Y22" i="1"/>
  <c r="CA22" i="1" s="1"/>
  <c r="Z22" i="1"/>
  <c r="AA22" i="1"/>
  <c r="CC22" i="1" s="1"/>
  <c r="AB22" i="1"/>
  <c r="CD22" i="1" s="1"/>
  <c r="AC22" i="1"/>
  <c r="CE22" i="1" s="1"/>
  <c r="AD22" i="1"/>
  <c r="CF22" i="1" s="1"/>
  <c r="AE22" i="1"/>
  <c r="CG22" i="1" s="1"/>
  <c r="AF22" i="1"/>
  <c r="AG22" i="1"/>
  <c r="CI22" i="1" s="1"/>
  <c r="V23" i="1"/>
  <c r="BX23" i="1" s="1"/>
  <c r="W23" i="1"/>
  <c r="BY23" i="1" s="1"/>
  <c r="X23" i="1"/>
  <c r="BZ23" i="1" s="1"/>
  <c r="Y23" i="1"/>
  <c r="CA23" i="1" s="1"/>
  <c r="Z23" i="1"/>
  <c r="AA23" i="1"/>
  <c r="CC23" i="1" s="1"/>
  <c r="AB23" i="1"/>
  <c r="CD23" i="1" s="1"/>
  <c r="AC23" i="1"/>
  <c r="CE23" i="1" s="1"/>
  <c r="AD23" i="1"/>
  <c r="CF23" i="1" s="1"/>
  <c r="AE23" i="1"/>
  <c r="CG23" i="1" s="1"/>
  <c r="AF23" i="1"/>
  <c r="AG23" i="1"/>
  <c r="CI23" i="1" s="1"/>
  <c r="V24" i="1"/>
  <c r="BX24" i="1" s="1"/>
  <c r="W24" i="1"/>
  <c r="BY24" i="1" s="1"/>
  <c r="X24" i="1"/>
  <c r="BZ24" i="1" s="1"/>
  <c r="Y24" i="1"/>
  <c r="CA24" i="1" s="1"/>
  <c r="Z24" i="1"/>
  <c r="AA24" i="1"/>
  <c r="CC24" i="1" s="1"/>
  <c r="AB24" i="1"/>
  <c r="CD24" i="1" s="1"/>
  <c r="AC24" i="1"/>
  <c r="CE24" i="1" s="1"/>
  <c r="AD24" i="1"/>
  <c r="CF24" i="1" s="1"/>
  <c r="AE24" i="1"/>
  <c r="CG24" i="1" s="1"/>
  <c r="AF24" i="1"/>
  <c r="AG24" i="1"/>
  <c r="CI24" i="1" s="1"/>
  <c r="V25" i="1"/>
  <c r="BX25" i="1" s="1"/>
  <c r="W25" i="1"/>
  <c r="BY25" i="1" s="1"/>
  <c r="X25" i="1"/>
  <c r="BZ25" i="1" s="1"/>
  <c r="Y25" i="1"/>
  <c r="CA25" i="1" s="1"/>
  <c r="Z25" i="1"/>
  <c r="AA25" i="1"/>
  <c r="CC25" i="1" s="1"/>
  <c r="AB25" i="1"/>
  <c r="CD25" i="1" s="1"/>
  <c r="AC25" i="1"/>
  <c r="CE25" i="1" s="1"/>
  <c r="AD25" i="1"/>
  <c r="CF25" i="1" s="1"/>
  <c r="AE25" i="1"/>
  <c r="CG25" i="1" s="1"/>
  <c r="AF25" i="1"/>
  <c r="AG25" i="1"/>
  <c r="CI25" i="1" s="1"/>
  <c r="V26" i="1"/>
  <c r="BX26" i="1" s="1"/>
  <c r="W26" i="1"/>
  <c r="BY26" i="1" s="1"/>
  <c r="X26" i="1"/>
  <c r="BZ26" i="1" s="1"/>
  <c r="Y26" i="1"/>
  <c r="CA26" i="1" s="1"/>
  <c r="Z26" i="1"/>
  <c r="AA26" i="1"/>
  <c r="CC26" i="1" s="1"/>
  <c r="AB26" i="1"/>
  <c r="CD26" i="1" s="1"/>
  <c r="AC26" i="1"/>
  <c r="CE26" i="1" s="1"/>
  <c r="AD26" i="1"/>
  <c r="CF26" i="1" s="1"/>
  <c r="AE26" i="1"/>
  <c r="CG26" i="1" s="1"/>
  <c r="AF26" i="1"/>
  <c r="AG26" i="1"/>
  <c r="CI26" i="1" s="1"/>
  <c r="V27" i="1"/>
  <c r="BX27" i="1" s="1"/>
  <c r="W27" i="1"/>
  <c r="BY27" i="1" s="1"/>
  <c r="X27" i="1"/>
  <c r="BZ27" i="1" s="1"/>
  <c r="Y27" i="1"/>
  <c r="CA27" i="1" s="1"/>
  <c r="Z27" i="1"/>
  <c r="AA27" i="1"/>
  <c r="CC27" i="1" s="1"/>
  <c r="AB27" i="1"/>
  <c r="CD27" i="1" s="1"/>
  <c r="AC27" i="1"/>
  <c r="CE27" i="1" s="1"/>
  <c r="AD27" i="1"/>
  <c r="CF27" i="1" s="1"/>
  <c r="AE27" i="1"/>
  <c r="CG27" i="1" s="1"/>
  <c r="AF27" i="1"/>
  <c r="AG27" i="1"/>
  <c r="CI27" i="1" s="1"/>
  <c r="V28" i="1"/>
  <c r="BX28" i="1" s="1"/>
  <c r="W28" i="1"/>
  <c r="BY28" i="1" s="1"/>
  <c r="X28" i="1"/>
  <c r="BZ28" i="1" s="1"/>
  <c r="Y28" i="1"/>
  <c r="CA28" i="1" s="1"/>
  <c r="Z28" i="1"/>
  <c r="AA28" i="1"/>
  <c r="CC28" i="1" s="1"/>
  <c r="AB28" i="1"/>
  <c r="CD28" i="1" s="1"/>
  <c r="AC28" i="1"/>
  <c r="CE28" i="1" s="1"/>
  <c r="AD28" i="1"/>
  <c r="CF28" i="1" s="1"/>
  <c r="AE28" i="1"/>
  <c r="CG28" i="1" s="1"/>
  <c r="AF28" i="1"/>
  <c r="AG28" i="1"/>
  <c r="CI28" i="1" s="1"/>
  <c r="V29" i="1"/>
  <c r="BX29" i="1" s="1"/>
  <c r="W29" i="1"/>
  <c r="BY29" i="1" s="1"/>
  <c r="X29" i="1"/>
  <c r="BZ29" i="1" s="1"/>
  <c r="Y29" i="1"/>
  <c r="CA29" i="1" s="1"/>
  <c r="Z29" i="1"/>
  <c r="AA29" i="1"/>
  <c r="CC29" i="1" s="1"/>
  <c r="AB29" i="1"/>
  <c r="CD29" i="1" s="1"/>
  <c r="AC29" i="1"/>
  <c r="CE29" i="1" s="1"/>
  <c r="AD29" i="1"/>
  <c r="CF29" i="1" s="1"/>
  <c r="AE29" i="1"/>
  <c r="CG29" i="1" s="1"/>
  <c r="AF29" i="1"/>
  <c r="AG29" i="1"/>
  <c r="CI29" i="1" s="1"/>
  <c r="V30" i="1"/>
  <c r="BX30" i="1" s="1"/>
  <c r="W30" i="1"/>
  <c r="BY30" i="1" s="1"/>
  <c r="X30" i="1"/>
  <c r="BZ30" i="1" s="1"/>
  <c r="Y30" i="1"/>
  <c r="CA30" i="1" s="1"/>
  <c r="Z30" i="1"/>
  <c r="AA30" i="1"/>
  <c r="CC30" i="1" s="1"/>
  <c r="AB30" i="1"/>
  <c r="CD30" i="1" s="1"/>
  <c r="AC30" i="1"/>
  <c r="CE30" i="1" s="1"/>
  <c r="AD30" i="1"/>
  <c r="CF30" i="1" s="1"/>
  <c r="AE30" i="1"/>
  <c r="CG30" i="1" s="1"/>
  <c r="AF30" i="1"/>
  <c r="AG30" i="1"/>
  <c r="CI30" i="1" s="1"/>
  <c r="V31" i="1"/>
  <c r="BX31" i="1" s="1"/>
  <c r="W31" i="1"/>
  <c r="BY31" i="1" s="1"/>
  <c r="X31" i="1"/>
  <c r="BZ31" i="1" s="1"/>
  <c r="Y31" i="1"/>
  <c r="CA31" i="1" s="1"/>
  <c r="Z31" i="1"/>
  <c r="AA31" i="1"/>
  <c r="CC31" i="1" s="1"/>
  <c r="AB31" i="1"/>
  <c r="CD31" i="1" s="1"/>
  <c r="AC31" i="1"/>
  <c r="CE31" i="1" s="1"/>
  <c r="AD31" i="1"/>
  <c r="CF31" i="1" s="1"/>
  <c r="AE31" i="1"/>
  <c r="CG31" i="1" s="1"/>
  <c r="AF31" i="1"/>
  <c r="AG31" i="1"/>
  <c r="CI31" i="1" s="1"/>
  <c r="V32" i="1"/>
  <c r="BX32" i="1" s="1"/>
  <c r="W32" i="1"/>
  <c r="BY32" i="1" s="1"/>
  <c r="X32" i="1"/>
  <c r="BZ32" i="1" s="1"/>
  <c r="Y32" i="1"/>
  <c r="CA32" i="1" s="1"/>
  <c r="Z32" i="1"/>
  <c r="AA32" i="1"/>
  <c r="CC32" i="1" s="1"/>
  <c r="AB32" i="1"/>
  <c r="CD32" i="1" s="1"/>
  <c r="AC32" i="1"/>
  <c r="CE32" i="1" s="1"/>
  <c r="AD32" i="1"/>
  <c r="CF32" i="1" s="1"/>
  <c r="AE32" i="1"/>
  <c r="CG32" i="1" s="1"/>
  <c r="AF32" i="1"/>
  <c r="AG32" i="1"/>
  <c r="CI32" i="1" s="1"/>
  <c r="V33" i="1"/>
  <c r="BX33" i="1" s="1"/>
  <c r="W33" i="1"/>
  <c r="BY33" i="1" s="1"/>
  <c r="X33" i="1"/>
  <c r="BZ33" i="1" s="1"/>
  <c r="Y33" i="1"/>
  <c r="CA33" i="1" s="1"/>
  <c r="Z33" i="1"/>
  <c r="AA33" i="1"/>
  <c r="CC33" i="1" s="1"/>
  <c r="AB33" i="1"/>
  <c r="CD33" i="1" s="1"/>
  <c r="AC33" i="1"/>
  <c r="CE33" i="1" s="1"/>
  <c r="AD33" i="1"/>
  <c r="CF33" i="1" s="1"/>
  <c r="AE33" i="1"/>
  <c r="CG33" i="1" s="1"/>
  <c r="AF33" i="1"/>
  <c r="AG33" i="1"/>
  <c r="CI33" i="1" s="1"/>
  <c r="V34" i="1"/>
  <c r="BX34" i="1" s="1"/>
  <c r="W34" i="1"/>
  <c r="BY34" i="1" s="1"/>
  <c r="X34" i="1"/>
  <c r="BZ34" i="1" s="1"/>
  <c r="Y34" i="1"/>
  <c r="CA34" i="1" s="1"/>
  <c r="Z34" i="1"/>
  <c r="AA34" i="1"/>
  <c r="CC34" i="1" s="1"/>
  <c r="AB34" i="1"/>
  <c r="CD34" i="1" s="1"/>
  <c r="AC34" i="1"/>
  <c r="CE34" i="1" s="1"/>
  <c r="AD34" i="1"/>
  <c r="CF34" i="1" s="1"/>
  <c r="AE34" i="1"/>
  <c r="CG34" i="1" s="1"/>
  <c r="AF34" i="1"/>
  <c r="AG34" i="1"/>
  <c r="CI34" i="1" s="1"/>
  <c r="V35" i="1"/>
  <c r="BX35" i="1" s="1"/>
  <c r="W35" i="1"/>
  <c r="BY35" i="1" s="1"/>
  <c r="X35" i="1"/>
  <c r="BZ35" i="1" s="1"/>
  <c r="Y35" i="1"/>
  <c r="CA35" i="1" s="1"/>
  <c r="Z35" i="1"/>
  <c r="AA35" i="1"/>
  <c r="CC35" i="1" s="1"/>
  <c r="AB35" i="1"/>
  <c r="CD35" i="1" s="1"/>
  <c r="AC35" i="1"/>
  <c r="CE35" i="1" s="1"/>
  <c r="AD35" i="1"/>
  <c r="CF35" i="1" s="1"/>
  <c r="AE35" i="1"/>
  <c r="CG35" i="1" s="1"/>
  <c r="AF35" i="1"/>
  <c r="AG35" i="1"/>
  <c r="CI35" i="1" s="1"/>
  <c r="V36" i="1"/>
  <c r="BX36" i="1" s="1"/>
  <c r="W36" i="1"/>
  <c r="BY36" i="1" s="1"/>
  <c r="X36" i="1"/>
  <c r="BZ36" i="1" s="1"/>
  <c r="Y36" i="1"/>
  <c r="CA36" i="1" s="1"/>
  <c r="Z36" i="1"/>
  <c r="AA36" i="1"/>
  <c r="CC36" i="1" s="1"/>
  <c r="AB36" i="1"/>
  <c r="CD36" i="1" s="1"/>
  <c r="AC36" i="1"/>
  <c r="CE36" i="1" s="1"/>
  <c r="AD36" i="1"/>
  <c r="CF36" i="1" s="1"/>
  <c r="AE36" i="1"/>
  <c r="CG36" i="1" s="1"/>
  <c r="AF36" i="1"/>
  <c r="AG36" i="1"/>
  <c r="CI36" i="1" s="1"/>
  <c r="V37" i="1"/>
  <c r="BX37" i="1" s="1"/>
  <c r="W37" i="1"/>
  <c r="BY37" i="1" s="1"/>
  <c r="X37" i="1"/>
  <c r="BZ37" i="1" s="1"/>
  <c r="Y37" i="1"/>
  <c r="CA37" i="1" s="1"/>
  <c r="Z37" i="1"/>
  <c r="CB37" i="1" s="1"/>
  <c r="AA37" i="1"/>
  <c r="CC37" i="1" s="1"/>
  <c r="AB37" i="1"/>
  <c r="CD37" i="1" s="1"/>
  <c r="AC37" i="1"/>
  <c r="CE37" i="1" s="1"/>
  <c r="AD37" i="1"/>
  <c r="CF37" i="1" s="1"/>
  <c r="AE37" i="1"/>
  <c r="CG37" i="1" s="1"/>
  <c r="AF37" i="1"/>
  <c r="AG37" i="1"/>
  <c r="CI37" i="1" s="1"/>
  <c r="V38" i="1"/>
  <c r="BX38" i="1" s="1"/>
  <c r="W38" i="1"/>
  <c r="BY38" i="1" s="1"/>
  <c r="X38" i="1"/>
  <c r="BZ38" i="1" s="1"/>
  <c r="Y38" i="1"/>
  <c r="CA38" i="1" s="1"/>
  <c r="Z38" i="1"/>
  <c r="AA38" i="1"/>
  <c r="CC38" i="1" s="1"/>
  <c r="AB38" i="1"/>
  <c r="CD38" i="1" s="1"/>
  <c r="AC38" i="1"/>
  <c r="CE38" i="1" s="1"/>
  <c r="AD38" i="1"/>
  <c r="CF38" i="1" s="1"/>
  <c r="AE38" i="1"/>
  <c r="CG38" i="1" s="1"/>
  <c r="AF38" i="1"/>
  <c r="AG38" i="1"/>
  <c r="CI38" i="1" s="1"/>
  <c r="V39" i="1"/>
  <c r="BX39" i="1" s="1"/>
  <c r="W39" i="1"/>
  <c r="BY39" i="1" s="1"/>
  <c r="X39" i="1"/>
  <c r="BZ39" i="1" s="1"/>
  <c r="Y39" i="1"/>
  <c r="CA39" i="1" s="1"/>
  <c r="Z39" i="1"/>
  <c r="AA39" i="1"/>
  <c r="CC39" i="1" s="1"/>
  <c r="AB39" i="1"/>
  <c r="CD39" i="1" s="1"/>
  <c r="AC39" i="1"/>
  <c r="CE39" i="1" s="1"/>
  <c r="AD39" i="1"/>
  <c r="CF39" i="1" s="1"/>
  <c r="AE39" i="1"/>
  <c r="CG39" i="1" s="1"/>
  <c r="AF39" i="1"/>
  <c r="AG39" i="1"/>
  <c r="CI39" i="1" s="1"/>
  <c r="V40" i="1"/>
  <c r="BX40" i="1" s="1"/>
  <c r="W40" i="1"/>
  <c r="BY40" i="1" s="1"/>
  <c r="X40" i="1"/>
  <c r="BZ40" i="1" s="1"/>
  <c r="Y40" i="1"/>
  <c r="CA40" i="1" s="1"/>
  <c r="Z40" i="1"/>
  <c r="AA40" i="1"/>
  <c r="CC40" i="1" s="1"/>
  <c r="AB40" i="1"/>
  <c r="CD40" i="1" s="1"/>
  <c r="AC40" i="1"/>
  <c r="CE40" i="1" s="1"/>
  <c r="AD40" i="1"/>
  <c r="CF40" i="1" s="1"/>
  <c r="AE40" i="1"/>
  <c r="CG40" i="1" s="1"/>
  <c r="AF40" i="1"/>
  <c r="AG40" i="1"/>
  <c r="CI40" i="1" s="1"/>
  <c r="V41" i="1"/>
  <c r="BX41" i="1" s="1"/>
  <c r="W41" i="1"/>
  <c r="BY41" i="1" s="1"/>
  <c r="X41" i="1"/>
  <c r="BZ41" i="1" s="1"/>
  <c r="Y41" i="1"/>
  <c r="CA41" i="1" s="1"/>
  <c r="Z41" i="1"/>
  <c r="AA41" i="1"/>
  <c r="CC41" i="1" s="1"/>
  <c r="AB41" i="1"/>
  <c r="CD41" i="1" s="1"/>
  <c r="AC41" i="1"/>
  <c r="CE41" i="1" s="1"/>
  <c r="AD41" i="1"/>
  <c r="CF41" i="1" s="1"/>
  <c r="AE41" i="1"/>
  <c r="CG41" i="1" s="1"/>
  <c r="AF41" i="1"/>
  <c r="AG41" i="1"/>
  <c r="CI41" i="1" s="1"/>
  <c r="V42" i="1"/>
  <c r="BX42" i="1" s="1"/>
  <c r="W42" i="1"/>
  <c r="BY42" i="1" s="1"/>
  <c r="X42" i="1"/>
  <c r="BZ42" i="1" s="1"/>
  <c r="Y42" i="1"/>
  <c r="CA42" i="1" s="1"/>
  <c r="Z42" i="1"/>
  <c r="AA42" i="1"/>
  <c r="CC42" i="1" s="1"/>
  <c r="AB42" i="1"/>
  <c r="CD42" i="1" s="1"/>
  <c r="AC42" i="1"/>
  <c r="CE42" i="1" s="1"/>
  <c r="AD42" i="1"/>
  <c r="CF42" i="1" s="1"/>
  <c r="AE42" i="1"/>
  <c r="CG42" i="1" s="1"/>
  <c r="AF42" i="1"/>
  <c r="AG42" i="1"/>
  <c r="CI42" i="1" s="1"/>
  <c r="V43" i="1"/>
  <c r="BX43" i="1" s="1"/>
  <c r="W43" i="1"/>
  <c r="BY43" i="1" s="1"/>
  <c r="X43" i="1"/>
  <c r="BZ43" i="1" s="1"/>
  <c r="Y43" i="1"/>
  <c r="CA43" i="1" s="1"/>
  <c r="Z43" i="1"/>
  <c r="AA43" i="1"/>
  <c r="CC43" i="1" s="1"/>
  <c r="AB43" i="1"/>
  <c r="CD43" i="1" s="1"/>
  <c r="AC43" i="1"/>
  <c r="CE43" i="1" s="1"/>
  <c r="AD43" i="1"/>
  <c r="CF43" i="1" s="1"/>
  <c r="AE43" i="1"/>
  <c r="CG43" i="1" s="1"/>
  <c r="AF43" i="1"/>
  <c r="AG43" i="1"/>
  <c r="CI43" i="1" s="1"/>
  <c r="V44" i="1"/>
  <c r="BX44" i="1" s="1"/>
  <c r="W44" i="1"/>
  <c r="BY44" i="1" s="1"/>
  <c r="X44" i="1"/>
  <c r="BZ44" i="1" s="1"/>
  <c r="Y44" i="1"/>
  <c r="CA44" i="1" s="1"/>
  <c r="Z44" i="1"/>
  <c r="AA44" i="1"/>
  <c r="CC44" i="1" s="1"/>
  <c r="AB44" i="1"/>
  <c r="CD44" i="1" s="1"/>
  <c r="AC44" i="1"/>
  <c r="CE44" i="1" s="1"/>
  <c r="AD44" i="1"/>
  <c r="CF44" i="1" s="1"/>
  <c r="AE44" i="1"/>
  <c r="CG44" i="1" s="1"/>
  <c r="AF44" i="1"/>
  <c r="AG44" i="1"/>
  <c r="CI44" i="1" s="1"/>
  <c r="V45" i="1"/>
  <c r="BX45" i="1" s="1"/>
  <c r="W45" i="1"/>
  <c r="BY45" i="1" s="1"/>
  <c r="X45" i="1"/>
  <c r="BZ45" i="1" s="1"/>
  <c r="Y45" i="1"/>
  <c r="CA45" i="1" s="1"/>
  <c r="Z45" i="1"/>
  <c r="CB45" i="1" s="1"/>
  <c r="AA45" i="1"/>
  <c r="CC45" i="1" s="1"/>
  <c r="AB45" i="1"/>
  <c r="CD45" i="1" s="1"/>
  <c r="AC45" i="1"/>
  <c r="CE45" i="1" s="1"/>
  <c r="AD45" i="1"/>
  <c r="CF45" i="1" s="1"/>
  <c r="AE45" i="1"/>
  <c r="CG45" i="1" s="1"/>
  <c r="AF45" i="1"/>
  <c r="AG45" i="1"/>
  <c r="CI45" i="1" s="1"/>
  <c r="V46" i="1"/>
  <c r="BX46" i="1" s="1"/>
  <c r="W46" i="1"/>
  <c r="BY46" i="1" s="1"/>
  <c r="X46" i="1"/>
  <c r="BZ46" i="1" s="1"/>
  <c r="Y46" i="1"/>
  <c r="CA46" i="1" s="1"/>
  <c r="Z46" i="1"/>
  <c r="AA46" i="1"/>
  <c r="CC46" i="1" s="1"/>
  <c r="AB46" i="1"/>
  <c r="CD46" i="1" s="1"/>
  <c r="AC46" i="1"/>
  <c r="CE46" i="1" s="1"/>
  <c r="AD46" i="1"/>
  <c r="CF46" i="1" s="1"/>
  <c r="AE46" i="1"/>
  <c r="CG46" i="1" s="1"/>
  <c r="AF46" i="1"/>
  <c r="AG46" i="1"/>
  <c r="CI46" i="1" s="1"/>
  <c r="V47" i="1"/>
  <c r="BX47" i="1" s="1"/>
  <c r="W47" i="1"/>
  <c r="BY47" i="1" s="1"/>
  <c r="X47" i="1"/>
  <c r="BZ47" i="1" s="1"/>
  <c r="Y47" i="1"/>
  <c r="CA47" i="1" s="1"/>
  <c r="Z47" i="1"/>
  <c r="AA47" i="1"/>
  <c r="CC47" i="1" s="1"/>
  <c r="AB47" i="1"/>
  <c r="CD47" i="1" s="1"/>
  <c r="AC47" i="1"/>
  <c r="CE47" i="1" s="1"/>
  <c r="AD47" i="1"/>
  <c r="CF47" i="1" s="1"/>
  <c r="AE47" i="1"/>
  <c r="CG47" i="1" s="1"/>
  <c r="AF47" i="1"/>
  <c r="AG47" i="1"/>
  <c r="CI47" i="1" s="1"/>
  <c r="V48" i="1"/>
  <c r="BX48" i="1" s="1"/>
  <c r="W48" i="1"/>
  <c r="BY48" i="1" s="1"/>
  <c r="X48" i="1"/>
  <c r="BZ48" i="1" s="1"/>
  <c r="Y48" i="1"/>
  <c r="CA48" i="1" s="1"/>
  <c r="Z48" i="1"/>
  <c r="AA48" i="1"/>
  <c r="CC48" i="1" s="1"/>
  <c r="AB48" i="1"/>
  <c r="CD48" i="1" s="1"/>
  <c r="AC48" i="1"/>
  <c r="CE48" i="1" s="1"/>
  <c r="AD48" i="1"/>
  <c r="CF48" i="1" s="1"/>
  <c r="AE48" i="1"/>
  <c r="CG48" i="1" s="1"/>
  <c r="AF48" i="1"/>
  <c r="AG48" i="1"/>
  <c r="CI48" i="1" s="1"/>
  <c r="V49" i="1"/>
  <c r="BX49" i="1" s="1"/>
  <c r="W49" i="1"/>
  <c r="BY49" i="1" s="1"/>
  <c r="X49" i="1"/>
  <c r="BZ49" i="1" s="1"/>
  <c r="Y49" i="1"/>
  <c r="CA49" i="1" s="1"/>
  <c r="Z49" i="1"/>
  <c r="AA49" i="1"/>
  <c r="CC49" i="1" s="1"/>
  <c r="AB49" i="1"/>
  <c r="CD49" i="1" s="1"/>
  <c r="AC49" i="1"/>
  <c r="CE49" i="1" s="1"/>
  <c r="AD49" i="1"/>
  <c r="CF49" i="1" s="1"/>
  <c r="AE49" i="1"/>
  <c r="CG49" i="1" s="1"/>
  <c r="AF49" i="1"/>
  <c r="AG49" i="1"/>
  <c r="CI49" i="1" s="1"/>
  <c r="V50" i="1"/>
  <c r="BX50" i="1" s="1"/>
  <c r="W50" i="1"/>
  <c r="BY50" i="1" s="1"/>
  <c r="X50" i="1"/>
  <c r="BZ50" i="1" s="1"/>
  <c r="Y50" i="1"/>
  <c r="CA50" i="1" s="1"/>
  <c r="Z50" i="1"/>
  <c r="AA50" i="1"/>
  <c r="CC50" i="1" s="1"/>
  <c r="AB50" i="1"/>
  <c r="CD50" i="1" s="1"/>
  <c r="AC50" i="1"/>
  <c r="CE50" i="1" s="1"/>
  <c r="AD50" i="1"/>
  <c r="CF50" i="1" s="1"/>
  <c r="AE50" i="1"/>
  <c r="CG50" i="1" s="1"/>
  <c r="AF50" i="1"/>
  <c r="AG50" i="1"/>
  <c r="CI50" i="1" s="1"/>
  <c r="V51" i="1"/>
  <c r="BX51" i="1" s="1"/>
  <c r="W51" i="1"/>
  <c r="BY51" i="1" s="1"/>
  <c r="X51" i="1"/>
  <c r="BZ51" i="1" s="1"/>
  <c r="Y51" i="1"/>
  <c r="CA51" i="1" s="1"/>
  <c r="Z51" i="1"/>
  <c r="AA51" i="1"/>
  <c r="CC51" i="1" s="1"/>
  <c r="AB51" i="1"/>
  <c r="CD51" i="1" s="1"/>
  <c r="AC51" i="1"/>
  <c r="CE51" i="1" s="1"/>
  <c r="AD51" i="1"/>
  <c r="CF51" i="1" s="1"/>
  <c r="AE51" i="1"/>
  <c r="CG51" i="1" s="1"/>
  <c r="AF51" i="1"/>
  <c r="AG51" i="1"/>
  <c r="CI51" i="1" s="1"/>
  <c r="V52" i="1"/>
  <c r="BX52" i="1" s="1"/>
  <c r="W52" i="1"/>
  <c r="BY52" i="1" s="1"/>
  <c r="X52" i="1"/>
  <c r="BZ52" i="1" s="1"/>
  <c r="Y52" i="1"/>
  <c r="CA52" i="1" s="1"/>
  <c r="Z52" i="1"/>
  <c r="CB52" i="1" s="1"/>
  <c r="AA52" i="1"/>
  <c r="CC52" i="1" s="1"/>
  <c r="AB52" i="1"/>
  <c r="CD52" i="1" s="1"/>
  <c r="AC52" i="1"/>
  <c r="CE52" i="1" s="1"/>
  <c r="AD52" i="1"/>
  <c r="CF52" i="1" s="1"/>
  <c r="AE52" i="1"/>
  <c r="CG52" i="1" s="1"/>
  <c r="AF52" i="1"/>
  <c r="AG52" i="1"/>
  <c r="CI52" i="1" s="1"/>
  <c r="V53" i="1"/>
  <c r="BX53" i="1" s="1"/>
  <c r="W53" i="1"/>
  <c r="BY53" i="1" s="1"/>
  <c r="X53" i="1"/>
  <c r="BZ53" i="1" s="1"/>
  <c r="Y53" i="1"/>
  <c r="CA53" i="1" s="1"/>
  <c r="Z53" i="1"/>
  <c r="AA53" i="1"/>
  <c r="CC53" i="1" s="1"/>
  <c r="AB53" i="1"/>
  <c r="CD53" i="1" s="1"/>
  <c r="AC53" i="1"/>
  <c r="CE53" i="1" s="1"/>
  <c r="AD53" i="1"/>
  <c r="CF53" i="1" s="1"/>
  <c r="AE53" i="1"/>
  <c r="CG53" i="1" s="1"/>
  <c r="AF53" i="1"/>
  <c r="AG53" i="1"/>
  <c r="CI53" i="1" s="1"/>
  <c r="V54" i="1"/>
  <c r="BX54" i="1" s="1"/>
  <c r="W54" i="1"/>
  <c r="BY54" i="1" s="1"/>
  <c r="X54" i="1"/>
  <c r="BZ54" i="1" s="1"/>
  <c r="Y54" i="1"/>
  <c r="CA54" i="1" s="1"/>
  <c r="Z54" i="1"/>
  <c r="AA54" i="1"/>
  <c r="CC54" i="1" s="1"/>
  <c r="AB54" i="1"/>
  <c r="CD54" i="1" s="1"/>
  <c r="AC54" i="1"/>
  <c r="CE54" i="1" s="1"/>
  <c r="AD54" i="1"/>
  <c r="CF54" i="1" s="1"/>
  <c r="AE54" i="1"/>
  <c r="CG54" i="1" s="1"/>
  <c r="AF54" i="1"/>
  <c r="AG54" i="1"/>
  <c r="CI54" i="1" s="1"/>
  <c r="V55" i="1"/>
  <c r="BX55" i="1" s="1"/>
  <c r="W55" i="1"/>
  <c r="BY55" i="1" s="1"/>
  <c r="X55" i="1"/>
  <c r="BZ55" i="1" s="1"/>
  <c r="Y55" i="1"/>
  <c r="CA55" i="1" s="1"/>
  <c r="Z55" i="1"/>
  <c r="AA55" i="1"/>
  <c r="CC55" i="1" s="1"/>
  <c r="AB55" i="1"/>
  <c r="CD55" i="1" s="1"/>
  <c r="AC55" i="1"/>
  <c r="CE55" i="1" s="1"/>
  <c r="AD55" i="1"/>
  <c r="CF55" i="1" s="1"/>
  <c r="AE55" i="1"/>
  <c r="CG55" i="1" s="1"/>
  <c r="AF55" i="1"/>
  <c r="AG55" i="1"/>
  <c r="CI55" i="1" s="1"/>
  <c r="V56" i="1"/>
  <c r="BX56" i="1" s="1"/>
  <c r="W56" i="1"/>
  <c r="BY56" i="1" s="1"/>
  <c r="X56" i="1"/>
  <c r="BZ56" i="1" s="1"/>
  <c r="Y56" i="1"/>
  <c r="CA56" i="1" s="1"/>
  <c r="Z56" i="1"/>
  <c r="AA56" i="1"/>
  <c r="CC56" i="1" s="1"/>
  <c r="AB56" i="1"/>
  <c r="CD56" i="1" s="1"/>
  <c r="AC56" i="1"/>
  <c r="CE56" i="1" s="1"/>
  <c r="AD56" i="1"/>
  <c r="CF56" i="1" s="1"/>
  <c r="AE56" i="1"/>
  <c r="CG56" i="1" s="1"/>
  <c r="AF56" i="1"/>
  <c r="AG56" i="1"/>
  <c r="CI56" i="1" s="1"/>
  <c r="V57" i="1"/>
  <c r="BX57" i="1" s="1"/>
  <c r="W57" i="1"/>
  <c r="BY57" i="1" s="1"/>
  <c r="X57" i="1"/>
  <c r="BZ57" i="1" s="1"/>
  <c r="Y57" i="1"/>
  <c r="CA57" i="1" s="1"/>
  <c r="Z57" i="1"/>
  <c r="AA57" i="1"/>
  <c r="CC57" i="1" s="1"/>
  <c r="AB57" i="1"/>
  <c r="CD57" i="1" s="1"/>
  <c r="AC57" i="1"/>
  <c r="CE57" i="1" s="1"/>
  <c r="AD57" i="1"/>
  <c r="CF57" i="1" s="1"/>
  <c r="AE57" i="1"/>
  <c r="CG57" i="1" s="1"/>
  <c r="AF57" i="1"/>
  <c r="AG57" i="1"/>
  <c r="CI57" i="1" s="1"/>
  <c r="V58" i="1"/>
  <c r="BX58" i="1" s="1"/>
  <c r="W58" i="1"/>
  <c r="BY58" i="1" s="1"/>
  <c r="X58" i="1"/>
  <c r="BZ58" i="1" s="1"/>
  <c r="Y58" i="1"/>
  <c r="CA58" i="1" s="1"/>
  <c r="Z58" i="1"/>
  <c r="AA58" i="1"/>
  <c r="CC58" i="1" s="1"/>
  <c r="AB58" i="1"/>
  <c r="CD58" i="1" s="1"/>
  <c r="AC58" i="1"/>
  <c r="CE58" i="1" s="1"/>
  <c r="AD58" i="1"/>
  <c r="CF58" i="1" s="1"/>
  <c r="AE58" i="1"/>
  <c r="CG58" i="1" s="1"/>
  <c r="AF58" i="1"/>
  <c r="AG58" i="1"/>
  <c r="CI58" i="1" s="1"/>
  <c r="V59" i="1"/>
  <c r="BX59" i="1" s="1"/>
  <c r="W59" i="1"/>
  <c r="BY59" i="1" s="1"/>
  <c r="X59" i="1"/>
  <c r="BZ59" i="1" s="1"/>
  <c r="Y59" i="1"/>
  <c r="CA59" i="1" s="1"/>
  <c r="Z59" i="1"/>
  <c r="AA59" i="1"/>
  <c r="CC59" i="1" s="1"/>
  <c r="AB59" i="1"/>
  <c r="CD59" i="1" s="1"/>
  <c r="AC59" i="1"/>
  <c r="CE59" i="1" s="1"/>
  <c r="AD59" i="1"/>
  <c r="CF59" i="1" s="1"/>
  <c r="AE59" i="1"/>
  <c r="CG59" i="1" s="1"/>
  <c r="AF59" i="1"/>
  <c r="AG59" i="1"/>
  <c r="CI59" i="1" s="1"/>
  <c r="V60" i="1"/>
  <c r="BX60" i="1" s="1"/>
  <c r="W60" i="1"/>
  <c r="BY60" i="1" s="1"/>
  <c r="X60" i="1"/>
  <c r="BZ60" i="1" s="1"/>
  <c r="Y60" i="1"/>
  <c r="CA60" i="1" s="1"/>
  <c r="Z60" i="1"/>
  <c r="AA60" i="1"/>
  <c r="CC60" i="1" s="1"/>
  <c r="AB60" i="1"/>
  <c r="CD60" i="1" s="1"/>
  <c r="AC60" i="1"/>
  <c r="CE60" i="1" s="1"/>
  <c r="AD60" i="1"/>
  <c r="CF60" i="1" s="1"/>
  <c r="AE60" i="1"/>
  <c r="CG60" i="1" s="1"/>
  <c r="AF60" i="1"/>
  <c r="AG60" i="1"/>
  <c r="CI60" i="1" s="1"/>
  <c r="V61" i="1"/>
  <c r="BX61" i="1" s="1"/>
  <c r="W61" i="1"/>
  <c r="BY61" i="1" s="1"/>
  <c r="X61" i="1"/>
  <c r="BZ61" i="1" s="1"/>
  <c r="Y61" i="1"/>
  <c r="CA61" i="1" s="1"/>
  <c r="Z61" i="1"/>
  <c r="AA61" i="1"/>
  <c r="CC61" i="1" s="1"/>
  <c r="AB61" i="1"/>
  <c r="CD61" i="1" s="1"/>
  <c r="AC61" i="1"/>
  <c r="CE61" i="1" s="1"/>
  <c r="AD61" i="1"/>
  <c r="CF61" i="1" s="1"/>
  <c r="AE61" i="1"/>
  <c r="CG61" i="1" s="1"/>
  <c r="AF61" i="1"/>
  <c r="AG61" i="1"/>
  <c r="CI61" i="1" s="1"/>
  <c r="V62" i="1"/>
  <c r="BX62" i="1" s="1"/>
  <c r="W62" i="1"/>
  <c r="BY62" i="1" s="1"/>
  <c r="X62" i="1"/>
  <c r="BZ62" i="1" s="1"/>
  <c r="Y62" i="1"/>
  <c r="CA62" i="1" s="1"/>
  <c r="Z62" i="1"/>
  <c r="AA62" i="1"/>
  <c r="CC62" i="1" s="1"/>
  <c r="AB62" i="1"/>
  <c r="CD62" i="1" s="1"/>
  <c r="AC62" i="1"/>
  <c r="CE62" i="1" s="1"/>
  <c r="AD62" i="1"/>
  <c r="CF62" i="1" s="1"/>
  <c r="AE62" i="1"/>
  <c r="CG62" i="1" s="1"/>
  <c r="AF62" i="1"/>
  <c r="AG62" i="1"/>
  <c r="CI62" i="1" s="1"/>
  <c r="V63" i="1"/>
  <c r="BX63" i="1" s="1"/>
  <c r="W63" i="1"/>
  <c r="BY63" i="1" s="1"/>
  <c r="X63" i="1"/>
  <c r="BZ63" i="1" s="1"/>
  <c r="Y63" i="1"/>
  <c r="CA63" i="1" s="1"/>
  <c r="Z63" i="1"/>
  <c r="AA63" i="1"/>
  <c r="CC63" i="1" s="1"/>
  <c r="AB63" i="1"/>
  <c r="CD63" i="1" s="1"/>
  <c r="AC63" i="1"/>
  <c r="CE63" i="1" s="1"/>
  <c r="AD63" i="1"/>
  <c r="CF63" i="1" s="1"/>
  <c r="AE63" i="1"/>
  <c r="CG63" i="1" s="1"/>
  <c r="AF63" i="1"/>
  <c r="AG63" i="1"/>
  <c r="CI63" i="1" s="1"/>
  <c r="V64" i="1"/>
  <c r="BX64" i="1" s="1"/>
  <c r="W64" i="1"/>
  <c r="BY64" i="1" s="1"/>
  <c r="X64" i="1"/>
  <c r="BZ64" i="1" s="1"/>
  <c r="Y64" i="1"/>
  <c r="CA64" i="1" s="1"/>
  <c r="Z64" i="1"/>
  <c r="CB64" i="1" s="1"/>
  <c r="AA64" i="1"/>
  <c r="CC64" i="1" s="1"/>
  <c r="AB64" i="1"/>
  <c r="CD64" i="1" s="1"/>
  <c r="AC64" i="1"/>
  <c r="CE64" i="1" s="1"/>
  <c r="AD64" i="1"/>
  <c r="CF64" i="1" s="1"/>
  <c r="AE64" i="1"/>
  <c r="CG64" i="1" s="1"/>
  <c r="AF64" i="1"/>
  <c r="AG64" i="1"/>
  <c r="CI64" i="1" s="1"/>
  <c r="V65" i="1"/>
  <c r="BX65" i="1" s="1"/>
  <c r="W65" i="1"/>
  <c r="BY65" i="1" s="1"/>
  <c r="X65" i="1"/>
  <c r="BZ65" i="1" s="1"/>
  <c r="Y65" i="1"/>
  <c r="CA65" i="1" s="1"/>
  <c r="Z65" i="1"/>
  <c r="AA65" i="1"/>
  <c r="CC65" i="1" s="1"/>
  <c r="AB65" i="1"/>
  <c r="CD65" i="1" s="1"/>
  <c r="AC65" i="1"/>
  <c r="CE65" i="1" s="1"/>
  <c r="AD65" i="1"/>
  <c r="CF65" i="1" s="1"/>
  <c r="AE65" i="1"/>
  <c r="CG65" i="1" s="1"/>
  <c r="AF65" i="1"/>
  <c r="AG65" i="1"/>
  <c r="CI65" i="1" s="1"/>
  <c r="V66" i="1"/>
  <c r="BX66" i="1" s="1"/>
  <c r="W66" i="1"/>
  <c r="BY66" i="1" s="1"/>
  <c r="X66" i="1"/>
  <c r="BZ66" i="1" s="1"/>
  <c r="Y66" i="1"/>
  <c r="CA66" i="1" s="1"/>
  <c r="Z66" i="1"/>
  <c r="AA66" i="1"/>
  <c r="CC66" i="1" s="1"/>
  <c r="AB66" i="1"/>
  <c r="CD66" i="1" s="1"/>
  <c r="AC66" i="1"/>
  <c r="CE66" i="1" s="1"/>
  <c r="AD66" i="1"/>
  <c r="CF66" i="1" s="1"/>
  <c r="AE66" i="1"/>
  <c r="CG66" i="1" s="1"/>
  <c r="AF66" i="1"/>
  <c r="AG66" i="1"/>
  <c r="CI66" i="1" s="1"/>
  <c r="V67" i="1"/>
  <c r="BX67" i="1" s="1"/>
  <c r="W67" i="1"/>
  <c r="BY67" i="1" s="1"/>
  <c r="X67" i="1"/>
  <c r="BZ67" i="1" s="1"/>
  <c r="Y67" i="1"/>
  <c r="CA67" i="1" s="1"/>
  <c r="Z67" i="1"/>
  <c r="AA67" i="1"/>
  <c r="CC67" i="1" s="1"/>
  <c r="AB67" i="1"/>
  <c r="CD67" i="1" s="1"/>
  <c r="AC67" i="1"/>
  <c r="CE67" i="1" s="1"/>
  <c r="AD67" i="1"/>
  <c r="CF67" i="1" s="1"/>
  <c r="AE67" i="1"/>
  <c r="CG67" i="1" s="1"/>
  <c r="AF67" i="1"/>
  <c r="AG67" i="1"/>
  <c r="CI67" i="1" s="1"/>
  <c r="V68" i="1"/>
  <c r="BX68" i="1" s="1"/>
  <c r="W68" i="1"/>
  <c r="BY68" i="1" s="1"/>
  <c r="X68" i="1"/>
  <c r="BZ68" i="1" s="1"/>
  <c r="Y68" i="1"/>
  <c r="CA68" i="1" s="1"/>
  <c r="Z68" i="1"/>
  <c r="AA68" i="1"/>
  <c r="CC68" i="1" s="1"/>
  <c r="AB68" i="1"/>
  <c r="CD68" i="1" s="1"/>
  <c r="AC68" i="1"/>
  <c r="CE68" i="1" s="1"/>
  <c r="AD68" i="1"/>
  <c r="CF68" i="1" s="1"/>
  <c r="AE68" i="1"/>
  <c r="CG68" i="1" s="1"/>
  <c r="AF68" i="1"/>
  <c r="AG68" i="1"/>
  <c r="CI68" i="1" s="1"/>
  <c r="V69" i="1"/>
  <c r="BX69" i="1" s="1"/>
  <c r="W69" i="1"/>
  <c r="BY69" i="1" s="1"/>
  <c r="X69" i="1"/>
  <c r="BZ69" i="1" s="1"/>
  <c r="Y69" i="1"/>
  <c r="CA69" i="1" s="1"/>
  <c r="Z69" i="1"/>
  <c r="AA69" i="1"/>
  <c r="CC69" i="1" s="1"/>
  <c r="AB69" i="1"/>
  <c r="CD69" i="1" s="1"/>
  <c r="AC69" i="1"/>
  <c r="CE69" i="1" s="1"/>
  <c r="AD69" i="1"/>
  <c r="CF69" i="1" s="1"/>
  <c r="AE69" i="1"/>
  <c r="CG69" i="1" s="1"/>
  <c r="AF69" i="1"/>
  <c r="AG69" i="1"/>
  <c r="CI69" i="1" s="1"/>
  <c r="V70" i="1"/>
  <c r="BX70" i="1" s="1"/>
  <c r="W70" i="1"/>
  <c r="BY70" i="1" s="1"/>
  <c r="X70" i="1"/>
  <c r="BZ70" i="1" s="1"/>
  <c r="Y70" i="1"/>
  <c r="CA70" i="1" s="1"/>
  <c r="Z70" i="1"/>
  <c r="AA70" i="1"/>
  <c r="CC70" i="1" s="1"/>
  <c r="AB70" i="1"/>
  <c r="CD70" i="1" s="1"/>
  <c r="AC70" i="1"/>
  <c r="CE70" i="1" s="1"/>
  <c r="AD70" i="1"/>
  <c r="CF70" i="1" s="1"/>
  <c r="AE70" i="1"/>
  <c r="CG70" i="1" s="1"/>
  <c r="AF70" i="1"/>
  <c r="AG70" i="1"/>
  <c r="CI70" i="1" s="1"/>
  <c r="V71" i="1"/>
  <c r="BX71" i="1" s="1"/>
  <c r="W71" i="1"/>
  <c r="BY71" i="1" s="1"/>
  <c r="X71" i="1"/>
  <c r="BZ71" i="1" s="1"/>
  <c r="Y71" i="1"/>
  <c r="CA71" i="1" s="1"/>
  <c r="Z71" i="1"/>
  <c r="AA71" i="1"/>
  <c r="CC71" i="1" s="1"/>
  <c r="AB71" i="1"/>
  <c r="CD71" i="1" s="1"/>
  <c r="AC71" i="1"/>
  <c r="CE71" i="1" s="1"/>
  <c r="AD71" i="1"/>
  <c r="CF71" i="1" s="1"/>
  <c r="AE71" i="1"/>
  <c r="CG71" i="1" s="1"/>
  <c r="AF71" i="1"/>
  <c r="AG71" i="1"/>
  <c r="CI71" i="1" s="1"/>
  <c r="V72" i="1"/>
  <c r="BX72" i="1" s="1"/>
  <c r="W72" i="1"/>
  <c r="BY72" i="1" s="1"/>
  <c r="X72" i="1"/>
  <c r="BZ72" i="1" s="1"/>
  <c r="Y72" i="1"/>
  <c r="CA72" i="1" s="1"/>
  <c r="Z72" i="1"/>
  <c r="AA72" i="1"/>
  <c r="CC72" i="1" s="1"/>
  <c r="AB72" i="1"/>
  <c r="CD72" i="1" s="1"/>
  <c r="AC72" i="1"/>
  <c r="CE72" i="1" s="1"/>
  <c r="AD72" i="1"/>
  <c r="CF72" i="1" s="1"/>
  <c r="AE72" i="1"/>
  <c r="CG72" i="1" s="1"/>
  <c r="AF72" i="1"/>
  <c r="AG72" i="1"/>
  <c r="CI72" i="1" s="1"/>
  <c r="V73" i="1"/>
  <c r="BX73" i="1" s="1"/>
  <c r="W73" i="1"/>
  <c r="BY73" i="1" s="1"/>
  <c r="X73" i="1"/>
  <c r="BZ73" i="1" s="1"/>
  <c r="Y73" i="1"/>
  <c r="CA73" i="1" s="1"/>
  <c r="Z73" i="1"/>
  <c r="AA73" i="1"/>
  <c r="CC73" i="1" s="1"/>
  <c r="AB73" i="1"/>
  <c r="CD73" i="1" s="1"/>
  <c r="AC73" i="1"/>
  <c r="CE73" i="1" s="1"/>
  <c r="AD73" i="1"/>
  <c r="CF73" i="1" s="1"/>
  <c r="AE73" i="1"/>
  <c r="CG73" i="1" s="1"/>
  <c r="AF73" i="1"/>
  <c r="AG73" i="1"/>
  <c r="CI73" i="1" s="1"/>
  <c r="V74" i="1"/>
  <c r="BX74" i="1" s="1"/>
  <c r="W74" i="1"/>
  <c r="BY74" i="1" s="1"/>
  <c r="X74" i="1"/>
  <c r="BZ74" i="1" s="1"/>
  <c r="Y74" i="1"/>
  <c r="CA74" i="1" s="1"/>
  <c r="Z74" i="1"/>
  <c r="AA74" i="1"/>
  <c r="CC74" i="1" s="1"/>
  <c r="AB74" i="1"/>
  <c r="CD74" i="1" s="1"/>
  <c r="AC74" i="1"/>
  <c r="CE74" i="1" s="1"/>
  <c r="AD74" i="1"/>
  <c r="CF74" i="1" s="1"/>
  <c r="AE74" i="1"/>
  <c r="CG74" i="1" s="1"/>
  <c r="AF74" i="1"/>
  <c r="AG74" i="1"/>
  <c r="CI74" i="1" s="1"/>
  <c r="V75" i="1"/>
  <c r="BX75" i="1" s="1"/>
  <c r="W75" i="1"/>
  <c r="BY75" i="1" s="1"/>
  <c r="X75" i="1"/>
  <c r="BZ75" i="1" s="1"/>
  <c r="Y75" i="1"/>
  <c r="CA75" i="1" s="1"/>
  <c r="Z75" i="1"/>
  <c r="AA75" i="1"/>
  <c r="CC75" i="1" s="1"/>
  <c r="AB75" i="1"/>
  <c r="CD75" i="1" s="1"/>
  <c r="AC75" i="1"/>
  <c r="CE75" i="1" s="1"/>
  <c r="AD75" i="1"/>
  <c r="CF75" i="1" s="1"/>
  <c r="AE75" i="1"/>
  <c r="CG75" i="1" s="1"/>
  <c r="AF75" i="1"/>
  <c r="AG75" i="1"/>
  <c r="CI75" i="1" s="1"/>
  <c r="V76" i="1"/>
  <c r="BX76" i="1" s="1"/>
  <c r="W76" i="1"/>
  <c r="BY76" i="1" s="1"/>
  <c r="X76" i="1"/>
  <c r="BZ76" i="1" s="1"/>
  <c r="Y76" i="1"/>
  <c r="CA76" i="1" s="1"/>
  <c r="Z76" i="1"/>
  <c r="AA76" i="1"/>
  <c r="CC76" i="1" s="1"/>
  <c r="AB76" i="1"/>
  <c r="CD76" i="1" s="1"/>
  <c r="AC76" i="1"/>
  <c r="CE76" i="1" s="1"/>
  <c r="AD76" i="1"/>
  <c r="CF76" i="1" s="1"/>
  <c r="AE76" i="1"/>
  <c r="CG76" i="1" s="1"/>
  <c r="AF76" i="1"/>
  <c r="AG76" i="1"/>
  <c r="CI76" i="1" s="1"/>
  <c r="V77" i="1"/>
  <c r="BX77" i="1" s="1"/>
  <c r="W77" i="1"/>
  <c r="BY77" i="1" s="1"/>
  <c r="X77" i="1"/>
  <c r="BZ77" i="1" s="1"/>
  <c r="Y77" i="1"/>
  <c r="CA77" i="1" s="1"/>
  <c r="Z77" i="1"/>
  <c r="AA77" i="1"/>
  <c r="CC77" i="1" s="1"/>
  <c r="AB77" i="1"/>
  <c r="CD77" i="1" s="1"/>
  <c r="AC77" i="1"/>
  <c r="CE77" i="1" s="1"/>
  <c r="AD77" i="1"/>
  <c r="CF77" i="1" s="1"/>
  <c r="AE77" i="1"/>
  <c r="CG77" i="1" s="1"/>
  <c r="AF77" i="1"/>
  <c r="AG77" i="1"/>
  <c r="CI77" i="1" s="1"/>
  <c r="V78" i="1"/>
  <c r="BX78" i="1" s="1"/>
  <c r="W78" i="1"/>
  <c r="BY78" i="1" s="1"/>
  <c r="X78" i="1"/>
  <c r="BZ78" i="1" s="1"/>
  <c r="Y78" i="1"/>
  <c r="CA78" i="1" s="1"/>
  <c r="Z78" i="1"/>
  <c r="AA78" i="1"/>
  <c r="CC78" i="1" s="1"/>
  <c r="AB78" i="1"/>
  <c r="CD78" i="1" s="1"/>
  <c r="AC78" i="1"/>
  <c r="CE78" i="1" s="1"/>
  <c r="AD78" i="1"/>
  <c r="CF78" i="1" s="1"/>
  <c r="AE78" i="1"/>
  <c r="CG78" i="1" s="1"/>
  <c r="AF78" i="1"/>
  <c r="AG78" i="1"/>
  <c r="CI78" i="1" s="1"/>
  <c r="V79" i="1"/>
  <c r="BX79" i="1" s="1"/>
  <c r="W79" i="1"/>
  <c r="BY79" i="1" s="1"/>
  <c r="X79" i="1"/>
  <c r="BZ79" i="1" s="1"/>
  <c r="Y79" i="1"/>
  <c r="CA79" i="1" s="1"/>
  <c r="Z79" i="1"/>
  <c r="AA79" i="1"/>
  <c r="CC79" i="1" s="1"/>
  <c r="AB79" i="1"/>
  <c r="CD79" i="1" s="1"/>
  <c r="AC79" i="1"/>
  <c r="CE79" i="1" s="1"/>
  <c r="AD79" i="1"/>
  <c r="CF79" i="1" s="1"/>
  <c r="AE79" i="1"/>
  <c r="CG79" i="1" s="1"/>
  <c r="AF79" i="1"/>
  <c r="AG79" i="1"/>
  <c r="CI79" i="1" s="1"/>
  <c r="V80" i="1"/>
  <c r="BX80" i="1" s="1"/>
  <c r="W80" i="1"/>
  <c r="BY80" i="1" s="1"/>
  <c r="X80" i="1"/>
  <c r="BZ80" i="1" s="1"/>
  <c r="Y80" i="1"/>
  <c r="CA80" i="1" s="1"/>
  <c r="Z80" i="1"/>
  <c r="AA80" i="1"/>
  <c r="CC80" i="1" s="1"/>
  <c r="AB80" i="1"/>
  <c r="CD80" i="1" s="1"/>
  <c r="AC80" i="1"/>
  <c r="CE80" i="1" s="1"/>
  <c r="AD80" i="1"/>
  <c r="CF80" i="1" s="1"/>
  <c r="AE80" i="1"/>
  <c r="CG80" i="1" s="1"/>
  <c r="AF80" i="1"/>
  <c r="AG80" i="1"/>
  <c r="CI80" i="1" s="1"/>
  <c r="V81" i="1"/>
  <c r="BX81" i="1" s="1"/>
  <c r="W81" i="1"/>
  <c r="BY81" i="1" s="1"/>
  <c r="X81" i="1"/>
  <c r="BZ81" i="1" s="1"/>
  <c r="Y81" i="1"/>
  <c r="CA81" i="1" s="1"/>
  <c r="Z81" i="1"/>
  <c r="AA81" i="1"/>
  <c r="CC81" i="1" s="1"/>
  <c r="AB81" i="1"/>
  <c r="CD81" i="1" s="1"/>
  <c r="AC81" i="1"/>
  <c r="CE81" i="1" s="1"/>
  <c r="AD81" i="1"/>
  <c r="CF81" i="1" s="1"/>
  <c r="AE81" i="1"/>
  <c r="CG81" i="1" s="1"/>
  <c r="AF81" i="1"/>
  <c r="AG81" i="1"/>
  <c r="CI81" i="1" s="1"/>
  <c r="V82" i="1"/>
  <c r="BX82" i="1" s="1"/>
  <c r="W82" i="1"/>
  <c r="BY82" i="1" s="1"/>
  <c r="X82" i="1"/>
  <c r="BZ82" i="1" s="1"/>
  <c r="Y82" i="1"/>
  <c r="CA82" i="1" s="1"/>
  <c r="Z82" i="1"/>
  <c r="AA82" i="1"/>
  <c r="CC82" i="1" s="1"/>
  <c r="AB82" i="1"/>
  <c r="CD82" i="1" s="1"/>
  <c r="AC82" i="1"/>
  <c r="CE82" i="1" s="1"/>
  <c r="AD82" i="1"/>
  <c r="CF82" i="1" s="1"/>
  <c r="AE82" i="1"/>
  <c r="CG82" i="1" s="1"/>
  <c r="AF82" i="1"/>
  <c r="AG82" i="1"/>
  <c r="CI82" i="1" s="1"/>
  <c r="V83" i="1"/>
  <c r="BX83" i="1" s="1"/>
  <c r="W83" i="1"/>
  <c r="BY83" i="1" s="1"/>
  <c r="X83" i="1"/>
  <c r="BZ83" i="1" s="1"/>
  <c r="Y83" i="1"/>
  <c r="CA83" i="1" s="1"/>
  <c r="Z83" i="1"/>
  <c r="AA83" i="1"/>
  <c r="CC83" i="1" s="1"/>
  <c r="AB83" i="1"/>
  <c r="CD83" i="1" s="1"/>
  <c r="AC83" i="1"/>
  <c r="CE83" i="1" s="1"/>
  <c r="AD83" i="1"/>
  <c r="CF83" i="1" s="1"/>
  <c r="AE83" i="1"/>
  <c r="CG83" i="1" s="1"/>
  <c r="AF83" i="1"/>
  <c r="AG83" i="1"/>
  <c r="CI83" i="1" s="1"/>
  <c r="V84" i="1"/>
  <c r="BX84" i="1" s="1"/>
  <c r="W84" i="1"/>
  <c r="BY84" i="1" s="1"/>
  <c r="X84" i="1"/>
  <c r="BZ84" i="1" s="1"/>
  <c r="Y84" i="1"/>
  <c r="CA84" i="1" s="1"/>
  <c r="Z84" i="1"/>
  <c r="AA84" i="1"/>
  <c r="CC84" i="1" s="1"/>
  <c r="AB84" i="1"/>
  <c r="CD84" i="1" s="1"/>
  <c r="AC84" i="1"/>
  <c r="CE84" i="1" s="1"/>
  <c r="AD84" i="1"/>
  <c r="CF84" i="1" s="1"/>
  <c r="AE84" i="1"/>
  <c r="CG84" i="1" s="1"/>
  <c r="AF84" i="1"/>
  <c r="AG84" i="1"/>
  <c r="CI84" i="1" s="1"/>
  <c r="V85" i="1"/>
  <c r="BX85" i="1" s="1"/>
  <c r="W85" i="1"/>
  <c r="BY85" i="1" s="1"/>
  <c r="X85" i="1"/>
  <c r="BZ85" i="1" s="1"/>
  <c r="Y85" i="1"/>
  <c r="CA85" i="1" s="1"/>
  <c r="Z85" i="1"/>
  <c r="AA85" i="1"/>
  <c r="CC85" i="1" s="1"/>
  <c r="AB85" i="1"/>
  <c r="CD85" i="1" s="1"/>
  <c r="AC85" i="1"/>
  <c r="CE85" i="1" s="1"/>
  <c r="AD85" i="1"/>
  <c r="CF85" i="1" s="1"/>
  <c r="AE85" i="1"/>
  <c r="CG85" i="1" s="1"/>
  <c r="AF85" i="1"/>
  <c r="AG85" i="1"/>
  <c r="CI85" i="1" s="1"/>
  <c r="V86" i="1"/>
  <c r="BX86" i="1" s="1"/>
  <c r="W86" i="1"/>
  <c r="BY86" i="1" s="1"/>
  <c r="X86" i="1"/>
  <c r="BZ86" i="1" s="1"/>
  <c r="Y86" i="1"/>
  <c r="CA86" i="1" s="1"/>
  <c r="Z86" i="1"/>
  <c r="AA86" i="1"/>
  <c r="CC86" i="1" s="1"/>
  <c r="AB86" i="1"/>
  <c r="CD86" i="1" s="1"/>
  <c r="AC86" i="1"/>
  <c r="CE86" i="1" s="1"/>
  <c r="AD86" i="1"/>
  <c r="CF86" i="1" s="1"/>
  <c r="AE86" i="1"/>
  <c r="CG86" i="1" s="1"/>
  <c r="AF86" i="1"/>
  <c r="AG86" i="1"/>
  <c r="CI86" i="1" s="1"/>
  <c r="V87" i="1"/>
  <c r="BX87" i="1" s="1"/>
  <c r="W87" i="1"/>
  <c r="BY87" i="1" s="1"/>
  <c r="X87" i="1"/>
  <c r="BZ87" i="1" s="1"/>
  <c r="Y87" i="1"/>
  <c r="CA87" i="1" s="1"/>
  <c r="Z87" i="1"/>
  <c r="AA87" i="1"/>
  <c r="CC87" i="1" s="1"/>
  <c r="AB87" i="1"/>
  <c r="CD87" i="1" s="1"/>
  <c r="AC87" i="1"/>
  <c r="CE87" i="1" s="1"/>
  <c r="AD87" i="1"/>
  <c r="CF87" i="1" s="1"/>
  <c r="AE87" i="1"/>
  <c r="CG87" i="1" s="1"/>
  <c r="AF87" i="1"/>
  <c r="AG87" i="1"/>
  <c r="CI87" i="1" s="1"/>
  <c r="V88" i="1"/>
  <c r="BX88" i="1" s="1"/>
  <c r="W88" i="1"/>
  <c r="BY88" i="1" s="1"/>
  <c r="X88" i="1"/>
  <c r="BZ88" i="1" s="1"/>
  <c r="Y88" i="1"/>
  <c r="CA88" i="1" s="1"/>
  <c r="Z88" i="1"/>
  <c r="AA88" i="1"/>
  <c r="CC88" i="1" s="1"/>
  <c r="AB88" i="1"/>
  <c r="CD88" i="1" s="1"/>
  <c r="AC88" i="1"/>
  <c r="CE88" i="1" s="1"/>
  <c r="AD88" i="1"/>
  <c r="CF88" i="1" s="1"/>
  <c r="AE88" i="1"/>
  <c r="CG88" i="1" s="1"/>
  <c r="AF88" i="1"/>
  <c r="AG88" i="1"/>
  <c r="CI88" i="1" s="1"/>
  <c r="V89" i="1"/>
  <c r="BX89" i="1" s="1"/>
  <c r="W89" i="1"/>
  <c r="BY89" i="1" s="1"/>
  <c r="X89" i="1"/>
  <c r="BZ89" i="1" s="1"/>
  <c r="Y89" i="1"/>
  <c r="CA89" i="1" s="1"/>
  <c r="Z89" i="1"/>
  <c r="AA89" i="1"/>
  <c r="CC89" i="1" s="1"/>
  <c r="AB89" i="1"/>
  <c r="CD89" i="1" s="1"/>
  <c r="AC89" i="1"/>
  <c r="CE89" i="1" s="1"/>
  <c r="AD89" i="1"/>
  <c r="CF89" i="1" s="1"/>
  <c r="AE89" i="1"/>
  <c r="CG89" i="1" s="1"/>
  <c r="AF89" i="1"/>
  <c r="AG89" i="1"/>
  <c r="CI89" i="1" s="1"/>
  <c r="V90" i="1"/>
  <c r="BX90" i="1" s="1"/>
  <c r="W90" i="1"/>
  <c r="BY90" i="1" s="1"/>
  <c r="X90" i="1"/>
  <c r="BZ90" i="1" s="1"/>
  <c r="Y90" i="1"/>
  <c r="CA90" i="1" s="1"/>
  <c r="Z90" i="1"/>
  <c r="AA90" i="1"/>
  <c r="CC90" i="1" s="1"/>
  <c r="AB90" i="1"/>
  <c r="CD90" i="1" s="1"/>
  <c r="AC90" i="1"/>
  <c r="CE90" i="1" s="1"/>
  <c r="AD90" i="1"/>
  <c r="CF90" i="1" s="1"/>
  <c r="AE90" i="1"/>
  <c r="CG90" i="1" s="1"/>
  <c r="AF90" i="1"/>
  <c r="AG90" i="1"/>
  <c r="CI90" i="1" s="1"/>
  <c r="V91" i="1"/>
  <c r="BX91" i="1" s="1"/>
  <c r="W91" i="1"/>
  <c r="BY91" i="1" s="1"/>
  <c r="X91" i="1"/>
  <c r="BZ91" i="1" s="1"/>
  <c r="Y91" i="1"/>
  <c r="CA91" i="1" s="1"/>
  <c r="Z91" i="1"/>
  <c r="CB91" i="1" s="1"/>
  <c r="AA91" i="1"/>
  <c r="CC91" i="1" s="1"/>
  <c r="AB91" i="1"/>
  <c r="CD91" i="1" s="1"/>
  <c r="AC91" i="1"/>
  <c r="CE91" i="1" s="1"/>
  <c r="AD91" i="1"/>
  <c r="CF91" i="1" s="1"/>
  <c r="AE91" i="1"/>
  <c r="CG91" i="1" s="1"/>
  <c r="AF91" i="1"/>
  <c r="AG91" i="1"/>
  <c r="CI91" i="1" s="1"/>
  <c r="V92" i="1"/>
  <c r="BX92" i="1" s="1"/>
  <c r="W92" i="1"/>
  <c r="BY92" i="1" s="1"/>
  <c r="X92" i="1"/>
  <c r="BZ92" i="1" s="1"/>
  <c r="Y92" i="1"/>
  <c r="CA92" i="1" s="1"/>
  <c r="Z92" i="1"/>
  <c r="AA92" i="1"/>
  <c r="CC92" i="1" s="1"/>
  <c r="AB92" i="1"/>
  <c r="CD92" i="1" s="1"/>
  <c r="AC92" i="1"/>
  <c r="CE92" i="1" s="1"/>
  <c r="AD92" i="1"/>
  <c r="CF92" i="1" s="1"/>
  <c r="AE92" i="1"/>
  <c r="CG92" i="1" s="1"/>
  <c r="AF92" i="1"/>
  <c r="AG92" i="1"/>
  <c r="CI92" i="1" s="1"/>
  <c r="V93" i="1"/>
  <c r="BX93" i="1" s="1"/>
  <c r="W93" i="1"/>
  <c r="BY93" i="1" s="1"/>
  <c r="X93" i="1"/>
  <c r="BZ93" i="1" s="1"/>
  <c r="Y93" i="1"/>
  <c r="CA93" i="1" s="1"/>
  <c r="Z93" i="1"/>
  <c r="AA93" i="1"/>
  <c r="CC93" i="1" s="1"/>
  <c r="AB93" i="1"/>
  <c r="CD93" i="1" s="1"/>
  <c r="AC93" i="1"/>
  <c r="CE93" i="1" s="1"/>
  <c r="AD93" i="1"/>
  <c r="CF93" i="1" s="1"/>
  <c r="AE93" i="1"/>
  <c r="CG93" i="1" s="1"/>
  <c r="AF93" i="1"/>
  <c r="AG93" i="1"/>
  <c r="CI93" i="1" s="1"/>
  <c r="V94" i="1"/>
  <c r="BX94" i="1" s="1"/>
  <c r="W94" i="1"/>
  <c r="BY94" i="1" s="1"/>
  <c r="X94" i="1"/>
  <c r="BZ94" i="1" s="1"/>
  <c r="Y94" i="1"/>
  <c r="CA94" i="1" s="1"/>
  <c r="Z94" i="1"/>
  <c r="AA94" i="1"/>
  <c r="CC94" i="1" s="1"/>
  <c r="AB94" i="1"/>
  <c r="CD94" i="1" s="1"/>
  <c r="AC94" i="1"/>
  <c r="CE94" i="1" s="1"/>
  <c r="AD94" i="1"/>
  <c r="CF94" i="1" s="1"/>
  <c r="AE94" i="1"/>
  <c r="CG94" i="1" s="1"/>
  <c r="AF94" i="1"/>
  <c r="AG94" i="1"/>
  <c r="CI94" i="1" s="1"/>
  <c r="V95" i="1"/>
  <c r="BX95" i="1" s="1"/>
  <c r="W95" i="1"/>
  <c r="BY95" i="1" s="1"/>
  <c r="X95" i="1"/>
  <c r="BZ95" i="1" s="1"/>
  <c r="Y95" i="1"/>
  <c r="CA95" i="1" s="1"/>
  <c r="Z95" i="1"/>
  <c r="AA95" i="1"/>
  <c r="CC95" i="1" s="1"/>
  <c r="AB95" i="1"/>
  <c r="CD95" i="1" s="1"/>
  <c r="AC95" i="1"/>
  <c r="CE95" i="1" s="1"/>
  <c r="AD95" i="1"/>
  <c r="CF95" i="1" s="1"/>
  <c r="AE95" i="1"/>
  <c r="CG95" i="1" s="1"/>
  <c r="AF95" i="1"/>
  <c r="AG95" i="1"/>
  <c r="CI95" i="1" s="1"/>
  <c r="V96" i="1"/>
  <c r="BX96" i="1" s="1"/>
  <c r="W96" i="1"/>
  <c r="BY96" i="1" s="1"/>
  <c r="X96" i="1"/>
  <c r="BZ96" i="1" s="1"/>
  <c r="Y96" i="1"/>
  <c r="CA96" i="1" s="1"/>
  <c r="Z96" i="1"/>
  <c r="CB96" i="1" s="1"/>
  <c r="AA96" i="1"/>
  <c r="CC96" i="1" s="1"/>
  <c r="AB96" i="1"/>
  <c r="CD96" i="1" s="1"/>
  <c r="AC96" i="1"/>
  <c r="CE96" i="1" s="1"/>
  <c r="AD96" i="1"/>
  <c r="CF96" i="1" s="1"/>
  <c r="AE96" i="1"/>
  <c r="CG96" i="1" s="1"/>
  <c r="AF96" i="1"/>
  <c r="AG96" i="1"/>
  <c r="CI96" i="1" s="1"/>
  <c r="V97" i="1"/>
  <c r="BX97" i="1" s="1"/>
  <c r="W97" i="1"/>
  <c r="BY97" i="1" s="1"/>
  <c r="X97" i="1"/>
  <c r="BZ97" i="1" s="1"/>
  <c r="Y97" i="1"/>
  <c r="CA97" i="1" s="1"/>
  <c r="Z97" i="1"/>
  <c r="AA97" i="1"/>
  <c r="CC97" i="1" s="1"/>
  <c r="AB97" i="1"/>
  <c r="CD97" i="1" s="1"/>
  <c r="AC97" i="1"/>
  <c r="CE97" i="1" s="1"/>
  <c r="AD97" i="1"/>
  <c r="CF97" i="1" s="1"/>
  <c r="AE97" i="1"/>
  <c r="CG97" i="1" s="1"/>
  <c r="AF97" i="1"/>
  <c r="AG97" i="1"/>
  <c r="CI97" i="1" s="1"/>
  <c r="V98" i="1"/>
  <c r="BX98" i="1" s="1"/>
  <c r="W98" i="1"/>
  <c r="BY98" i="1" s="1"/>
  <c r="X98" i="1"/>
  <c r="BZ98" i="1" s="1"/>
  <c r="Y98" i="1"/>
  <c r="CA98" i="1" s="1"/>
  <c r="Z98" i="1"/>
  <c r="AA98" i="1"/>
  <c r="CC98" i="1" s="1"/>
  <c r="AB98" i="1"/>
  <c r="CD98" i="1" s="1"/>
  <c r="AC98" i="1"/>
  <c r="CE98" i="1" s="1"/>
  <c r="AD98" i="1"/>
  <c r="CF98" i="1" s="1"/>
  <c r="AE98" i="1"/>
  <c r="CG98" i="1" s="1"/>
  <c r="AF98" i="1"/>
  <c r="AG98" i="1"/>
  <c r="CI98" i="1" s="1"/>
  <c r="V99" i="1"/>
  <c r="BX99" i="1" s="1"/>
  <c r="W99" i="1"/>
  <c r="BY99" i="1" s="1"/>
  <c r="X99" i="1"/>
  <c r="BZ99" i="1" s="1"/>
  <c r="Y99" i="1"/>
  <c r="CA99" i="1" s="1"/>
  <c r="Z99" i="1"/>
  <c r="AA99" i="1"/>
  <c r="CC99" i="1" s="1"/>
  <c r="AB99" i="1"/>
  <c r="CD99" i="1" s="1"/>
  <c r="AC99" i="1"/>
  <c r="CE99" i="1" s="1"/>
  <c r="AD99" i="1"/>
  <c r="CF99" i="1" s="1"/>
  <c r="AE99" i="1"/>
  <c r="CG99" i="1" s="1"/>
  <c r="AF99" i="1"/>
  <c r="AG99" i="1"/>
  <c r="CI99" i="1" s="1"/>
  <c r="V100" i="1"/>
  <c r="BX100" i="1" s="1"/>
  <c r="W100" i="1"/>
  <c r="BY100" i="1" s="1"/>
  <c r="X100" i="1"/>
  <c r="BZ100" i="1" s="1"/>
  <c r="Y100" i="1"/>
  <c r="CA100" i="1" s="1"/>
  <c r="Z100" i="1"/>
  <c r="AA100" i="1"/>
  <c r="CC100" i="1" s="1"/>
  <c r="AB100" i="1"/>
  <c r="CD100" i="1" s="1"/>
  <c r="AC100" i="1"/>
  <c r="CE100" i="1" s="1"/>
  <c r="AD100" i="1"/>
  <c r="CF100" i="1" s="1"/>
  <c r="AE100" i="1"/>
  <c r="CG100" i="1" s="1"/>
  <c r="AF100" i="1"/>
  <c r="AG100" i="1"/>
  <c r="CI100" i="1" s="1"/>
  <c r="V101" i="1"/>
  <c r="BX101" i="1" s="1"/>
  <c r="W101" i="1"/>
  <c r="BY101" i="1" s="1"/>
  <c r="X101" i="1"/>
  <c r="BZ101" i="1" s="1"/>
  <c r="Y101" i="1"/>
  <c r="CA101" i="1" s="1"/>
  <c r="Z101" i="1"/>
  <c r="AA101" i="1"/>
  <c r="CC101" i="1" s="1"/>
  <c r="AB101" i="1"/>
  <c r="CD101" i="1" s="1"/>
  <c r="AC101" i="1"/>
  <c r="CE101" i="1" s="1"/>
  <c r="AD101" i="1"/>
  <c r="CF101" i="1" s="1"/>
  <c r="AE101" i="1"/>
  <c r="CG101" i="1" s="1"/>
  <c r="AF101" i="1"/>
  <c r="AG101" i="1"/>
  <c r="CI101" i="1" s="1"/>
  <c r="V102" i="1"/>
  <c r="BX102" i="1" s="1"/>
  <c r="W102" i="1"/>
  <c r="BY102" i="1" s="1"/>
  <c r="X102" i="1"/>
  <c r="BZ102" i="1" s="1"/>
  <c r="Y102" i="1"/>
  <c r="CA102" i="1" s="1"/>
  <c r="Z102" i="1"/>
  <c r="AA102" i="1"/>
  <c r="CC102" i="1" s="1"/>
  <c r="AB102" i="1"/>
  <c r="CD102" i="1" s="1"/>
  <c r="AC102" i="1"/>
  <c r="CE102" i="1" s="1"/>
  <c r="AD102" i="1"/>
  <c r="CF102" i="1" s="1"/>
  <c r="AE102" i="1"/>
  <c r="CG102" i="1" s="1"/>
  <c r="AF102" i="1"/>
  <c r="AG102" i="1"/>
  <c r="CI102" i="1" s="1"/>
  <c r="V103" i="1"/>
  <c r="BX103" i="1" s="1"/>
  <c r="W103" i="1"/>
  <c r="BY103" i="1" s="1"/>
  <c r="X103" i="1"/>
  <c r="BZ103" i="1" s="1"/>
  <c r="Y103" i="1"/>
  <c r="CA103" i="1" s="1"/>
  <c r="Z103" i="1"/>
  <c r="AA103" i="1"/>
  <c r="CC103" i="1" s="1"/>
  <c r="AB103" i="1"/>
  <c r="CD103" i="1" s="1"/>
  <c r="AC103" i="1"/>
  <c r="CE103" i="1" s="1"/>
  <c r="AD103" i="1"/>
  <c r="CF103" i="1" s="1"/>
  <c r="AE103" i="1"/>
  <c r="CG103" i="1" s="1"/>
  <c r="AF103" i="1"/>
  <c r="AG103" i="1"/>
  <c r="CI103" i="1" s="1"/>
  <c r="V104" i="1"/>
  <c r="BX104" i="1" s="1"/>
  <c r="W104" i="1"/>
  <c r="BY104" i="1" s="1"/>
  <c r="X104" i="1"/>
  <c r="BZ104" i="1" s="1"/>
  <c r="Y104" i="1"/>
  <c r="CA104" i="1" s="1"/>
  <c r="Z104" i="1"/>
  <c r="CB104" i="1" s="1"/>
  <c r="AA104" i="1"/>
  <c r="CC104" i="1" s="1"/>
  <c r="AB104" i="1"/>
  <c r="CD104" i="1" s="1"/>
  <c r="AC104" i="1"/>
  <c r="CE104" i="1" s="1"/>
  <c r="AD104" i="1"/>
  <c r="CF104" i="1" s="1"/>
  <c r="AE104" i="1"/>
  <c r="CG104" i="1" s="1"/>
  <c r="AF104" i="1"/>
  <c r="AG104" i="1"/>
  <c r="CI104" i="1" s="1"/>
  <c r="V105" i="1"/>
  <c r="BX105" i="1" s="1"/>
  <c r="W105" i="1"/>
  <c r="BY105" i="1" s="1"/>
  <c r="X105" i="1"/>
  <c r="BZ105" i="1" s="1"/>
  <c r="Y105" i="1"/>
  <c r="CA105" i="1" s="1"/>
  <c r="Z105" i="1"/>
  <c r="AA105" i="1"/>
  <c r="CC105" i="1" s="1"/>
  <c r="AB105" i="1"/>
  <c r="CD105" i="1" s="1"/>
  <c r="AC105" i="1"/>
  <c r="CE105" i="1" s="1"/>
  <c r="AD105" i="1"/>
  <c r="CF105" i="1" s="1"/>
  <c r="AE105" i="1"/>
  <c r="CG105" i="1" s="1"/>
  <c r="AF105" i="1"/>
  <c r="AG105" i="1"/>
  <c r="CI105" i="1" s="1"/>
  <c r="V106" i="1"/>
  <c r="BX106" i="1" s="1"/>
  <c r="W106" i="1"/>
  <c r="BY106" i="1" s="1"/>
  <c r="X106" i="1"/>
  <c r="BZ106" i="1" s="1"/>
  <c r="Y106" i="1"/>
  <c r="CA106" i="1" s="1"/>
  <c r="Z106" i="1"/>
  <c r="AA106" i="1"/>
  <c r="CC106" i="1" s="1"/>
  <c r="AB106" i="1"/>
  <c r="CD106" i="1" s="1"/>
  <c r="AC106" i="1"/>
  <c r="CE106" i="1" s="1"/>
  <c r="AD106" i="1"/>
  <c r="CF106" i="1" s="1"/>
  <c r="AE106" i="1"/>
  <c r="CG106" i="1" s="1"/>
  <c r="AF106" i="1"/>
  <c r="AG106" i="1"/>
  <c r="CI106" i="1" s="1"/>
  <c r="V107" i="1"/>
  <c r="BX107" i="1" s="1"/>
  <c r="W107" i="1"/>
  <c r="BY107" i="1" s="1"/>
  <c r="X107" i="1"/>
  <c r="BZ107" i="1" s="1"/>
  <c r="Y107" i="1"/>
  <c r="CA107" i="1" s="1"/>
  <c r="Z107" i="1"/>
  <c r="AA107" i="1"/>
  <c r="CC107" i="1" s="1"/>
  <c r="AB107" i="1"/>
  <c r="CD107" i="1" s="1"/>
  <c r="AC107" i="1"/>
  <c r="CE107" i="1" s="1"/>
  <c r="AD107" i="1"/>
  <c r="CF107" i="1" s="1"/>
  <c r="AE107" i="1"/>
  <c r="CG107" i="1" s="1"/>
  <c r="AF107" i="1"/>
  <c r="AG107" i="1"/>
  <c r="CI107" i="1" s="1"/>
  <c r="V108" i="1"/>
  <c r="BX108" i="1" s="1"/>
  <c r="W108" i="1"/>
  <c r="BY108" i="1" s="1"/>
  <c r="X108" i="1"/>
  <c r="BZ108" i="1" s="1"/>
  <c r="Y108" i="1"/>
  <c r="CA108" i="1" s="1"/>
  <c r="Z108" i="1"/>
  <c r="AA108" i="1"/>
  <c r="CC108" i="1" s="1"/>
  <c r="AB108" i="1"/>
  <c r="CD108" i="1" s="1"/>
  <c r="AC108" i="1"/>
  <c r="CE108" i="1" s="1"/>
  <c r="AD108" i="1"/>
  <c r="CF108" i="1" s="1"/>
  <c r="AE108" i="1"/>
  <c r="CG108" i="1" s="1"/>
  <c r="AF108" i="1"/>
  <c r="AG108" i="1"/>
  <c r="CI108" i="1" s="1"/>
  <c r="V109" i="1"/>
  <c r="BX109" i="1" s="1"/>
  <c r="W109" i="1"/>
  <c r="BY109" i="1" s="1"/>
  <c r="X109" i="1"/>
  <c r="BZ109" i="1" s="1"/>
  <c r="Y109" i="1"/>
  <c r="CA109" i="1" s="1"/>
  <c r="Z109" i="1"/>
  <c r="AA109" i="1"/>
  <c r="CC109" i="1" s="1"/>
  <c r="AB109" i="1"/>
  <c r="CD109" i="1" s="1"/>
  <c r="AC109" i="1"/>
  <c r="CE109" i="1" s="1"/>
  <c r="AD109" i="1"/>
  <c r="CF109" i="1" s="1"/>
  <c r="AE109" i="1"/>
  <c r="CG109" i="1" s="1"/>
  <c r="AF109" i="1"/>
  <c r="AG109" i="1"/>
  <c r="CI109" i="1" s="1"/>
  <c r="V110" i="1"/>
  <c r="BX110" i="1" s="1"/>
  <c r="W110" i="1"/>
  <c r="BY110" i="1" s="1"/>
  <c r="X110" i="1"/>
  <c r="BZ110" i="1" s="1"/>
  <c r="Y110" i="1"/>
  <c r="CA110" i="1" s="1"/>
  <c r="Z110" i="1"/>
  <c r="AA110" i="1"/>
  <c r="CC110" i="1" s="1"/>
  <c r="AB110" i="1"/>
  <c r="CD110" i="1" s="1"/>
  <c r="AC110" i="1"/>
  <c r="CE110" i="1" s="1"/>
  <c r="AD110" i="1"/>
  <c r="CF110" i="1" s="1"/>
  <c r="AE110" i="1"/>
  <c r="CG110" i="1" s="1"/>
  <c r="AF110" i="1"/>
  <c r="AG110" i="1"/>
  <c r="CI110" i="1" s="1"/>
  <c r="V111" i="1"/>
  <c r="BX111" i="1" s="1"/>
  <c r="W111" i="1"/>
  <c r="BY111" i="1" s="1"/>
  <c r="X111" i="1"/>
  <c r="BZ111" i="1" s="1"/>
  <c r="Y111" i="1"/>
  <c r="CA111" i="1" s="1"/>
  <c r="Z111" i="1"/>
  <c r="AA111" i="1"/>
  <c r="CC111" i="1" s="1"/>
  <c r="AB111" i="1"/>
  <c r="CD111" i="1" s="1"/>
  <c r="AC111" i="1"/>
  <c r="CE111" i="1" s="1"/>
  <c r="AD111" i="1"/>
  <c r="CF111" i="1" s="1"/>
  <c r="AE111" i="1"/>
  <c r="CG111" i="1" s="1"/>
  <c r="AF111" i="1"/>
  <c r="AG111" i="1"/>
  <c r="CI111" i="1" s="1"/>
  <c r="V112" i="1"/>
  <c r="BX112" i="1" s="1"/>
  <c r="W112" i="1"/>
  <c r="BY112" i="1" s="1"/>
  <c r="X112" i="1"/>
  <c r="BZ112" i="1" s="1"/>
  <c r="Y112" i="1"/>
  <c r="CA112" i="1" s="1"/>
  <c r="Z112" i="1"/>
  <c r="AA112" i="1"/>
  <c r="CC112" i="1" s="1"/>
  <c r="AB112" i="1"/>
  <c r="CD112" i="1" s="1"/>
  <c r="AC112" i="1"/>
  <c r="CE112" i="1" s="1"/>
  <c r="AD112" i="1"/>
  <c r="CF112" i="1" s="1"/>
  <c r="AE112" i="1"/>
  <c r="CG112" i="1" s="1"/>
  <c r="AF112" i="1"/>
  <c r="AG112" i="1"/>
  <c r="CI112" i="1" s="1"/>
  <c r="V113" i="1"/>
  <c r="BX113" i="1" s="1"/>
  <c r="W113" i="1"/>
  <c r="BY113" i="1" s="1"/>
  <c r="X113" i="1"/>
  <c r="BZ113" i="1" s="1"/>
  <c r="Y113" i="1"/>
  <c r="CA113" i="1" s="1"/>
  <c r="Z113" i="1"/>
  <c r="AA113" i="1"/>
  <c r="CC113" i="1" s="1"/>
  <c r="AB113" i="1"/>
  <c r="CD113" i="1" s="1"/>
  <c r="AC113" i="1"/>
  <c r="CE113" i="1" s="1"/>
  <c r="AD113" i="1"/>
  <c r="CF113" i="1" s="1"/>
  <c r="AE113" i="1"/>
  <c r="CG113" i="1" s="1"/>
  <c r="AF113" i="1"/>
  <c r="AG113" i="1"/>
  <c r="CI113" i="1" s="1"/>
  <c r="V114" i="1"/>
  <c r="BX114" i="1" s="1"/>
  <c r="W114" i="1"/>
  <c r="BY114" i="1" s="1"/>
  <c r="X114" i="1"/>
  <c r="BZ114" i="1" s="1"/>
  <c r="Y114" i="1"/>
  <c r="CA114" i="1" s="1"/>
  <c r="Z114" i="1"/>
  <c r="AA114" i="1"/>
  <c r="CC114" i="1" s="1"/>
  <c r="AB114" i="1"/>
  <c r="CD114" i="1" s="1"/>
  <c r="AC114" i="1"/>
  <c r="CE114" i="1" s="1"/>
  <c r="AD114" i="1"/>
  <c r="CF114" i="1" s="1"/>
  <c r="AE114" i="1"/>
  <c r="CG114" i="1" s="1"/>
  <c r="AF114" i="1"/>
  <c r="AG114" i="1"/>
  <c r="CI114" i="1" s="1"/>
  <c r="V115" i="1"/>
  <c r="BX115" i="1" s="1"/>
  <c r="W115" i="1"/>
  <c r="BY115" i="1" s="1"/>
  <c r="X115" i="1"/>
  <c r="BZ115" i="1" s="1"/>
  <c r="Y115" i="1"/>
  <c r="CA115" i="1" s="1"/>
  <c r="Z115" i="1"/>
  <c r="AA115" i="1"/>
  <c r="CC115" i="1" s="1"/>
  <c r="AB115" i="1"/>
  <c r="CD115" i="1" s="1"/>
  <c r="AC115" i="1"/>
  <c r="CE115" i="1" s="1"/>
  <c r="AD115" i="1"/>
  <c r="CF115" i="1" s="1"/>
  <c r="AE115" i="1"/>
  <c r="CG115" i="1" s="1"/>
  <c r="AF115" i="1"/>
  <c r="AG115" i="1"/>
  <c r="CI115" i="1" s="1"/>
  <c r="V116" i="1"/>
  <c r="BX116" i="1" s="1"/>
  <c r="W116" i="1"/>
  <c r="BY116" i="1" s="1"/>
  <c r="X116" i="1"/>
  <c r="BZ116" i="1" s="1"/>
  <c r="Y116" i="1"/>
  <c r="CA116" i="1" s="1"/>
  <c r="Z116" i="1"/>
  <c r="CB116" i="1" s="1"/>
  <c r="AA116" i="1"/>
  <c r="CC116" i="1" s="1"/>
  <c r="AB116" i="1"/>
  <c r="CD116" i="1" s="1"/>
  <c r="AC116" i="1"/>
  <c r="CE116" i="1" s="1"/>
  <c r="AD116" i="1"/>
  <c r="CF116" i="1" s="1"/>
  <c r="AE116" i="1"/>
  <c r="CG116" i="1" s="1"/>
  <c r="AF116" i="1"/>
  <c r="AG116" i="1"/>
  <c r="CI116" i="1" s="1"/>
  <c r="V117" i="1"/>
  <c r="BX117" i="1" s="1"/>
  <c r="W117" i="1"/>
  <c r="BY117" i="1" s="1"/>
  <c r="X117" i="1"/>
  <c r="BZ117" i="1" s="1"/>
  <c r="Y117" i="1"/>
  <c r="CA117" i="1" s="1"/>
  <c r="Z117" i="1"/>
  <c r="CB117" i="1" s="1"/>
  <c r="AA117" i="1"/>
  <c r="CC117" i="1" s="1"/>
  <c r="AB117" i="1"/>
  <c r="CD117" i="1" s="1"/>
  <c r="AC117" i="1"/>
  <c r="CE117" i="1" s="1"/>
  <c r="AD117" i="1"/>
  <c r="CF117" i="1" s="1"/>
  <c r="AE117" i="1"/>
  <c r="CG117" i="1" s="1"/>
  <c r="AF117" i="1"/>
  <c r="AG117" i="1"/>
  <c r="CI117" i="1" s="1"/>
  <c r="V118" i="1"/>
  <c r="BX118" i="1" s="1"/>
  <c r="W118" i="1"/>
  <c r="BY118" i="1" s="1"/>
  <c r="X118" i="1"/>
  <c r="BZ118" i="1" s="1"/>
  <c r="Y118" i="1"/>
  <c r="CA118" i="1" s="1"/>
  <c r="Z118" i="1"/>
  <c r="CB118" i="1" s="1"/>
  <c r="AA118" i="1"/>
  <c r="CC118" i="1" s="1"/>
  <c r="AB118" i="1"/>
  <c r="CD118" i="1" s="1"/>
  <c r="AC118" i="1"/>
  <c r="CE118" i="1" s="1"/>
  <c r="AD118" i="1"/>
  <c r="CF118" i="1" s="1"/>
  <c r="AE118" i="1"/>
  <c r="CG118" i="1" s="1"/>
  <c r="AF118" i="1"/>
  <c r="AG118" i="1"/>
  <c r="CI118" i="1" s="1"/>
  <c r="V119" i="1"/>
  <c r="BX119" i="1" s="1"/>
  <c r="W119" i="1"/>
  <c r="BY119" i="1" s="1"/>
  <c r="X119" i="1"/>
  <c r="BZ119" i="1" s="1"/>
  <c r="Y119" i="1"/>
  <c r="CA119" i="1" s="1"/>
  <c r="Z119" i="1"/>
  <c r="AA119" i="1"/>
  <c r="CC119" i="1" s="1"/>
  <c r="AB119" i="1"/>
  <c r="CD119" i="1" s="1"/>
  <c r="AC119" i="1"/>
  <c r="CE119" i="1" s="1"/>
  <c r="AD119" i="1"/>
  <c r="CF119" i="1" s="1"/>
  <c r="AE119" i="1"/>
  <c r="CG119" i="1" s="1"/>
  <c r="AF119" i="1"/>
  <c r="AG119" i="1"/>
  <c r="CI119" i="1" s="1"/>
  <c r="V120" i="1"/>
  <c r="BX120" i="1" s="1"/>
  <c r="W120" i="1"/>
  <c r="BY120" i="1" s="1"/>
  <c r="X120" i="1"/>
  <c r="BZ120" i="1" s="1"/>
  <c r="Y120" i="1"/>
  <c r="CA120" i="1" s="1"/>
  <c r="Z120" i="1"/>
  <c r="AA120" i="1"/>
  <c r="CC120" i="1" s="1"/>
  <c r="AB120" i="1"/>
  <c r="CD120" i="1" s="1"/>
  <c r="AC120" i="1"/>
  <c r="CE120" i="1" s="1"/>
  <c r="AD120" i="1"/>
  <c r="CF120" i="1" s="1"/>
  <c r="AE120" i="1"/>
  <c r="CG120" i="1" s="1"/>
  <c r="AF120" i="1"/>
  <c r="AG120" i="1"/>
  <c r="CI120" i="1" s="1"/>
  <c r="V121" i="1"/>
  <c r="BX121" i="1" s="1"/>
  <c r="W121" i="1"/>
  <c r="BY121" i="1" s="1"/>
  <c r="X121" i="1"/>
  <c r="BZ121" i="1" s="1"/>
  <c r="Y121" i="1"/>
  <c r="CA121" i="1" s="1"/>
  <c r="Z121" i="1"/>
  <c r="AA121" i="1"/>
  <c r="CC121" i="1" s="1"/>
  <c r="AB121" i="1"/>
  <c r="CD121" i="1" s="1"/>
  <c r="AC121" i="1"/>
  <c r="CE121" i="1" s="1"/>
  <c r="AD121" i="1"/>
  <c r="CF121" i="1" s="1"/>
  <c r="AE121" i="1"/>
  <c r="CG121" i="1" s="1"/>
  <c r="AF121" i="1"/>
  <c r="AG121" i="1"/>
  <c r="CI121" i="1" s="1"/>
  <c r="W2" i="1"/>
  <c r="BY2" i="1" s="1"/>
  <c r="X2" i="1"/>
  <c r="BZ2" i="1" s="1"/>
  <c r="Y2" i="1"/>
  <c r="CA2" i="1" s="1"/>
  <c r="Z2" i="1"/>
  <c r="CB2" i="1" s="1"/>
  <c r="AA2" i="1"/>
  <c r="CC2" i="1" s="1"/>
  <c r="AB2" i="1"/>
  <c r="CD2" i="1" s="1"/>
  <c r="AC2" i="1"/>
  <c r="CE2" i="1" s="1"/>
  <c r="AD2" i="1"/>
  <c r="CF2" i="1" s="1"/>
  <c r="AE2" i="1"/>
  <c r="CG2" i="1" s="1"/>
  <c r="AF2" i="1"/>
  <c r="AG2" i="1"/>
  <c r="CI2" i="1" s="1"/>
  <c r="V2" i="1"/>
  <c r="BX2" i="1" s="1"/>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1" i="3"/>
  <c r="BN30" i="2"/>
  <c r="BN31" i="2" s="1"/>
  <c r="CB23" i="2"/>
  <c r="CB24" i="2" s="1"/>
  <c r="CB25" i="2" s="1"/>
  <c r="CB26" i="2" s="1"/>
  <c r="CB27" i="2" s="1"/>
  <c r="CB28" i="2" s="1"/>
  <c r="CB29" i="2" s="1"/>
  <c r="CB30" i="2" s="1"/>
  <c r="CB31" i="2" s="1"/>
  <c r="AL23" i="2"/>
  <c r="AL24" i="2" s="1"/>
  <c r="AL25" i="2" s="1"/>
  <c r="AL26" i="2" s="1"/>
  <c r="AL27" i="2" s="1"/>
  <c r="AL28" i="2" s="1"/>
  <c r="AL29" i="2" s="1"/>
  <c r="AL30" i="2" s="1"/>
  <c r="AL31" i="2" s="1"/>
  <c r="X23" i="2"/>
  <c r="CQ22" i="2"/>
  <c r="CP22" i="2"/>
  <c r="CP23" i="2" s="1"/>
  <c r="CP24" i="2" s="1"/>
  <c r="CP25" i="2" s="1"/>
  <c r="CP26" i="2" s="1"/>
  <c r="CP27" i="2" s="1"/>
  <c r="CP28" i="2" s="1"/>
  <c r="CP29" i="2" s="1"/>
  <c r="CP30" i="2" s="1"/>
  <c r="CP31" i="2" s="1"/>
  <c r="CC22" i="2"/>
  <c r="CB22" i="2"/>
  <c r="BN22" i="2"/>
  <c r="BN23" i="2" s="1"/>
  <c r="BN24" i="2" s="1"/>
  <c r="BN25" i="2" s="1"/>
  <c r="BN26" i="2" s="1"/>
  <c r="BN27" i="2" s="1"/>
  <c r="BN28" i="2" s="1"/>
  <c r="BN29" i="2" s="1"/>
  <c r="AZ22" i="2"/>
  <c r="AZ23" i="2" s="1"/>
  <c r="AZ24" i="2" s="1"/>
  <c r="AZ25" i="2" s="1"/>
  <c r="AZ26" i="2" s="1"/>
  <c r="AZ27" i="2" s="1"/>
  <c r="AZ28" i="2" s="1"/>
  <c r="AZ29" i="2" s="1"/>
  <c r="AZ30" i="2" s="1"/>
  <c r="AZ31" i="2" s="1"/>
  <c r="AL22" i="2"/>
  <c r="X22" i="2"/>
  <c r="BO22" i="2" s="1"/>
  <c r="CQ21" i="2"/>
  <c r="CC21" i="2"/>
  <c r="BO21" i="2"/>
  <c r="BA21" i="2"/>
  <c r="AN21" i="2"/>
  <c r="AM21" i="2"/>
  <c r="Y21" i="2"/>
  <c r="CP20" i="2"/>
  <c r="CU37" i="2" s="1"/>
  <c r="CB20" i="2"/>
  <c r="CG37" i="2" s="1"/>
  <c r="BN20" i="2"/>
  <c r="BS37" i="2" s="1"/>
  <c r="AZ20" i="2"/>
  <c r="BE37" i="2" s="1"/>
  <c r="AL20" i="2"/>
  <c r="AQ37" i="2" s="1"/>
  <c r="X20" i="2"/>
  <c r="AC37" i="2" s="1"/>
  <c r="CP6" i="2"/>
  <c r="CP7" i="2" s="1"/>
  <c r="CP8" i="2" s="1"/>
  <c r="CP9" i="2" s="1"/>
  <c r="CP10" i="2" s="1"/>
  <c r="CP11" i="2" s="1"/>
  <c r="CP12" i="2" s="1"/>
  <c r="CP13" i="2" s="1"/>
  <c r="CP14" i="2" s="1"/>
  <c r="CP15" i="2" s="1"/>
  <c r="CB6" i="2"/>
  <c r="CB7" i="2" s="1"/>
  <c r="CB8" i="2" s="1"/>
  <c r="CB9" i="2" s="1"/>
  <c r="CB10" i="2" s="1"/>
  <c r="CB11" i="2" s="1"/>
  <c r="CB12" i="2" s="1"/>
  <c r="CB13" i="2" s="1"/>
  <c r="CB14" i="2" s="1"/>
  <c r="CB15" i="2" s="1"/>
  <c r="BN6" i="2"/>
  <c r="BN7" i="2" s="1"/>
  <c r="BN8" i="2" s="1"/>
  <c r="BN9" i="2" s="1"/>
  <c r="BN10" i="2" s="1"/>
  <c r="BN11" i="2" s="1"/>
  <c r="BN12" i="2" s="1"/>
  <c r="BN13" i="2" s="1"/>
  <c r="BN14" i="2" s="1"/>
  <c r="BN15" i="2" s="1"/>
  <c r="AZ6" i="2"/>
  <c r="AZ7" i="2" s="1"/>
  <c r="AZ8" i="2" s="1"/>
  <c r="AZ9" i="2" s="1"/>
  <c r="AZ10" i="2" s="1"/>
  <c r="AZ11" i="2" s="1"/>
  <c r="AZ12" i="2" s="1"/>
  <c r="AZ13" i="2" s="1"/>
  <c r="AZ14" i="2" s="1"/>
  <c r="AZ15" i="2" s="1"/>
  <c r="AM6" i="2"/>
  <c r="AL6" i="2"/>
  <c r="AL7" i="2" s="1"/>
  <c r="AL8" i="2" s="1"/>
  <c r="AL9" i="2" s="1"/>
  <c r="AL10" i="2" s="1"/>
  <c r="AL11" i="2" s="1"/>
  <c r="AL12" i="2" s="1"/>
  <c r="AL13" i="2" s="1"/>
  <c r="AL14" i="2" s="1"/>
  <c r="AL15" i="2" s="1"/>
  <c r="X6" i="2"/>
  <c r="Z6" i="2" s="1"/>
  <c r="CQ5" i="2"/>
  <c r="CC5" i="2"/>
  <c r="BO5" i="2"/>
  <c r="BA5" i="2"/>
  <c r="AM5" i="2"/>
  <c r="Y5" i="2"/>
  <c r="CR4" i="2"/>
  <c r="CR21" i="2" s="1"/>
  <c r="CP4" i="2"/>
  <c r="CT37" i="2" s="1"/>
  <c r="CD4" i="2"/>
  <c r="CD5" i="2" s="1"/>
  <c r="CB4" i="2"/>
  <c r="CF37" i="2" s="1"/>
  <c r="BP4" i="2"/>
  <c r="BQ4" i="2" s="1"/>
  <c r="BN4" i="2"/>
  <c r="BR37" i="2" s="1"/>
  <c r="BB4" i="2"/>
  <c r="BB21" i="2" s="1"/>
  <c r="AZ4" i="2"/>
  <c r="BD37" i="2" s="1"/>
  <c r="AN4" i="2"/>
  <c r="AN22" i="2" s="1"/>
  <c r="AL4" i="2"/>
  <c r="AP37" i="2" s="1"/>
  <c r="Z4" i="2"/>
  <c r="Z22" i="2" s="1"/>
  <c r="X4" i="2"/>
  <c r="AB37" i="2" s="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2" i="1"/>
  <c r="BQ21" i="2" l="1"/>
  <c r="BR4" i="2"/>
  <c r="BS4" i="2" s="1"/>
  <c r="CH110" i="1"/>
  <c r="F110" i="28"/>
  <c r="F110" i="27"/>
  <c r="F110" i="29"/>
  <c r="E110" i="3"/>
  <c r="J110" i="3" s="1"/>
  <c r="E110" i="4"/>
  <c r="K110" i="4" s="1"/>
  <c r="E110" i="5"/>
  <c r="L110" i="5" s="1"/>
  <c r="CH106" i="1"/>
  <c r="F106" i="28"/>
  <c r="F106" i="27"/>
  <c r="F106" i="29"/>
  <c r="E106" i="5"/>
  <c r="L106" i="5" s="1"/>
  <c r="O106" i="5" s="1"/>
  <c r="E106" i="3"/>
  <c r="J106" i="3" s="1"/>
  <c r="M106" i="3" s="1"/>
  <c r="E106" i="4"/>
  <c r="K106" i="4" s="1"/>
  <c r="O106" i="4" s="1"/>
  <c r="CH102" i="1"/>
  <c r="F102" i="27"/>
  <c r="F102" i="28"/>
  <c r="F102" i="29"/>
  <c r="E102" i="3"/>
  <c r="J102" i="3" s="1"/>
  <c r="M102" i="3" s="1"/>
  <c r="E102" i="5"/>
  <c r="L102" i="5" s="1"/>
  <c r="E102" i="4"/>
  <c r="K102" i="4" s="1"/>
  <c r="O102" i="4" s="1"/>
  <c r="CH90" i="1"/>
  <c r="F90" i="28"/>
  <c r="F90" i="27"/>
  <c r="F90" i="29"/>
  <c r="E90" i="5"/>
  <c r="L90" i="5" s="1"/>
  <c r="O90" i="5" s="1"/>
  <c r="E90" i="3"/>
  <c r="J90" i="3" s="1"/>
  <c r="M90" i="3" s="1"/>
  <c r="E90" i="4"/>
  <c r="K90" i="4" s="1"/>
  <c r="O90" i="4" s="1"/>
  <c r="CH50" i="1"/>
  <c r="F50" i="28"/>
  <c r="F50" i="27"/>
  <c r="F50" i="29"/>
  <c r="E50" i="5"/>
  <c r="L50" i="5" s="1"/>
  <c r="E50" i="4"/>
  <c r="K50" i="4" s="1"/>
  <c r="E50" i="3"/>
  <c r="J50" i="3" s="1"/>
  <c r="M50" i="3" s="1"/>
  <c r="CH30" i="1"/>
  <c r="F30" i="28"/>
  <c r="F30" i="27"/>
  <c r="F30" i="29"/>
  <c r="E30" i="3"/>
  <c r="J30" i="3" s="1"/>
  <c r="E30" i="4"/>
  <c r="K30" i="4" s="1"/>
  <c r="O30" i="4" s="1"/>
  <c r="E30" i="5"/>
  <c r="L30" i="5" s="1"/>
  <c r="O30" i="5" s="1"/>
  <c r="CH14" i="1"/>
  <c r="F14" i="28"/>
  <c r="F14" i="27"/>
  <c r="F14" i="29"/>
  <c r="E14" i="3"/>
  <c r="J14" i="3" s="1"/>
  <c r="E14" i="4"/>
  <c r="K14" i="4" s="1"/>
  <c r="E14" i="5"/>
  <c r="L14" i="5" s="1"/>
  <c r="Z5" i="2"/>
  <c r="CH91" i="1"/>
  <c r="F91" i="28"/>
  <c r="F91" i="27"/>
  <c r="F91" i="29"/>
  <c r="E91" i="4"/>
  <c r="K91" i="4" s="1"/>
  <c r="E91" i="5"/>
  <c r="L91" i="5" s="1"/>
  <c r="E91" i="3"/>
  <c r="J91" i="3" s="1"/>
  <c r="M91" i="3" s="1"/>
  <c r="CH83" i="1"/>
  <c r="F83" i="29"/>
  <c r="F83" i="28"/>
  <c r="F83" i="27"/>
  <c r="E83" i="4"/>
  <c r="K83" i="4" s="1"/>
  <c r="O83" i="4" s="1"/>
  <c r="E83" i="5"/>
  <c r="L83" i="5" s="1"/>
  <c r="E83" i="3"/>
  <c r="J83" i="3" s="1"/>
  <c r="CH79" i="1"/>
  <c r="F79" i="29"/>
  <c r="F79" i="28"/>
  <c r="F79" i="27"/>
  <c r="E79" i="4"/>
  <c r="K79" i="4" s="1"/>
  <c r="O79" i="4" s="1"/>
  <c r="E79" i="3"/>
  <c r="J79" i="3" s="1"/>
  <c r="M79" i="3" s="1"/>
  <c r="E79" i="5"/>
  <c r="L79" i="5" s="1"/>
  <c r="CH71" i="1"/>
  <c r="F71" i="28"/>
  <c r="F71" i="27"/>
  <c r="F71" i="29"/>
  <c r="E71" i="3"/>
  <c r="J71" i="3" s="1"/>
  <c r="M71" i="3" s="1"/>
  <c r="E71" i="5"/>
  <c r="L71" i="5" s="1"/>
  <c r="O71" i="5" s="1"/>
  <c r="E71" i="4"/>
  <c r="K71" i="4" s="1"/>
  <c r="O71" i="4" s="1"/>
  <c r="CH67" i="1"/>
  <c r="F67" i="29"/>
  <c r="F67" i="28"/>
  <c r="F67" i="27"/>
  <c r="E67" i="5"/>
  <c r="L67" i="5" s="1"/>
  <c r="O67" i="5" s="1"/>
  <c r="E67" i="4"/>
  <c r="K67" i="4" s="1"/>
  <c r="O67" i="4" s="1"/>
  <c r="E67" i="3"/>
  <c r="J67" i="3" s="1"/>
  <c r="M67" i="3" s="1"/>
  <c r="CH63" i="1"/>
  <c r="F63" i="28"/>
  <c r="F63" i="27"/>
  <c r="F63" i="29"/>
  <c r="E63" i="3"/>
  <c r="J63" i="3" s="1"/>
  <c r="E63" i="4"/>
  <c r="K63" i="4" s="1"/>
  <c r="O63" i="4" s="1"/>
  <c r="E63" i="5"/>
  <c r="L63" i="5" s="1"/>
  <c r="O63" i="5" s="1"/>
  <c r="CH59" i="1"/>
  <c r="F59" i="28"/>
  <c r="F59" i="27"/>
  <c r="F59" i="29"/>
  <c r="E59" i="4"/>
  <c r="K59" i="4" s="1"/>
  <c r="E59" i="5"/>
  <c r="L59" i="5" s="1"/>
  <c r="E59" i="3"/>
  <c r="J59" i="3" s="1"/>
  <c r="M59" i="3" s="1"/>
  <c r="CH55" i="1"/>
  <c r="F55" i="28"/>
  <c r="F55" i="27"/>
  <c r="F55" i="29"/>
  <c r="E55" i="3"/>
  <c r="J55" i="3" s="1"/>
  <c r="M55" i="3" s="1"/>
  <c r="E55" i="5"/>
  <c r="L55" i="5" s="1"/>
  <c r="O55" i="5" s="1"/>
  <c r="E55" i="4"/>
  <c r="K55" i="4" s="1"/>
  <c r="O55" i="4" s="1"/>
  <c r="CH51" i="1"/>
  <c r="F51" i="29"/>
  <c r="F51" i="28"/>
  <c r="F51" i="27"/>
  <c r="E51" i="5"/>
  <c r="L51" i="5" s="1"/>
  <c r="E51" i="4"/>
  <c r="K51" i="4" s="1"/>
  <c r="E51" i="3"/>
  <c r="J51" i="3" s="1"/>
  <c r="CH47" i="1"/>
  <c r="F47" i="29"/>
  <c r="F47" i="28"/>
  <c r="F47" i="27"/>
  <c r="E47" i="4"/>
  <c r="K47" i="4" s="1"/>
  <c r="O47" i="4" s="1"/>
  <c r="E47" i="3"/>
  <c r="J47" i="3" s="1"/>
  <c r="E47" i="5"/>
  <c r="L47" i="5" s="1"/>
  <c r="CH43" i="1"/>
  <c r="F43" i="28"/>
  <c r="F43" i="27"/>
  <c r="F43" i="29"/>
  <c r="E43" i="4"/>
  <c r="K43" i="4" s="1"/>
  <c r="O43" i="4" s="1"/>
  <c r="E43" i="5"/>
  <c r="L43" i="5" s="1"/>
  <c r="O43" i="5" s="1"/>
  <c r="E43" i="3"/>
  <c r="J43" i="3" s="1"/>
  <c r="CH39" i="1"/>
  <c r="F39" i="28"/>
  <c r="F39" i="27"/>
  <c r="F39" i="29"/>
  <c r="E39" i="3"/>
  <c r="J39" i="3" s="1"/>
  <c r="M39" i="3" s="1"/>
  <c r="E39" i="5"/>
  <c r="L39" i="5" s="1"/>
  <c r="E39" i="4"/>
  <c r="K39" i="4" s="1"/>
  <c r="O39" i="4" s="1"/>
  <c r="CH27" i="1"/>
  <c r="F27" i="28"/>
  <c r="F27" i="27"/>
  <c r="F27" i="29"/>
  <c r="E27" i="4"/>
  <c r="K27" i="4" s="1"/>
  <c r="O27" i="4" s="1"/>
  <c r="E27" i="3"/>
  <c r="J27" i="3" s="1"/>
  <c r="M27" i="3" s="1"/>
  <c r="E27" i="5"/>
  <c r="L27" i="5" s="1"/>
  <c r="O27" i="5" s="1"/>
  <c r="CH15" i="1"/>
  <c r="F15" i="29"/>
  <c r="F15" i="28"/>
  <c r="F15" i="27"/>
  <c r="E15" i="3"/>
  <c r="J15" i="3" s="1"/>
  <c r="E15" i="4"/>
  <c r="K15" i="4" s="1"/>
  <c r="O15" i="4" s="1"/>
  <c r="E15" i="5"/>
  <c r="L15" i="5" s="1"/>
  <c r="O15" i="5" s="1"/>
  <c r="CH7" i="1"/>
  <c r="F7" i="28"/>
  <c r="F7" i="27"/>
  <c r="F7" i="29"/>
  <c r="E7" i="3"/>
  <c r="J7" i="3" s="1"/>
  <c r="M7" i="3" s="1"/>
  <c r="E7" i="5"/>
  <c r="L7" i="5" s="1"/>
  <c r="O7" i="5" s="1"/>
  <c r="E7" i="4"/>
  <c r="K7" i="4" s="1"/>
  <c r="O7" i="4" s="1"/>
  <c r="CH3" i="1"/>
  <c r="F3" i="29"/>
  <c r="F3" i="28"/>
  <c r="F3" i="27"/>
  <c r="E3" i="5"/>
  <c r="L3" i="5" s="1"/>
  <c r="E3" i="4"/>
  <c r="K3" i="4" s="1"/>
  <c r="E3" i="3"/>
  <c r="J3" i="3" s="1"/>
  <c r="BP5" i="2"/>
  <c r="Y22" i="2"/>
  <c r="CH120" i="1"/>
  <c r="F120" i="29"/>
  <c r="F120" i="28"/>
  <c r="F120" i="27"/>
  <c r="E120" i="5"/>
  <c r="L120" i="5" s="1"/>
  <c r="E120" i="3"/>
  <c r="J120" i="3" s="1"/>
  <c r="E120" i="4"/>
  <c r="K120" i="4" s="1"/>
  <c r="CH116" i="1"/>
  <c r="F116" i="27"/>
  <c r="F116" i="29"/>
  <c r="F116" i="28"/>
  <c r="E116" i="5"/>
  <c r="L116" i="5" s="1"/>
  <c r="O116" i="5" s="1"/>
  <c r="E116" i="4"/>
  <c r="K116" i="4" s="1"/>
  <c r="O116" i="4" s="1"/>
  <c r="E116" i="3"/>
  <c r="J116" i="3" s="1"/>
  <c r="M116" i="3" s="1"/>
  <c r="CH112" i="1"/>
  <c r="F112" i="28"/>
  <c r="F112" i="27"/>
  <c r="F112" i="29"/>
  <c r="E112" i="4"/>
  <c r="K112" i="4" s="1"/>
  <c r="O112" i="4" s="1"/>
  <c r="E112" i="3"/>
  <c r="J112" i="3" s="1"/>
  <c r="E112" i="5"/>
  <c r="L112" i="5" s="1"/>
  <c r="CH108" i="1"/>
  <c r="F108" i="28"/>
  <c r="F108" i="27"/>
  <c r="F108" i="29"/>
  <c r="E108" i="4"/>
  <c r="K108" i="4" s="1"/>
  <c r="O108" i="4" s="1"/>
  <c r="E108" i="3"/>
  <c r="J108" i="3" s="1"/>
  <c r="M108" i="3" s="1"/>
  <c r="E108" i="5"/>
  <c r="L108" i="5" s="1"/>
  <c r="CH104" i="1"/>
  <c r="F104" i="29"/>
  <c r="F104" i="28"/>
  <c r="F104" i="27"/>
  <c r="E104" i="5"/>
  <c r="L104" i="5" s="1"/>
  <c r="O104" i="5" s="1"/>
  <c r="E104" i="3"/>
  <c r="J104" i="3" s="1"/>
  <c r="M104" i="3" s="1"/>
  <c r="E104" i="4"/>
  <c r="K104" i="4" s="1"/>
  <c r="O104" i="4" s="1"/>
  <c r="CH100" i="1"/>
  <c r="F100" i="27"/>
  <c r="F100" i="29"/>
  <c r="F100" i="28"/>
  <c r="E100" i="4"/>
  <c r="K100" i="4" s="1"/>
  <c r="O100" i="4" s="1"/>
  <c r="E100" i="5"/>
  <c r="L100" i="5" s="1"/>
  <c r="O100" i="5" s="1"/>
  <c r="E100" i="3"/>
  <c r="J100" i="3" s="1"/>
  <c r="M100" i="3" s="1"/>
  <c r="CH96" i="1"/>
  <c r="F96" i="27"/>
  <c r="F96" i="28"/>
  <c r="F96" i="29"/>
  <c r="E96" i="4"/>
  <c r="K96" i="4" s="1"/>
  <c r="E96" i="5"/>
  <c r="L96" i="5" s="1"/>
  <c r="O96" i="5" s="1"/>
  <c r="E96" i="3"/>
  <c r="J96" i="3" s="1"/>
  <c r="M96" i="3" s="1"/>
  <c r="CH92" i="1"/>
  <c r="F92" i="28"/>
  <c r="F92" i="27"/>
  <c r="F92" i="29"/>
  <c r="E92" i="5"/>
  <c r="L92" i="5" s="1"/>
  <c r="E92" i="4"/>
  <c r="K92" i="4" s="1"/>
  <c r="E92" i="3"/>
  <c r="J92" i="3" s="1"/>
  <c r="M92" i="3" s="1"/>
  <c r="CH88" i="1"/>
  <c r="F88" i="29"/>
  <c r="F88" i="28"/>
  <c r="F88" i="27"/>
  <c r="E88" i="3"/>
  <c r="J88" i="3" s="1"/>
  <c r="E88" i="5"/>
  <c r="L88" i="5" s="1"/>
  <c r="O88" i="5" s="1"/>
  <c r="E88" i="4"/>
  <c r="K88" i="4" s="1"/>
  <c r="CH84" i="1"/>
  <c r="F84" i="29"/>
  <c r="F84" i="27"/>
  <c r="F84" i="28"/>
  <c r="E84" i="4"/>
  <c r="K84" i="4" s="1"/>
  <c r="E84" i="5"/>
  <c r="L84" i="5" s="1"/>
  <c r="E84" i="3"/>
  <c r="J84" i="3" s="1"/>
  <c r="CH80" i="1"/>
  <c r="F80" i="27"/>
  <c r="F80" i="29"/>
  <c r="F80" i="28"/>
  <c r="E80" i="4"/>
  <c r="K80" i="4" s="1"/>
  <c r="O80" i="4" s="1"/>
  <c r="E80" i="3"/>
  <c r="J80" i="3" s="1"/>
  <c r="M80" i="3" s="1"/>
  <c r="E80" i="5"/>
  <c r="L80" i="5" s="1"/>
  <c r="O80" i="5" s="1"/>
  <c r="CH76" i="1"/>
  <c r="F76" i="28"/>
  <c r="F76" i="27"/>
  <c r="F76" i="29"/>
  <c r="E76" i="4"/>
  <c r="K76" i="4" s="1"/>
  <c r="O76" i="4" s="1"/>
  <c r="E76" i="3"/>
  <c r="J76" i="3" s="1"/>
  <c r="M76" i="3" s="1"/>
  <c r="E76" i="5"/>
  <c r="L76" i="5" s="1"/>
  <c r="CH72" i="1"/>
  <c r="F72" i="29"/>
  <c r="F72" i="28"/>
  <c r="F72" i="27"/>
  <c r="E72" i="5"/>
  <c r="L72" i="5" s="1"/>
  <c r="O72" i="5" s="1"/>
  <c r="E72" i="3"/>
  <c r="J72" i="3" s="1"/>
  <c r="M72" i="3" s="1"/>
  <c r="E72" i="4"/>
  <c r="K72" i="4" s="1"/>
  <c r="CH68" i="1"/>
  <c r="F68" i="29"/>
  <c r="F68" i="27"/>
  <c r="F68" i="28"/>
  <c r="E68" i="5"/>
  <c r="L68" i="5" s="1"/>
  <c r="O68" i="5" s="1"/>
  <c r="E68" i="4"/>
  <c r="K68" i="4" s="1"/>
  <c r="O68" i="4" s="1"/>
  <c r="E68" i="3"/>
  <c r="J68" i="3" s="1"/>
  <c r="M68" i="3" s="1"/>
  <c r="CH64" i="1"/>
  <c r="F64" i="27"/>
  <c r="F64" i="28"/>
  <c r="F64" i="29"/>
  <c r="E64" i="4"/>
  <c r="K64" i="4" s="1"/>
  <c r="O64" i="4" s="1"/>
  <c r="E64" i="5"/>
  <c r="L64" i="5" s="1"/>
  <c r="O64" i="5" s="1"/>
  <c r="E64" i="3"/>
  <c r="J64" i="3" s="1"/>
  <c r="M64" i="3" s="1"/>
  <c r="CH60" i="1"/>
  <c r="F60" i="28"/>
  <c r="F60" i="27"/>
  <c r="F60" i="29"/>
  <c r="E60" i="3"/>
  <c r="J60" i="3" s="1"/>
  <c r="E60" i="4"/>
  <c r="K60" i="4" s="1"/>
  <c r="E60" i="5"/>
  <c r="L60" i="5" s="1"/>
  <c r="O60" i="5" s="1"/>
  <c r="CH56" i="1"/>
  <c r="F56" i="29"/>
  <c r="F56" i="27"/>
  <c r="F56" i="28"/>
  <c r="E56" i="3"/>
  <c r="J56" i="3" s="1"/>
  <c r="E56" i="5"/>
  <c r="L56" i="5" s="1"/>
  <c r="E56" i="4"/>
  <c r="K56" i="4" s="1"/>
  <c r="O56" i="4" s="1"/>
  <c r="CH52" i="1"/>
  <c r="F52" i="29"/>
  <c r="F52" i="27"/>
  <c r="F52" i="28"/>
  <c r="E52" i="4"/>
  <c r="K52" i="4" s="1"/>
  <c r="O52" i="4" s="1"/>
  <c r="E52" i="5"/>
  <c r="L52" i="5" s="1"/>
  <c r="O52" i="5" s="1"/>
  <c r="E52" i="3"/>
  <c r="J52" i="3" s="1"/>
  <c r="M52" i="3" s="1"/>
  <c r="CH48" i="1"/>
  <c r="F48" i="29"/>
  <c r="F48" i="28"/>
  <c r="F48" i="27"/>
  <c r="E48" i="4"/>
  <c r="K48" i="4" s="1"/>
  <c r="O48" i="4" s="1"/>
  <c r="E48" i="3"/>
  <c r="J48" i="3" s="1"/>
  <c r="E48" i="5"/>
  <c r="L48" i="5" s="1"/>
  <c r="CH44" i="1"/>
  <c r="F44" i="28"/>
  <c r="F44" i="27"/>
  <c r="F44" i="29"/>
  <c r="E44" i="5"/>
  <c r="L44" i="5" s="1"/>
  <c r="O44" i="5" s="1"/>
  <c r="E44" i="4"/>
  <c r="K44" i="4" s="1"/>
  <c r="E44" i="3"/>
  <c r="J44" i="3" s="1"/>
  <c r="CH40" i="1"/>
  <c r="F40" i="29"/>
  <c r="F40" i="28"/>
  <c r="F40" i="27"/>
  <c r="E40" i="5"/>
  <c r="L40" i="5" s="1"/>
  <c r="O40" i="5" s="1"/>
  <c r="E40" i="3"/>
  <c r="J40" i="3" s="1"/>
  <c r="M40" i="3" s="1"/>
  <c r="E40" i="4"/>
  <c r="K40" i="4" s="1"/>
  <c r="O40" i="4" s="1"/>
  <c r="CH36" i="1"/>
  <c r="F36" i="27"/>
  <c r="F36" i="29"/>
  <c r="F36" i="28"/>
  <c r="E36" i="4"/>
  <c r="K36" i="4" s="1"/>
  <c r="O36" i="4" s="1"/>
  <c r="E36" i="5"/>
  <c r="L36" i="5" s="1"/>
  <c r="O36" i="5" s="1"/>
  <c r="E36" i="3"/>
  <c r="J36" i="3" s="1"/>
  <c r="M36" i="3" s="1"/>
  <c r="CH32" i="1"/>
  <c r="F32" i="27"/>
  <c r="F32" i="29"/>
  <c r="F32" i="28"/>
  <c r="E32" i="4"/>
  <c r="K32" i="4" s="1"/>
  <c r="E32" i="5"/>
  <c r="L32" i="5" s="1"/>
  <c r="O32" i="5" s="1"/>
  <c r="E32" i="3"/>
  <c r="J32" i="3" s="1"/>
  <c r="M32" i="3" s="1"/>
  <c r="CH28" i="1"/>
  <c r="F28" i="28"/>
  <c r="F28" i="27"/>
  <c r="F28" i="29"/>
  <c r="E28" i="4"/>
  <c r="K28" i="4" s="1"/>
  <c r="E28" i="5"/>
  <c r="L28" i="5" s="1"/>
  <c r="E28" i="3"/>
  <c r="J28" i="3" s="1"/>
  <c r="M28" i="3" s="1"/>
  <c r="CH24" i="1"/>
  <c r="F24" i="29"/>
  <c r="F24" i="28"/>
  <c r="F24" i="27"/>
  <c r="E24" i="5"/>
  <c r="L24" i="5" s="1"/>
  <c r="O24" i="5" s="1"/>
  <c r="E24" i="3"/>
  <c r="J24" i="3" s="1"/>
  <c r="M24" i="3" s="1"/>
  <c r="E24" i="4"/>
  <c r="K24" i="4" s="1"/>
  <c r="CH20" i="1"/>
  <c r="F20" i="27"/>
  <c r="F20" i="29"/>
  <c r="F20" i="28"/>
  <c r="E20" i="5"/>
  <c r="L20" i="5" s="1"/>
  <c r="E20" i="4"/>
  <c r="K20" i="4" s="1"/>
  <c r="E20" i="3"/>
  <c r="J20" i="3" s="1"/>
  <c r="CH16" i="1"/>
  <c r="F16" i="27"/>
  <c r="F16" i="29"/>
  <c r="F16" i="28"/>
  <c r="E16" i="4"/>
  <c r="K16" i="4" s="1"/>
  <c r="E16" i="3"/>
  <c r="J16" i="3" s="1"/>
  <c r="E16" i="5"/>
  <c r="L16" i="5" s="1"/>
  <c r="O16" i="5" s="1"/>
  <c r="CH12" i="1"/>
  <c r="F12" i="28"/>
  <c r="F12" i="27"/>
  <c r="F12" i="29"/>
  <c r="E12" i="5"/>
  <c r="L12" i="5" s="1"/>
  <c r="O12" i="5" s="1"/>
  <c r="E12" i="4"/>
  <c r="K12" i="4" s="1"/>
  <c r="O12" i="4" s="1"/>
  <c r="E12" i="3"/>
  <c r="J12" i="3" s="1"/>
  <c r="CH8" i="1"/>
  <c r="F8" i="29"/>
  <c r="F8" i="28"/>
  <c r="F8" i="27"/>
  <c r="E8" i="3"/>
  <c r="J8" i="3" s="1"/>
  <c r="M8" i="3" s="1"/>
  <c r="E8" i="5"/>
  <c r="L8" i="5" s="1"/>
  <c r="O8" i="5" s="1"/>
  <c r="E8" i="4"/>
  <c r="K8" i="4" s="1"/>
  <c r="O8" i="4" s="1"/>
  <c r="CH4" i="1"/>
  <c r="F4" i="29"/>
  <c r="F4" i="27"/>
  <c r="F4" i="28"/>
  <c r="E4" i="4"/>
  <c r="K4" i="4" s="1"/>
  <c r="O4" i="4" s="1"/>
  <c r="E4" i="5"/>
  <c r="L4" i="5" s="1"/>
  <c r="O4" i="5" s="1"/>
  <c r="E4" i="3"/>
  <c r="J4" i="3" s="1"/>
  <c r="M4" i="3" s="1"/>
  <c r="CH2" i="1"/>
  <c r="F2" i="28"/>
  <c r="F2" i="27"/>
  <c r="F2" i="29"/>
  <c r="E2" i="5"/>
  <c r="L2" i="5" s="1"/>
  <c r="O2" i="5" s="1"/>
  <c r="E2" i="4"/>
  <c r="K2" i="4" s="1"/>
  <c r="O2" i="4" s="1"/>
  <c r="E2" i="3"/>
  <c r="J2" i="3" s="1"/>
  <c r="M2" i="3" s="1"/>
  <c r="CE4" i="2"/>
  <c r="CE6" i="2" s="1"/>
  <c r="CH118" i="1"/>
  <c r="F118" i="27"/>
  <c r="F118" i="28"/>
  <c r="F118" i="29"/>
  <c r="E118" i="3"/>
  <c r="J118" i="3" s="1"/>
  <c r="E118" i="5"/>
  <c r="L118" i="5" s="1"/>
  <c r="E118" i="4"/>
  <c r="K118" i="4" s="1"/>
  <c r="CH115" i="1"/>
  <c r="F115" i="29"/>
  <c r="F115" i="28"/>
  <c r="F115" i="27"/>
  <c r="E115" i="5"/>
  <c r="L115" i="5" s="1"/>
  <c r="O115" i="5" s="1"/>
  <c r="E115" i="4"/>
  <c r="K115" i="4" s="1"/>
  <c r="E115" i="3"/>
  <c r="J115" i="3" s="1"/>
  <c r="M115" i="3" s="1"/>
  <c r="CH87" i="1"/>
  <c r="F87" i="28"/>
  <c r="F87" i="27"/>
  <c r="F87" i="29"/>
  <c r="E87" i="3"/>
  <c r="J87" i="3" s="1"/>
  <c r="E87" i="5"/>
  <c r="L87" i="5" s="1"/>
  <c r="E87" i="4"/>
  <c r="K87" i="4" s="1"/>
  <c r="O3" i="5"/>
  <c r="CH114" i="1"/>
  <c r="F114" i="28"/>
  <c r="F114" i="27"/>
  <c r="F114" i="29"/>
  <c r="E114" i="5"/>
  <c r="L114" i="5" s="1"/>
  <c r="O114" i="5" s="1"/>
  <c r="E114" i="4"/>
  <c r="K114" i="4" s="1"/>
  <c r="O114" i="4" s="1"/>
  <c r="E114" i="3"/>
  <c r="J114" i="3" s="1"/>
  <c r="M114" i="3" s="1"/>
  <c r="CH119" i="1"/>
  <c r="F119" i="27"/>
  <c r="F119" i="28"/>
  <c r="F119" i="29"/>
  <c r="E119" i="3"/>
  <c r="J119" i="3" s="1"/>
  <c r="E119" i="5"/>
  <c r="L119" i="5" s="1"/>
  <c r="E119" i="4"/>
  <c r="K119" i="4" s="1"/>
  <c r="CH111" i="1"/>
  <c r="F111" i="29"/>
  <c r="F111" i="28"/>
  <c r="F111" i="27"/>
  <c r="E111" i="3"/>
  <c r="J111" i="3" s="1"/>
  <c r="E111" i="4"/>
  <c r="K111" i="4" s="1"/>
  <c r="E111" i="5"/>
  <c r="L111" i="5" s="1"/>
  <c r="O111" i="5" s="1"/>
  <c r="CH107" i="1"/>
  <c r="F107" i="28"/>
  <c r="F107" i="27"/>
  <c r="F107" i="29"/>
  <c r="E107" i="4"/>
  <c r="K107" i="4" s="1"/>
  <c r="O107" i="4" s="1"/>
  <c r="E107" i="3"/>
  <c r="J107" i="3" s="1"/>
  <c r="M107" i="3" s="1"/>
  <c r="E107" i="5"/>
  <c r="L107" i="5" s="1"/>
  <c r="O107" i="5" s="1"/>
  <c r="CH31" i="1"/>
  <c r="F31" i="29"/>
  <c r="F31" i="28"/>
  <c r="F31" i="27"/>
  <c r="E31" i="3"/>
  <c r="J31" i="3" s="1"/>
  <c r="E31" i="4"/>
  <c r="K31" i="4" s="1"/>
  <c r="O31" i="4" s="1"/>
  <c r="E31" i="5"/>
  <c r="L31" i="5" s="1"/>
  <c r="O31" i="5" s="1"/>
  <c r="CH19" i="1"/>
  <c r="F19" i="29"/>
  <c r="F19" i="28"/>
  <c r="F19" i="27"/>
  <c r="E19" i="5"/>
  <c r="L19" i="5" s="1"/>
  <c r="O19" i="5" s="1"/>
  <c r="E19" i="4"/>
  <c r="K19" i="4" s="1"/>
  <c r="O19" i="4" s="1"/>
  <c r="E19" i="3"/>
  <c r="J19" i="3" s="1"/>
  <c r="M19" i="3" s="1"/>
  <c r="CR5" i="2"/>
  <c r="CH121" i="1"/>
  <c r="F121" i="27"/>
  <c r="F121" i="29"/>
  <c r="F121" i="28"/>
  <c r="E121" i="5"/>
  <c r="L121" i="5" s="1"/>
  <c r="O121" i="5" s="1"/>
  <c r="E121" i="3"/>
  <c r="J121" i="3" s="1"/>
  <c r="E121" i="4"/>
  <c r="K121" i="4" s="1"/>
  <c r="CH117" i="1"/>
  <c r="F117" i="29"/>
  <c r="F117" i="28"/>
  <c r="F117" i="27"/>
  <c r="E117" i="5"/>
  <c r="L117" i="5" s="1"/>
  <c r="O117" i="5" s="1"/>
  <c r="E117" i="4"/>
  <c r="K117" i="4" s="1"/>
  <c r="O117" i="4" s="1"/>
  <c r="E117" i="3"/>
  <c r="J117" i="3" s="1"/>
  <c r="M117" i="3" s="1"/>
  <c r="CH113" i="1"/>
  <c r="F113" i="28"/>
  <c r="F113" i="27"/>
  <c r="F113" i="29"/>
  <c r="E113" i="4"/>
  <c r="K113" i="4" s="1"/>
  <c r="E113" i="3"/>
  <c r="J113" i="3" s="1"/>
  <c r="E113" i="5"/>
  <c r="L113" i="5" s="1"/>
  <c r="CH109" i="1"/>
  <c r="F109" i="28"/>
  <c r="F109" i="27"/>
  <c r="F109" i="29"/>
  <c r="E109" i="4"/>
  <c r="K109" i="4" s="1"/>
  <c r="O109" i="4" s="1"/>
  <c r="E109" i="3"/>
  <c r="J109" i="3" s="1"/>
  <c r="M109" i="3" s="1"/>
  <c r="E109" i="5"/>
  <c r="L109" i="5" s="1"/>
  <c r="O109" i="5" s="1"/>
  <c r="CH105" i="1"/>
  <c r="F105" i="27"/>
  <c r="F105" i="29"/>
  <c r="F105" i="28"/>
  <c r="E105" i="3"/>
  <c r="J105" i="3" s="1"/>
  <c r="E105" i="5"/>
  <c r="L105" i="5" s="1"/>
  <c r="E105" i="4"/>
  <c r="K105" i="4" s="1"/>
  <c r="CH101" i="1"/>
  <c r="F101" i="28"/>
  <c r="F101" i="27"/>
  <c r="F101" i="29"/>
  <c r="E101" i="5"/>
  <c r="L101" i="5" s="1"/>
  <c r="O101" i="5" s="1"/>
  <c r="E101" i="3"/>
  <c r="J101" i="3" s="1"/>
  <c r="E101" i="4"/>
  <c r="K101" i="4" s="1"/>
  <c r="O101" i="4" s="1"/>
  <c r="CH97" i="1"/>
  <c r="F97" i="27"/>
  <c r="F97" i="28"/>
  <c r="F97" i="29"/>
  <c r="E97" i="4"/>
  <c r="K97" i="4" s="1"/>
  <c r="O97" i="4" s="1"/>
  <c r="E97" i="5"/>
  <c r="L97" i="5" s="1"/>
  <c r="O97" i="5" s="1"/>
  <c r="E97" i="3"/>
  <c r="J97" i="3" s="1"/>
  <c r="CH93" i="1"/>
  <c r="F93" i="28"/>
  <c r="F93" i="27"/>
  <c r="F93" i="29"/>
  <c r="E93" i="3"/>
  <c r="J93" i="3" s="1"/>
  <c r="E93" i="4"/>
  <c r="K93" i="4" s="1"/>
  <c r="E93" i="5"/>
  <c r="L93" i="5" s="1"/>
  <c r="O93" i="5" s="1"/>
  <c r="CH89" i="1"/>
  <c r="F89" i="27"/>
  <c r="F89" i="29"/>
  <c r="F89" i="28"/>
  <c r="E89" i="5"/>
  <c r="L89" i="5" s="1"/>
  <c r="O89" i="5" s="1"/>
  <c r="E89" i="3"/>
  <c r="J89" i="3" s="1"/>
  <c r="M89" i="3" s="1"/>
  <c r="E89" i="4"/>
  <c r="K89" i="4" s="1"/>
  <c r="O89" i="4" s="1"/>
  <c r="CH85" i="1"/>
  <c r="F85" i="29"/>
  <c r="F85" i="27"/>
  <c r="F85" i="28"/>
  <c r="E85" i="5"/>
  <c r="L85" i="5" s="1"/>
  <c r="O85" i="5" s="1"/>
  <c r="E85" i="4"/>
  <c r="K85" i="4" s="1"/>
  <c r="E85" i="3"/>
  <c r="J85" i="3" s="1"/>
  <c r="CH81" i="1"/>
  <c r="F81" i="28"/>
  <c r="F81" i="27"/>
  <c r="F81" i="29"/>
  <c r="E81" i="4"/>
  <c r="K81" i="4" s="1"/>
  <c r="O81" i="4" s="1"/>
  <c r="E81" i="3"/>
  <c r="J81" i="3" s="1"/>
  <c r="M81" i="3" s="1"/>
  <c r="E81" i="5"/>
  <c r="L81" i="5" s="1"/>
  <c r="O81" i="5" s="1"/>
  <c r="CH77" i="1"/>
  <c r="F77" i="28"/>
  <c r="F77" i="27"/>
  <c r="F77" i="29"/>
  <c r="E77" i="4"/>
  <c r="K77" i="4" s="1"/>
  <c r="E77" i="3"/>
  <c r="J77" i="3" s="1"/>
  <c r="E77" i="5"/>
  <c r="L77" i="5" s="1"/>
  <c r="CH73" i="1"/>
  <c r="F73" i="27"/>
  <c r="F73" i="29"/>
  <c r="F73" i="28"/>
  <c r="E73" i="5"/>
  <c r="L73" i="5" s="1"/>
  <c r="O73" i="5" s="1"/>
  <c r="E73" i="3"/>
  <c r="J73" i="3" s="1"/>
  <c r="M73" i="3" s="1"/>
  <c r="E73" i="4"/>
  <c r="K73" i="4" s="1"/>
  <c r="CH69" i="1"/>
  <c r="F69" i="28"/>
  <c r="F69" i="27"/>
  <c r="F69" i="29"/>
  <c r="E69" i="5"/>
  <c r="L69" i="5" s="1"/>
  <c r="O69" i="5" s="1"/>
  <c r="E69" i="4"/>
  <c r="K69" i="4" s="1"/>
  <c r="O69" i="4" s="1"/>
  <c r="E69" i="3"/>
  <c r="J69" i="3" s="1"/>
  <c r="CH65" i="1"/>
  <c r="F65" i="28"/>
  <c r="F65" i="27"/>
  <c r="F65" i="29"/>
  <c r="E65" i="4"/>
  <c r="K65" i="4" s="1"/>
  <c r="O65" i="4" s="1"/>
  <c r="E65" i="3"/>
  <c r="J65" i="3" s="1"/>
  <c r="M65" i="3" s="1"/>
  <c r="E65" i="5"/>
  <c r="L65" i="5" s="1"/>
  <c r="CH61" i="1"/>
  <c r="F61" i="28"/>
  <c r="F61" i="27"/>
  <c r="F61" i="29"/>
  <c r="E61" i="4"/>
  <c r="K61" i="4" s="1"/>
  <c r="O61" i="4" s="1"/>
  <c r="E61" i="3"/>
  <c r="J61" i="3" s="1"/>
  <c r="M61" i="3" s="1"/>
  <c r="E61" i="5"/>
  <c r="L61" i="5" s="1"/>
  <c r="O61" i="5" s="1"/>
  <c r="CH57" i="1"/>
  <c r="F57" i="27"/>
  <c r="F57" i="29"/>
  <c r="F57" i="28"/>
  <c r="E57" i="5"/>
  <c r="L57" i="5" s="1"/>
  <c r="E57" i="3"/>
  <c r="J57" i="3" s="1"/>
  <c r="E57" i="4"/>
  <c r="K57" i="4" s="1"/>
  <c r="O57" i="4" s="1"/>
  <c r="CH53" i="1"/>
  <c r="F53" i="29"/>
  <c r="F53" i="28"/>
  <c r="F53" i="27"/>
  <c r="E53" i="5"/>
  <c r="L53" i="5" s="1"/>
  <c r="O53" i="5" s="1"/>
  <c r="E53" i="4"/>
  <c r="K53" i="4" s="1"/>
  <c r="O53" i="4" s="1"/>
  <c r="E53" i="3"/>
  <c r="J53" i="3" s="1"/>
  <c r="M53" i="3" s="1"/>
  <c r="CH49" i="1"/>
  <c r="F49" i="28"/>
  <c r="F49" i="27"/>
  <c r="F49" i="29"/>
  <c r="E49" i="4"/>
  <c r="K49" i="4" s="1"/>
  <c r="E49" i="5"/>
  <c r="L49" i="5" s="1"/>
  <c r="O49" i="5" s="1"/>
  <c r="E49" i="3"/>
  <c r="J49" i="3" s="1"/>
  <c r="CH45" i="1"/>
  <c r="F45" i="28"/>
  <c r="F45" i="27"/>
  <c r="F45" i="29"/>
  <c r="E45" i="3"/>
  <c r="J45" i="3" s="1"/>
  <c r="M45" i="3" s="1"/>
  <c r="E45" i="4"/>
  <c r="K45" i="4" s="1"/>
  <c r="O45" i="4" s="1"/>
  <c r="E45" i="5"/>
  <c r="L45" i="5" s="1"/>
  <c r="O45" i="5" s="1"/>
  <c r="CH41" i="1"/>
  <c r="F41" i="27"/>
  <c r="F41" i="29"/>
  <c r="F41" i="28"/>
  <c r="E41" i="5"/>
  <c r="L41" i="5" s="1"/>
  <c r="O41" i="5" s="1"/>
  <c r="E41" i="3"/>
  <c r="J41" i="3" s="1"/>
  <c r="E41" i="4"/>
  <c r="K41" i="4" s="1"/>
  <c r="CH37" i="1"/>
  <c r="F37" i="27"/>
  <c r="F37" i="28"/>
  <c r="F37" i="29"/>
  <c r="E37" i="4"/>
  <c r="K37" i="4" s="1"/>
  <c r="E37" i="5"/>
  <c r="L37" i="5" s="1"/>
  <c r="O37" i="5" s="1"/>
  <c r="E37" i="3"/>
  <c r="J37" i="3" s="1"/>
  <c r="CH33" i="1"/>
  <c r="F33" i="27"/>
  <c r="F33" i="28"/>
  <c r="F33" i="29"/>
  <c r="E33" i="4"/>
  <c r="K33" i="4" s="1"/>
  <c r="O33" i="4" s="1"/>
  <c r="E33" i="5"/>
  <c r="L33" i="5" s="1"/>
  <c r="O33" i="5" s="1"/>
  <c r="E33" i="3"/>
  <c r="J33" i="3" s="1"/>
  <c r="CH29" i="1"/>
  <c r="F29" i="28"/>
  <c r="F29" i="27"/>
  <c r="F29" i="29"/>
  <c r="E29" i="3"/>
  <c r="J29" i="3" s="1"/>
  <c r="E29" i="4"/>
  <c r="K29" i="4" s="1"/>
  <c r="E29" i="5"/>
  <c r="L29" i="5" s="1"/>
  <c r="CH25" i="1"/>
  <c r="F25" i="27"/>
  <c r="F25" i="29"/>
  <c r="F25" i="28"/>
  <c r="E25" i="5"/>
  <c r="L25" i="5" s="1"/>
  <c r="O25" i="5" s="1"/>
  <c r="E25" i="3"/>
  <c r="J25" i="3" s="1"/>
  <c r="M25" i="3" s="1"/>
  <c r="E25" i="4"/>
  <c r="K25" i="4" s="1"/>
  <c r="O25" i="4" s="1"/>
  <c r="CH21" i="1"/>
  <c r="F21" i="28"/>
  <c r="F21" i="29"/>
  <c r="F21" i="27"/>
  <c r="E21" i="4"/>
  <c r="K21" i="4" s="1"/>
  <c r="E21" i="5"/>
  <c r="L21" i="5" s="1"/>
  <c r="O21" i="5" s="1"/>
  <c r="E21" i="3"/>
  <c r="J21" i="3" s="1"/>
  <c r="CH17" i="1"/>
  <c r="F17" i="27"/>
  <c r="F17" i="28"/>
  <c r="F17" i="29"/>
  <c r="E17" i="4"/>
  <c r="K17" i="4" s="1"/>
  <c r="O17" i="4" s="1"/>
  <c r="E17" i="3"/>
  <c r="J17" i="3" s="1"/>
  <c r="M17" i="3" s="1"/>
  <c r="E17" i="5"/>
  <c r="L17" i="5" s="1"/>
  <c r="O17" i="5" s="1"/>
  <c r="CH13" i="1"/>
  <c r="F13" i="28"/>
  <c r="F13" i="27"/>
  <c r="F13" i="29"/>
  <c r="E13" i="4"/>
  <c r="K13" i="4" s="1"/>
  <c r="O13" i="4" s="1"/>
  <c r="E13" i="3"/>
  <c r="J13" i="3" s="1"/>
  <c r="E13" i="5"/>
  <c r="L13" i="5" s="1"/>
  <c r="O13" i="5" s="1"/>
  <c r="CH9" i="1"/>
  <c r="F9" i="27"/>
  <c r="F9" i="29"/>
  <c r="F9" i="28"/>
  <c r="E9" i="3"/>
  <c r="J9" i="3" s="1"/>
  <c r="E9" i="5"/>
  <c r="L9" i="5" s="1"/>
  <c r="O9" i="5" s="1"/>
  <c r="E9" i="4"/>
  <c r="K9" i="4" s="1"/>
  <c r="CH5" i="1"/>
  <c r="F5" i="28"/>
  <c r="F5" i="27"/>
  <c r="F5" i="29"/>
  <c r="E5" i="5"/>
  <c r="L5" i="5" s="1"/>
  <c r="O5" i="5" s="1"/>
  <c r="E5" i="4"/>
  <c r="K5" i="4" s="1"/>
  <c r="E5" i="3"/>
  <c r="J5" i="3" s="1"/>
  <c r="O83" i="5"/>
  <c r="O51" i="5"/>
  <c r="CH98" i="1"/>
  <c r="F98" i="29"/>
  <c r="F98" i="28"/>
  <c r="F98" i="27"/>
  <c r="E98" i="5"/>
  <c r="L98" i="5" s="1"/>
  <c r="O98" i="5" s="1"/>
  <c r="E98" i="4"/>
  <c r="K98" i="4" s="1"/>
  <c r="O98" i="4" s="1"/>
  <c r="E98" i="3"/>
  <c r="J98" i="3" s="1"/>
  <c r="M98" i="3" s="1"/>
  <c r="CH94" i="1"/>
  <c r="F94" i="28"/>
  <c r="F94" i="27"/>
  <c r="F94" i="29"/>
  <c r="E94" i="3"/>
  <c r="J94" i="3" s="1"/>
  <c r="E94" i="4"/>
  <c r="K94" i="4" s="1"/>
  <c r="E94" i="5"/>
  <c r="L94" i="5" s="1"/>
  <c r="CH86" i="1"/>
  <c r="F86" i="28"/>
  <c r="F86" i="27"/>
  <c r="F86" i="29"/>
  <c r="E86" i="3"/>
  <c r="J86" i="3" s="1"/>
  <c r="E86" i="5"/>
  <c r="L86" i="5" s="1"/>
  <c r="O86" i="5" s="1"/>
  <c r="E86" i="4"/>
  <c r="K86" i="4" s="1"/>
  <c r="CH82" i="1"/>
  <c r="F82" i="28"/>
  <c r="F82" i="27"/>
  <c r="F82" i="29"/>
  <c r="E82" i="5"/>
  <c r="L82" i="5" s="1"/>
  <c r="O82" i="5" s="1"/>
  <c r="E82" i="4"/>
  <c r="K82" i="4" s="1"/>
  <c r="O82" i="4" s="1"/>
  <c r="E82" i="3"/>
  <c r="J82" i="3" s="1"/>
  <c r="CH78" i="1"/>
  <c r="F78" i="28"/>
  <c r="F78" i="27"/>
  <c r="F78" i="29"/>
  <c r="E78" i="3"/>
  <c r="J78" i="3" s="1"/>
  <c r="M78" i="3" s="1"/>
  <c r="E78" i="4"/>
  <c r="K78" i="4" s="1"/>
  <c r="O78" i="4" s="1"/>
  <c r="E78" i="5"/>
  <c r="L78" i="5" s="1"/>
  <c r="O78" i="5" s="1"/>
  <c r="CH74" i="1"/>
  <c r="F74" i="28"/>
  <c r="F74" i="27"/>
  <c r="F74" i="29"/>
  <c r="E74" i="3"/>
  <c r="J74" i="3" s="1"/>
  <c r="M74" i="3" s="1"/>
  <c r="E74" i="5"/>
  <c r="L74" i="5" s="1"/>
  <c r="O74" i="5" s="1"/>
  <c r="E74" i="4"/>
  <c r="K74" i="4" s="1"/>
  <c r="O74" i="4" s="1"/>
  <c r="CH70" i="1"/>
  <c r="F70" i="28"/>
  <c r="F70" i="29"/>
  <c r="F70" i="27"/>
  <c r="E70" i="3"/>
  <c r="J70" i="3" s="1"/>
  <c r="E70" i="5"/>
  <c r="L70" i="5" s="1"/>
  <c r="O70" i="5" s="1"/>
  <c r="E70" i="4"/>
  <c r="K70" i="4" s="1"/>
  <c r="O70" i="4" s="1"/>
  <c r="CH66" i="1"/>
  <c r="F66" i="29"/>
  <c r="F66" i="28"/>
  <c r="F66" i="27"/>
  <c r="E66" i="5"/>
  <c r="L66" i="5" s="1"/>
  <c r="O66" i="5" s="1"/>
  <c r="E66" i="4"/>
  <c r="K66" i="4" s="1"/>
  <c r="E66" i="3"/>
  <c r="J66" i="3" s="1"/>
  <c r="M66" i="3" s="1"/>
  <c r="CH62" i="1"/>
  <c r="F62" i="28"/>
  <c r="F62" i="27"/>
  <c r="F62" i="29"/>
  <c r="E62" i="4"/>
  <c r="K62" i="4" s="1"/>
  <c r="O62" i="4" s="1"/>
  <c r="E62" i="3"/>
  <c r="J62" i="3" s="1"/>
  <c r="E62" i="5"/>
  <c r="L62" i="5" s="1"/>
  <c r="O62" i="5" s="1"/>
  <c r="CH58" i="1"/>
  <c r="F58" i="28"/>
  <c r="F58" i="27"/>
  <c r="F58" i="29"/>
  <c r="E58" i="5"/>
  <c r="L58" i="5" s="1"/>
  <c r="O58" i="5" s="1"/>
  <c r="E58" i="3"/>
  <c r="J58" i="3" s="1"/>
  <c r="M58" i="3" s="1"/>
  <c r="E58" i="4"/>
  <c r="K58" i="4" s="1"/>
  <c r="O58" i="4" s="1"/>
  <c r="CH54" i="1"/>
  <c r="F54" i="27"/>
  <c r="F54" i="28"/>
  <c r="F54" i="29"/>
  <c r="E54" i="3"/>
  <c r="J54" i="3" s="1"/>
  <c r="M54" i="3" s="1"/>
  <c r="E54" i="5"/>
  <c r="L54" i="5" s="1"/>
  <c r="O54" i="5" s="1"/>
  <c r="E54" i="4"/>
  <c r="K54" i="4" s="1"/>
  <c r="O54" i="4" s="1"/>
  <c r="CH46" i="1"/>
  <c r="F46" i="28"/>
  <c r="F46" i="27"/>
  <c r="F46" i="29"/>
  <c r="E46" i="3"/>
  <c r="J46" i="3" s="1"/>
  <c r="M46" i="3" s="1"/>
  <c r="E46" i="4"/>
  <c r="K46" i="4" s="1"/>
  <c r="O46" i="4" s="1"/>
  <c r="E46" i="5"/>
  <c r="L46" i="5" s="1"/>
  <c r="O46" i="5" s="1"/>
  <c r="CH42" i="1"/>
  <c r="F42" i="28"/>
  <c r="F42" i="27"/>
  <c r="F42" i="29"/>
  <c r="E42" i="3"/>
  <c r="J42" i="3" s="1"/>
  <c r="M42" i="3" s="1"/>
  <c r="E42" i="5"/>
  <c r="L42" i="5" s="1"/>
  <c r="O42" i="5" s="1"/>
  <c r="E42" i="4"/>
  <c r="K42" i="4" s="1"/>
  <c r="O42" i="4" s="1"/>
  <c r="CH38" i="1"/>
  <c r="F38" i="27"/>
  <c r="F38" i="29"/>
  <c r="F38" i="28"/>
  <c r="E38" i="3"/>
  <c r="J38" i="3" s="1"/>
  <c r="E38" i="5"/>
  <c r="L38" i="5" s="1"/>
  <c r="O38" i="5" s="1"/>
  <c r="E38" i="4"/>
  <c r="K38" i="4" s="1"/>
  <c r="CH34" i="1"/>
  <c r="F34" i="28"/>
  <c r="F34" i="27"/>
  <c r="F34" i="29"/>
  <c r="E34" i="5"/>
  <c r="L34" i="5" s="1"/>
  <c r="O34" i="5" s="1"/>
  <c r="E34" i="4"/>
  <c r="K34" i="4" s="1"/>
  <c r="O34" i="4" s="1"/>
  <c r="E34" i="3"/>
  <c r="J34" i="3" s="1"/>
  <c r="M34" i="3" s="1"/>
  <c r="CH26" i="1"/>
  <c r="F26" i="28"/>
  <c r="F26" i="27"/>
  <c r="F26" i="29"/>
  <c r="E26" i="5"/>
  <c r="L26" i="5" s="1"/>
  <c r="O26" i="5" s="1"/>
  <c r="E26" i="3"/>
  <c r="J26" i="3" s="1"/>
  <c r="E26" i="4"/>
  <c r="K26" i="4" s="1"/>
  <c r="CH22" i="1"/>
  <c r="F22" i="28"/>
  <c r="F22" i="27"/>
  <c r="F22" i="29"/>
  <c r="E22" i="3"/>
  <c r="J22" i="3" s="1"/>
  <c r="E22" i="5"/>
  <c r="L22" i="5" s="1"/>
  <c r="O22" i="5" s="1"/>
  <c r="E22" i="4"/>
  <c r="K22" i="4" s="1"/>
  <c r="O22" i="4" s="1"/>
  <c r="CH18" i="1"/>
  <c r="F18" i="28"/>
  <c r="F18" i="27"/>
  <c r="F18" i="29"/>
  <c r="E18" i="5"/>
  <c r="L18" i="5" s="1"/>
  <c r="O18" i="5" s="1"/>
  <c r="E18" i="4"/>
  <c r="K18" i="4" s="1"/>
  <c r="O18" i="4" s="1"/>
  <c r="E18" i="3"/>
  <c r="J18" i="3" s="1"/>
  <c r="CH10" i="1"/>
  <c r="F10" i="28"/>
  <c r="F10" i="27"/>
  <c r="F10" i="29"/>
  <c r="E10" i="5"/>
  <c r="L10" i="5" s="1"/>
  <c r="O10" i="5" s="1"/>
  <c r="E10" i="3"/>
  <c r="J10" i="3" s="1"/>
  <c r="M10" i="3" s="1"/>
  <c r="E10" i="4"/>
  <c r="K10" i="4" s="1"/>
  <c r="O10" i="4" s="1"/>
  <c r="CH6" i="1"/>
  <c r="F6" i="27"/>
  <c r="F6" i="29"/>
  <c r="F6" i="28"/>
  <c r="E6" i="3"/>
  <c r="J6" i="3" s="1"/>
  <c r="M6" i="3" s="1"/>
  <c r="E6" i="5"/>
  <c r="L6" i="5" s="1"/>
  <c r="O6" i="5" s="1"/>
  <c r="E6" i="4"/>
  <c r="K6" i="4" s="1"/>
  <c r="CH103" i="1"/>
  <c r="F103" i="28"/>
  <c r="F103" i="27"/>
  <c r="F103" i="29"/>
  <c r="E103" i="3"/>
  <c r="J103" i="3" s="1"/>
  <c r="E103" i="5"/>
  <c r="L103" i="5" s="1"/>
  <c r="O103" i="5" s="1"/>
  <c r="E103" i="4"/>
  <c r="K103" i="4" s="1"/>
  <c r="O103" i="4" s="1"/>
  <c r="CH99" i="1"/>
  <c r="F99" i="29"/>
  <c r="F99" i="28"/>
  <c r="F99" i="27"/>
  <c r="E99" i="5"/>
  <c r="L99" i="5" s="1"/>
  <c r="O99" i="5" s="1"/>
  <c r="E99" i="4"/>
  <c r="K99" i="4" s="1"/>
  <c r="O99" i="4" s="1"/>
  <c r="E99" i="3"/>
  <c r="J99" i="3" s="1"/>
  <c r="M99" i="3" s="1"/>
  <c r="CH95" i="1"/>
  <c r="F95" i="28"/>
  <c r="F95" i="29"/>
  <c r="F95" i="27"/>
  <c r="E95" i="3"/>
  <c r="J95" i="3" s="1"/>
  <c r="E95" i="4"/>
  <c r="K95" i="4" s="1"/>
  <c r="E95" i="5"/>
  <c r="L95" i="5" s="1"/>
  <c r="O95" i="5" s="1"/>
  <c r="CH75" i="1"/>
  <c r="F75" i="28"/>
  <c r="F75" i="27"/>
  <c r="F75" i="29"/>
  <c r="E75" i="4"/>
  <c r="K75" i="4" s="1"/>
  <c r="O75" i="4" s="1"/>
  <c r="E75" i="3"/>
  <c r="J75" i="3" s="1"/>
  <c r="M75" i="3" s="1"/>
  <c r="E75" i="5"/>
  <c r="L75" i="5" s="1"/>
  <c r="O75" i="5" s="1"/>
  <c r="CH35" i="1"/>
  <c r="F35" i="29"/>
  <c r="F35" i="28"/>
  <c r="F35" i="27"/>
  <c r="E35" i="4"/>
  <c r="K35" i="4" s="1"/>
  <c r="O35" i="4" s="1"/>
  <c r="E35" i="5"/>
  <c r="L35" i="5" s="1"/>
  <c r="O35" i="5" s="1"/>
  <c r="E35" i="3"/>
  <c r="J35" i="3" s="1"/>
  <c r="M35" i="3" s="1"/>
  <c r="CH23" i="1"/>
  <c r="F23" i="28"/>
  <c r="F23" i="27"/>
  <c r="F23" i="29"/>
  <c r="E23" i="3"/>
  <c r="J23" i="3" s="1"/>
  <c r="E23" i="5"/>
  <c r="L23" i="5" s="1"/>
  <c r="O23" i="5" s="1"/>
  <c r="E23" i="4"/>
  <c r="K23" i="4" s="1"/>
  <c r="O23" i="4" s="1"/>
  <c r="CH11" i="1"/>
  <c r="F11" i="28"/>
  <c r="F11" i="27"/>
  <c r="F11" i="29"/>
  <c r="E11" i="4"/>
  <c r="K11" i="4" s="1"/>
  <c r="E11" i="5"/>
  <c r="L11" i="5" s="1"/>
  <c r="O11" i="5" s="1"/>
  <c r="E11" i="3"/>
  <c r="J11" i="3" s="1"/>
  <c r="M11" i="3" s="1"/>
  <c r="AA4" i="2"/>
  <c r="AA5" i="2" s="1"/>
  <c r="O48" i="5"/>
  <c r="O120" i="5"/>
  <c r="O77" i="5"/>
  <c r="O29" i="5"/>
  <c r="O50" i="5"/>
  <c r="O119" i="5"/>
  <c r="O87" i="5"/>
  <c r="O39" i="5"/>
  <c r="O108" i="5"/>
  <c r="O92" i="5"/>
  <c r="O76" i="5"/>
  <c r="O28" i="5"/>
  <c r="O65" i="5"/>
  <c r="O102" i="5"/>
  <c r="O91" i="5"/>
  <c r="O59" i="5"/>
  <c r="O56" i="5"/>
  <c r="O113" i="5"/>
  <c r="O118" i="5"/>
  <c r="O112" i="5"/>
  <c r="O79" i="5"/>
  <c r="O47" i="5"/>
  <c r="O84" i="5"/>
  <c r="O20" i="5"/>
  <c r="O105" i="5"/>
  <c r="O57" i="5"/>
  <c r="O110" i="5"/>
  <c r="O94" i="5"/>
  <c r="O14" i="5"/>
  <c r="C75" i="3"/>
  <c r="B75" i="3"/>
  <c r="C59" i="3"/>
  <c r="B59" i="3"/>
  <c r="C43" i="3"/>
  <c r="B43" i="3"/>
  <c r="B108" i="3"/>
  <c r="C108" i="3"/>
  <c r="B92" i="3"/>
  <c r="C92" i="3"/>
  <c r="B7" i="4"/>
  <c r="C7" i="4"/>
  <c r="C106" i="4"/>
  <c r="B106" i="4"/>
  <c r="C90" i="4"/>
  <c r="B90" i="4"/>
  <c r="B74" i="4"/>
  <c r="C74" i="4"/>
  <c r="B58" i="4"/>
  <c r="C58" i="4"/>
  <c r="B42" i="4"/>
  <c r="C42" i="4"/>
  <c r="C26" i="4"/>
  <c r="B26" i="4"/>
  <c r="C10" i="4"/>
  <c r="B10" i="4"/>
  <c r="B113" i="5"/>
  <c r="C113" i="5"/>
  <c r="B97" i="5"/>
  <c r="C97" i="5"/>
  <c r="B81" i="5"/>
  <c r="C81" i="5"/>
  <c r="B65" i="5"/>
  <c r="C65" i="5"/>
  <c r="B49" i="5"/>
  <c r="C49" i="5"/>
  <c r="B33" i="5"/>
  <c r="C33" i="5"/>
  <c r="B17" i="5"/>
  <c r="C17" i="5"/>
  <c r="B80" i="3"/>
  <c r="C80" i="3"/>
  <c r="B64" i="3"/>
  <c r="C64" i="3"/>
  <c r="B48" i="3"/>
  <c r="C48" i="3"/>
  <c r="B113" i="3"/>
  <c r="C113" i="3"/>
  <c r="B97" i="3"/>
  <c r="C97" i="3"/>
  <c r="B118" i="3"/>
  <c r="C118" i="3"/>
  <c r="B121" i="4"/>
  <c r="C121" i="4"/>
  <c r="C105" i="4"/>
  <c r="B105" i="4"/>
  <c r="C89" i="4"/>
  <c r="B89" i="4"/>
  <c r="C73" i="4"/>
  <c r="B73" i="4"/>
  <c r="C57" i="4"/>
  <c r="B57" i="4"/>
  <c r="C41" i="4"/>
  <c r="B41" i="4"/>
  <c r="C25" i="4"/>
  <c r="B25" i="4"/>
  <c r="C9" i="4"/>
  <c r="B9" i="4"/>
  <c r="C112" i="5"/>
  <c r="B112" i="5"/>
  <c r="C96" i="5"/>
  <c r="B96" i="5"/>
  <c r="C80" i="5"/>
  <c r="B80" i="5"/>
  <c r="C64" i="5"/>
  <c r="B64" i="5"/>
  <c r="C48" i="5"/>
  <c r="B48" i="5"/>
  <c r="C32" i="5"/>
  <c r="B32" i="5"/>
  <c r="C16" i="5"/>
  <c r="B16" i="5"/>
  <c r="B27" i="3"/>
  <c r="C27" i="3"/>
  <c r="C31" i="3"/>
  <c r="B31" i="3"/>
  <c r="B15" i="3"/>
  <c r="C15" i="3"/>
  <c r="C30" i="3"/>
  <c r="B30" i="3"/>
  <c r="B14" i="3"/>
  <c r="C14" i="3"/>
  <c r="B69" i="3"/>
  <c r="C69" i="3"/>
  <c r="B53" i="3"/>
  <c r="C53" i="3"/>
  <c r="B37" i="3"/>
  <c r="C37" i="3"/>
  <c r="B102" i="3"/>
  <c r="C102" i="3"/>
  <c r="B86" i="3"/>
  <c r="C86" i="3"/>
  <c r="C120" i="4"/>
  <c r="B120" i="4"/>
  <c r="C104" i="4"/>
  <c r="B104" i="4"/>
  <c r="C88" i="4"/>
  <c r="B88" i="4"/>
  <c r="C72" i="4"/>
  <c r="B72" i="4"/>
  <c r="C56" i="4"/>
  <c r="B56" i="4"/>
  <c r="C40" i="4"/>
  <c r="B40" i="4"/>
  <c r="C24" i="4"/>
  <c r="B24" i="4"/>
  <c r="C8" i="4"/>
  <c r="B8" i="4"/>
  <c r="C111" i="5"/>
  <c r="B111" i="5"/>
  <c r="C95" i="5"/>
  <c r="B95" i="5"/>
  <c r="C79" i="5"/>
  <c r="B79" i="5"/>
  <c r="C63" i="5"/>
  <c r="B63" i="5"/>
  <c r="C47" i="5"/>
  <c r="B47" i="5"/>
  <c r="C31" i="5"/>
  <c r="B31" i="5"/>
  <c r="C15" i="5"/>
  <c r="B15" i="5"/>
  <c r="B29" i="3"/>
  <c r="C29" i="3"/>
  <c r="B13" i="3"/>
  <c r="C13" i="3"/>
  <c r="B28" i="3"/>
  <c r="C28" i="3"/>
  <c r="B12" i="3"/>
  <c r="C12" i="3"/>
  <c r="B74" i="3"/>
  <c r="C74" i="3"/>
  <c r="B58" i="3"/>
  <c r="C58" i="3"/>
  <c r="B42" i="3"/>
  <c r="C42" i="3"/>
  <c r="B107" i="3"/>
  <c r="C107" i="3"/>
  <c r="B91" i="3"/>
  <c r="C91" i="3"/>
  <c r="C119" i="4"/>
  <c r="B119" i="4"/>
  <c r="C103" i="4"/>
  <c r="B103" i="4"/>
  <c r="C87" i="4"/>
  <c r="B87" i="4"/>
  <c r="C71" i="4"/>
  <c r="B71" i="4"/>
  <c r="C55" i="4"/>
  <c r="B55" i="4"/>
  <c r="C39" i="4"/>
  <c r="B39" i="4"/>
  <c r="B23" i="4"/>
  <c r="C23" i="4"/>
  <c r="C110" i="5"/>
  <c r="B110" i="5"/>
  <c r="C94" i="5"/>
  <c r="B94" i="5"/>
  <c r="C78" i="5"/>
  <c r="B78" i="5"/>
  <c r="C62" i="5"/>
  <c r="B62" i="5"/>
  <c r="C46" i="5"/>
  <c r="B46" i="5"/>
  <c r="C30" i="5"/>
  <c r="B30" i="5"/>
  <c r="C14" i="5"/>
  <c r="B14" i="5"/>
  <c r="B109" i="5"/>
  <c r="C109" i="5"/>
  <c r="C93" i="5"/>
  <c r="B93" i="5"/>
  <c r="C77" i="5"/>
  <c r="B77" i="5"/>
  <c r="C61" i="5"/>
  <c r="B61" i="5"/>
  <c r="B45" i="5"/>
  <c r="C45" i="5"/>
  <c r="C29" i="5"/>
  <c r="B29" i="5"/>
  <c r="B13" i="5"/>
  <c r="C13" i="5"/>
  <c r="B112" i="3"/>
  <c r="C112" i="3"/>
  <c r="B26" i="3"/>
  <c r="C26" i="3"/>
  <c r="B84" i="3"/>
  <c r="C84" i="3"/>
  <c r="B68" i="3"/>
  <c r="C68" i="3"/>
  <c r="B52" i="3"/>
  <c r="C52" i="3"/>
  <c r="B36" i="3"/>
  <c r="C36" i="3"/>
  <c r="B101" i="3"/>
  <c r="C101" i="3"/>
  <c r="B85" i="3"/>
  <c r="C85" i="3"/>
  <c r="B117" i="4"/>
  <c r="C117" i="4"/>
  <c r="C101" i="4"/>
  <c r="B101" i="4"/>
  <c r="B85" i="4"/>
  <c r="C85" i="4"/>
  <c r="C69" i="4"/>
  <c r="B69" i="4"/>
  <c r="C53" i="4"/>
  <c r="B53" i="4"/>
  <c r="C37" i="4"/>
  <c r="B37" i="4"/>
  <c r="C21" i="4"/>
  <c r="B21" i="4"/>
  <c r="C108" i="5"/>
  <c r="B108" i="5"/>
  <c r="C92" i="5"/>
  <c r="B92" i="5"/>
  <c r="C76" i="5"/>
  <c r="B76" i="5"/>
  <c r="C60" i="5"/>
  <c r="B60" i="5"/>
  <c r="C44" i="5"/>
  <c r="B44" i="5"/>
  <c r="C28" i="5"/>
  <c r="B28" i="5"/>
  <c r="C12" i="5"/>
  <c r="B12" i="5"/>
  <c r="C79" i="3"/>
  <c r="B79" i="3"/>
  <c r="C63" i="3"/>
  <c r="B63" i="3"/>
  <c r="C47" i="3"/>
  <c r="B47" i="3"/>
  <c r="B96" i="3"/>
  <c r="C96" i="3"/>
  <c r="C117" i="3"/>
  <c r="B117" i="3"/>
  <c r="C118" i="4"/>
  <c r="B118" i="4"/>
  <c r="C102" i="4"/>
  <c r="B102" i="4"/>
  <c r="C86" i="4"/>
  <c r="B86" i="4"/>
  <c r="B70" i="4"/>
  <c r="C70" i="4"/>
  <c r="C54" i="4"/>
  <c r="B54" i="4"/>
  <c r="C38" i="4"/>
  <c r="B38" i="4"/>
  <c r="C22" i="4"/>
  <c r="B22" i="4"/>
  <c r="B10" i="3"/>
  <c r="C10" i="3"/>
  <c r="B25" i="3"/>
  <c r="C25" i="3"/>
  <c r="C9" i="3"/>
  <c r="B9" i="3"/>
  <c r="B73" i="3"/>
  <c r="C73" i="3"/>
  <c r="B57" i="3"/>
  <c r="C57" i="3"/>
  <c r="B41" i="3"/>
  <c r="C41" i="3"/>
  <c r="B106" i="3"/>
  <c r="C106" i="3"/>
  <c r="B90" i="3"/>
  <c r="C90" i="3"/>
  <c r="C116" i="4"/>
  <c r="B116" i="4"/>
  <c r="C100" i="4"/>
  <c r="B100" i="4"/>
  <c r="C84" i="4"/>
  <c r="B84" i="4"/>
  <c r="C68" i="4"/>
  <c r="B68" i="4"/>
  <c r="B52" i="4"/>
  <c r="C52" i="4"/>
  <c r="B36" i="4"/>
  <c r="C36" i="4"/>
  <c r="B20" i="4"/>
  <c r="C20" i="4"/>
  <c r="C107" i="5"/>
  <c r="B107" i="5"/>
  <c r="C91" i="5"/>
  <c r="B91" i="5"/>
  <c r="C75" i="5"/>
  <c r="B75" i="5"/>
  <c r="C59" i="5"/>
  <c r="B59" i="5"/>
  <c r="C43" i="5"/>
  <c r="B43" i="5"/>
  <c r="C27" i="5"/>
  <c r="B27" i="5"/>
  <c r="C11" i="5"/>
  <c r="B11" i="5"/>
  <c r="B24" i="3"/>
  <c r="C24" i="3"/>
  <c r="C8" i="3"/>
  <c r="B8" i="3"/>
  <c r="B78" i="3"/>
  <c r="C78" i="3"/>
  <c r="C62" i="3"/>
  <c r="B62" i="3"/>
  <c r="C46" i="3"/>
  <c r="B46" i="3"/>
  <c r="C111" i="3"/>
  <c r="B111" i="3"/>
  <c r="C95" i="3"/>
  <c r="B95" i="3"/>
  <c r="B116" i="3"/>
  <c r="C116" i="3"/>
  <c r="C115" i="4"/>
  <c r="B115" i="4"/>
  <c r="C99" i="4"/>
  <c r="B99" i="4"/>
  <c r="C83" i="4"/>
  <c r="B83" i="4"/>
  <c r="C67" i="4"/>
  <c r="B67" i="4"/>
  <c r="C51" i="4"/>
  <c r="B51" i="4"/>
  <c r="C35" i="4"/>
  <c r="B35" i="4"/>
  <c r="C19" i="4"/>
  <c r="B19" i="4"/>
  <c r="C106" i="5"/>
  <c r="B106" i="5"/>
  <c r="C90" i="5"/>
  <c r="B90" i="5"/>
  <c r="B74" i="5"/>
  <c r="C74" i="5"/>
  <c r="B58" i="5"/>
  <c r="C58" i="5"/>
  <c r="C42" i="5"/>
  <c r="B42" i="5"/>
  <c r="C26" i="5"/>
  <c r="B26" i="5"/>
  <c r="C10" i="5"/>
  <c r="B10" i="5"/>
  <c r="C83" i="3"/>
  <c r="B83" i="3"/>
  <c r="B67" i="3"/>
  <c r="C67" i="3"/>
  <c r="B51" i="3"/>
  <c r="C51" i="3"/>
  <c r="B35" i="3"/>
  <c r="C35" i="3"/>
  <c r="B100" i="3"/>
  <c r="C100" i="3"/>
  <c r="B121" i="3"/>
  <c r="C121" i="3"/>
  <c r="C6" i="4"/>
  <c r="B6" i="4"/>
  <c r="C114" i="4"/>
  <c r="B114" i="4"/>
  <c r="C98" i="4"/>
  <c r="B98" i="4"/>
  <c r="C82" i="4"/>
  <c r="B82" i="4"/>
  <c r="C66" i="4"/>
  <c r="B66" i="4"/>
  <c r="C50" i="4"/>
  <c r="B50" i="4"/>
  <c r="B34" i="4"/>
  <c r="C34" i="4"/>
  <c r="C18" i="4"/>
  <c r="B18" i="4"/>
  <c r="B121" i="5"/>
  <c r="C121" i="5"/>
  <c r="B105" i="5"/>
  <c r="C105" i="5"/>
  <c r="B89" i="5"/>
  <c r="C89" i="5"/>
  <c r="B73" i="5"/>
  <c r="C73" i="5"/>
  <c r="B57" i="5"/>
  <c r="C57" i="5"/>
  <c r="B41" i="5"/>
  <c r="C41" i="5"/>
  <c r="B25" i="5"/>
  <c r="C25" i="5"/>
  <c r="B9" i="5"/>
  <c r="C9" i="5"/>
  <c r="B72" i="3"/>
  <c r="C72" i="3"/>
  <c r="B56" i="3"/>
  <c r="C56" i="3"/>
  <c r="B40" i="3"/>
  <c r="C40" i="3"/>
  <c r="C105" i="3"/>
  <c r="B105" i="3"/>
  <c r="B89" i="3"/>
  <c r="C89" i="3"/>
  <c r="C5" i="4"/>
  <c r="B5" i="4"/>
  <c r="B113" i="4"/>
  <c r="C113" i="4"/>
  <c r="B97" i="4"/>
  <c r="C97" i="4"/>
  <c r="C81" i="4"/>
  <c r="B81" i="4"/>
  <c r="C65" i="4"/>
  <c r="B65" i="4"/>
  <c r="C49" i="4"/>
  <c r="B49" i="4"/>
  <c r="B33" i="4"/>
  <c r="C33" i="4"/>
  <c r="C17" i="4"/>
  <c r="B17" i="4"/>
  <c r="C120" i="5"/>
  <c r="B120" i="5"/>
  <c r="C104" i="5"/>
  <c r="B104" i="5"/>
  <c r="C88" i="5"/>
  <c r="B88" i="5"/>
  <c r="C72" i="5"/>
  <c r="B72" i="5"/>
  <c r="C56" i="5"/>
  <c r="B56" i="5"/>
  <c r="C40" i="5"/>
  <c r="B40" i="5"/>
  <c r="C24" i="5"/>
  <c r="B24" i="5"/>
  <c r="C8" i="5"/>
  <c r="B8" i="5"/>
  <c r="B11" i="3"/>
  <c r="C11" i="3"/>
  <c r="C5" i="3"/>
  <c r="B5" i="3"/>
  <c r="B77" i="3"/>
  <c r="C77" i="3"/>
  <c r="B61" i="3"/>
  <c r="C61" i="3"/>
  <c r="B45" i="3"/>
  <c r="C45" i="3"/>
  <c r="B110" i="3"/>
  <c r="C110" i="3"/>
  <c r="C94" i="3"/>
  <c r="B94" i="3"/>
  <c r="B4" i="4"/>
  <c r="C4" i="4"/>
  <c r="C112" i="4"/>
  <c r="B112" i="4"/>
  <c r="C96" i="4"/>
  <c r="B96" i="4"/>
  <c r="C80" i="4"/>
  <c r="B80" i="4"/>
  <c r="C64" i="4"/>
  <c r="B64" i="4"/>
  <c r="C48" i="4"/>
  <c r="B48" i="4"/>
  <c r="C32" i="4"/>
  <c r="B32" i="4"/>
  <c r="C16" i="4"/>
  <c r="B16" i="4"/>
  <c r="C119" i="5"/>
  <c r="B119" i="5"/>
  <c r="C103" i="5"/>
  <c r="B103" i="5"/>
  <c r="C87" i="5"/>
  <c r="B87" i="5"/>
  <c r="C71" i="5"/>
  <c r="B71" i="5"/>
  <c r="C55" i="5"/>
  <c r="B55" i="5"/>
  <c r="C39" i="5"/>
  <c r="B39" i="5"/>
  <c r="C23" i="5"/>
  <c r="B23" i="5"/>
  <c r="C7" i="5"/>
  <c r="B7" i="5"/>
  <c r="B6" i="3"/>
  <c r="C6" i="3"/>
  <c r="B4" i="3"/>
  <c r="C4" i="3"/>
  <c r="B82" i="3"/>
  <c r="C82" i="3"/>
  <c r="B66" i="3"/>
  <c r="C66" i="3"/>
  <c r="B50" i="3"/>
  <c r="C50" i="3"/>
  <c r="C115" i="3"/>
  <c r="B115" i="3"/>
  <c r="C99" i="3"/>
  <c r="B99" i="3"/>
  <c r="B120" i="3"/>
  <c r="C120" i="3"/>
  <c r="B3" i="4"/>
  <c r="C3" i="4"/>
  <c r="C111" i="4"/>
  <c r="B111" i="4"/>
  <c r="C95" i="4"/>
  <c r="B95" i="4"/>
  <c r="C79" i="4"/>
  <c r="B79" i="4"/>
  <c r="C63" i="4"/>
  <c r="B63" i="4"/>
  <c r="C47" i="4"/>
  <c r="B47" i="4"/>
  <c r="B31" i="4"/>
  <c r="C31" i="4"/>
  <c r="B15" i="4"/>
  <c r="C15" i="4"/>
  <c r="C118" i="5"/>
  <c r="B118" i="5"/>
  <c r="C102" i="5"/>
  <c r="B102" i="5"/>
  <c r="C86" i="5"/>
  <c r="B86" i="5"/>
  <c r="C70" i="5"/>
  <c r="B70" i="5"/>
  <c r="C54" i="5"/>
  <c r="B54" i="5"/>
  <c r="C38" i="5"/>
  <c r="B38" i="5"/>
  <c r="C22" i="5"/>
  <c r="B22" i="5"/>
  <c r="C6" i="5"/>
  <c r="B6" i="5"/>
  <c r="B7" i="3"/>
  <c r="C7" i="3"/>
  <c r="B20" i="3"/>
  <c r="C20" i="3"/>
  <c r="C3" i="3"/>
  <c r="B3" i="3"/>
  <c r="C71" i="3"/>
  <c r="B71" i="3"/>
  <c r="C55" i="3"/>
  <c r="B55" i="3"/>
  <c r="C39" i="3"/>
  <c r="B39" i="3"/>
  <c r="B104" i="3"/>
  <c r="C104" i="3"/>
  <c r="B88" i="3"/>
  <c r="C88" i="3"/>
  <c r="C2" i="4"/>
  <c r="B2" i="4"/>
  <c r="C110" i="4"/>
  <c r="B110" i="4"/>
  <c r="C94" i="4"/>
  <c r="B94" i="4"/>
  <c r="C78" i="4"/>
  <c r="B78" i="4"/>
  <c r="C62" i="4"/>
  <c r="B62" i="4"/>
  <c r="C46" i="4"/>
  <c r="B46" i="4"/>
  <c r="B30" i="4"/>
  <c r="C30" i="4"/>
  <c r="C14" i="4"/>
  <c r="B14" i="4"/>
  <c r="C117" i="5"/>
  <c r="B117" i="5"/>
  <c r="B101" i="5"/>
  <c r="C101" i="5"/>
  <c r="C85" i="5"/>
  <c r="B85" i="5"/>
  <c r="C69" i="5"/>
  <c r="B69" i="5"/>
  <c r="C53" i="5"/>
  <c r="B53" i="5"/>
  <c r="C37" i="5"/>
  <c r="B37" i="5"/>
  <c r="C21" i="5"/>
  <c r="B21" i="5"/>
  <c r="C5" i="5"/>
  <c r="B5" i="5"/>
  <c r="C23" i="3"/>
  <c r="B23" i="3"/>
  <c r="B22" i="3"/>
  <c r="C22" i="3"/>
  <c r="B21" i="3"/>
  <c r="C21" i="3"/>
  <c r="B76" i="3"/>
  <c r="C76" i="3"/>
  <c r="B60" i="3"/>
  <c r="C60" i="3"/>
  <c r="B44" i="3"/>
  <c r="C44" i="3"/>
  <c r="B109" i="3"/>
  <c r="C109" i="3"/>
  <c r="B93" i="3"/>
  <c r="C93" i="3"/>
  <c r="C109" i="4"/>
  <c r="B109" i="4"/>
  <c r="C93" i="4"/>
  <c r="B93" i="4"/>
  <c r="C77" i="4"/>
  <c r="B77" i="4"/>
  <c r="B61" i="4"/>
  <c r="C61" i="4"/>
  <c r="C45" i="4"/>
  <c r="B45" i="4"/>
  <c r="C29" i="4"/>
  <c r="B29" i="4"/>
  <c r="C13" i="4"/>
  <c r="B13" i="4"/>
  <c r="C116" i="5"/>
  <c r="B116" i="5"/>
  <c r="C100" i="5"/>
  <c r="B100" i="5"/>
  <c r="C84" i="5"/>
  <c r="B84" i="5"/>
  <c r="C68" i="5"/>
  <c r="B68" i="5"/>
  <c r="C52" i="5"/>
  <c r="B52" i="5"/>
  <c r="C36" i="5"/>
  <c r="B36" i="5"/>
  <c r="C20" i="5"/>
  <c r="B20" i="5"/>
  <c r="C4" i="5"/>
  <c r="B4" i="5"/>
  <c r="C19" i="3"/>
  <c r="B19" i="3"/>
  <c r="B34" i="3"/>
  <c r="C34" i="3"/>
  <c r="C2" i="3"/>
  <c r="B2" i="3"/>
  <c r="B33" i="3"/>
  <c r="C33" i="3"/>
  <c r="B17" i="3"/>
  <c r="C17" i="3"/>
  <c r="B81" i="3"/>
  <c r="C81" i="3"/>
  <c r="B65" i="3"/>
  <c r="C65" i="3"/>
  <c r="B49" i="3"/>
  <c r="C49" i="3"/>
  <c r="B114" i="3"/>
  <c r="C114" i="3"/>
  <c r="B98" i="3"/>
  <c r="C98" i="3"/>
  <c r="C119" i="3"/>
  <c r="B119" i="3"/>
  <c r="C108" i="4"/>
  <c r="B108" i="4"/>
  <c r="C92" i="4"/>
  <c r="B92" i="4"/>
  <c r="C76" i="4"/>
  <c r="B76" i="4"/>
  <c r="C60" i="4"/>
  <c r="B60" i="4"/>
  <c r="B44" i="4"/>
  <c r="C44" i="4"/>
  <c r="B28" i="4"/>
  <c r="C28" i="4"/>
  <c r="B12" i="4"/>
  <c r="C12" i="4"/>
  <c r="C115" i="5"/>
  <c r="B115" i="5"/>
  <c r="C99" i="5"/>
  <c r="B99" i="5"/>
  <c r="C83" i="5"/>
  <c r="B83" i="5"/>
  <c r="C67" i="5"/>
  <c r="B67" i="5"/>
  <c r="C51" i="5"/>
  <c r="B51" i="5"/>
  <c r="C35" i="5"/>
  <c r="B35" i="5"/>
  <c r="C19" i="5"/>
  <c r="B19" i="5"/>
  <c r="C3" i="5"/>
  <c r="B3" i="5"/>
  <c r="B18" i="3"/>
  <c r="C18" i="3"/>
  <c r="B32" i="3"/>
  <c r="C32" i="3"/>
  <c r="C16" i="3"/>
  <c r="B16" i="3"/>
  <c r="C70" i="3"/>
  <c r="B70" i="3"/>
  <c r="B54" i="3"/>
  <c r="C54" i="3"/>
  <c r="B38" i="3"/>
  <c r="C38" i="3"/>
  <c r="C103" i="3"/>
  <c r="B103" i="3"/>
  <c r="C87" i="3"/>
  <c r="B87" i="3"/>
  <c r="C107" i="4"/>
  <c r="B107" i="4"/>
  <c r="C91" i="4"/>
  <c r="B91" i="4"/>
  <c r="C75" i="4"/>
  <c r="B75" i="4"/>
  <c r="C59" i="4"/>
  <c r="B59" i="4"/>
  <c r="C43" i="4"/>
  <c r="B43" i="4"/>
  <c r="C27" i="4"/>
  <c r="B27" i="4"/>
  <c r="C11" i="4"/>
  <c r="B11" i="4"/>
  <c r="C114" i="5"/>
  <c r="B114" i="5"/>
  <c r="C98" i="5"/>
  <c r="B98" i="5"/>
  <c r="C82" i="5"/>
  <c r="B82" i="5"/>
  <c r="C66" i="5"/>
  <c r="B66" i="5"/>
  <c r="B50" i="5"/>
  <c r="C50" i="5"/>
  <c r="C34" i="5"/>
  <c r="B34" i="5"/>
  <c r="C18" i="5"/>
  <c r="B18" i="5"/>
  <c r="C2" i="5"/>
  <c r="B2" i="5"/>
  <c r="K8" i="6"/>
  <c r="D7" i="6"/>
  <c r="E7" i="6" s="1"/>
  <c r="K7" i="6"/>
  <c r="J7" i="6"/>
  <c r="J14" i="7"/>
  <c r="J19" i="7" s="1"/>
  <c r="J18" i="7"/>
  <c r="N14" i="7"/>
  <c r="N19" i="7" s="1"/>
  <c r="N18" i="7"/>
  <c r="R14" i="7"/>
  <c r="R19" i="7" s="1"/>
  <c r="R18" i="7"/>
  <c r="K107" i="1"/>
  <c r="L107" i="1" s="1"/>
  <c r="E107" i="1"/>
  <c r="F107" i="1" s="1"/>
  <c r="H107" i="1"/>
  <c r="I107" i="1" s="1"/>
  <c r="K91" i="1"/>
  <c r="L91" i="1" s="1"/>
  <c r="E91" i="1"/>
  <c r="F91" i="1" s="1"/>
  <c r="H91" i="1"/>
  <c r="I91" i="1" s="1"/>
  <c r="K75" i="1"/>
  <c r="L75" i="1" s="1"/>
  <c r="E75" i="1"/>
  <c r="F75" i="1" s="1"/>
  <c r="H75" i="1"/>
  <c r="I75" i="1" s="1"/>
  <c r="K59" i="1"/>
  <c r="L59" i="1" s="1"/>
  <c r="E59" i="1"/>
  <c r="F59" i="1" s="1"/>
  <c r="H59" i="1"/>
  <c r="I59" i="1" s="1"/>
  <c r="K43" i="1"/>
  <c r="L43" i="1" s="1"/>
  <c r="E43" i="1"/>
  <c r="F43" i="1" s="1"/>
  <c r="H43" i="1"/>
  <c r="I43" i="1" s="1"/>
  <c r="K27" i="1"/>
  <c r="L27" i="1" s="1"/>
  <c r="E27" i="1"/>
  <c r="F27" i="1" s="1"/>
  <c r="H27" i="1"/>
  <c r="I27" i="1" s="1"/>
  <c r="K11" i="1"/>
  <c r="L11" i="1" s="1"/>
  <c r="E11" i="1"/>
  <c r="F11" i="1" s="1"/>
  <c r="H11" i="1"/>
  <c r="I11" i="1" s="1"/>
  <c r="K30" i="1"/>
  <c r="L30" i="1" s="1"/>
  <c r="E30" i="1"/>
  <c r="F30" i="1" s="1"/>
  <c r="H30" i="1"/>
  <c r="I30" i="1" s="1"/>
  <c r="K92" i="1"/>
  <c r="L92" i="1" s="1"/>
  <c r="E92" i="1"/>
  <c r="F92" i="1" s="1"/>
  <c r="H92" i="1"/>
  <c r="I92" i="1" s="1"/>
  <c r="K2" i="1"/>
  <c r="E2" i="1"/>
  <c r="H2" i="1"/>
  <c r="K106" i="1"/>
  <c r="L106" i="1" s="1"/>
  <c r="E106" i="1"/>
  <c r="F106" i="1" s="1"/>
  <c r="H106" i="1"/>
  <c r="I106" i="1" s="1"/>
  <c r="K90" i="1"/>
  <c r="L90" i="1" s="1"/>
  <c r="E90" i="1"/>
  <c r="F90" i="1" s="1"/>
  <c r="H90" i="1"/>
  <c r="I90" i="1" s="1"/>
  <c r="K74" i="1"/>
  <c r="E74" i="1"/>
  <c r="H74" i="1"/>
  <c r="K58" i="1"/>
  <c r="L58" i="1" s="1"/>
  <c r="E58" i="1"/>
  <c r="F58" i="1" s="1"/>
  <c r="H58" i="1"/>
  <c r="I58" i="1" s="1"/>
  <c r="K42" i="1"/>
  <c r="L42" i="1" s="1"/>
  <c r="E42" i="1"/>
  <c r="F42" i="1" s="1"/>
  <c r="H42" i="1"/>
  <c r="I42" i="1" s="1"/>
  <c r="K26" i="1"/>
  <c r="E26" i="1"/>
  <c r="H26" i="1"/>
  <c r="K10" i="1"/>
  <c r="L10" i="1" s="1"/>
  <c r="E10" i="1"/>
  <c r="F10" i="1" s="1"/>
  <c r="H10" i="1"/>
  <c r="I10" i="1" s="1"/>
  <c r="K14" i="1"/>
  <c r="E14" i="1"/>
  <c r="H14" i="1"/>
  <c r="K121" i="1"/>
  <c r="L121" i="1" s="1"/>
  <c r="E121" i="1"/>
  <c r="F121" i="1" s="1"/>
  <c r="I121" i="1"/>
  <c r="K73" i="1"/>
  <c r="L73" i="1" s="1"/>
  <c r="E73" i="1"/>
  <c r="F73" i="1" s="1"/>
  <c r="H73" i="1"/>
  <c r="I73" i="1" s="1"/>
  <c r="K57" i="1"/>
  <c r="L57" i="1" s="1"/>
  <c r="E57" i="1"/>
  <c r="F57" i="1" s="1"/>
  <c r="H57" i="1"/>
  <c r="I57" i="1" s="1"/>
  <c r="K41" i="1"/>
  <c r="L41" i="1" s="1"/>
  <c r="E41" i="1"/>
  <c r="F41" i="1" s="1"/>
  <c r="H41" i="1"/>
  <c r="I41" i="1" s="1"/>
  <c r="K25" i="1"/>
  <c r="L25" i="1" s="1"/>
  <c r="E25" i="1"/>
  <c r="F25" i="1" s="1"/>
  <c r="H25" i="1"/>
  <c r="I25" i="1" s="1"/>
  <c r="K9" i="1"/>
  <c r="L9" i="1" s="1"/>
  <c r="E9" i="1"/>
  <c r="F9" i="1" s="1"/>
  <c r="H9" i="1"/>
  <c r="I9" i="1" s="1"/>
  <c r="K46" i="1"/>
  <c r="L46" i="1" s="1"/>
  <c r="E46" i="1"/>
  <c r="F46" i="1" s="1"/>
  <c r="H46" i="1"/>
  <c r="I46" i="1" s="1"/>
  <c r="K89" i="1"/>
  <c r="L89" i="1" s="1"/>
  <c r="F89" i="1"/>
  <c r="H89" i="1"/>
  <c r="I89" i="1" s="1"/>
  <c r="K104" i="1"/>
  <c r="L104" i="1" s="1"/>
  <c r="E104" i="1"/>
  <c r="F104" i="1" s="1"/>
  <c r="H104" i="1"/>
  <c r="I104" i="1" s="1"/>
  <c r="K72" i="1"/>
  <c r="L72" i="1" s="1"/>
  <c r="E72" i="1"/>
  <c r="F72" i="1" s="1"/>
  <c r="H72" i="1"/>
  <c r="I72" i="1" s="1"/>
  <c r="K56" i="1"/>
  <c r="L56" i="1" s="1"/>
  <c r="E56" i="1"/>
  <c r="F56" i="1" s="1"/>
  <c r="H56" i="1"/>
  <c r="I56" i="1" s="1"/>
  <c r="K24" i="1"/>
  <c r="L24" i="1" s="1"/>
  <c r="E24" i="1"/>
  <c r="F24" i="1" s="1"/>
  <c r="H24" i="1"/>
  <c r="I24" i="1" s="1"/>
  <c r="K8" i="1"/>
  <c r="L8" i="1" s="1"/>
  <c r="E8" i="1"/>
  <c r="F8" i="1" s="1"/>
  <c r="H8" i="1"/>
  <c r="I8" i="1" s="1"/>
  <c r="K94" i="1"/>
  <c r="L94" i="1" s="1"/>
  <c r="E94" i="1"/>
  <c r="F94" i="1" s="1"/>
  <c r="H94" i="1"/>
  <c r="I94" i="1" s="1"/>
  <c r="K105" i="1"/>
  <c r="L105" i="1" s="1"/>
  <c r="E105" i="1"/>
  <c r="F105" i="1" s="1"/>
  <c r="H105" i="1"/>
  <c r="I105" i="1" s="1"/>
  <c r="K120" i="1"/>
  <c r="L120" i="1" s="1"/>
  <c r="E120" i="1"/>
  <c r="F120" i="1" s="1"/>
  <c r="I120" i="1"/>
  <c r="K88" i="1"/>
  <c r="L88" i="1" s="1"/>
  <c r="E88" i="1"/>
  <c r="F88" i="1" s="1"/>
  <c r="H88" i="1"/>
  <c r="I88" i="1" s="1"/>
  <c r="K40" i="1"/>
  <c r="L40" i="1" s="1"/>
  <c r="E40" i="1"/>
  <c r="F40" i="1" s="1"/>
  <c r="H40" i="1"/>
  <c r="I40" i="1" s="1"/>
  <c r="K119" i="1"/>
  <c r="L119" i="1" s="1"/>
  <c r="E119" i="1"/>
  <c r="F119" i="1" s="1"/>
  <c r="I119" i="1"/>
  <c r="K103" i="1"/>
  <c r="L103" i="1" s="1"/>
  <c r="E103" i="1"/>
  <c r="F103" i="1" s="1"/>
  <c r="H103" i="1"/>
  <c r="I103" i="1" s="1"/>
  <c r="K87" i="1"/>
  <c r="L87" i="1" s="1"/>
  <c r="E87" i="1"/>
  <c r="F87" i="1" s="1"/>
  <c r="H87" i="1"/>
  <c r="I87" i="1" s="1"/>
  <c r="K71" i="1"/>
  <c r="L71" i="1" s="1"/>
  <c r="E71" i="1"/>
  <c r="F71" i="1" s="1"/>
  <c r="H71" i="1"/>
  <c r="I71" i="1" s="1"/>
  <c r="K55" i="1"/>
  <c r="L55" i="1" s="1"/>
  <c r="E55" i="1"/>
  <c r="F55" i="1" s="1"/>
  <c r="H55" i="1"/>
  <c r="I55" i="1" s="1"/>
  <c r="K39" i="1"/>
  <c r="L39" i="1" s="1"/>
  <c r="E39" i="1"/>
  <c r="F39" i="1" s="1"/>
  <c r="H39" i="1"/>
  <c r="I39" i="1" s="1"/>
  <c r="K23" i="1"/>
  <c r="L23" i="1" s="1"/>
  <c r="E23" i="1"/>
  <c r="F23" i="1" s="1"/>
  <c r="H23" i="1"/>
  <c r="I23" i="1" s="1"/>
  <c r="K7" i="1"/>
  <c r="L7" i="1" s="1"/>
  <c r="E7" i="1"/>
  <c r="F7" i="1" s="1"/>
  <c r="H7" i="1"/>
  <c r="I7" i="1" s="1"/>
  <c r="H118" i="1"/>
  <c r="I118" i="1" s="1"/>
  <c r="K118" i="1"/>
  <c r="L118" i="1" s="1"/>
  <c r="E118" i="1"/>
  <c r="F118" i="1" s="1"/>
  <c r="H102" i="1"/>
  <c r="I102" i="1" s="1"/>
  <c r="K102" i="1"/>
  <c r="L102" i="1" s="1"/>
  <c r="E102" i="1"/>
  <c r="F102" i="1" s="1"/>
  <c r="H86" i="1"/>
  <c r="E86" i="1"/>
  <c r="K86" i="1"/>
  <c r="H70" i="1"/>
  <c r="I70" i="1" s="1"/>
  <c r="K70" i="1"/>
  <c r="L70" i="1" s="1"/>
  <c r="E70" i="1"/>
  <c r="F70" i="1" s="1"/>
  <c r="H54" i="1"/>
  <c r="I54" i="1" s="1"/>
  <c r="K54" i="1"/>
  <c r="L54" i="1" s="1"/>
  <c r="E54" i="1"/>
  <c r="F54" i="1" s="1"/>
  <c r="H38" i="1"/>
  <c r="K38" i="1"/>
  <c r="E38" i="1"/>
  <c r="H22" i="1"/>
  <c r="I22" i="1" s="1"/>
  <c r="E22" i="1"/>
  <c r="F22" i="1" s="1"/>
  <c r="K22" i="1"/>
  <c r="L22" i="1" s="1"/>
  <c r="H6" i="1"/>
  <c r="I6" i="1" s="1"/>
  <c r="K6" i="1"/>
  <c r="L6" i="1" s="1"/>
  <c r="E6" i="1"/>
  <c r="F6" i="1" s="1"/>
  <c r="K117" i="1"/>
  <c r="L117" i="1" s="1"/>
  <c r="E117" i="1"/>
  <c r="F117" i="1" s="1"/>
  <c r="H117" i="1"/>
  <c r="I117" i="1" s="1"/>
  <c r="H101" i="1"/>
  <c r="I101" i="1" s="1"/>
  <c r="K101" i="1"/>
  <c r="L101" i="1" s="1"/>
  <c r="E101" i="1"/>
  <c r="F101" i="1" s="1"/>
  <c r="H85" i="1"/>
  <c r="I85" i="1" s="1"/>
  <c r="K85" i="1"/>
  <c r="L85" i="1" s="1"/>
  <c r="E85" i="1"/>
  <c r="F85" i="1" s="1"/>
  <c r="H69" i="1"/>
  <c r="I69" i="1" s="1"/>
  <c r="K69" i="1"/>
  <c r="L69" i="1" s="1"/>
  <c r="E69" i="1"/>
  <c r="F69" i="1" s="1"/>
  <c r="K53" i="1"/>
  <c r="L53" i="1" s="1"/>
  <c r="E53" i="1"/>
  <c r="F53" i="1" s="1"/>
  <c r="H53" i="1"/>
  <c r="I53" i="1" s="1"/>
  <c r="H37" i="1"/>
  <c r="I37" i="1" s="1"/>
  <c r="K37" i="1"/>
  <c r="L37" i="1" s="1"/>
  <c r="E37" i="1"/>
  <c r="F37" i="1" s="1"/>
  <c r="H21" i="1"/>
  <c r="I21" i="1" s="1"/>
  <c r="K21" i="1"/>
  <c r="L21" i="1" s="1"/>
  <c r="E21" i="1"/>
  <c r="F21" i="1" s="1"/>
  <c r="H5" i="1"/>
  <c r="I5" i="1" s="1"/>
  <c r="K5" i="1"/>
  <c r="L5" i="1" s="1"/>
  <c r="E5" i="1"/>
  <c r="F5" i="1" s="1"/>
  <c r="K116" i="1"/>
  <c r="L116" i="1" s="1"/>
  <c r="E116" i="1"/>
  <c r="F116" i="1" s="1"/>
  <c r="H116" i="1"/>
  <c r="I116" i="1" s="1"/>
  <c r="K100" i="1"/>
  <c r="L100" i="1" s="1"/>
  <c r="E100" i="1"/>
  <c r="F100" i="1" s="1"/>
  <c r="H100" i="1"/>
  <c r="I100" i="1" s="1"/>
  <c r="K84" i="1"/>
  <c r="L84" i="1" s="1"/>
  <c r="E84" i="1"/>
  <c r="F84" i="1" s="1"/>
  <c r="H84" i="1"/>
  <c r="I84" i="1" s="1"/>
  <c r="K68" i="1"/>
  <c r="L68" i="1" s="1"/>
  <c r="E68" i="1"/>
  <c r="F68" i="1" s="1"/>
  <c r="H68" i="1"/>
  <c r="I68" i="1" s="1"/>
  <c r="K52" i="1"/>
  <c r="L52" i="1" s="1"/>
  <c r="E52" i="1"/>
  <c r="F52" i="1" s="1"/>
  <c r="H52" i="1"/>
  <c r="I52" i="1" s="1"/>
  <c r="K36" i="1"/>
  <c r="L36" i="1" s="1"/>
  <c r="E36" i="1"/>
  <c r="F36" i="1" s="1"/>
  <c r="H36" i="1"/>
  <c r="I36" i="1" s="1"/>
  <c r="K20" i="1"/>
  <c r="L20" i="1" s="1"/>
  <c r="E20" i="1"/>
  <c r="F20" i="1" s="1"/>
  <c r="H20" i="1"/>
  <c r="I20" i="1" s="1"/>
  <c r="K4" i="1"/>
  <c r="L4" i="1" s="1"/>
  <c r="E4" i="1"/>
  <c r="F4" i="1" s="1"/>
  <c r="H4" i="1"/>
  <c r="I4" i="1" s="1"/>
  <c r="K62" i="1"/>
  <c r="E62" i="1"/>
  <c r="H62" i="1"/>
  <c r="K67" i="1"/>
  <c r="L67" i="1" s="1"/>
  <c r="E67" i="1"/>
  <c r="F67" i="1" s="1"/>
  <c r="H67" i="1"/>
  <c r="I67" i="1" s="1"/>
  <c r="K3" i="1"/>
  <c r="L3" i="1" s="1"/>
  <c r="E3" i="1"/>
  <c r="F3" i="1" s="1"/>
  <c r="H3" i="1"/>
  <c r="I3" i="1" s="1"/>
  <c r="K114" i="1"/>
  <c r="L114" i="1" s="1"/>
  <c r="E114" i="1"/>
  <c r="F114" i="1" s="1"/>
  <c r="H114" i="1"/>
  <c r="I114" i="1" s="1"/>
  <c r="K98" i="1"/>
  <c r="E98" i="1"/>
  <c r="H98" i="1"/>
  <c r="K82" i="1"/>
  <c r="L82" i="1" s="1"/>
  <c r="E82" i="1"/>
  <c r="F82" i="1" s="1"/>
  <c r="H82" i="1"/>
  <c r="I82" i="1" s="1"/>
  <c r="K66" i="1"/>
  <c r="L66" i="1" s="1"/>
  <c r="E66" i="1"/>
  <c r="F66" i="1" s="1"/>
  <c r="H66" i="1"/>
  <c r="I66" i="1" s="1"/>
  <c r="K50" i="1"/>
  <c r="E50" i="1"/>
  <c r="H50" i="1"/>
  <c r="K34" i="1"/>
  <c r="L34" i="1" s="1"/>
  <c r="E34" i="1"/>
  <c r="F34" i="1" s="1"/>
  <c r="H34" i="1"/>
  <c r="I34" i="1" s="1"/>
  <c r="K18" i="1"/>
  <c r="L18" i="1" s="1"/>
  <c r="E18" i="1"/>
  <c r="F18" i="1" s="1"/>
  <c r="H18" i="1"/>
  <c r="I18" i="1" s="1"/>
  <c r="K99" i="1"/>
  <c r="L99" i="1" s="1"/>
  <c r="E99" i="1"/>
  <c r="F99" i="1" s="1"/>
  <c r="H99" i="1"/>
  <c r="I99" i="1" s="1"/>
  <c r="K51" i="1"/>
  <c r="L51" i="1" s="1"/>
  <c r="E51" i="1"/>
  <c r="F51" i="1" s="1"/>
  <c r="H51" i="1"/>
  <c r="I51" i="1" s="1"/>
  <c r="K19" i="1"/>
  <c r="L19" i="1" s="1"/>
  <c r="E19" i="1"/>
  <c r="F19" i="1" s="1"/>
  <c r="H19" i="1"/>
  <c r="I19" i="1" s="1"/>
  <c r="K113" i="1"/>
  <c r="L113" i="1" s="1"/>
  <c r="E113" i="1"/>
  <c r="F113" i="1" s="1"/>
  <c r="H113" i="1"/>
  <c r="I113" i="1" s="1"/>
  <c r="K97" i="1"/>
  <c r="L97" i="1" s="1"/>
  <c r="E97" i="1"/>
  <c r="F97" i="1" s="1"/>
  <c r="H97" i="1"/>
  <c r="I97" i="1" s="1"/>
  <c r="K81" i="1"/>
  <c r="L81" i="1" s="1"/>
  <c r="E81" i="1"/>
  <c r="F81" i="1" s="1"/>
  <c r="H81" i="1"/>
  <c r="I81" i="1" s="1"/>
  <c r="K65" i="1"/>
  <c r="L65" i="1" s="1"/>
  <c r="E65" i="1"/>
  <c r="F65" i="1" s="1"/>
  <c r="H65" i="1"/>
  <c r="I65" i="1" s="1"/>
  <c r="K49" i="1"/>
  <c r="L49" i="1" s="1"/>
  <c r="E49" i="1"/>
  <c r="F49" i="1" s="1"/>
  <c r="H49" i="1"/>
  <c r="I49" i="1" s="1"/>
  <c r="K33" i="1"/>
  <c r="L33" i="1" s="1"/>
  <c r="E33" i="1"/>
  <c r="F33" i="1" s="1"/>
  <c r="H33" i="1"/>
  <c r="I33" i="1" s="1"/>
  <c r="K17" i="1"/>
  <c r="L17" i="1" s="1"/>
  <c r="E17" i="1"/>
  <c r="F17" i="1" s="1"/>
  <c r="H17" i="1"/>
  <c r="I17" i="1" s="1"/>
  <c r="K83" i="1"/>
  <c r="L83" i="1" s="1"/>
  <c r="E83" i="1"/>
  <c r="F83" i="1" s="1"/>
  <c r="H83" i="1"/>
  <c r="I83" i="1" s="1"/>
  <c r="K112" i="1"/>
  <c r="L112" i="1" s="1"/>
  <c r="E112" i="1"/>
  <c r="F112" i="1" s="1"/>
  <c r="H112" i="1"/>
  <c r="I112" i="1" s="1"/>
  <c r="K80" i="1"/>
  <c r="L80" i="1" s="1"/>
  <c r="E80" i="1"/>
  <c r="F80" i="1" s="1"/>
  <c r="H80" i="1"/>
  <c r="I80" i="1" s="1"/>
  <c r="K48" i="1"/>
  <c r="L48" i="1" s="1"/>
  <c r="E48" i="1"/>
  <c r="F48" i="1" s="1"/>
  <c r="H48" i="1"/>
  <c r="I48" i="1" s="1"/>
  <c r="K16" i="1"/>
  <c r="L16" i="1" s="1"/>
  <c r="E16" i="1"/>
  <c r="F16" i="1" s="1"/>
  <c r="H16" i="1"/>
  <c r="I16" i="1" s="1"/>
  <c r="K110" i="1"/>
  <c r="E110" i="1"/>
  <c r="H110" i="1"/>
  <c r="K115" i="1"/>
  <c r="L115" i="1" s="1"/>
  <c r="E115" i="1"/>
  <c r="F115" i="1" s="1"/>
  <c r="H115" i="1"/>
  <c r="I115" i="1" s="1"/>
  <c r="K35" i="1"/>
  <c r="L35" i="1" s="1"/>
  <c r="E35" i="1"/>
  <c r="F35" i="1" s="1"/>
  <c r="H35" i="1"/>
  <c r="I35" i="1" s="1"/>
  <c r="K96" i="1"/>
  <c r="L96" i="1" s="1"/>
  <c r="E96" i="1"/>
  <c r="F96" i="1" s="1"/>
  <c r="H96" i="1"/>
  <c r="I96" i="1" s="1"/>
  <c r="K64" i="1"/>
  <c r="L64" i="1" s="1"/>
  <c r="E64" i="1"/>
  <c r="F64" i="1" s="1"/>
  <c r="H64" i="1"/>
  <c r="I64" i="1" s="1"/>
  <c r="K32" i="1"/>
  <c r="L32" i="1" s="1"/>
  <c r="E32" i="1"/>
  <c r="F32" i="1" s="1"/>
  <c r="H32" i="1"/>
  <c r="I32" i="1" s="1"/>
  <c r="K111" i="1"/>
  <c r="L111" i="1" s="1"/>
  <c r="E111" i="1"/>
  <c r="F111" i="1" s="1"/>
  <c r="H111" i="1"/>
  <c r="I111" i="1" s="1"/>
  <c r="K95" i="1"/>
  <c r="L95" i="1" s="1"/>
  <c r="E95" i="1"/>
  <c r="F95" i="1" s="1"/>
  <c r="H95" i="1"/>
  <c r="I95" i="1" s="1"/>
  <c r="K79" i="1"/>
  <c r="L79" i="1" s="1"/>
  <c r="E79" i="1"/>
  <c r="F79" i="1" s="1"/>
  <c r="H79" i="1"/>
  <c r="I79" i="1" s="1"/>
  <c r="K63" i="1"/>
  <c r="L63" i="1" s="1"/>
  <c r="E63" i="1"/>
  <c r="F63" i="1" s="1"/>
  <c r="H63" i="1"/>
  <c r="I63" i="1" s="1"/>
  <c r="K47" i="1"/>
  <c r="L47" i="1" s="1"/>
  <c r="E47" i="1"/>
  <c r="F47" i="1" s="1"/>
  <c r="H47" i="1"/>
  <c r="I47" i="1" s="1"/>
  <c r="K31" i="1"/>
  <c r="L31" i="1" s="1"/>
  <c r="E31" i="1"/>
  <c r="F31" i="1" s="1"/>
  <c r="H31" i="1"/>
  <c r="I31" i="1" s="1"/>
  <c r="K15" i="1"/>
  <c r="L15" i="1" s="1"/>
  <c r="E15" i="1"/>
  <c r="F15" i="1" s="1"/>
  <c r="H15" i="1"/>
  <c r="I15" i="1" s="1"/>
  <c r="K78" i="1"/>
  <c r="L78" i="1" s="1"/>
  <c r="E78" i="1"/>
  <c r="F78" i="1" s="1"/>
  <c r="H78" i="1"/>
  <c r="I78" i="1" s="1"/>
  <c r="K109" i="1"/>
  <c r="L109" i="1" s="1"/>
  <c r="E109" i="1"/>
  <c r="F109" i="1" s="1"/>
  <c r="H109" i="1"/>
  <c r="I109" i="1" s="1"/>
  <c r="K93" i="1"/>
  <c r="L93" i="1" s="1"/>
  <c r="E93" i="1"/>
  <c r="F93" i="1" s="1"/>
  <c r="H93" i="1"/>
  <c r="I93" i="1" s="1"/>
  <c r="K77" i="1"/>
  <c r="L77" i="1" s="1"/>
  <c r="E77" i="1"/>
  <c r="F77" i="1" s="1"/>
  <c r="H77" i="1"/>
  <c r="I77" i="1" s="1"/>
  <c r="K61" i="1"/>
  <c r="L61" i="1" s="1"/>
  <c r="E61" i="1"/>
  <c r="F61" i="1" s="1"/>
  <c r="H61" i="1"/>
  <c r="I61" i="1" s="1"/>
  <c r="K45" i="1"/>
  <c r="L45" i="1" s="1"/>
  <c r="E45" i="1"/>
  <c r="F45" i="1" s="1"/>
  <c r="H45" i="1"/>
  <c r="I45" i="1" s="1"/>
  <c r="K29" i="1"/>
  <c r="L29" i="1" s="1"/>
  <c r="E29" i="1"/>
  <c r="F29" i="1" s="1"/>
  <c r="H29" i="1"/>
  <c r="I29" i="1" s="1"/>
  <c r="K13" i="1"/>
  <c r="L13" i="1" s="1"/>
  <c r="E13" i="1"/>
  <c r="F13" i="1" s="1"/>
  <c r="H13" i="1"/>
  <c r="I13" i="1" s="1"/>
  <c r="K108" i="1"/>
  <c r="L108" i="1" s="1"/>
  <c r="E108" i="1"/>
  <c r="F108" i="1" s="1"/>
  <c r="H108" i="1"/>
  <c r="I108" i="1" s="1"/>
  <c r="K76" i="1"/>
  <c r="L76" i="1" s="1"/>
  <c r="E76" i="1"/>
  <c r="F76" i="1" s="1"/>
  <c r="H76" i="1"/>
  <c r="I76" i="1" s="1"/>
  <c r="K60" i="1"/>
  <c r="L60" i="1" s="1"/>
  <c r="E60" i="1"/>
  <c r="F60" i="1" s="1"/>
  <c r="H60" i="1"/>
  <c r="I60" i="1" s="1"/>
  <c r="K44" i="1"/>
  <c r="L44" i="1" s="1"/>
  <c r="E44" i="1"/>
  <c r="F44" i="1" s="1"/>
  <c r="H44" i="1"/>
  <c r="I44" i="1" s="1"/>
  <c r="K28" i="1"/>
  <c r="L28" i="1" s="1"/>
  <c r="E28" i="1"/>
  <c r="F28" i="1" s="1"/>
  <c r="H28" i="1"/>
  <c r="I28" i="1" s="1"/>
  <c r="K12" i="1"/>
  <c r="L12" i="1" s="1"/>
  <c r="E12" i="1"/>
  <c r="F12" i="1" s="1"/>
  <c r="H12" i="1"/>
  <c r="I12" i="1" s="1"/>
  <c r="E6" i="6"/>
  <c r="O110" i="4"/>
  <c r="M110" i="3"/>
  <c r="CB110" i="1"/>
  <c r="CB102" i="1"/>
  <c r="CB98" i="1"/>
  <c r="CB78" i="1"/>
  <c r="CB74" i="1"/>
  <c r="M70" i="3"/>
  <c r="CB70" i="1"/>
  <c r="O66" i="4"/>
  <c r="CB66" i="1"/>
  <c r="CB58" i="1"/>
  <c r="CB50" i="1"/>
  <c r="O50" i="4"/>
  <c r="M38" i="3"/>
  <c r="CB38" i="1"/>
  <c r="CB34" i="1"/>
  <c r="O86" i="4"/>
  <c r="M86" i="3"/>
  <c r="CB86" i="1"/>
  <c r="CB54" i="1"/>
  <c r="CB114" i="1"/>
  <c r="CB106" i="1"/>
  <c r="M94" i="3"/>
  <c r="O94" i="4"/>
  <c r="CB94" i="1"/>
  <c r="M82" i="3"/>
  <c r="CB82" i="1"/>
  <c r="O119" i="4"/>
  <c r="M119" i="3"/>
  <c r="CB119" i="1"/>
  <c r="CB111" i="1"/>
  <c r="CB103" i="1"/>
  <c r="M95" i="3"/>
  <c r="O95" i="4"/>
  <c r="CB95" i="1"/>
  <c r="O91" i="4"/>
  <c r="O87" i="4"/>
  <c r="M87" i="3"/>
  <c r="CB87" i="1"/>
  <c r="M83" i="3"/>
  <c r="CB83" i="1"/>
  <c r="CB79" i="1"/>
  <c r="CB75" i="1"/>
  <c r="CB71" i="1"/>
  <c r="CB67" i="1"/>
  <c r="M63" i="3"/>
  <c r="CB63" i="1"/>
  <c r="O59" i="4"/>
  <c r="CB59" i="1"/>
  <c r="CB55" i="1"/>
  <c r="M51" i="3"/>
  <c r="O51" i="4"/>
  <c r="CB51" i="1"/>
  <c r="CB47" i="1"/>
  <c r="M47" i="3"/>
  <c r="M43" i="3"/>
  <c r="CB43" i="1"/>
  <c r="CB39" i="1"/>
  <c r="CB35" i="1"/>
  <c r="CB31" i="1"/>
  <c r="M31" i="3"/>
  <c r="CB27" i="1"/>
  <c r="CB23" i="1"/>
  <c r="M23" i="3"/>
  <c r="CB15" i="1"/>
  <c r="M15" i="3"/>
  <c r="O11" i="4"/>
  <c r="CB11" i="1"/>
  <c r="CB7" i="1"/>
  <c r="M3" i="3"/>
  <c r="O3" i="4"/>
  <c r="CB3" i="1"/>
  <c r="CB99" i="1"/>
  <c r="M118" i="3"/>
  <c r="CB90" i="1"/>
  <c r="M120" i="3"/>
  <c r="O96" i="4"/>
  <c r="O92" i="4"/>
  <c r="M88" i="3"/>
  <c r="O88" i="4"/>
  <c r="M84" i="3"/>
  <c r="O84" i="4"/>
  <c r="CB84" i="1"/>
  <c r="CB76" i="1"/>
  <c r="O72" i="4"/>
  <c r="CB68" i="1"/>
  <c r="O60" i="4"/>
  <c r="M60" i="3"/>
  <c r="CB60" i="1"/>
  <c r="M56" i="3"/>
  <c r="M48" i="3"/>
  <c r="CB48" i="1"/>
  <c r="O44" i="4"/>
  <c r="M44" i="3"/>
  <c r="CB44" i="1"/>
  <c r="CB40" i="1"/>
  <c r="CB36" i="1"/>
  <c r="O32" i="4"/>
  <c r="CB32" i="1"/>
  <c r="O28" i="4"/>
  <c r="CB28" i="1"/>
  <c r="O24" i="4"/>
  <c r="CB24" i="1"/>
  <c r="M20" i="3"/>
  <c r="CB20" i="1"/>
  <c r="O20" i="4"/>
  <c r="O16" i="4"/>
  <c r="M16" i="3"/>
  <c r="CB16" i="1"/>
  <c r="CB12" i="1"/>
  <c r="CB4" i="1"/>
  <c r="CB112" i="1"/>
  <c r="CB108" i="1"/>
  <c r="M12" i="3"/>
  <c r="CB120" i="1"/>
  <c r="CB80" i="1"/>
  <c r="CB56" i="1"/>
  <c r="CB19" i="1"/>
  <c r="M121" i="3"/>
  <c r="M113" i="3"/>
  <c r="O113" i="4"/>
  <c r="CB113" i="1"/>
  <c r="CB109" i="1"/>
  <c r="M105" i="3"/>
  <c r="O105" i="4"/>
  <c r="CB105" i="1"/>
  <c r="M101" i="3"/>
  <c r="CB101" i="1"/>
  <c r="M97" i="3"/>
  <c r="CB97" i="1"/>
  <c r="O93" i="4"/>
  <c r="M93" i="3"/>
  <c r="CB93" i="1"/>
  <c r="CB89" i="1"/>
  <c r="M85" i="3"/>
  <c r="O85" i="4"/>
  <c r="CB85" i="1"/>
  <c r="CB81" i="1"/>
  <c r="O77" i="4"/>
  <c r="M77" i="3"/>
  <c r="CB77" i="1"/>
  <c r="O73" i="4"/>
  <c r="CB73" i="1"/>
  <c r="M69" i="3"/>
  <c r="CB69" i="1"/>
  <c r="CB65" i="1"/>
  <c r="CB61" i="1"/>
  <c r="M57" i="3"/>
  <c r="CB57" i="1"/>
  <c r="CB53" i="1"/>
  <c r="O49" i="4"/>
  <c r="M49" i="3"/>
  <c r="CB49" i="1"/>
  <c r="M41" i="3"/>
  <c r="O41" i="4"/>
  <c r="CB41" i="1"/>
  <c r="M37" i="3"/>
  <c r="O37" i="4"/>
  <c r="CB33" i="1"/>
  <c r="M33" i="3"/>
  <c r="O29" i="4"/>
  <c r="M29" i="3"/>
  <c r="CB29" i="1"/>
  <c r="CB25" i="1"/>
  <c r="M21" i="3"/>
  <c r="O21" i="4"/>
  <c r="CB21" i="1"/>
  <c r="CB17" i="1"/>
  <c r="M13" i="3"/>
  <c r="CB13" i="1"/>
  <c r="O9" i="4"/>
  <c r="M9" i="3"/>
  <c r="CB9" i="1"/>
  <c r="M5" i="3"/>
  <c r="O5" i="4"/>
  <c r="CB115" i="1"/>
  <c r="CB100" i="1"/>
  <c r="CB92" i="1"/>
  <c r="CB107" i="1"/>
  <c r="CB30" i="1"/>
  <c r="M30" i="3"/>
  <c r="O26" i="4"/>
  <c r="M26" i="3"/>
  <c r="CB26" i="1"/>
  <c r="CB22" i="1"/>
  <c r="M22" i="3"/>
  <c r="M18" i="3"/>
  <c r="CB18" i="1"/>
  <c r="O14" i="4"/>
  <c r="CB14" i="1"/>
  <c r="M14" i="3"/>
  <c r="CB10" i="1"/>
  <c r="O6" i="4"/>
  <c r="CB6" i="1"/>
  <c r="CB88" i="1"/>
  <c r="M62" i="3"/>
  <c r="CB62" i="1"/>
  <c r="CB46" i="1"/>
  <c r="CB42" i="1"/>
  <c r="CB121" i="1"/>
  <c r="CB72" i="1"/>
  <c r="L6" i="6"/>
  <c r="I9" i="6"/>
  <c r="AI7" i="8"/>
  <c r="F5" i="7"/>
  <c r="O4" i="7"/>
  <c r="S4" i="7"/>
  <c r="J15" i="7"/>
  <c r="R15" i="7"/>
  <c r="N15" i="7"/>
  <c r="B9" i="6"/>
  <c r="D8" i="6"/>
  <c r="E8" i="6" s="1"/>
  <c r="O38" i="4"/>
  <c r="M103" i="3"/>
  <c r="AN5" i="2"/>
  <c r="CS4" i="2"/>
  <c r="CS6" i="2" s="1"/>
  <c r="BS21" i="2"/>
  <c r="BS5" i="2"/>
  <c r="BT4" i="2"/>
  <c r="BT6" i="2" s="1"/>
  <c r="BQ6" i="2"/>
  <c r="BP6" i="2"/>
  <c r="BO6" i="2"/>
  <c r="CD6" i="2"/>
  <c r="X7" i="2"/>
  <c r="CC6" i="2"/>
  <c r="CR6" i="2"/>
  <c r="CQ6" i="2"/>
  <c r="AA6" i="2"/>
  <c r="BS6" i="2"/>
  <c r="BB6" i="2"/>
  <c r="BR6" i="2"/>
  <c r="BA6" i="2"/>
  <c r="Y6" i="2"/>
  <c r="AO4" i="2"/>
  <c r="CR22" i="2"/>
  <c r="AN6" i="2"/>
  <c r="BR21" i="2"/>
  <c r="BC4" i="2"/>
  <c r="BC22" i="2" s="1"/>
  <c r="CD22" i="2"/>
  <c r="CD21" i="2"/>
  <c r="AA21" i="2"/>
  <c r="AA22" i="2"/>
  <c r="AB4" i="2"/>
  <c r="AB23" i="2" s="1"/>
  <c r="CF4" i="2"/>
  <c r="CF6" i="2" s="1"/>
  <c r="Z23" i="2"/>
  <c r="AA23" i="2"/>
  <c r="BP22" i="2"/>
  <c r="BP21" i="2"/>
  <c r="BQ5" i="2"/>
  <c r="Z21" i="2"/>
  <c r="BQ22" i="2"/>
  <c r="BR5" i="2"/>
  <c r="BB5" i="2"/>
  <c r="BP23" i="2"/>
  <c r="BO23" i="2"/>
  <c r="CD23" i="2"/>
  <c r="X24" i="2"/>
  <c r="CC23" i="2"/>
  <c r="CR23" i="2"/>
  <c r="BA23" i="2"/>
  <c r="Y23" i="2"/>
  <c r="BB23" i="2"/>
  <c r="AM23" i="2"/>
  <c r="AN23" i="2"/>
  <c r="BQ23" i="2"/>
  <c r="AO23" i="2"/>
  <c r="BR23" i="2"/>
  <c r="BS23" i="2"/>
  <c r="CQ23" i="2"/>
  <c r="BT23" i="2"/>
  <c r="BA22" i="2"/>
  <c r="BR22" i="2"/>
  <c r="BB22" i="2"/>
  <c r="BS22" i="2"/>
  <c r="AM22" i="2"/>
  <c r="AO22" i="2"/>
  <c r="O13" i="30" l="1"/>
  <c r="S13" i="30" s="1"/>
  <c r="D13" i="30"/>
  <c r="H13" i="30" s="1"/>
  <c r="O14" i="30"/>
  <c r="S14" i="30" s="1"/>
  <c r="Z6" i="30"/>
  <c r="AD6" i="30" s="1"/>
  <c r="O9" i="30"/>
  <c r="S9" i="30" s="1"/>
  <c r="D64" i="29"/>
  <c r="D64" i="31"/>
  <c r="V184" i="2"/>
  <c r="D3" i="27"/>
  <c r="T123" i="2"/>
  <c r="V240" i="2"/>
  <c r="D120" i="31"/>
  <c r="D120" i="29"/>
  <c r="D3" i="29"/>
  <c r="D3" i="31"/>
  <c r="V123" i="2"/>
  <c r="D29" i="27"/>
  <c r="T149" i="2"/>
  <c r="D48" i="29"/>
  <c r="D48" i="31"/>
  <c r="V168" i="2"/>
  <c r="D67" i="27"/>
  <c r="T187" i="2"/>
  <c r="D27" i="31"/>
  <c r="D27" i="29"/>
  <c r="V147" i="2"/>
  <c r="D61" i="28"/>
  <c r="U181" i="2"/>
  <c r="Z10" i="30"/>
  <c r="D84" i="28"/>
  <c r="U204" i="2"/>
  <c r="D37" i="29"/>
  <c r="D37" i="31"/>
  <c r="V157" i="2"/>
  <c r="V237" i="2"/>
  <c r="D117" i="29"/>
  <c r="D117" i="31"/>
  <c r="Z12" i="30"/>
  <c r="D39" i="27"/>
  <c r="T159" i="2"/>
  <c r="V239" i="2"/>
  <c r="D119" i="31"/>
  <c r="D119" i="29"/>
  <c r="D8" i="28"/>
  <c r="U128" i="2"/>
  <c r="D89" i="27"/>
  <c r="T209" i="2"/>
  <c r="D57" i="31"/>
  <c r="D57" i="29"/>
  <c r="V177" i="2"/>
  <c r="D42" i="28"/>
  <c r="U162" i="2"/>
  <c r="D5" i="30"/>
  <c r="D43" i="31"/>
  <c r="D43" i="29"/>
  <c r="V163" i="2"/>
  <c r="D5" i="27"/>
  <c r="T125" i="2"/>
  <c r="D85" i="29"/>
  <c r="D85" i="31"/>
  <c r="V205" i="2"/>
  <c r="D7" i="28"/>
  <c r="U127" i="2"/>
  <c r="D72" i="28"/>
  <c r="U192" i="2"/>
  <c r="D11" i="27"/>
  <c r="T131" i="2"/>
  <c r="D9" i="30"/>
  <c r="D87" i="29"/>
  <c r="D87" i="31"/>
  <c r="V207" i="2"/>
  <c r="D90" i="27"/>
  <c r="T210" i="2"/>
  <c r="D60" i="29"/>
  <c r="D60" i="31"/>
  <c r="V180" i="2"/>
  <c r="D15" i="27"/>
  <c r="T135" i="2"/>
  <c r="D95" i="31"/>
  <c r="D95" i="29"/>
  <c r="V215" i="2"/>
  <c r="U235" i="2"/>
  <c r="D115" i="28"/>
  <c r="T232" i="2"/>
  <c r="D112" i="27"/>
  <c r="D65" i="31"/>
  <c r="D65" i="29"/>
  <c r="V185" i="2"/>
  <c r="D99" i="28"/>
  <c r="U219" i="2"/>
  <c r="D82" i="27"/>
  <c r="T202" i="2"/>
  <c r="D76" i="28"/>
  <c r="U196" i="2"/>
  <c r="D61" i="27"/>
  <c r="T181" i="2"/>
  <c r="D15" i="31"/>
  <c r="D15" i="29"/>
  <c r="V135" i="2"/>
  <c r="U231" i="2"/>
  <c r="D111" i="28"/>
  <c r="T235" i="2"/>
  <c r="D115" i="27"/>
  <c r="V232" i="2"/>
  <c r="D112" i="31"/>
  <c r="D112" i="29"/>
  <c r="D81" i="28"/>
  <c r="U201" i="2"/>
  <c r="D99" i="27"/>
  <c r="T219" i="2"/>
  <c r="D82" i="29"/>
  <c r="D82" i="31"/>
  <c r="V202" i="2"/>
  <c r="D4" i="28"/>
  <c r="U124" i="2"/>
  <c r="D84" i="27"/>
  <c r="T204" i="2"/>
  <c r="D37" i="28"/>
  <c r="U157" i="2"/>
  <c r="D6" i="27"/>
  <c r="T126" i="2"/>
  <c r="D12" i="30"/>
  <c r="D39" i="31"/>
  <c r="D39" i="29"/>
  <c r="V159" i="2"/>
  <c r="D40" i="28"/>
  <c r="U160" i="2"/>
  <c r="D8" i="27"/>
  <c r="T128" i="2"/>
  <c r="D89" i="31"/>
  <c r="D89" i="29"/>
  <c r="V209" i="2"/>
  <c r="D73" i="28"/>
  <c r="U193" i="2"/>
  <c r="D42" i="27"/>
  <c r="T162" i="2"/>
  <c r="Z5" i="30"/>
  <c r="D59" i="28"/>
  <c r="U179" i="2"/>
  <c r="D31" i="28"/>
  <c r="U151" i="2"/>
  <c r="D81" i="27"/>
  <c r="T201" i="2"/>
  <c r="O12" i="30"/>
  <c r="D8" i="29"/>
  <c r="D8" i="31"/>
  <c r="D42" i="31"/>
  <c r="D42" i="29"/>
  <c r="V162" i="2"/>
  <c r="D53" i="27"/>
  <c r="T173" i="2"/>
  <c r="D24" i="28"/>
  <c r="U144" i="2"/>
  <c r="D58" i="28"/>
  <c r="U178" i="2"/>
  <c r="D61" i="29"/>
  <c r="D61" i="31"/>
  <c r="V181" i="2"/>
  <c r="D83" i="28"/>
  <c r="U203" i="2"/>
  <c r="D53" i="28"/>
  <c r="U173" i="2"/>
  <c r="D59" i="27"/>
  <c r="T179" i="2"/>
  <c r="D77" i="28"/>
  <c r="U197" i="2"/>
  <c r="D18" i="28"/>
  <c r="U138" i="2"/>
  <c r="D102" i="27"/>
  <c r="T222" i="2"/>
  <c r="D92" i="27"/>
  <c r="T212" i="2"/>
  <c r="D77" i="27"/>
  <c r="T197" i="2"/>
  <c r="Z13" i="30"/>
  <c r="D53" i="29"/>
  <c r="D53" i="31"/>
  <c r="V173" i="2"/>
  <c r="D55" i="31"/>
  <c r="D55" i="29"/>
  <c r="V175" i="2"/>
  <c r="D121" i="28"/>
  <c r="D75" i="28"/>
  <c r="U195" i="2"/>
  <c r="D76" i="27"/>
  <c r="T196" i="2"/>
  <c r="T231" i="2"/>
  <c r="D111" i="27"/>
  <c r="V235" i="2"/>
  <c r="D115" i="31"/>
  <c r="D115" i="29"/>
  <c r="D99" i="31"/>
  <c r="D99" i="29"/>
  <c r="V219" i="2"/>
  <c r="D4" i="27"/>
  <c r="T124" i="2"/>
  <c r="D40" i="27"/>
  <c r="T160" i="2"/>
  <c r="D31" i="29"/>
  <c r="D31" i="31"/>
  <c r="V151" i="2"/>
  <c r="Z14" i="30"/>
  <c r="D20" i="27"/>
  <c r="T140" i="2"/>
  <c r="D102" i="28"/>
  <c r="U222" i="2"/>
  <c r="D24" i="31"/>
  <c r="D24" i="29"/>
  <c r="V144" i="2"/>
  <c r="D58" i="31"/>
  <c r="D58" i="29"/>
  <c r="V178" i="2"/>
  <c r="D30" i="28"/>
  <c r="U150" i="2"/>
  <c r="D12" i="27"/>
  <c r="T132" i="2"/>
  <c r="D108" i="31"/>
  <c r="D108" i="29"/>
  <c r="V228" i="2"/>
  <c r="D93" i="28"/>
  <c r="U213" i="2"/>
  <c r="D47" i="27"/>
  <c r="T167" i="2"/>
  <c r="D32" i="29"/>
  <c r="D32" i="31"/>
  <c r="V152" i="2"/>
  <c r="D16" i="28"/>
  <c r="U136" i="2"/>
  <c r="D17" i="27"/>
  <c r="T137" i="2"/>
  <c r="D97" i="31"/>
  <c r="D97" i="29"/>
  <c r="V217" i="2"/>
  <c r="D34" i="28"/>
  <c r="U154" i="2"/>
  <c r="T234" i="2"/>
  <c r="D114" i="27"/>
  <c r="D20" i="29"/>
  <c r="D20" i="31"/>
  <c r="V140" i="2"/>
  <c r="U236" i="2"/>
  <c r="D116" i="28"/>
  <c r="D69" i="29"/>
  <c r="D69" i="31"/>
  <c r="V189" i="2"/>
  <c r="D22" i="28"/>
  <c r="U142" i="2"/>
  <c r="T238" i="2"/>
  <c r="D118" i="27"/>
  <c r="D71" i="27"/>
  <c r="T191" i="2"/>
  <c r="D88" i="29"/>
  <c r="D88" i="31"/>
  <c r="V208" i="2"/>
  <c r="D56" i="28"/>
  <c r="U176" i="2"/>
  <c r="D9" i="27"/>
  <c r="T129" i="2"/>
  <c r="D121" i="31"/>
  <c r="D121" i="29"/>
  <c r="D31" i="27"/>
  <c r="T151" i="2"/>
  <c r="D83" i="27"/>
  <c r="T203" i="2"/>
  <c r="D4" i="31"/>
  <c r="D4" i="29"/>
  <c r="D55" i="27"/>
  <c r="T175" i="2"/>
  <c r="D108" i="28"/>
  <c r="U228" i="2"/>
  <c r="D14" i="30"/>
  <c r="D83" i="31"/>
  <c r="D83" i="29"/>
  <c r="V203" i="2"/>
  <c r="D97" i="28"/>
  <c r="U217" i="2"/>
  <c r="D18" i="27"/>
  <c r="T138" i="2"/>
  <c r="D20" i="28"/>
  <c r="U140" i="2"/>
  <c r="D100" i="27"/>
  <c r="T220" i="2"/>
  <c r="D22" i="31"/>
  <c r="D22" i="29"/>
  <c r="V142" i="2"/>
  <c r="D102" i="29"/>
  <c r="D102" i="31"/>
  <c r="V222" i="2"/>
  <c r="D88" i="28"/>
  <c r="U208" i="2"/>
  <c r="D24" i="27"/>
  <c r="T144" i="2"/>
  <c r="D46" i="31"/>
  <c r="D46" i="29"/>
  <c r="V166" i="2"/>
  <c r="D58" i="27"/>
  <c r="T178" i="2"/>
  <c r="D92" i="31"/>
  <c r="D92" i="29"/>
  <c r="V212" i="2"/>
  <c r="D12" i="28"/>
  <c r="U132" i="2"/>
  <c r="D77" i="29"/>
  <c r="D77" i="31"/>
  <c r="V197" i="2"/>
  <c r="D32" i="27"/>
  <c r="T152" i="2"/>
  <c r="D97" i="27"/>
  <c r="T217" i="2"/>
  <c r="U234" i="2"/>
  <c r="D114" i="28"/>
  <c r="D69" i="27"/>
  <c r="T189" i="2"/>
  <c r="D71" i="28"/>
  <c r="U191" i="2"/>
  <c r="D9" i="28"/>
  <c r="U129" i="2"/>
  <c r="O11" i="30"/>
  <c r="D30" i="27"/>
  <c r="T150" i="2"/>
  <c r="D75" i="31"/>
  <c r="D75" i="29"/>
  <c r="V195" i="2"/>
  <c r="D12" i="31"/>
  <c r="D12" i="29"/>
  <c r="D13" i="28"/>
  <c r="U133" i="2"/>
  <c r="D93" i="27"/>
  <c r="T213" i="2"/>
  <c r="D47" i="29"/>
  <c r="D47" i="31"/>
  <c r="V167" i="2"/>
  <c r="D64" i="28"/>
  <c r="U184" i="2"/>
  <c r="D16" i="27"/>
  <c r="T136" i="2"/>
  <c r="D17" i="31"/>
  <c r="D17" i="29"/>
  <c r="V137" i="2"/>
  <c r="U233" i="2"/>
  <c r="D113" i="28"/>
  <c r="D34" i="27"/>
  <c r="T154" i="2"/>
  <c r="V234" i="2"/>
  <c r="D114" i="29"/>
  <c r="D114" i="31"/>
  <c r="D36" i="28"/>
  <c r="U156" i="2"/>
  <c r="T236" i="2"/>
  <c r="D116" i="27"/>
  <c r="D69" i="28"/>
  <c r="U189" i="2"/>
  <c r="D8" i="30"/>
  <c r="V238" i="2"/>
  <c r="D118" i="29"/>
  <c r="D118" i="31"/>
  <c r="D71" i="29"/>
  <c r="D71" i="31"/>
  <c r="V191" i="2"/>
  <c r="U240" i="2"/>
  <c r="D120" i="28"/>
  <c r="D56" i="27"/>
  <c r="T176" i="2"/>
  <c r="D9" i="29"/>
  <c r="D9" i="31"/>
  <c r="O6" i="30"/>
  <c r="D11" i="30"/>
  <c r="D30" i="31"/>
  <c r="D30" i="29"/>
  <c r="V150" i="2"/>
  <c r="D91" i="28"/>
  <c r="U211" i="2"/>
  <c r="D84" i="31"/>
  <c r="D84" i="29"/>
  <c r="V204" i="2"/>
  <c r="D6" i="31"/>
  <c r="D6" i="29"/>
  <c r="D55" i="28"/>
  <c r="U175" i="2"/>
  <c r="D46" i="28"/>
  <c r="U166" i="2"/>
  <c r="D73" i="27"/>
  <c r="T193" i="2"/>
  <c r="D92" i="28"/>
  <c r="U212" i="2"/>
  <c r="D76" i="29"/>
  <c r="D76" i="31"/>
  <c r="V196" i="2"/>
  <c r="V231" i="2"/>
  <c r="D111" i="31"/>
  <c r="D111" i="29"/>
  <c r="D81" i="31"/>
  <c r="D81" i="29"/>
  <c r="V201" i="2"/>
  <c r="D100" i="28"/>
  <c r="U220" i="2"/>
  <c r="D6" i="28"/>
  <c r="U126" i="2"/>
  <c r="D40" i="29"/>
  <c r="D40" i="31"/>
  <c r="V160" i="2"/>
  <c r="D46" i="27"/>
  <c r="T166" i="2"/>
  <c r="D73" i="31"/>
  <c r="D73" i="29"/>
  <c r="V193" i="2"/>
  <c r="D59" i="31"/>
  <c r="D59" i="29"/>
  <c r="V179" i="2"/>
  <c r="D32" i="28"/>
  <c r="U152" i="2"/>
  <c r="D108" i="27"/>
  <c r="T228" i="2"/>
  <c r="D47" i="28"/>
  <c r="U167" i="2"/>
  <c r="D17" i="28"/>
  <c r="U137" i="2"/>
  <c r="D18" i="29"/>
  <c r="D18" i="31"/>
  <c r="V138" i="2"/>
  <c r="D100" i="29"/>
  <c r="D100" i="31"/>
  <c r="V220" i="2"/>
  <c r="D22" i="27"/>
  <c r="T142" i="2"/>
  <c r="D88" i="27"/>
  <c r="T208" i="2"/>
  <c r="D121" i="27"/>
  <c r="D75" i="27"/>
  <c r="T195" i="2"/>
  <c r="D28" i="28"/>
  <c r="U148" i="2"/>
  <c r="D13" i="27"/>
  <c r="T133" i="2"/>
  <c r="D93" i="29"/>
  <c r="D93" i="31"/>
  <c r="V213" i="2"/>
  <c r="D63" i="28"/>
  <c r="U183" i="2"/>
  <c r="D64" i="27"/>
  <c r="T184" i="2"/>
  <c r="D16" i="29"/>
  <c r="D16" i="31"/>
  <c r="V136" i="2"/>
  <c r="D33" i="28"/>
  <c r="U153" i="2"/>
  <c r="T233" i="2"/>
  <c r="D113" i="27"/>
  <c r="D34" i="31"/>
  <c r="D34" i="29"/>
  <c r="V154" i="2"/>
  <c r="D3" i="28"/>
  <c r="U123" i="2"/>
  <c r="D36" i="27"/>
  <c r="T156" i="2"/>
  <c r="V236" i="2"/>
  <c r="D116" i="29"/>
  <c r="D116" i="31"/>
  <c r="D85" i="27"/>
  <c r="T205" i="2"/>
  <c r="Z8" i="30"/>
  <c r="U238" i="2"/>
  <c r="D118" i="28"/>
  <c r="D87" i="28"/>
  <c r="U207" i="2"/>
  <c r="T240" i="2"/>
  <c r="D120" i="27"/>
  <c r="D56" i="29"/>
  <c r="D56" i="31"/>
  <c r="V176" i="2"/>
  <c r="D25" i="28"/>
  <c r="U145" i="2"/>
  <c r="D6" i="30"/>
  <c r="Z11" i="30"/>
  <c r="D11" i="28"/>
  <c r="U131" i="2"/>
  <c r="D91" i="27"/>
  <c r="T211" i="2"/>
  <c r="D13" i="31"/>
  <c r="D13" i="29"/>
  <c r="D109" i="28"/>
  <c r="U229" i="2"/>
  <c r="V233" i="2"/>
  <c r="D113" i="31"/>
  <c r="D113" i="29"/>
  <c r="D33" i="27"/>
  <c r="T153" i="2"/>
  <c r="O8" i="30"/>
  <c r="D25" i="27"/>
  <c r="T145" i="2"/>
  <c r="D19" i="27"/>
  <c r="T139" i="2"/>
  <c r="Z9" i="30"/>
  <c r="D67" i="28"/>
  <c r="U187" i="2"/>
  <c r="D52" i="27"/>
  <c r="T172" i="2"/>
  <c r="D5" i="28"/>
  <c r="U125" i="2"/>
  <c r="D101" i="27"/>
  <c r="T221" i="2"/>
  <c r="D54" i="31"/>
  <c r="D54" i="29"/>
  <c r="V174" i="2"/>
  <c r="D7" i="29"/>
  <c r="D7" i="31"/>
  <c r="D103" i="28"/>
  <c r="U223" i="2"/>
  <c r="D105" i="27"/>
  <c r="T225" i="2"/>
  <c r="D72" i="29"/>
  <c r="D72" i="31"/>
  <c r="V192" i="2"/>
  <c r="D41" i="28"/>
  <c r="U161" i="2"/>
  <c r="D10" i="27"/>
  <c r="T130" i="2"/>
  <c r="D90" i="31"/>
  <c r="D90" i="29"/>
  <c r="V210" i="2"/>
  <c r="D27" i="28"/>
  <c r="U147" i="2"/>
  <c r="D107" i="27"/>
  <c r="T227" i="2"/>
  <c r="D63" i="27"/>
  <c r="T183" i="2"/>
  <c r="D63" i="29"/>
  <c r="D63" i="31"/>
  <c r="V183" i="2"/>
  <c r="D19" i="28"/>
  <c r="U139" i="2"/>
  <c r="D54" i="27"/>
  <c r="T174" i="2"/>
  <c r="D25" i="31"/>
  <c r="D25" i="29"/>
  <c r="V145" i="2"/>
  <c r="D107" i="28"/>
  <c r="U227" i="2"/>
  <c r="D29" i="29"/>
  <c r="D29" i="31"/>
  <c r="V149" i="2"/>
  <c r="D80" i="28"/>
  <c r="U200" i="2"/>
  <c r="D49" i="27"/>
  <c r="T169" i="2"/>
  <c r="D66" i="28"/>
  <c r="U186" i="2"/>
  <c r="D21" i="27"/>
  <c r="T141" i="2"/>
  <c r="D101" i="29"/>
  <c r="D101" i="31"/>
  <c r="V221" i="2"/>
  <c r="D23" i="28"/>
  <c r="U143" i="2"/>
  <c r="D103" i="27"/>
  <c r="T223" i="2"/>
  <c r="D105" i="31"/>
  <c r="D105" i="29"/>
  <c r="V225" i="2"/>
  <c r="D41" i="27"/>
  <c r="T161" i="2"/>
  <c r="D10" i="31"/>
  <c r="D10" i="29"/>
  <c r="D106" i="28"/>
  <c r="U226" i="2"/>
  <c r="D27" i="27"/>
  <c r="T147" i="2"/>
  <c r="D107" i="31"/>
  <c r="D107" i="29"/>
  <c r="V227" i="2"/>
  <c r="D28" i="27"/>
  <c r="T148" i="2"/>
  <c r="D48" i="28"/>
  <c r="U168" i="2"/>
  <c r="D36" i="29"/>
  <c r="D36" i="31"/>
  <c r="V156" i="2"/>
  <c r="D87" i="27"/>
  <c r="T207" i="2"/>
  <c r="D78" i="28"/>
  <c r="U198" i="2"/>
  <c r="D54" i="28"/>
  <c r="U174" i="2"/>
  <c r="D78" i="27"/>
  <c r="T198" i="2"/>
  <c r="D80" i="27"/>
  <c r="T200" i="2"/>
  <c r="D68" i="28"/>
  <c r="U188" i="2"/>
  <c r="D70" i="27"/>
  <c r="T190" i="2"/>
  <c r="D103" i="31"/>
  <c r="D103" i="29"/>
  <c r="V223" i="2"/>
  <c r="D41" i="31"/>
  <c r="D41" i="29"/>
  <c r="V161" i="2"/>
  <c r="D91" i="31"/>
  <c r="D91" i="29"/>
  <c r="V211" i="2"/>
  <c r="D29" i="28"/>
  <c r="U149" i="2"/>
  <c r="D109" i="27"/>
  <c r="T229" i="2"/>
  <c r="D96" i="28"/>
  <c r="U216" i="2"/>
  <c r="D33" i="31"/>
  <c r="D33" i="29"/>
  <c r="V153" i="2"/>
  <c r="D52" i="28"/>
  <c r="U172" i="2"/>
  <c r="D85" i="28"/>
  <c r="U205" i="2"/>
  <c r="D7" i="27"/>
  <c r="T127" i="2"/>
  <c r="D72" i="27"/>
  <c r="T192" i="2"/>
  <c r="D10" i="28"/>
  <c r="U130" i="2"/>
  <c r="D44" i="28"/>
  <c r="U164" i="2"/>
  <c r="D109" i="29"/>
  <c r="D109" i="31"/>
  <c r="V229" i="2"/>
  <c r="D79" i="28"/>
  <c r="U199" i="2"/>
  <c r="D96" i="27"/>
  <c r="T216" i="2"/>
  <c r="D49" i="28"/>
  <c r="U169" i="2"/>
  <c r="D44" i="27"/>
  <c r="T164" i="2"/>
  <c r="D96" i="31"/>
  <c r="D96" i="29"/>
  <c r="V216" i="2"/>
  <c r="D52" i="31"/>
  <c r="D52" i="29"/>
  <c r="V172" i="2"/>
  <c r="D45" i="28"/>
  <c r="U165" i="2"/>
  <c r="D35" i="28"/>
  <c r="U155" i="2"/>
  <c r="D49" i="29"/>
  <c r="D49" i="31"/>
  <c r="V169" i="2"/>
  <c r="D66" i="27"/>
  <c r="T186" i="2"/>
  <c r="D21" i="29"/>
  <c r="D21" i="31"/>
  <c r="V141" i="2"/>
  <c r="D94" i="28"/>
  <c r="U214" i="2"/>
  <c r="D60" i="28"/>
  <c r="U180" i="2"/>
  <c r="D45" i="27"/>
  <c r="T165" i="2"/>
  <c r="D78" i="31"/>
  <c r="D78" i="29"/>
  <c r="V198" i="2"/>
  <c r="D95" i="28"/>
  <c r="U215" i="2"/>
  <c r="D35" i="27"/>
  <c r="T155" i="2"/>
  <c r="D80" i="29"/>
  <c r="D80" i="31"/>
  <c r="V200" i="2"/>
  <c r="D65" i="28"/>
  <c r="U185" i="2"/>
  <c r="D51" i="27"/>
  <c r="T171" i="2"/>
  <c r="D66" i="31"/>
  <c r="D66" i="29"/>
  <c r="V186" i="2"/>
  <c r="O10" i="30"/>
  <c r="D68" i="27"/>
  <c r="T188" i="2"/>
  <c r="D21" i="28"/>
  <c r="U141" i="2"/>
  <c r="U237" i="2"/>
  <c r="D117" i="28"/>
  <c r="D70" i="31"/>
  <c r="D70" i="29"/>
  <c r="V190" i="2"/>
  <c r="D23" i="29"/>
  <c r="D23" i="31"/>
  <c r="V143" i="2"/>
  <c r="U239" i="2"/>
  <c r="D119" i="28"/>
  <c r="D94" i="27"/>
  <c r="T214" i="2"/>
  <c r="D104" i="31"/>
  <c r="D104" i="29"/>
  <c r="V224" i="2"/>
  <c r="D57" i="28"/>
  <c r="U177" i="2"/>
  <c r="D7" i="30"/>
  <c r="D106" i="31"/>
  <c r="D106" i="29"/>
  <c r="V226" i="2"/>
  <c r="D43" i="28"/>
  <c r="U163" i="2"/>
  <c r="D90" i="28"/>
  <c r="U210" i="2"/>
  <c r="D28" i="31"/>
  <c r="D28" i="29"/>
  <c r="V148" i="2"/>
  <c r="D48" i="27"/>
  <c r="T168" i="2"/>
  <c r="D5" i="31"/>
  <c r="D5" i="29"/>
  <c r="D105" i="28"/>
  <c r="U225" i="2"/>
  <c r="D11" i="31"/>
  <c r="D11" i="29"/>
  <c r="D79" i="27"/>
  <c r="T199" i="2"/>
  <c r="D19" i="29"/>
  <c r="D19" i="31"/>
  <c r="V139" i="2"/>
  <c r="D104" i="28"/>
  <c r="U224" i="2"/>
  <c r="D44" i="31"/>
  <c r="D44" i="29"/>
  <c r="V164" i="2"/>
  <c r="D79" i="31"/>
  <c r="D79" i="29"/>
  <c r="V199" i="2"/>
  <c r="D51" i="28"/>
  <c r="U171" i="2"/>
  <c r="D67" i="31"/>
  <c r="D67" i="29"/>
  <c r="V187" i="2"/>
  <c r="D101" i="28"/>
  <c r="U221" i="2"/>
  <c r="D23" i="27"/>
  <c r="T143" i="2"/>
  <c r="D104" i="27"/>
  <c r="T224" i="2"/>
  <c r="O7" i="30"/>
  <c r="D106" i="27"/>
  <c r="T226" i="2"/>
  <c r="D60" i="27"/>
  <c r="T180" i="2"/>
  <c r="D45" i="29"/>
  <c r="D45" i="31"/>
  <c r="V165" i="2"/>
  <c r="D15" i="28"/>
  <c r="U135" i="2"/>
  <c r="D95" i="27"/>
  <c r="T215" i="2"/>
  <c r="D35" i="31"/>
  <c r="D35" i="29"/>
  <c r="V155" i="2"/>
  <c r="U232" i="2"/>
  <c r="D112" i="28"/>
  <c r="D65" i="27"/>
  <c r="T185" i="2"/>
  <c r="D51" i="31"/>
  <c r="D51" i="29"/>
  <c r="V171" i="2"/>
  <c r="D82" i="28"/>
  <c r="U202" i="2"/>
  <c r="D10" i="30"/>
  <c r="D68" i="31"/>
  <c r="D68" i="29"/>
  <c r="V188" i="2"/>
  <c r="D37" i="27"/>
  <c r="T157" i="2"/>
  <c r="T237" i="2"/>
  <c r="D117" i="27"/>
  <c r="D70" i="28"/>
  <c r="U190" i="2"/>
  <c r="D39" i="28"/>
  <c r="U159" i="2"/>
  <c r="T239" i="2"/>
  <c r="D119" i="27"/>
  <c r="D94" i="31"/>
  <c r="D94" i="29"/>
  <c r="V214" i="2"/>
  <c r="D89" i="28"/>
  <c r="U209" i="2"/>
  <c r="D57" i="27"/>
  <c r="T177" i="2"/>
  <c r="Z7" i="30"/>
  <c r="O5" i="30"/>
  <c r="D43" i="27"/>
  <c r="T163" i="2"/>
  <c r="CS23" i="2"/>
  <c r="CE23" i="2"/>
  <c r="CE5" i="2"/>
  <c r="AB6" i="2"/>
  <c r="CF23" i="2"/>
  <c r="CE22" i="2"/>
  <c r="CE21" i="2"/>
  <c r="BT22" i="2"/>
  <c r="AQ5" i="8"/>
  <c r="AQ5" i="30"/>
  <c r="AR5" i="30" s="1"/>
  <c r="AS5" i="30" s="1"/>
  <c r="AK5" i="8"/>
  <c r="AL5" i="8" s="1"/>
  <c r="AM5" i="8" s="1"/>
  <c r="AK5" i="30"/>
  <c r="AL5" i="30" s="1"/>
  <c r="AM5" i="30" s="1"/>
  <c r="L7" i="6"/>
  <c r="O121" i="4"/>
  <c r="M111" i="3"/>
  <c r="O111" i="4"/>
  <c r="O120" i="4"/>
  <c r="O118" i="4"/>
  <c r="P5" i="18"/>
  <c r="P6" i="18"/>
  <c r="P7" i="18"/>
  <c r="P8" i="18"/>
  <c r="P9" i="18"/>
  <c r="P10" i="18"/>
  <c r="P4" i="18"/>
  <c r="P11" i="18"/>
  <c r="P12" i="18"/>
  <c r="O115" i="4"/>
  <c r="D5" i="18"/>
  <c r="D6" i="18"/>
  <c r="D9" i="18"/>
  <c r="D10" i="18"/>
  <c r="D11" i="18"/>
  <c r="D12" i="18"/>
  <c r="D4" i="18"/>
  <c r="D8" i="18"/>
  <c r="D7" i="18"/>
  <c r="J10" i="18"/>
  <c r="J11" i="18"/>
  <c r="J12" i="18"/>
  <c r="J4" i="18"/>
  <c r="J5" i="18"/>
  <c r="J6" i="18"/>
  <c r="J7" i="18"/>
  <c r="J8" i="18"/>
  <c r="J9" i="18"/>
  <c r="D28" i="5"/>
  <c r="P28" i="5" s="1"/>
  <c r="Q28" i="5" s="1"/>
  <c r="D29" i="4"/>
  <c r="P29" i="4" s="1"/>
  <c r="Q29" i="4" s="1"/>
  <c r="D29" i="20"/>
  <c r="D109" i="3"/>
  <c r="N109" i="3" s="1"/>
  <c r="O109" i="3" s="1"/>
  <c r="D109" i="19"/>
  <c r="D63" i="5"/>
  <c r="P63" i="5" s="1"/>
  <c r="Q63" i="5" s="1"/>
  <c r="D96" i="4"/>
  <c r="P96" i="4" s="1"/>
  <c r="Q96" i="4" s="1"/>
  <c r="D96" i="20"/>
  <c r="D48" i="3"/>
  <c r="D48" i="19"/>
  <c r="D33" i="5"/>
  <c r="P33" i="5" s="1"/>
  <c r="Q33" i="5" s="1"/>
  <c r="D19" i="4"/>
  <c r="P19" i="4" s="1"/>
  <c r="Q19" i="4" s="1"/>
  <c r="D19" i="20"/>
  <c r="F50" i="1"/>
  <c r="D9" i="8"/>
  <c r="D3" i="5"/>
  <c r="P3" i="5" s="1"/>
  <c r="Q3" i="5" s="1"/>
  <c r="D52" i="4"/>
  <c r="D52" i="20"/>
  <c r="D5" i="5"/>
  <c r="P5" i="5" s="1"/>
  <c r="Q5" i="5" s="1"/>
  <c r="D85" i="4"/>
  <c r="P85" i="4" s="1"/>
  <c r="Q85" i="4" s="1"/>
  <c r="D85" i="20"/>
  <c r="I38" i="1"/>
  <c r="O8" i="8"/>
  <c r="D7" i="4"/>
  <c r="P7" i="4" s="1"/>
  <c r="Q7" i="4" s="1"/>
  <c r="D7" i="20"/>
  <c r="D87" i="19"/>
  <c r="D87" i="3"/>
  <c r="N87" i="3" s="1"/>
  <c r="O87" i="3" s="1"/>
  <c r="D120" i="5"/>
  <c r="D72" i="4"/>
  <c r="P72" i="4" s="1"/>
  <c r="Q72" i="4" s="1"/>
  <c r="D72" i="20"/>
  <c r="D25" i="19"/>
  <c r="D25" i="3"/>
  <c r="N25" i="3" s="1"/>
  <c r="O25" i="3" s="1"/>
  <c r="L14" i="1"/>
  <c r="Z6" i="8"/>
  <c r="D90" i="4"/>
  <c r="P90" i="4" s="1"/>
  <c r="Q90" i="4" s="1"/>
  <c r="D90" i="20"/>
  <c r="D11" i="3"/>
  <c r="N11" i="3" s="1"/>
  <c r="O11" i="3" s="1"/>
  <c r="D11" i="19"/>
  <c r="D91" i="5"/>
  <c r="P91" i="5" s="1"/>
  <c r="Q91" i="5" s="1"/>
  <c r="D44" i="4"/>
  <c r="P44" i="4" s="1"/>
  <c r="Q44" i="4" s="1"/>
  <c r="D44" i="20"/>
  <c r="D29" i="3"/>
  <c r="N29" i="3" s="1"/>
  <c r="O29" i="3" s="1"/>
  <c r="D29" i="19"/>
  <c r="D109" i="5"/>
  <c r="P109" i="5" s="1"/>
  <c r="Q109" i="5" s="1"/>
  <c r="D79" i="4"/>
  <c r="P79" i="4" s="1"/>
  <c r="Q79" i="4" s="1"/>
  <c r="D79" i="20"/>
  <c r="D96" i="3"/>
  <c r="N96" i="3" s="1"/>
  <c r="O96" i="3" s="1"/>
  <c r="D96" i="19"/>
  <c r="D48" i="5"/>
  <c r="P48" i="5" s="1"/>
  <c r="Q48" i="5" s="1"/>
  <c r="D49" i="20"/>
  <c r="D49" i="4"/>
  <c r="P49" i="4" s="1"/>
  <c r="Q49" i="4" s="1"/>
  <c r="D19" i="3"/>
  <c r="N19" i="3" s="1"/>
  <c r="O19" i="3" s="1"/>
  <c r="D19" i="19"/>
  <c r="L50" i="1"/>
  <c r="Z9" i="8"/>
  <c r="D67" i="4"/>
  <c r="P67" i="4" s="1"/>
  <c r="Q67" i="4" s="1"/>
  <c r="D67" i="20"/>
  <c r="D52" i="3"/>
  <c r="N52" i="3" s="1"/>
  <c r="O52" i="3" s="1"/>
  <c r="D52" i="19"/>
  <c r="D5" i="4"/>
  <c r="P5" i="4" s="1"/>
  <c r="Q5" i="4" s="1"/>
  <c r="D5" i="20"/>
  <c r="D101" i="19"/>
  <c r="D101" i="3"/>
  <c r="N101" i="3" s="1"/>
  <c r="O101" i="3" s="1"/>
  <c r="D54" i="19"/>
  <c r="D54" i="3"/>
  <c r="N54" i="3" s="1"/>
  <c r="O54" i="3" s="1"/>
  <c r="D7" i="19"/>
  <c r="D7" i="3"/>
  <c r="N7" i="3" s="1"/>
  <c r="O7" i="3" s="1"/>
  <c r="D87" i="5"/>
  <c r="P87" i="5" s="1"/>
  <c r="Q87" i="5" s="1"/>
  <c r="D105" i="4"/>
  <c r="P105" i="4" s="1"/>
  <c r="Q105" i="4" s="1"/>
  <c r="D105" i="20"/>
  <c r="D72" i="19"/>
  <c r="D72" i="3"/>
  <c r="N72" i="3" s="1"/>
  <c r="O72" i="3" s="1"/>
  <c r="D25" i="5"/>
  <c r="P25" i="5" s="1"/>
  <c r="Q25" i="5" s="1"/>
  <c r="D10" i="4"/>
  <c r="P10" i="4" s="1"/>
  <c r="Q10" i="4" s="1"/>
  <c r="D10" i="20"/>
  <c r="D90" i="3"/>
  <c r="N90" i="3" s="1"/>
  <c r="O90" i="3" s="1"/>
  <c r="D90" i="19"/>
  <c r="D11" i="5"/>
  <c r="P11" i="5" s="1"/>
  <c r="Q11" i="5" s="1"/>
  <c r="D107" i="4"/>
  <c r="P107" i="4" s="1"/>
  <c r="Q107" i="4" s="1"/>
  <c r="D107" i="20"/>
  <c r="D44" i="3"/>
  <c r="N44" i="3" s="1"/>
  <c r="O44" i="3" s="1"/>
  <c r="D44" i="19"/>
  <c r="D29" i="5"/>
  <c r="P29" i="5" s="1"/>
  <c r="Q29" i="5" s="1"/>
  <c r="D78" i="4"/>
  <c r="P78" i="4" s="1"/>
  <c r="Q78" i="4" s="1"/>
  <c r="D78" i="20"/>
  <c r="D79" i="3"/>
  <c r="N79" i="3" s="1"/>
  <c r="O79" i="3" s="1"/>
  <c r="D79" i="19"/>
  <c r="D96" i="5"/>
  <c r="P96" i="5" s="1"/>
  <c r="Q96" i="5" s="1"/>
  <c r="D80" i="4"/>
  <c r="P80" i="4" s="1"/>
  <c r="Q80" i="4" s="1"/>
  <c r="D80" i="20"/>
  <c r="D49" i="3"/>
  <c r="N49" i="3" s="1"/>
  <c r="O49" i="3" s="1"/>
  <c r="D49" i="19"/>
  <c r="D19" i="5"/>
  <c r="P19" i="5" s="1"/>
  <c r="Q19" i="5" s="1"/>
  <c r="D66" i="20"/>
  <c r="D66" i="4"/>
  <c r="P66" i="4" s="1"/>
  <c r="Q66" i="4" s="1"/>
  <c r="D67" i="3"/>
  <c r="N67" i="3" s="1"/>
  <c r="O67" i="3" s="1"/>
  <c r="D67" i="19"/>
  <c r="D52" i="5"/>
  <c r="P52" i="5" s="1"/>
  <c r="Q52" i="5" s="1"/>
  <c r="D21" i="19"/>
  <c r="D21" i="3"/>
  <c r="N21" i="3" s="1"/>
  <c r="O21" i="3" s="1"/>
  <c r="D101" i="5"/>
  <c r="P101" i="5" s="1"/>
  <c r="Q101" i="5" s="1"/>
  <c r="D54" i="5"/>
  <c r="P54" i="5" s="1"/>
  <c r="Q54" i="5" s="1"/>
  <c r="D7" i="5"/>
  <c r="P7" i="5" s="1"/>
  <c r="Q7" i="5" s="1"/>
  <c r="D103" i="4"/>
  <c r="P103" i="4" s="1"/>
  <c r="Q103" i="4" s="1"/>
  <c r="D103" i="20"/>
  <c r="D105" i="19"/>
  <c r="D105" i="3"/>
  <c r="N105" i="3" s="1"/>
  <c r="O105" i="3" s="1"/>
  <c r="D72" i="5"/>
  <c r="P72" i="5" s="1"/>
  <c r="Q72" i="5" s="1"/>
  <c r="D41" i="4"/>
  <c r="P41" i="4" s="1"/>
  <c r="Q41" i="4" s="1"/>
  <c r="D41" i="20"/>
  <c r="D10" i="3"/>
  <c r="N10" i="3" s="1"/>
  <c r="O10" i="3" s="1"/>
  <c r="D10" i="19"/>
  <c r="D90" i="5"/>
  <c r="P90" i="5" s="1"/>
  <c r="Q90" i="5" s="1"/>
  <c r="D27" i="4"/>
  <c r="P27" i="4" s="1"/>
  <c r="Q27" i="4" s="1"/>
  <c r="D27" i="20"/>
  <c r="D107" i="3"/>
  <c r="N107" i="3" s="1"/>
  <c r="O107" i="3" s="1"/>
  <c r="D107" i="19"/>
  <c r="D44" i="5"/>
  <c r="P44" i="5" s="1"/>
  <c r="Q44" i="5" s="1"/>
  <c r="D45" i="4"/>
  <c r="P45" i="4" s="1"/>
  <c r="Q45" i="4" s="1"/>
  <c r="D45" i="20"/>
  <c r="D78" i="3"/>
  <c r="N78" i="3" s="1"/>
  <c r="O78" i="3" s="1"/>
  <c r="D78" i="19"/>
  <c r="D79" i="5"/>
  <c r="P79" i="5" s="1"/>
  <c r="Q79" i="5" s="1"/>
  <c r="D35" i="4"/>
  <c r="P35" i="4" s="1"/>
  <c r="Q35" i="4" s="1"/>
  <c r="D35" i="20"/>
  <c r="D80" i="3"/>
  <c r="N80" i="3" s="1"/>
  <c r="O80" i="3" s="1"/>
  <c r="D80" i="19"/>
  <c r="D49" i="5"/>
  <c r="P49" i="5" s="1"/>
  <c r="Q49" i="5" s="1"/>
  <c r="D51" i="4"/>
  <c r="P51" i="4" s="1"/>
  <c r="Q51" i="4" s="1"/>
  <c r="D51" i="20"/>
  <c r="D66" i="3"/>
  <c r="N66" i="3" s="1"/>
  <c r="O66" i="3" s="1"/>
  <c r="D66" i="19"/>
  <c r="D67" i="5"/>
  <c r="P67" i="5" s="1"/>
  <c r="Q67" i="5" s="1"/>
  <c r="D68" i="4"/>
  <c r="P68" i="4" s="1"/>
  <c r="Q68" i="4" s="1"/>
  <c r="D68" i="20"/>
  <c r="D21" i="5"/>
  <c r="P21" i="5" s="1"/>
  <c r="Q21" i="5" s="1"/>
  <c r="D101" i="4"/>
  <c r="P101" i="4" s="1"/>
  <c r="Q101" i="4" s="1"/>
  <c r="D101" i="20"/>
  <c r="D54" i="4"/>
  <c r="P54" i="4" s="1"/>
  <c r="Q54" i="4" s="1"/>
  <c r="D54" i="20"/>
  <c r="D23" i="4"/>
  <c r="P23" i="4" s="1"/>
  <c r="Q23" i="4" s="1"/>
  <c r="D23" i="20"/>
  <c r="D103" i="19"/>
  <c r="D103" i="3"/>
  <c r="N103" i="3" s="1"/>
  <c r="O103" i="3" s="1"/>
  <c r="D105" i="5"/>
  <c r="P105" i="5" s="1"/>
  <c r="Q105" i="5" s="1"/>
  <c r="D104" i="20"/>
  <c r="D104" i="4"/>
  <c r="P104" i="4" s="1"/>
  <c r="Q104" i="4" s="1"/>
  <c r="D41" i="19"/>
  <c r="D41" i="3"/>
  <c r="N41" i="3" s="1"/>
  <c r="O41" i="3" s="1"/>
  <c r="D10" i="5"/>
  <c r="P10" i="5" s="1"/>
  <c r="Q10" i="5" s="1"/>
  <c r="D106" i="4"/>
  <c r="P106" i="4" s="1"/>
  <c r="Q106" i="4" s="1"/>
  <c r="D106" i="20"/>
  <c r="D27" i="3"/>
  <c r="N27" i="3" s="1"/>
  <c r="O27" i="3" s="1"/>
  <c r="D27" i="19"/>
  <c r="D107" i="5"/>
  <c r="P107" i="5" s="1"/>
  <c r="Q107" i="5" s="1"/>
  <c r="D60" i="4"/>
  <c r="P60" i="4" s="1"/>
  <c r="Q60" i="4" s="1"/>
  <c r="D60" i="20"/>
  <c r="D45" i="3"/>
  <c r="N45" i="3" s="1"/>
  <c r="O45" i="3" s="1"/>
  <c r="D45" i="19"/>
  <c r="D78" i="5"/>
  <c r="P78" i="5" s="1"/>
  <c r="Q78" i="5" s="1"/>
  <c r="D95" i="4"/>
  <c r="P95" i="4" s="1"/>
  <c r="Q95" i="4" s="1"/>
  <c r="D95" i="20"/>
  <c r="D35" i="3"/>
  <c r="N35" i="3" s="1"/>
  <c r="O35" i="3" s="1"/>
  <c r="D35" i="19"/>
  <c r="D80" i="5"/>
  <c r="P80" i="5" s="1"/>
  <c r="Q80" i="5" s="1"/>
  <c r="D65" i="20"/>
  <c r="D65" i="4"/>
  <c r="P65" i="4" s="1"/>
  <c r="Q65" i="4" s="1"/>
  <c r="D51" i="3"/>
  <c r="N51" i="3" s="1"/>
  <c r="O51" i="3" s="1"/>
  <c r="D51" i="19"/>
  <c r="D66" i="5"/>
  <c r="P66" i="5" s="1"/>
  <c r="Q66" i="5" s="1"/>
  <c r="I62" i="1"/>
  <c r="O10" i="8"/>
  <c r="D68" i="3"/>
  <c r="N68" i="3" s="1"/>
  <c r="O68" i="3" s="1"/>
  <c r="D68" i="19"/>
  <c r="D21" i="4"/>
  <c r="P21" i="4" s="1"/>
  <c r="Q21" i="4" s="1"/>
  <c r="D21" i="20"/>
  <c r="D117" i="4"/>
  <c r="P117" i="4" s="1"/>
  <c r="Q117" i="4" s="1"/>
  <c r="D117" i="20"/>
  <c r="D70" i="19"/>
  <c r="D70" i="3"/>
  <c r="N70" i="3" s="1"/>
  <c r="O70" i="3" s="1"/>
  <c r="D23" i="19"/>
  <c r="D23" i="3"/>
  <c r="N23" i="3" s="1"/>
  <c r="O23" i="3" s="1"/>
  <c r="D103" i="5"/>
  <c r="P103" i="5" s="1"/>
  <c r="Q103" i="5" s="1"/>
  <c r="D94" i="4"/>
  <c r="P94" i="4" s="1"/>
  <c r="Q94" i="4" s="1"/>
  <c r="D94" i="20"/>
  <c r="D104" i="19"/>
  <c r="D104" i="3"/>
  <c r="N104" i="3" s="1"/>
  <c r="O104" i="3" s="1"/>
  <c r="D41" i="5"/>
  <c r="P41" i="5" s="1"/>
  <c r="Q41" i="5" s="1"/>
  <c r="I26" i="1"/>
  <c r="O7" i="8"/>
  <c r="D106" i="3"/>
  <c r="N106" i="3" s="1"/>
  <c r="O106" i="3" s="1"/>
  <c r="D106" i="19"/>
  <c r="D27" i="5"/>
  <c r="P27" i="5" s="1"/>
  <c r="Q27" i="5" s="1"/>
  <c r="D60" i="3"/>
  <c r="N60" i="3" s="1"/>
  <c r="O60" i="3" s="1"/>
  <c r="D60" i="19"/>
  <c r="D45" i="5"/>
  <c r="P45" i="5" s="1"/>
  <c r="Q45" i="5" s="1"/>
  <c r="D15" i="4"/>
  <c r="P15" i="4" s="1"/>
  <c r="Q15" i="4" s="1"/>
  <c r="D15" i="20"/>
  <c r="D95" i="19"/>
  <c r="D95" i="3"/>
  <c r="N95" i="3" s="1"/>
  <c r="O95" i="3" s="1"/>
  <c r="D35" i="5"/>
  <c r="P35" i="5" s="1"/>
  <c r="Q35" i="5" s="1"/>
  <c r="D112" i="4"/>
  <c r="D112" i="20"/>
  <c r="D65" i="3"/>
  <c r="N65" i="3" s="1"/>
  <c r="O65" i="3" s="1"/>
  <c r="D65" i="19"/>
  <c r="D51" i="5"/>
  <c r="P51" i="5" s="1"/>
  <c r="Q51" i="5" s="1"/>
  <c r="D82" i="20"/>
  <c r="D82" i="4"/>
  <c r="P82" i="4" s="1"/>
  <c r="Q82" i="4" s="1"/>
  <c r="F62" i="1"/>
  <c r="D10" i="8"/>
  <c r="D68" i="5"/>
  <c r="D37" i="19"/>
  <c r="D37" i="3"/>
  <c r="N37" i="3" s="1"/>
  <c r="O37" i="3" s="1"/>
  <c r="D117" i="19"/>
  <c r="D117" i="3"/>
  <c r="D70" i="5"/>
  <c r="P70" i="5" s="1"/>
  <c r="Q70" i="5" s="1"/>
  <c r="D23" i="5"/>
  <c r="P23" i="5" s="1"/>
  <c r="Q23" i="5" s="1"/>
  <c r="D119" i="4"/>
  <c r="D119" i="20"/>
  <c r="D94" i="3"/>
  <c r="D94" i="19"/>
  <c r="D104" i="5"/>
  <c r="P104" i="5" s="1"/>
  <c r="Q104" i="5" s="1"/>
  <c r="D57" i="4"/>
  <c r="P57" i="4" s="1"/>
  <c r="Q57" i="4" s="1"/>
  <c r="D57" i="20"/>
  <c r="F26" i="1"/>
  <c r="D7" i="8"/>
  <c r="D106" i="5"/>
  <c r="P106" i="5" s="1"/>
  <c r="Q106" i="5" s="1"/>
  <c r="D43" i="4"/>
  <c r="P43" i="4" s="1"/>
  <c r="Q43" i="4" s="1"/>
  <c r="D43" i="20"/>
  <c r="D60" i="5"/>
  <c r="P60" i="5" s="1"/>
  <c r="Q60" i="5" s="1"/>
  <c r="D61" i="4"/>
  <c r="P61" i="4" s="1"/>
  <c r="Q61" i="4" s="1"/>
  <c r="D61" i="20"/>
  <c r="D15" i="19"/>
  <c r="D15" i="3"/>
  <c r="N15" i="3" s="1"/>
  <c r="O15" i="3" s="1"/>
  <c r="D95" i="5"/>
  <c r="P95" i="5" s="1"/>
  <c r="Q95" i="5" s="1"/>
  <c r="D115" i="4"/>
  <c r="D115" i="20"/>
  <c r="D112" i="3"/>
  <c r="D112" i="19"/>
  <c r="D65" i="5"/>
  <c r="P65" i="5" s="1"/>
  <c r="Q65" i="5" s="1"/>
  <c r="D99" i="4"/>
  <c r="P99" i="4" s="1"/>
  <c r="Q99" i="4" s="1"/>
  <c r="D99" i="20"/>
  <c r="D82" i="3"/>
  <c r="N82" i="3" s="1"/>
  <c r="O82" i="3" s="1"/>
  <c r="D82" i="19"/>
  <c r="L62" i="1"/>
  <c r="Z10" i="8"/>
  <c r="D84" i="4"/>
  <c r="P84" i="4" s="1"/>
  <c r="Q84" i="4" s="1"/>
  <c r="D84" i="20"/>
  <c r="D37" i="5"/>
  <c r="P37" i="5" s="1"/>
  <c r="Q37" i="5" s="1"/>
  <c r="D117" i="5"/>
  <c r="D70" i="4"/>
  <c r="P70" i="4" s="1"/>
  <c r="Q70" i="4" s="1"/>
  <c r="D70" i="20"/>
  <c r="D39" i="4"/>
  <c r="P39" i="4" s="1"/>
  <c r="Q39" i="4" s="1"/>
  <c r="D39" i="20"/>
  <c r="D119" i="19"/>
  <c r="D119" i="3"/>
  <c r="D94" i="5"/>
  <c r="P94" i="5" s="1"/>
  <c r="Q94" i="5" s="1"/>
  <c r="D89" i="4"/>
  <c r="P89" i="4" s="1"/>
  <c r="Q89" i="4" s="1"/>
  <c r="D89" i="20"/>
  <c r="D57" i="19"/>
  <c r="D57" i="3"/>
  <c r="N57" i="3" s="1"/>
  <c r="O57" i="3" s="1"/>
  <c r="L26" i="1"/>
  <c r="Z7" i="8"/>
  <c r="I2" i="1"/>
  <c r="O5" i="8"/>
  <c r="D43" i="3"/>
  <c r="N43" i="3" s="1"/>
  <c r="O43" i="3" s="1"/>
  <c r="D43" i="19"/>
  <c r="D76" i="4"/>
  <c r="P76" i="4" s="1"/>
  <c r="Q76" i="4" s="1"/>
  <c r="D76" i="20"/>
  <c r="D61" i="3"/>
  <c r="N61" i="3" s="1"/>
  <c r="O61" i="3" s="1"/>
  <c r="D61" i="19"/>
  <c r="D15" i="5"/>
  <c r="P15" i="5" s="1"/>
  <c r="Q15" i="5" s="1"/>
  <c r="D111" i="4"/>
  <c r="D111" i="20"/>
  <c r="D115" i="3"/>
  <c r="D115" i="19"/>
  <c r="D112" i="5"/>
  <c r="D81" i="20"/>
  <c r="D81" i="4"/>
  <c r="P81" i="4" s="1"/>
  <c r="Q81" i="4" s="1"/>
  <c r="D99" i="3"/>
  <c r="N99" i="3" s="1"/>
  <c r="O99" i="3" s="1"/>
  <c r="D99" i="19"/>
  <c r="D82" i="5"/>
  <c r="P82" i="5" s="1"/>
  <c r="Q82" i="5" s="1"/>
  <c r="D4" i="4"/>
  <c r="P4" i="4" s="1"/>
  <c r="Q4" i="4" s="1"/>
  <c r="D4" i="20"/>
  <c r="D84" i="3"/>
  <c r="N84" i="3" s="1"/>
  <c r="O84" i="3" s="1"/>
  <c r="D84" i="19"/>
  <c r="D37" i="4"/>
  <c r="P37" i="4" s="1"/>
  <c r="Q37" i="4" s="1"/>
  <c r="D37" i="20"/>
  <c r="L86" i="1"/>
  <c r="Z12" i="8"/>
  <c r="D39" i="19"/>
  <c r="D39" i="3"/>
  <c r="N39" i="3" s="1"/>
  <c r="O39" i="3" s="1"/>
  <c r="D119" i="5"/>
  <c r="D8" i="20"/>
  <c r="D8" i="4"/>
  <c r="P8" i="4" s="1"/>
  <c r="Q8" i="4" s="1"/>
  <c r="D89" i="19"/>
  <c r="D89" i="3"/>
  <c r="N89" i="3" s="1"/>
  <c r="O89" i="3" s="1"/>
  <c r="D57" i="5"/>
  <c r="P57" i="5" s="1"/>
  <c r="Q57" i="5" s="1"/>
  <c r="D42" i="4"/>
  <c r="P42" i="4" s="1"/>
  <c r="Q42" i="4" s="1"/>
  <c r="D42" i="20"/>
  <c r="F2" i="1"/>
  <c r="D5" i="8"/>
  <c r="D43" i="5"/>
  <c r="P43" i="5" s="1"/>
  <c r="Q43" i="5" s="1"/>
  <c r="D76" i="3"/>
  <c r="N76" i="3" s="1"/>
  <c r="O76" i="3" s="1"/>
  <c r="D76" i="19"/>
  <c r="D61" i="5"/>
  <c r="P61" i="5" s="1"/>
  <c r="Q61" i="5" s="1"/>
  <c r="D31" i="4"/>
  <c r="P31" i="4" s="1"/>
  <c r="Q31" i="4" s="1"/>
  <c r="D31" i="20"/>
  <c r="D111" i="3"/>
  <c r="D111" i="19"/>
  <c r="D115" i="5"/>
  <c r="D83" i="4"/>
  <c r="P83" i="4" s="1"/>
  <c r="Q83" i="4" s="1"/>
  <c r="D83" i="20"/>
  <c r="D81" i="3"/>
  <c r="N81" i="3" s="1"/>
  <c r="O81" i="3" s="1"/>
  <c r="D81" i="19"/>
  <c r="D99" i="5"/>
  <c r="P99" i="5" s="1"/>
  <c r="Q99" i="5" s="1"/>
  <c r="I98" i="1"/>
  <c r="O13" i="8"/>
  <c r="D4" i="3"/>
  <c r="N4" i="3" s="1"/>
  <c r="O4" i="3" s="1"/>
  <c r="D4" i="19"/>
  <c r="D84" i="5"/>
  <c r="P84" i="5" s="1"/>
  <c r="Q84" i="5" s="1"/>
  <c r="D53" i="4"/>
  <c r="P53" i="4" s="1"/>
  <c r="Q53" i="4" s="1"/>
  <c r="D53" i="20"/>
  <c r="D6" i="19"/>
  <c r="D6" i="3"/>
  <c r="N6" i="3" s="1"/>
  <c r="O6" i="3" s="1"/>
  <c r="F86" i="1"/>
  <c r="D12" i="8"/>
  <c r="D39" i="5"/>
  <c r="P39" i="5" s="1"/>
  <c r="Q39" i="5" s="1"/>
  <c r="D40" i="20"/>
  <c r="D40" i="4"/>
  <c r="P40" i="4" s="1"/>
  <c r="Q40" i="4" s="1"/>
  <c r="D8" i="19"/>
  <c r="D8" i="3"/>
  <c r="N8" i="3" s="1"/>
  <c r="O8" i="3" s="1"/>
  <c r="D89" i="5"/>
  <c r="P89" i="5" s="1"/>
  <c r="Q89" i="5" s="1"/>
  <c r="D73" i="4"/>
  <c r="P73" i="4" s="1"/>
  <c r="Q73" i="4" s="1"/>
  <c r="D73" i="20"/>
  <c r="D42" i="3"/>
  <c r="N42" i="3" s="1"/>
  <c r="O42" i="3" s="1"/>
  <c r="D42" i="19"/>
  <c r="L2" i="1"/>
  <c r="Z5" i="8"/>
  <c r="D59" i="4"/>
  <c r="P59" i="4" s="1"/>
  <c r="Q59" i="4" s="1"/>
  <c r="D59" i="20"/>
  <c r="N48" i="3"/>
  <c r="O48" i="3" s="1"/>
  <c r="D76" i="5"/>
  <c r="P76" i="5" s="1"/>
  <c r="Q76" i="5" s="1"/>
  <c r="D77" i="4"/>
  <c r="P77" i="4" s="1"/>
  <c r="Q77" i="4" s="1"/>
  <c r="D77" i="20"/>
  <c r="D31" i="3"/>
  <c r="N31" i="3" s="1"/>
  <c r="O31" i="3" s="1"/>
  <c r="D31" i="19"/>
  <c r="D111" i="5"/>
  <c r="I110" i="1"/>
  <c r="O14" i="8"/>
  <c r="D83" i="3"/>
  <c r="N83" i="3" s="1"/>
  <c r="O83" i="3" s="1"/>
  <c r="D83" i="19"/>
  <c r="D81" i="5"/>
  <c r="P81" i="5" s="1"/>
  <c r="Q81" i="5" s="1"/>
  <c r="D18" i="20"/>
  <c r="D18" i="4"/>
  <c r="P18" i="4" s="1"/>
  <c r="Q18" i="4" s="1"/>
  <c r="F98" i="1"/>
  <c r="D13" i="8"/>
  <c r="D4" i="5"/>
  <c r="P4" i="5" s="1"/>
  <c r="Q4" i="5" s="1"/>
  <c r="D100" i="4"/>
  <c r="P100" i="4" s="1"/>
  <c r="Q100" i="4" s="1"/>
  <c r="D100" i="20"/>
  <c r="D53" i="19"/>
  <c r="D53" i="3"/>
  <c r="N53" i="3" s="1"/>
  <c r="O53" i="3" s="1"/>
  <c r="D6" i="5"/>
  <c r="P6" i="5" s="1"/>
  <c r="Q6" i="5" s="1"/>
  <c r="I86" i="1"/>
  <c r="O12" i="8"/>
  <c r="D55" i="4"/>
  <c r="P55" i="4" s="1"/>
  <c r="Q55" i="4" s="1"/>
  <c r="D55" i="20"/>
  <c r="D40" i="19"/>
  <c r="D40" i="3"/>
  <c r="N40" i="3" s="1"/>
  <c r="O40" i="3" s="1"/>
  <c r="D8" i="5"/>
  <c r="P8" i="5" s="1"/>
  <c r="Q8" i="5" s="1"/>
  <c r="D46" i="4"/>
  <c r="P46" i="4" s="1"/>
  <c r="Q46" i="4" s="1"/>
  <c r="D46" i="20"/>
  <c r="D73" i="19"/>
  <c r="D73" i="3"/>
  <c r="N73" i="3" s="1"/>
  <c r="O73" i="3" s="1"/>
  <c r="D42" i="5"/>
  <c r="P42" i="5" s="1"/>
  <c r="Q42" i="5" s="1"/>
  <c r="D92" i="4"/>
  <c r="P92" i="4" s="1"/>
  <c r="Q92" i="4" s="1"/>
  <c r="D92" i="20"/>
  <c r="D59" i="3"/>
  <c r="N59" i="3" s="1"/>
  <c r="O59" i="3" s="1"/>
  <c r="D59" i="19"/>
  <c r="D108" i="4"/>
  <c r="P108" i="4" s="1"/>
  <c r="Q108" i="4" s="1"/>
  <c r="D108" i="20"/>
  <c r="D77" i="3"/>
  <c r="N77" i="3" s="1"/>
  <c r="O77" i="3" s="1"/>
  <c r="D77" i="19"/>
  <c r="D31" i="5"/>
  <c r="P31" i="5" s="1"/>
  <c r="Q31" i="5" s="1"/>
  <c r="D32" i="4"/>
  <c r="P32" i="4" s="1"/>
  <c r="Q32" i="4" s="1"/>
  <c r="D32" i="20"/>
  <c r="F110" i="1"/>
  <c r="D14" i="8"/>
  <c r="D83" i="5"/>
  <c r="P83" i="5" s="1"/>
  <c r="Q83" i="5" s="1"/>
  <c r="D97" i="20"/>
  <c r="D97" i="4"/>
  <c r="P97" i="4" s="1"/>
  <c r="Q97" i="4" s="1"/>
  <c r="D18" i="3"/>
  <c r="N18" i="3" s="1"/>
  <c r="O18" i="3" s="1"/>
  <c r="D18" i="19"/>
  <c r="L98" i="1"/>
  <c r="Z13" i="8"/>
  <c r="D20" i="4"/>
  <c r="P20" i="4" s="1"/>
  <c r="Q20" i="4" s="1"/>
  <c r="D20" i="20"/>
  <c r="D100" i="3"/>
  <c r="N100" i="3" s="1"/>
  <c r="O100" i="3" s="1"/>
  <c r="D100" i="19"/>
  <c r="D53" i="5"/>
  <c r="P53" i="5" s="1"/>
  <c r="Q53" i="5" s="1"/>
  <c r="D6" i="4"/>
  <c r="P6" i="4" s="1"/>
  <c r="Q6" i="4" s="1"/>
  <c r="D6" i="20"/>
  <c r="D102" i="19"/>
  <c r="D102" i="3"/>
  <c r="N102" i="3" s="1"/>
  <c r="O102" i="3" s="1"/>
  <c r="D55" i="19"/>
  <c r="D55" i="3"/>
  <c r="N55" i="3" s="1"/>
  <c r="O55" i="3" s="1"/>
  <c r="D40" i="5"/>
  <c r="P40" i="5" s="1"/>
  <c r="Q40" i="5" s="1"/>
  <c r="D24" i="4"/>
  <c r="P24" i="4" s="1"/>
  <c r="Q24" i="4" s="1"/>
  <c r="D24" i="20"/>
  <c r="D46" i="3"/>
  <c r="D46" i="19"/>
  <c r="D73" i="5"/>
  <c r="P73" i="5" s="1"/>
  <c r="Q73" i="5" s="1"/>
  <c r="D58" i="4"/>
  <c r="P58" i="4" s="1"/>
  <c r="Q58" i="4" s="1"/>
  <c r="D58" i="20"/>
  <c r="D92" i="3"/>
  <c r="N92" i="3" s="1"/>
  <c r="O92" i="3" s="1"/>
  <c r="D92" i="19"/>
  <c r="D59" i="5"/>
  <c r="P59" i="5" s="1"/>
  <c r="Q59" i="5" s="1"/>
  <c r="P68" i="5"/>
  <c r="Q68" i="5" s="1"/>
  <c r="D12" i="4"/>
  <c r="P12" i="4" s="1"/>
  <c r="Q12" i="4" s="1"/>
  <c r="D12" i="20"/>
  <c r="D108" i="3"/>
  <c r="N108" i="3" s="1"/>
  <c r="O108" i="3" s="1"/>
  <c r="D108" i="19"/>
  <c r="D77" i="5"/>
  <c r="P77" i="5" s="1"/>
  <c r="Q77" i="5" s="1"/>
  <c r="D47" i="4"/>
  <c r="P47" i="4" s="1"/>
  <c r="Q47" i="4" s="1"/>
  <c r="D47" i="20"/>
  <c r="D32" i="3"/>
  <c r="N32" i="3" s="1"/>
  <c r="O32" i="3" s="1"/>
  <c r="D32" i="19"/>
  <c r="L110" i="1"/>
  <c r="Z14" i="8"/>
  <c r="D17" i="20"/>
  <c r="D17" i="4"/>
  <c r="P17" i="4" s="1"/>
  <c r="Q17" i="4" s="1"/>
  <c r="D97" i="3"/>
  <c r="N97" i="3" s="1"/>
  <c r="O97" i="3" s="1"/>
  <c r="D97" i="19"/>
  <c r="D18" i="5"/>
  <c r="P18" i="5" s="1"/>
  <c r="Q18" i="5" s="1"/>
  <c r="D114" i="20"/>
  <c r="D114" i="4"/>
  <c r="D20" i="3"/>
  <c r="N20" i="3" s="1"/>
  <c r="O20" i="3" s="1"/>
  <c r="D20" i="19"/>
  <c r="D100" i="5"/>
  <c r="P100" i="5" s="1"/>
  <c r="Q100" i="5" s="1"/>
  <c r="D69" i="19"/>
  <c r="D69" i="3"/>
  <c r="N69" i="3" s="1"/>
  <c r="O69" i="3" s="1"/>
  <c r="D22" i="5"/>
  <c r="P22" i="5" s="1"/>
  <c r="Q22" i="5" s="1"/>
  <c r="D102" i="5"/>
  <c r="P102" i="5" s="1"/>
  <c r="Q102" i="5" s="1"/>
  <c r="D55" i="5"/>
  <c r="P55" i="5" s="1"/>
  <c r="Q55" i="5" s="1"/>
  <c r="D88" i="4"/>
  <c r="P88" i="4" s="1"/>
  <c r="Q88" i="4" s="1"/>
  <c r="D88" i="20"/>
  <c r="D24" i="19"/>
  <c r="D24" i="3"/>
  <c r="N24" i="3" s="1"/>
  <c r="O24" i="3" s="1"/>
  <c r="D46" i="5"/>
  <c r="P46" i="5" s="1"/>
  <c r="Q46" i="5" s="1"/>
  <c r="D121" i="4"/>
  <c r="D121" i="20"/>
  <c r="D58" i="3"/>
  <c r="N58" i="3" s="1"/>
  <c r="O58" i="3" s="1"/>
  <c r="D58" i="19"/>
  <c r="D92" i="5"/>
  <c r="P92" i="5" s="1"/>
  <c r="Q92" i="5" s="1"/>
  <c r="D75" i="4"/>
  <c r="P75" i="4" s="1"/>
  <c r="Q75" i="4" s="1"/>
  <c r="D75" i="20"/>
  <c r="D12" i="3"/>
  <c r="N12" i="3" s="1"/>
  <c r="O12" i="3" s="1"/>
  <c r="D12" i="19"/>
  <c r="D108" i="5"/>
  <c r="P108" i="5" s="1"/>
  <c r="Q108" i="5" s="1"/>
  <c r="D93" i="4"/>
  <c r="P93" i="4" s="1"/>
  <c r="Q93" i="4" s="1"/>
  <c r="D93" i="20"/>
  <c r="D47" i="19"/>
  <c r="D47" i="3"/>
  <c r="N47" i="3" s="1"/>
  <c r="O47" i="3" s="1"/>
  <c r="D32" i="5"/>
  <c r="P32" i="5" s="1"/>
  <c r="Q32" i="5" s="1"/>
  <c r="D16" i="4"/>
  <c r="P16" i="4" s="1"/>
  <c r="Q16" i="4" s="1"/>
  <c r="D16" i="20"/>
  <c r="D17" i="3"/>
  <c r="N17" i="3" s="1"/>
  <c r="O17" i="3" s="1"/>
  <c r="D17" i="19"/>
  <c r="D97" i="5"/>
  <c r="P97" i="5" s="1"/>
  <c r="Q97" i="5" s="1"/>
  <c r="D34" i="20"/>
  <c r="D34" i="4"/>
  <c r="P34" i="4" s="1"/>
  <c r="Q34" i="4" s="1"/>
  <c r="D114" i="3"/>
  <c r="D114" i="19"/>
  <c r="D20" i="5"/>
  <c r="P20" i="5" s="1"/>
  <c r="Q20" i="5" s="1"/>
  <c r="D116" i="4"/>
  <c r="D116" i="20"/>
  <c r="D69" i="5"/>
  <c r="P69" i="5" s="1"/>
  <c r="Q69" i="5" s="1"/>
  <c r="D22" i="19"/>
  <c r="D22" i="3"/>
  <c r="N22" i="3" s="1"/>
  <c r="O22" i="3" s="1"/>
  <c r="D102" i="4"/>
  <c r="P102" i="4" s="1"/>
  <c r="Q102" i="4" s="1"/>
  <c r="D102" i="20"/>
  <c r="D71" i="4"/>
  <c r="P71" i="4" s="1"/>
  <c r="Q71" i="4" s="1"/>
  <c r="D71" i="20"/>
  <c r="D88" i="19"/>
  <c r="D88" i="3"/>
  <c r="N88" i="3" s="1"/>
  <c r="O88" i="3" s="1"/>
  <c r="D24" i="5"/>
  <c r="P24" i="5" s="1"/>
  <c r="Q24" i="5" s="1"/>
  <c r="D9" i="4"/>
  <c r="P9" i="4" s="1"/>
  <c r="Q9" i="4" s="1"/>
  <c r="D9" i="20"/>
  <c r="D121" i="19"/>
  <c r="D121" i="3"/>
  <c r="D58" i="5"/>
  <c r="P58" i="5" s="1"/>
  <c r="Q58" i="5" s="1"/>
  <c r="D30" i="4"/>
  <c r="P30" i="4" s="1"/>
  <c r="Q30" i="4" s="1"/>
  <c r="D30" i="20"/>
  <c r="D75" i="3"/>
  <c r="N75" i="3" s="1"/>
  <c r="O75" i="3" s="1"/>
  <c r="D75" i="19"/>
  <c r="P52" i="4"/>
  <c r="Q52" i="4" s="1"/>
  <c r="D12" i="5"/>
  <c r="P12" i="5" s="1"/>
  <c r="Q12" i="5" s="1"/>
  <c r="D13" i="4"/>
  <c r="P13" i="4" s="1"/>
  <c r="Q13" i="4" s="1"/>
  <c r="D13" i="20"/>
  <c r="D93" i="3"/>
  <c r="N93" i="3" s="1"/>
  <c r="O93" i="3" s="1"/>
  <c r="D93" i="19"/>
  <c r="D47" i="5"/>
  <c r="D64" i="4"/>
  <c r="P64" i="4" s="1"/>
  <c r="Q64" i="4" s="1"/>
  <c r="D64" i="20"/>
  <c r="D16" i="3"/>
  <c r="N16" i="3" s="1"/>
  <c r="O16" i="3" s="1"/>
  <c r="D16" i="19"/>
  <c r="D17" i="5"/>
  <c r="P17" i="5" s="1"/>
  <c r="Q17" i="5" s="1"/>
  <c r="D113" i="20"/>
  <c r="D113" i="4"/>
  <c r="D34" i="3"/>
  <c r="N34" i="3" s="1"/>
  <c r="O34" i="3" s="1"/>
  <c r="D34" i="19"/>
  <c r="D114" i="5"/>
  <c r="D36" i="4"/>
  <c r="P36" i="4" s="1"/>
  <c r="Q36" i="4" s="1"/>
  <c r="D36" i="20"/>
  <c r="D116" i="3"/>
  <c r="D116" i="19"/>
  <c r="D69" i="4"/>
  <c r="P69" i="4" s="1"/>
  <c r="Q69" i="4" s="1"/>
  <c r="D69" i="20"/>
  <c r="D22" i="4"/>
  <c r="P22" i="4" s="1"/>
  <c r="Q22" i="4" s="1"/>
  <c r="D22" i="20"/>
  <c r="D118" i="19"/>
  <c r="D118" i="3"/>
  <c r="D71" i="19"/>
  <c r="D71" i="3"/>
  <c r="N71" i="3" s="1"/>
  <c r="O71" i="3" s="1"/>
  <c r="D88" i="5"/>
  <c r="P88" i="5" s="1"/>
  <c r="Q88" i="5" s="1"/>
  <c r="D56" i="20"/>
  <c r="D56" i="4"/>
  <c r="P56" i="4" s="1"/>
  <c r="Q56" i="4" s="1"/>
  <c r="D9" i="19"/>
  <c r="D9" i="3"/>
  <c r="N9" i="3" s="1"/>
  <c r="O9" i="3" s="1"/>
  <c r="D121" i="5"/>
  <c r="I74" i="1"/>
  <c r="O11" i="8"/>
  <c r="D30" i="3"/>
  <c r="D30" i="19"/>
  <c r="D75" i="5"/>
  <c r="P75" i="5" s="1"/>
  <c r="Q75" i="5" s="1"/>
  <c r="D28" i="4"/>
  <c r="P28" i="4" s="1"/>
  <c r="Q28" i="4" s="1"/>
  <c r="D28" i="20"/>
  <c r="D13" i="3"/>
  <c r="N13" i="3" s="1"/>
  <c r="O13" i="3" s="1"/>
  <c r="D13" i="19"/>
  <c r="D93" i="5"/>
  <c r="P93" i="5" s="1"/>
  <c r="Q93" i="5" s="1"/>
  <c r="D63" i="4"/>
  <c r="P63" i="4" s="1"/>
  <c r="Q63" i="4" s="1"/>
  <c r="D63" i="20"/>
  <c r="D64" i="3"/>
  <c r="N64" i="3" s="1"/>
  <c r="O64" i="3" s="1"/>
  <c r="D64" i="19"/>
  <c r="D16" i="5"/>
  <c r="P16" i="5" s="1"/>
  <c r="Q16" i="5" s="1"/>
  <c r="D33" i="20"/>
  <c r="D33" i="4"/>
  <c r="P33" i="4" s="1"/>
  <c r="Q33" i="4" s="1"/>
  <c r="D113" i="3"/>
  <c r="D113" i="19"/>
  <c r="D34" i="5"/>
  <c r="P34" i="5" s="1"/>
  <c r="Q34" i="5" s="1"/>
  <c r="D3" i="4"/>
  <c r="P3" i="4" s="1"/>
  <c r="Q3" i="4" s="1"/>
  <c r="D3" i="20"/>
  <c r="D36" i="3"/>
  <c r="N36" i="3" s="1"/>
  <c r="O36" i="3" s="1"/>
  <c r="D36" i="19"/>
  <c r="D116" i="5"/>
  <c r="D85" i="19"/>
  <c r="D85" i="3"/>
  <c r="N85" i="3" s="1"/>
  <c r="O85" i="3" s="1"/>
  <c r="F38" i="1"/>
  <c r="D8" i="8"/>
  <c r="D118" i="5"/>
  <c r="D71" i="5"/>
  <c r="P71" i="5" s="1"/>
  <c r="Q71" i="5" s="1"/>
  <c r="D120" i="4"/>
  <c r="D120" i="20"/>
  <c r="D56" i="19"/>
  <c r="D56" i="3"/>
  <c r="N56" i="3" s="1"/>
  <c r="O56" i="3" s="1"/>
  <c r="D9" i="5"/>
  <c r="P9" i="5" s="1"/>
  <c r="Q9" i="5" s="1"/>
  <c r="I14" i="1"/>
  <c r="O6" i="8"/>
  <c r="F74" i="1"/>
  <c r="D11" i="8"/>
  <c r="D30" i="5"/>
  <c r="P30" i="5" s="1"/>
  <c r="Q30" i="5" s="1"/>
  <c r="D91" i="4"/>
  <c r="P91" i="4" s="1"/>
  <c r="Q91" i="4" s="1"/>
  <c r="D91" i="20"/>
  <c r="D28" i="3"/>
  <c r="N28" i="3" s="1"/>
  <c r="O28" i="3" s="1"/>
  <c r="D28" i="19"/>
  <c r="D13" i="5"/>
  <c r="P13" i="5" s="1"/>
  <c r="Q13" i="5" s="1"/>
  <c r="D109" i="4"/>
  <c r="P109" i="4" s="1"/>
  <c r="Q109" i="4" s="1"/>
  <c r="D109" i="20"/>
  <c r="D63" i="3"/>
  <c r="N63" i="3" s="1"/>
  <c r="O63" i="3" s="1"/>
  <c r="D63" i="19"/>
  <c r="D64" i="5"/>
  <c r="P64" i="5" s="1"/>
  <c r="Q64" i="5" s="1"/>
  <c r="D48" i="4"/>
  <c r="P48" i="4" s="1"/>
  <c r="Q48" i="4" s="1"/>
  <c r="D48" i="20"/>
  <c r="D33" i="3"/>
  <c r="N33" i="3" s="1"/>
  <c r="O33" i="3" s="1"/>
  <c r="D33" i="19"/>
  <c r="D113" i="5"/>
  <c r="I50" i="1"/>
  <c r="O9" i="8"/>
  <c r="D3" i="3"/>
  <c r="N3" i="3" s="1"/>
  <c r="O3" i="3" s="1"/>
  <c r="D3" i="19"/>
  <c r="D36" i="5"/>
  <c r="P36" i="5" s="1"/>
  <c r="Q36" i="5" s="1"/>
  <c r="D5" i="19"/>
  <c r="D5" i="3"/>
  <c r="N5" i="3" s="1"/>
  <c r="O5" i="3" s="1"/>
  <c r="D85" i="5"/>
  <c r="P85" i="5" s="1"/>
  <c r="Q85" i="5" s="1"/>
  <c r="L38" i="1"/>
  <c r="Z8" i="8"/>
  <c r="D118" i="4"/>
  <c r="D118" i="20"/>
  <c r="D87" i="4"/>
  <c r="P87" i="4" s="1"/>
  <c r="Q87" i="4" s="1"/>
  <c r="D87" i="20"/>
  <c r="D120" i="19"/>
  <c r="D120" i="3"/>
  <c r="D56" i="5"/>
  <c r="P56" i="5" s="1"/>
  <c r="Q56" i="5" s="1"/>
  <c r="D25" i="4"/>
  <c r="P25" i="4" s="1"/>
  <c r="Q25" i="4" s="1"/>
  <c r="D25" i="20"/>
  <c r="F14" i="1"/>
  <c r="D6" i="8"/>
  <c r="L74" i="1"/>
  <c r="Z11" i="8"/>
  <c r="D11" i="4"/>
  <c r="P11" i="4" s="1"/>
  <c r="Q11" i="4" s="1"/>
  <c r="D11" i="20"/>
  <c r="D91" i="3"/>
  <c r="N91" i="3" s="1"/>
  <c r="O91" i="3" s="1"/>
  <c r="D91" i="19"/>
  <c r="J9" i="6"/>
  <c r="K9" i="6"/>
  <c r="C34" i="34" s="1"/>
  <c r="AJ7" i="8"/>
  <c r="AP7" i="8"/>
  <c r="M112" i="3"/>
  <c r="L8" i="6"/>
  <c r="I10" i="6"/>
  <c r="I20" i="6" s="1"/>
  <c r="AI8" i="8"/>
  <c r="F6" i="7"/>
  <c r="O5" i="7"/>
  <c r="S5" i="7"/>
  <c r="K5" i="7"/>
  <c r="B10" i="6"/>
  <c r="B20" i="6" s="1"/>
  <c r="D9" i="6"/>
  <c r="C33" i="34" s="1"/>
  <c r="CF22" i="2"/>
  <c r="CG4" i="2"/>
  <c r="CG7" i="2" s="1"/>
  <c r="CF5" i="2"/>
  <c r="CF21" i="2"/>
  <c r="CR24" i="2"/>
  <c r="AB24" i="2"/>
  <c r="CQ24" i="2"/>
  <c r="AA24" i="2"/>
  <c r="Z24" i="2"/>
  <c r="Y24" i="2"/>
  <c r="AO24" i="2"/>
  <c r="BT24" i="2"/>
  <c r="BC24" i="2"/>
  <c r="AM24" i="2"/>
  <c r="CS24" i="2"/>
  <c r="BO24" i="2"/>
  <c r="X25" i="2"/>
  <c r="CG24" i="2"/>
  <c r="CF24" i="2"/>
  <c r="BB24" i="2"/>
  <c r="CE24" i="2"/>
  <c r="BA24" i="2"/>
  <c r="BQ24" i="2"/>
  <c r="CT24" i="2"/>
  <c r="BP24" i="2"/>
  <c r="AN24" i="2"/>
  <c r="CD24" i="2"/>
  <c r="CC24" i="2"/>
  <c r="BS24" i="2"/>
  <c r="BR24" i="2"/>
  <c r="BC21" i="2"/>
  <c r="BC23" i="2"/>
  <c r="BC5" i="2"/>
  <c r="BC6" i="2"/>
  <c r="BD4" i="2"/>
  <c r="AB21" i="2"/>
  <c r="AB22" i="2"/>
  <c r="AC4" i="2"/>
  <c r="AC24" i="2" s="1"/>
  <c r="AB5" i="2"/>
  <c r="AO21" i="2"/>
  <c r="AP4" i="2"/>
  <c r="AP24" i="2" s="1"/>
  <c r="AO5" i="2"/>
  <c r="AO6" i="2"/>
  <c r="BT21" i="2"/>
  <c r="BT5" i="2"/>
  <c r="BU4" i="2"/>
  <c r="BU7" i="2" s="1"/>
  <c r="CS7" i="2"/>
  <c r="CR7" i="2"/>
  <c r="AB7" i="2"/>
  <c r="CQ7" i="2"/>
  <c r="AA7" i="2"/>
  <c r="Z7" i="2"/>
  <c r="Y7" i="2"/>
  <c r="AO7" i="2"/>
  <c r="BD7" i="2"/>
  <c r="AN7" i="2"/>
  <c r="BT7" i="2"/>
  <c r="BC7" i="2"/>
  <c r="AM7" i="2"/>
  <c r="BS7" i="2"/>
  <c r="BB7" i="2"/>
  <c r="CD7" i="2"/>
  <c r="X8" i="2"/>
  <c r="CT7" i="2"/>
  <c r="CC7" i="2"/>
  <c r="CF7" i="2"/>
  <c r="CE7" i="2"/>
  <c r="BR7" i="2"/>
  <c r="BQ7" i="2"/>
  <c r="BP7" i="2"/>
  <c r="BO7" i="2"/>
  <c r="BA7" i="2"/>
  <c r="CS21" i="2"/>
  <c r="CS22" i="2"/>
  <c r="CS5" i="2"/>
  <c r="CT4" i="2"/>
  <c r="P13" i="30" l="1"/>
  <c r="P14" i="30"/>
  <c r="E13" i="30"/>
  <c r="AA6" i="30"/>
  <c r="C35" i="34"/>
  <c r="P9" i="30"/>
  <c r="H5" i="30"/>
  <c r="E5" i="30"/>
  <c r="D26" i="27"/>
  <c r="T146" i="2"/>
  <c r="D62" i="27"/>
  <c r="T182" i="2"/>
  <c r="H8" i="30"/>
  <c r="E8" i="30"/>
  <c r="AD9" i="30"/>
  <c r="AA9" i="30"/>
  <c r="AD8" i="30"/>
  <c r="AA8" i="30"/>
  <c r="D38" i="27"/>
  <c r="T158" i="2"/>
  <c r="U230" i="2"/>
  <c r="D110" i="28"/>
  <c r="D2" i="29"/>
  <c r="D2" i="31"/>
  <c r="V122" i="2"/>
  <c r="D14" i="31"/>
  <c r="D14" i="29"/>
  <c r="V134" i="2"/>
  <c r="H10" i="30"/>
  <c r="E10" i="30"/>
  <c r="D86" i="28"/>
  <c r="U206" i="2"/>
  <c r="H11" i="30"/>
  <c r="E11" i="30"/>
  <c r="S12" i="30"/>
  <c r="P12" i="30"/>
  <c r="S6" i="30"/>
  <c r="P6" i="30"/>
  <c r="D74" i="28"/>
  <c r="U194" i="2"/>
  <c r="D86" i="31"/>
  <c r="D86" i="29"/>
  <c r="V206" i="2"/>
  <c r="D2" i="28"/>
  <c r="U122" i="2"/>
  <c r="D50" i="27"/>
  <c r="T170" i="2"/>
  <c r="H7" i="30"/>
  <c r="E7" i="30"/>
  <c r="AD11" i="30"/>
  <c r="AA11" i="30"/>
  <c r="S11" i="30"/>
  <c r="P11" i="30"/>
  <c r="H14" i="30"/>
  <c r="E14" i="30"/>
  <c r="D26" i="28"/>
  <c r="U146" i="2"/>
  <c r="H6" i="30"/>
  <c r="E6" i="30"/>
  <c r="D74" i="27"/>
  <c r="T194" i="2"/>
  <c r="S8" i="30"/>
  <c r="P8" i="30"/>
  <c r="D62" i="29"/>
  <c r="D62" i="31"/>
  <c r="V182" i="2"/>
  <c r="D62" i="28"/>
  <c r="U182" i="2"/>
  <c r="AD10" i="30"/>
  <c r="AA10" i="30"/>
  <c r="D14" i="27"/>
  <c r="T134" i="2"/>
  <c r="D14" i="28"/>
  <c r="U134" i="2"/>
  <c r="D2" i="27"/>
  <c r="T122" i="2"/>
  <c r="AD13" i="30"/>
  <c r="AA13" i="30"/>
  <c r="H12" i="30"/>
  <c r="E12" i="30"/>
  <c r="C22" i="9"/>
  <c r="C22" i="33"/>
  <c r="C21" i="9"/>
  <c r="C21" i="33"/>
  <c r="D74" i="29"/>
  <c r="D74" i="31"/>
  <c r="V194" i="2"/>
  <c r="D26" i="31"/>
  <c r="D26" i="29"/>
  <c r="V146" i="2"/>
  <c r="S7" i="30"/>
  <c r="P7" i="30"/>
  <c r="AD5" i="30"/>
  <c r="AA5" i="30"/>
  <c r="T230" i="2"/>
  <c r="D110" i="27"/>
  <c r="D98" i="27"/>
  <c r="T218" i="2"/>
  <c r="S10" i="30"/>
  <c r="P10" i="30"/>
  <c r="AD14" i="30"/>
  <c r="AA14" i="30"/>
  <c r="D98" i="29"/>
  <c r="D98" i="31"/>
  <c r="V218" i="2"/>
  <c r="S5" i="30"/>
  <c r="P5" i="30"/>
  <c r="D50" i="31"/>
  <c r="D50" i="29"/>
  <c r="V170" i="2"/>
  <c r="D38" i="28"/>
  <c r="U158" i="2"/>
  <c r="AD7" i="30"/>
  <c r="AA7" i="30"/>
  <c r="D98" i="28"/>
  <c r="U218" i="2"/>
  <c r="D50" i="28"/>
  <c r="U170" i="2"/>
  <c r="D86" i="27"/>
  <c r="T206" i="2"/>
  <c r="D38" i="31"/>
  <c r="D38" i="29"/>
  <c r="V158" i="2"/>
  <c r="V230" i="2"/>
  <c r="D110" i="31"/>
  <c r="D110" i="29"/>
  <c r="H9" i="30"/>
  <c r="E9" i="30"/>
  <c r="AD12" i="30"/>
  <c r="AA12" i="30"/>
  <c r="AC7" i="2"/>
  <c r="P120" i="5"/>
  <c r="Q120" i="5" s="1"/>
  <c r="AQ6" i="8"/>
  <c r="AQ6" i="30"/>
  <c r="AR6" i="30" s="1"/>
  <c r="AS6" i="30" s="1"/>
  <c r="AK6" i="8"/>
  <c r="AL6" i="8" s="1"/>
  <c r="AM6" i="8" s="1"/>
  <c r="AK6" i="30"/>
  <c r="AL6" i="30" s="1"/>
  <c r="AM6" i="30" s="1"/>
  <c r="P121" i="5"/>
  <c r="Q121" i="5" s="1"/>
  <c r="P117" i="5"/>
  <c r="Q117" i="5" s="1"/>
  <c r="P114" i="5"/>
  <c r="Q114" i="5" s="1"/>
  <c r="P118" i="5"/>
  <c r="Q118" i="5" s="1"/>
  <c r="P115" i="5"/>
  <c r="Q115" i="5" s="1"/>
  <c r="P116" i="5"/>
  <c r="Q116" i="5" s="1"/>
  <c r="P119" i="4"/>
  <c r="Q119" i="4" s="1"/>
  <c r="P120" i="4"/>
  <c r="Q120" i="4" s="1"/>
  <c r="P111" i="4"/>
  <c r="Q111" i="4" s="1"/>
  <c r="P116" i="4"/>
  <c r="Q116" i="4" s="1"/>
  <c r="P112" i="4"/>
  <c r="Q112" i="4" s="1"/>
  <c r="P115" i="4"/>
  <c r="Q115" i="4" s="1"/>
  <c r="P114" i="4"/>
  <c r="Q114" i="4" s="1"/>
  <c r="P113" i="4"/>
  <c r="Q113" i="4" s="1"/>
  <c r="N115" i="3"/>
  <c r="O115" i="3" s="1"/>
  <c r="N121" i="3"/>
  <c r="O121" i="3" s="1"/>
  <c r="N113" i="3"/>
  <c r="O113" i="3" s="1"/>
  <c r="N117" i="3"/>
  <c r="O117" i="3" s="1"/>
  <c r="N111" i="3"/>
  <c r="O111" i="3" s="1"/>
  <c r="N116" i="3"/>
  <c r="O116" i="3" s="1"/>
  <c r="N114" i="3"/>
  <c r="O114" i="3" s="1"/>
  <c r="N118" i="3"/>
  <c r="O118" i="3" s="1"/>
  <c r="N120" i="3"/>
  <c r="O120" i="3" s="1"/>
  <c r="N119" i="3"/>
  <c r="O119" i="3" s="1"/>
  <c r="P121" i="4"/>
  <c r="Q121" i="4" s="1"/>
  <c r="P118" i="4"/>
  <c r="Q118" i="4" s="1"/>
  <c r="J13" i="18"/>
  <c r="J15" i="18" s="1"/>
  <c r="P13" i="18"/>
  <c r="P15" i="18" s="1"/>
  <c r="N112" i="3"/>
  <c r="O112" i="3" s="1"/>
  <c r="P112" i="5"/>
  <c r="Q112" i="5" s="1"/>
  <c r="D13" i="18"/>
  <c r="D15" i="18" s="1"/>
  <c r="D38" i="19"/>
  <c r="D38" i="3"/>
  <c r="C7" i="18" s="1"/>
  <c r="AD13" i="8"/>
  <c r="AA13" i="8"/>
  <c r="H12" i="8"/>
  <c r="E12" i="8"/>
  <c r="S5" i="8"/>
  <c r="P5" i="8"/>
  <c r="D14" i="5"/>
  <c r="D98" i="5"/>
  <c r="D98" i="3"/>
  <c r="D98" i="19"/>
  <c r="D86" i="19"/>
  <c r="D86" i="3"/>
  <c r="C11" i="18" s="1"/>
  <c r="D2" i="20"/>
  <c r="D2" i="4"/>
  <c r="H13" i="8"/>
  <c r="E13" i="8"/>
  <c r="AD8" i="8"/>
  <c r="AA8" i="8"/>
  <c r="D38" i="5"/>
  <c r="AD5" i="8"/>
  <c r="AA5" i="8"/>
  <c r="AD12" i="8"/>
  <c r="AA12" i="8"/>
  <c r="AD7" i="8"/>
  <c r="AA7" i="8"/>
  <c r="AD9" i="8"/>
  <c r="AA9" i="8"/>
  <c r="AD14" i="8"/>
  <c r="AA14" i="8"/>
  <c r="D2" i="5"/>
  <c r="D86" i="5"/>
  <c r="O11" i="18" s="1"/>
  <c r="Q11" i="18" s="1"/>
  <c r="D26" i="5"/>
  <c r="D50" i="5"/>
  <c r="AD11" i="8"/>
  <c r="AA11" i="8"/>
  <c r="P119" i="5"/>
  <c r="Q119" i="5" s="1"/>
  <c r="D74" i="5"/>
  <c r="H8" i="8"/>
  <c r="E8" i="8"/>
  <c r="S11" i="8"/>
  <c r="P11" i="8"/>
  <c r="D110" i="5"/>
  <c r="N30" i="3"/>
  <c r="O30" i="3" s="1"/>
  <c r="H5" i="8"/>
  <c r="E5" i="8"/>
  <c r="D2" i="3"/>
  <c r="D2" i="19"/>
  <c r="H9" i="8"/>
  <c r="E9" i="8"/>
  <c r="P113" i="5"/>
  <c r="Q113" i="5" s="1"/>
  <c r="D14" i="3"/>
  <c r="D14" i="19"/>
  <c r="H11" i="8"/>
  <c r="E11" i="8"/>
  <c r="S12" i="8"/>
  <c r="P12" i="8"/>
  <c r="N46" i="3"/>
  <c r="O46" i="3" s="1"/>
  <c r="AD10" i="8"/>
  <c r="AA10" i="8"/>
  <c r="D50" i="3"/>
  <c r="D50" i="19"/>
  <c r="D74" i="3"/>
  <c r="D74" i="19"/>
  <c r="P47" i="5"/>
  <c r="Q47" i="5" s="1"/>
  <c r="D86" i="4"/>
  <c r="D86" i="20"/>
  <c r="D62" i="5"/>
  <c r="P111" i="5"/>
  <c r="Q111" i="5" s="1"/>
  <c r="S6" i="8"/>
  <c r="P6" i="8"/>
  <c r="H14" i="8"/>
  <c r="E14" i="8"/>
  <c r="S14" i="8"/>
  <c r="P14" i="8"/>
  <c r="H7" i="8"/>
  <c r="E7" i="8"/>
  <c r="S7" i="8"/>
  <c r="P7" i="8"/>
  <c r="D14" i="4"/>
  <c r="D14" i="20"/>
  <c r="D110" i="3"/>
  <c r="D110" i="19"/>
  <c r="D26" i="3"/>
  <c r="D26" i="19"/>
  <c r="D26" i="4"/>
  <c r="D26" i="20"/>
  <c r="D110" i="4"/>
  <c r="D110" i="20"/>
  <c r="S13" i="8"/>
  <c r="P13" i="8"/>
  <c r="D98" i="20"/>
  <c r="D98" i="4"/>
  <c r="S8" i="8"/>
  <c r="P8" i="8"/>
  <c r="H6" i="8"/>
  <c r="E6" i="8"/>
  <c r="D74" i="4"/>
  <c r="D74" i="20"/>
  <c r="S9" i="8"/>
  <c r="P9" i="8"/>
  <c r="D50" i="20"/>
  <c r="D50" i="4"/>
  <c r="H10" i="8"/>
  <c r="E10" i="8"/>
  <c r="S10" i="8"/>
  <c r="P10" i="8"/>
  <c r="D38" i="4"/>
  <c r="D38" i="20"/>
  <c r="N94" i="3"/>
  <c r="O94" i="3" s="1"/>
  <c r="D62" i="3"/>
  <c r="D62" i="19"/>
  <c r="D62" i="4"/>
  <c r="D62" i="20"/>
  <c r="AD6" i="8"/>
  <c r="AA6" i="8"/>
  <c r="J10" i="6"/>
  <c r="K10" i="6"/>
  <c r="D34" i="34" s="1"/>
  <c r="AJ8" i="8"/>
  <c r="AP8" i="8"/>
  <c r="E9" i="6"/>
  <c r="I11" i="6"/>
  <c r="I21" i="6" s="1"/>
  <c r="L9" i="6"/>
  <c r="AI9" i="8"/>
  <c r="F7" i="7"/>
  <c r="O6" i="7"/>
  <c r="S6" i="7"/>
  <c r="K6" i="7"/>
  <c r="B11" i="6"/>
  <c r="B21" i="6" s="1"/>
  <c r="D10" i="6"/>
  <c r="D33" i="34" s="1"/>
  <c r="BU8" i="2"/>
  <c r="BD8" i="2"/>
  <c r="AN8" i="2"/>
  <c r="BT8" i="2"/>
  <c r="BC8" i="2"/>
  <c r="AM8" i="2"/>
  <c r="BS8" i="2"/>
  <c r="BB8" i="2"/>
  <c r="X9" i="2"/>
  <c r="CT8" i="2"/>
  <c r="BR8" i="2"/>
  <c r="BA8" i="2"/>
  <c r="BQ8" i="2"/>
  <c r="CG8" i="2"/>
  <c r="BP8" i="2"/>
  <c r="CF8" i="2"/>
  <c r="BO8" i="2"/>
  <c r="CE8" i="2"/>
  <c r="CD8" i="2"/>
  <c r="AP8" i="2"/>
  <c r="Y8" i="2"/>
  <c r="BV8" i="2"/>
  <c r="BE8" i="2"/>
  <c r="AO8" i="2"/>
  <c r="Z8" i="2"/>
  <c r="CS8" i="2"/>
  <c r="CR8" i="2"/>
  <c r="CQ8" i="2"/>
  <c r="CC8" i="2"/>
  <c r="AC8" i="2"/>
  <c r="AB8" i="2"/>
  <c r="AA8" i="2"/>
  <c r="BD22" i="2"/>
  <c r="BD21" i="2"/>
  <c r="BD23" i="2"/>
  <c r="BD5" i="2"/>
  <c r="BE4" i="2"/>
  <c r="BE25" i="2" s="1"/>
  <c r="BD6" i="2"/>
  <c r="CG22" i="2"/>
  <c r="CH4" i="2"/>
  <c r="CG5" i="2"/>
  <c r="CG21" i="2"/>
  <c r="CG6" i="2"/>
  <c r="CG23" i="2"/>
  <c r="BU22" i="2"/>
  <c r="BU21" i="2"/>
  <c r="BU5" i="2"/>
  <c r="BV4" i="2"/>
  <c r="BU6" i="2"/>
  <c r="BU23" i="2"/>
  <c r="AP21" i="2"/>
  <c r="AQ4" i="2"/>
  <c r="AP5" i="2"/>
  <c r="AP22" i="2"/>
  <c r="AP6" i="2"/>
  <c r="AP23" i="2"/>
  <c r="BU24" i="2"/>
  <c r="CT21" i="2"/>
  <c r="CU4" i="2"/>
  <c r="CT22" i="2"/>
  <c r="CT5" i="2"/>
  <c r="CT6" i="2"/>
  <c r="CT23" i="2"/>
  <c r="BD24" i="2"/>
  <c r="AP7" i="2"/>
  <c r="BT25" i="2"/>
  <c r="BC25" i="2"/>
  <c r="AM25" i="2"/>
  <c r="BS25" i="2"/>
  <c r="BB25" i="2"/>
  <c r="BR25" i="2"/>
  <c r="BA25" i="2"/>
  <c r="BQ25" i="2"/>
  <c r="CG25" i="2"/>
  <c r="BP25" i="2"/>
  <c r="CE25" i="2"/>
  <c r="CD25" i="2"/>
  <c r="AC25" i="2"/>
  <c r="CC25" i="2"/>
  <c r="AB25" i="2"/>
  <c r="BD25" i="2"/>
  <c r="AA25" i="2"/>
  <c r="Z25" i="2"/>
  <c r="Y25" i="2"/>
  <c r="CT25" i="2"/>
  <c r="BV25" i="2"/>
  <c r="CF25" i="2"/>
  <c r="AD25" i="2"/>
  <c r="AP25" i="2"/>
  <c r="X26" i="2"/>
  <c r="AO25" i="2"/>
  <c r="CS25" i="2"/>
  <c r="AN25" i="2"/>
  <c r="BU25" i="2"/>
  <c r="CR25" i="2"/>
  <c r="BO25" i="2"/>
  <c r="CQ25" i="2"/>
  <c r="AC21" i="2"/>
  <c r="AC23" i="2"/>
  <c r="AD4" i="2"/>
  <c r="AD8" i="2" s="1"/>
  <c r="AC5" i="2"/>
  <c r="AC22" i="2"/>
  <c r="AC6" i="2"/>
  <c r="C6" i="9" l="1"/>
  <c r="C18" i="34"/>
  <c r="C7" i="9"/>
  <c r="C19" i="34"/>
  <c r="D35" i="34"/>
  <c r="C23" i="9"/>
  <c r="C23" i="33"/>
  <c r="N74" i="3"/>
  <c r="O74" i="3" s="1"/>
  <c r="N38" i="3"/>
  <c r="O38" i="3" s="1"/>
  <c r="C10" i="18"/>
  <c r="N86" i="3"/>
  <c r="O86" i="3" s="1"/>
  <c r="D22" i="9"/>
  <c r="D22" i="33"/>
  <c r="N26" i="3"/>
  <c r="O26" i="3" s="1"/>
  <c r="D21" i="9"/>
  <c r="D21" i="33"/>
  <c r="P38" i="5"/>
  <c r="Q38" i="5" s="1"/>
  <c r="P86" i="5"/>
  <c r="Q86" i="5" s="1"/>
  <c r="P62" i="5"/>
  <c r="Q62" i="5" s="1"/>
  <c r="P74" i="5"/>
  <c r="Q74" i="5" s="1"/>
  <c r="P26" i="5"/>
  <c r="Q26" i="5" s="1"/>
  <c r="P14" i="5"/>
  <c r="Q14" i="5" s="1"/>
  <c r="AQ7" i="8"/>
  <c r="AQ7" i="30"/>
  <c r="AR7" i="30" s="1"/>
  <c r="AS7" i="30" s="1"/>
  <c r="AK7" i="8"/>
  <c r="AL7" i="8" s="1"/>
  <c r="AM7" i="8" s="1"/>
  <c r="AK7" i="30"/>
  <c r="AL7" i="30" s="1"/>
  <c r="AM7" i="30" s="1"/>
  <c r="P26" i="4"/>
  <c r="Q26" i="4" s="1"/>
  <c r="P74" i="4"/>
  <c r="Q74" i="4" s="1"/>
  <c r="P14" i="4"/>
  <c r="Q14" i="4" s="1"/>
  <c r="P38" i="4"/>
  <c r="Q38" i="4" s="1"/>
  <c r="P110" i="5"/>
  <c r="Q110" i="5" s="1"/>
  <c r="P110" i="4"/>
  <c r="Q110" i="4" s="1"/>
  <c r="I7" i="18"/>
  <c r="K7" i="18" s="1"/>
  <c r="O10" i="18"/>
  <c r="Q10" i="18" s="1"/>
  <c r="O6" i="18"/>
  <c r="Q6" i="18" s="1"/>
  <c r="O5" i="18"/>
  <c r="Q5" i="18" s="1"/>
  <c r="O7" i="18"/>
  <c r="Q7" i="18" s="1"/>
  <c r="O13" i="18"/>
  <c r="Q13" i="18" s="1"/>
  <c r="I5" i="18"/>
  <c r="K5" i="18" s="1"/>
  <c r="C12" i="18"/>
  <c r="N98" i="3"/>
  <c r="O98" i="3" s="1"/>
  <c r="O12" i="18"/>
  <c r="Q12" i="18" s="1"/>
  <c r="P98" i="5"/>
  <c r="Q98" i="5" s="1"/>
  <c r="I10" i="18"/>
  <c r="K10" i="18" s="1"/>
  <c r="O9" i="18"/>
  <c r="Q9" i="18" s="1"/>
  <c r="C9" i="18"/>
  <c r="N62" i="3"/>
  <c r="O62" i="3" s="1"/>
  <c r="C13" i="18"/>
  <c r="N110" i="3"/>
  <c r="O110" i="3" s="1"/>
  <c r="I6" i="18"/>
  <c r="K6" i="18" s="1"/>
  <c r="O4" i="18"/>
  <c r="P2" i="5"/>
  <c r="Q2" i="5" s="1"/>
  <c r="I9" i="18"/>
  <c r="K9" i="18" s="1"/>
  <c r="P62" i="4"/>
  <c r="Q62" i="4" s="1"/>
  <c r="I11" i="18"/>
  <c r="K11" i="18" s="1"/>
  <c r="P86" i="4"/>
  <c r="Q86" i="4" s="1"/>
  <c r="O8" i="18"/>
  <c r="Q8" i="18" s="1"/>
  <c r="P50" i="5"/>
  <c r="Q50" i="5" s="1"/>
  <c r="I12" i="18"/>
  <c r="K12" i="18" s="1"/>
  <c r="P98" i="4"/>
  <c r="Q98" i="4" s="1"/>
  <c r="C5" i="18"/>
  <c r="N14" i="3"/>
  <c r="O14" i="3" s="1"/>
  <c r="C6" i="18"/>
  <c r="I4" i="18"/>
  <c r="P2" i="4"/>
  <c r="Q2" i="4" s="1"/>
  <c r="C8" i="18"/>
  <c r="N50" i="3"/>
  <c r="O50" i="3" s="1"/>
  <c r="I13" i="18"/>
  <c r="K13" i="18" s="1"/>
  <c r="C4" i="18"/>
  <c r="N2" i="3"/>
  <c r="O2" i="3" s="1"/>
  <c r="I8" i="18"/>
  <c r="K8" i="18" s="1"/>
  <c r="P50" i="4"/>
  <c r="Q50" i="4" s="1"/>
  <c r="J11" i="6"/>
  <c r="K11" i="6"/>
  <c r="E34" i="34" s="1"/>
  <c r="AJ9" i="8"/>
  <c r="AP9" i="8"/>
  <c r="E10" i="6"/>
  <c r="L10" i="6"/>
  <c r="L20" i="6" s="1"/>
  <c r="I12" i="6"/>
  <c r="I22" i="6" s="1"/>
  <c r="AI10" i="8"/>
  <c r="AR5" i="8"/>
  <c r="AS5" i="8" s="1"/>
  <c r="AO6" i="8"/>
  <c r="G4" i="7"/>
  <c r="C4" i="7"/>
  <c r="F8" i="7"/>
  <c r="O7" i="7"/>
  <c r="S7" i="7"/>
  <c r="C49" i="34" s="1"/>
  <c r="K7" i="7"/>
  <c r="C47" i="34" s="1"/>
  <c r="B5" i="7"/>
  <c r="B12" i="6"/>
  <c r="B22" i="6" s="1"/>
  <c r="D11" i="6"/>
  <c r="E33" i="34" s="1"/>
  <c r="CH22" i="2"/>
  <c r="CI4" i="2"/>
  <c r="CH5" i="2"/>
  <c r="CH23" i="2"/>
  <c r="CH21" i="2"/>
  <c r="CH6" i="2"/>
  <c r="CH7" i="2"/>
  <c r="CH24" i="2"/>
  <c r="AR4" i="2"/>
  <c r="AQ21" i="2"/>
  <c r="AQ6" i="2"/>
  <c r="AQ22" i="2"/>
  <c r="AQ5" i="2"/>
  <c r="AQ23" i="2"/>
  <c r="AQ24" i="2"/>
  <c r="AQ7" i="2"/>
  <c r="BV21" i="2"/>
  <c r="BV5" i="2"/>
  <c r="BV6" i="2"/>
  <c r="BW4" i="2"/>
  <c r="BV23" i="2"/>
  <c r="BV22" i="2"/>
  <c r="BV7" i="2"/>
  <c r="BV24" i="2"/>
  <c r="CF9" i="2"/>
  <c r="BO9" i="2"/>
  <c r="CE9" i="2"/>
  <c r="CD9" i="2"/>
  <c r="BE9" i="2"/>
  <c r="CU9" i="2"/>
  <c r="CC9" i="2"/>
  <c r="AD9" i="2"/>
  <c r="CT9" i="2"/>
  <c r="AC9" i="2"/>
  <c r="CS9" i="2"/>
  <c r="AB9" i="2"/>
  <c r="CR9" i="2"/>
  <c r="AR9" i="2"/>
  <c r="AA9" i="2"/>
  <c r="CQ9" i="2"/>
  <c r="AQ9" i="2"/>
  <c r="Z9" i="2"/>
  <c r="X10" i="2"/>
  <c r="AP9" i="2"/>
  <c r="Y9" i="2"/>
  <c r="CH9" i="2"/>
  <c r="BQ9" i="2"/>
  <c r="BV9" i="2"/>
  <c r="CG9" i="2"/>
  <c r="BP9" i="2"/>
  <c r="AO9" i="2"/>
  <c r="AN9" i="2"/>
  <c r="CI9" i="2"/>
  <c r="BU9" i="2"/>
  <c r="BT9" i="2"/>
  <c r="BS9" i="2"/>
  <c r="BR9" i="2"/>
  <c r="BD9" i="2"/>
  <c r="BC9" i="2"/>
  <c r="BA9" i="2"/>
  <c r="AM9" i="2"/>
  <c r="BB9" i="2"/>
  <c r="CU21" i="2"/>
  <c r="CV4" i="2"/>
  <c r="CV26" i="2" s="1"/>
  <c r="CU22" i="2"/>
  <c r="CU5" i="2"/>
  <c r="CU6" i="2"/>
  <c r="CU23" i="2"/>
  <c r="CU7" i="2"/>
  <c r="CU24" i="2"/>
  <c r="AQ25" i="2"/>
  <c r="CE26" i="2"/>
  <c r="CU26" i="2"/>
  <c r="CD26" i="2"/>
  <c r="X27" i="2"/>
  <c r="CT26" i="2"/>
  <c r="CC26" i="2"/>
  <c r="AD26" i="2"/>
  <c r="CS26" i="2"/>
  <c r="AC26" i="2"/>
  <c r="CR26" i="2"/>
  <c r="AB26" i="2"/>
  <c r="AQ26" i="2"/>
  <c r="Z26" i="2"/>
  <c r="BU26" i="2"/>
  <c r="BT26" i="2"/>
  <c r="AR26" i="2"/>
  <c r="BS26" i="2"/>
  <c r="AP26" i="2"/>
  <c r="CQ26" i="2"/>
  <c r="BR26" i="2"/>
  <c r="AO26" i="2"/>
  <c r="BQ26" i="2"/>
  <c r="AN26" i="2"/>
  <c r="BP26" i="2"/>
  <c r="AM26" i="2"/>
  <c r="BO26" i="2"/>
  <c r="BV26" i="2"/>
  <c r="BB26" i="2"/>
  <c r="BA26" i="2"/>
  <c r="AA26" i="2"/>
  <c r="Y26" i="2"/>
  <c r="CI26" i="2"/>
  <c r="CH26" i="2"/>
  <c r="BD26" i="2"/>
  <c r="CG26" i="2"/>
  <c r="BC26" i="2"/>
  <c r="CF26" i="2"/>
  <c r="BF26" i="2"/>
  <c r="BE26" i="2"/>
  <c r="AD22" i="2"/>
  <c r="AD21" i="2"/>
  <c r="AE4" i="2"/>
  <c r="AE9" i="2" s="1"/>
  <c r="AD5" i="2"/>
  <c r="AD6" i="2"/>
  <c r="AD23" i="2"/>
  <c r="AD7" i="2"/>
  <c r="AD24" i="2"/>
  <c r="AQ8" i="2"/>
  <c r="CU25" i="2"/>
  <c r="CH25" i="2"/>
  <c r="BE21" i="2"/>
  <c r="BE23" i="2"/>
  <c r="BF4" i="2"/>
  <c r="BE6" i="2"/>
  <c r="BE5" i="2"/>
  <c r="BE22" i="2"/>
  <c r="BE7" i="2"/>
  <c r="BE24" i="2"/>
  <c r="CU8" i="2"/>
  <c r="CH8" i="2"/>
  <c r="C8" i="9" l="1"/>
  <c r="E35" i="34"/>
  <c r="D6" i="9"/>
  <c r="D18" i="34"/>
  <c r="C36" i="33"/>
  <c r="C48" i="34"/>
  <c r="C20" i="34"/>
  <c r="D7" i="9"/>
  <c r="D19" i="34"/>
  <c r="D23" i="9"/>
  <c r="E21" i="9"/>
  <c r="E21" i="33"/>
  <c r="AQ8" i="30"/>
  <c r="AR8" i="30" s="1"/>
  <c r="AS8" i="30" s="1"/>
  <c r="C37" i="33"/>
  <c r="K4" i="18"/>
  <c r="K17" i="18" s="1"/>
  <c r="I15" i="18"/>
  <c r="K15" i="18" s="1"/>
  <c r="C15" i="18"/>
  <c r="E15" i="18" s="1"/>
  <c r="C35" i="9"/>
  <c r="C35" i="33"/>
  <c r="D23" i="33"/>
  <c r="E22" i="9"/>
  <c r="E22" i="33"/>
  <c r="Q4" i="18"/>
  <c r="Q17" i="18" s="1"/>
  <c r="O15" i="18"/>
  <c r="Q15" i="18" s="1"/>
  <c r="C36" i="9"/>
  <c r="AK8" i="30"/>
  <c r="AL8" i="30" s="1"/>
  <c r="AM8" i="30" s="1"/>
  <c r="E18" i="18"/>
  <c r="AQ8" i="8"/>
  <c r="C37" i="9"/>
  <c r="Q18" i="18"/>
  <c r="K18" i="18"/>
  <c r="J12" i="6"/>
  <c r="K12" i="6"/>
  <c r="F34" i="34" s="1"/>
  <c r="AJ10" i="8"/>
  <c r="AP10" i="8"/>
  <c r="E11" i="6"/>
  <c r="I13" i="6"/>
  <c r="I23" i="6" s="1"/>
  <c r="L11" i="6"/>
  <c r="L21" i="6" s="1"/>
  <c r="P7" i="7"/>
  <c r="AK8" i="8"/>
  <c r="AL8" i="8" s="1"/>
  <c r="AM8" i="8" s="1"/>
  <c r="AO7" i="8"/>
  <c r="AR6" i="8"/>
  <c r="AS6" i="8" s="1"/>
  <c r="AI11" i="8"/>
  <c r="G5" i="7"/>
  <c r="H5" i="7" s="1"/>
  <c r="C5" i="7"/>
  <c r="F9" i="7"/>
  <c r="O8" i="7"/>
  <c r="D48" i="34" s="1"/>
  <c r="S8" i="7"/>
  <c r="D49" i="34" s="1"/>
  <c r="K8" i="7"/>
  <c r="D47" i="34" s="1"/>
  <c r="P5" i="7"/>
  <c r="B6" i="7"/>
  <c r="T5" i="7"/>
  <c r="B13" i="6"/>
  <c r="B23" i="6" s="1"/>
  <c r="D12" i="6"/>
  <c r="BF21" i="2"/>
  <c r="BF22" i="2"/>
  <c r="BG4" i="2"/>
  <c r="BF23" i="2"/>
  <c r="BF6" i="2"/>
  <c r="BF5" i="2"/>
  <c r="BF7" i="2"/>
  <c r="BF24" i="2"/>
  <c r="BF25" i="2"/>
  <c r="BF8" i="2"/>
  <c r="AE22" i="2"/>
  <c r="AE21" i="2"/>
  <c r="AF4" i="2"/>
  <c r="AE5" i="2"/>
  <c r="AE6" i="2"/>
  <c r="AE23" i="2"/>
  <c r="AE7" i="2"/>
  <c r="AE24" i="2"/>
  <c r="AE8" i="2"/>
  <c r="AE25" i="2"/>
  <c r="AS4" i="2"/>
  <c r="AS27" i="2" s="1"/>
  <c r="AR5" i="2"/>
  <c r="AR22" i="2"/>
  <c r="AR21" i="2"/>
  <c r="AR23" i="2"/>
  <c r="AR6" i="2"/>
  <c r="AR7" i="2"/>
  <c r="AR24" i="2"/>
  <c r="AR25" i="2"/>
  <c r="AR8" i="2"/>
  <c r="BW23" i="2"/>
  <c r="BW21" i="2"/>
  <c r="BW22" i="2"/>
  <c r="BW5" i="2"/>
  <c r="BX4" i="2"/>
  <c r="BW6" i="2"/>
  <c r="BW7" i="2"/>
  <c r="BW24" i="2"/>
  <c r="BW25" i="2"/>
  <c r="BW8" i="2"/>
  <c r="CV21" i="2"/>
  <c r="CW4" i="2"/>
  <c r="CW10" i="2" s="1"/>
  <c r="CV22" i="2"/>
  <c r="CV5" i="2"/>
  <c r="CV6" i="2"/>
  <c r="CV23" i="2"/>
  <c r="CV24" i="2"/>
  <c r="CV7" i="2"/>
  <c r="CV25" i="2"/>
  <c r="CV8" i="2"/>
  <c r="BX27" i="2"/>
  <c r="AQ27" i="2"/>
  <c r="Z27" i="2"/>
  <c r="BW27" i="2"/>
  <c r="BF27" i="2"/>
  <c r="AP27" i="2"/>
  <c r="Y27" i="2"/>
  <c r="BV27" i="2"/>
  <c r="BE27" i="2"/>
  <c r="AO27" i="2"/>
  <c r="BU27" i="2"/>
  <c r="BD27" i="2"/>
  <c r="AN27" i="2"/>
  <c r="BT27" i="2"/>
  <c r="BC27" i="2"/>
  <c r="AM27" i="2"/>
  <c r="CI27" i="2"/>
  <c r="BR27" i="2"/>
  <c r="BA27" i="2"/>
  <c r="CQ27" i="2"/>
  <c r="CH27" i="2"/>
  <c r="X28" i="2"/>
  <c r="CG27" i="2"/>
  <c r="CF27" i="2"/>
  <c r="AE27" i="2"/>
  <c r="CE27" i="2"/>
  <c r="BB27" i="2"/>
  <c r="AD27" i="2"/>
  <c r="CD27" i="2"/>
  <c r="AC27" i="2"/>
  <c r="CC27" i="2"/>
  <c r="AB27" i="2"/>
  <c r="CS27" i="2"/>
  <c r="BO27" i="2"/>
  <c r="AR27" i="2"/>
  <c r="CR27" i="2"/>
  <c r="AA27" i="2"/>
  <c r="BP27" i="2"/>
  <c r="CV27" i="2"/>
  <c r="CU27" i="2"/>
  <c r="CT27" i="2"/>
  <c r="BS27" i="2"/>
  <c r="BQ27" i="2"/>
  <c r="AE26" i="2"/>
  <c r="BF9" i="2"/>
  <c r="CJ4" i="2"/>
  <c r="CJ10" i="2" s="1"/>
  <c r="CI5" i="2"/>
  <c r="CI21" i="2"/>
  <c r="CI23" i="2"/>
  <c r="CI22" i="2"/>
  <c r="CI6" i="2"/>
  <c r="CI7" i="2"/>
  <c r="CI24" i="2"/>
  <c r="CI25" i="2"/>
  <c r="CI8" i="2"/>
  <c r="BW26" i="2"/>
  <c r="BW9" i="2"/>
  <c r="CV9" i="2"/>
  <c r="CH10" i="2"/>
  <c r="BQ10" i="2"/>
  <c r="CG10" i="2"/>
  <c r="BP10" i="2"/>
  <c r="CF10" i="2"/>
  <c r="BO10" i="2"/>
  <c r="BT10" i="2"/>
  <c r="BC10" i="2"/>
  <c r="AM10" i="2"/>
  <c r="CV10" i="2"/>
  <c r="BE10" i="2"/>
  <c r="CU10" i="2"/>
  <c r="BD10" i="2"/>
  <c r="AE10" i="2"/>
  <c r="CT10" i="2"/>
  <c r="BX10" i="2"/>
  <c r="BB10" i="2"/>
  <c r="AD10" i="2"/>
  <c r="AR10" i="2"/>
  <c r="CS10" i="2"/>
  <c r="BW10" i="2"/>
  <c r="BA10" i="2"/>
  <c r="AC10" i="2"/>
  <c r="CR10" i="2"/>
  <c r="BV10" i="2"/>
  <c r="AB10" i="2"/>
  <c r="CQ10" i="2"/>
  <c r="BU10" i="2"/>
  <c r="AA10" i="2"/>
  <c r="X11" i="2"/>
  <c r="BS10" i="2"/>
  <c r="Z10" i="2"/>
  <c r="BR10" i="2"/>
  <c r="Y10" i="2"/>
  <c r="AS10" i="2"/>
  <c r="CC10" i="2"/>
  <c r="BG10" i="2"/>
  <c r="BF10" i="2"/>
  <c r="CI10" i="2"/>
  <c r="CE10" i="2"/>
  <c r="CD10" i="2"/>
  <c r="AQ10" i="2"/>
  <c r="AP10" i="2"/>
  <c r="AO10" i="2"/>
  <c r="AN10" i="2"/>
  <c r="D8" i="9" l="1"/>
  <c r="F21" i="33"/>
  <c r="F33" i="34"/>
  <c r="F35" i="34" s="1"/>
  <c r="E20" i="6"/>
  <c r="D20" i="34"/>
  <c r="E7" i="9"/>
  <c r="E19" i="34"/>
  <c r="E6" i="9"/>
  <c r="E18" i="34"/>
  <c r="E23" i="9"/>
  <c r="E23" i="33"/>
  <c r="D35" i="9"/>
  <c r="D35" i="33"/>
  <c r="AK9" i="30"/>
  <c r="AL9" i="30" s="1"/>
  <c r="AM9" i="30" s="1"/>
  <c r="D36" i="33"/>
  <c r="F22" i="9"/>
  <c r="F22" i="33"/>
  <c r="D5" i="7"/>
  <c r="AQ9" i="30"/>
  <c r="AR9" i="30" s="1"/>
  <c r="AS9" i="30" s="1"/>
  <c r="D37" i="33"/>
  <c r="CW27" i="2"/>
  <c r="L12" i="6"/>
  <c r="L22" i="6" s="1"/>
  <c r="AQ9" i="8"/>
  <c r="D37" i="9"/>
  <c r="AK9" i="8"/>
  <c r="AL9" i="8" s="1"/>
  <c r="AM9" i="8" s="1"/>
  <c r="D36" i="9"/>
  <c r="E12" i="6"/>
  <c r="F21" i="9"/>
  <c r="K13" i="6"/>
  <c r="G34" i="34" s="1"/>
  <c r="J13" i="6"/>
  <c r="AJ11" i="8"/>
  <c r="AP11" i="8"/>
  <c r="I14" i="6"/>
  <c r="AI12" i="8"/>
  <c r="AR7" i="8"/>
  <c r="AS7" i="8" s="1"/>
  <c r="AO8" i="8"/>
  <c r="G6" i="7"/>
  <c r="H6" i="7" s="1"/>
  <c r="C6" i="7"/>
  <c r="F10" i="7"/>
  <c r="O9" i="7"/>
  <c r="E48" i="34" s="1"/>
  <c r="S9" i="7"/>
  <c r="E49" i="34" s="1"/>
  <c r="K9" i="7"/>
  <c r="E47" i="34" s="1"/>
  <c r="P6" i="7"/>
  <c r="L6" i="7"/>
  <c r="T6" i="7"/>
  <c r="B7" i="7"/>
  <c r="D13" i="6"/>
  <c r="G33" i="34" s="1"/>
  <c r="B14" i="6"/>
  <c r="B24" i="6" s="1"/>
  <c r="CW21" i="2"/>
  <c r="CW22" i="2"/>
  <c r="CX4" i="2"/>
  <c r="CX28" i="2" s="1"/>
  <c r="CW5" i="2"/>
  <c r="CW6" i="2"/>
  <c r="CW23" i="2"/>
  <c r="CW7" i="2"/>
  <c r="CW24" i="2"/>
  <c r="CW25" i="2"/>
  <c r="CW8" i="2"/>
  <c r="CW26" i="2"/>
  <c r="CW9" i="2"/>
  <c r="BG21" i="2"/>
  <c r="BG22" i="2"/>
  <c r="BG6" i="2"/>
  <c r="BG5" i="2"/>
  <c r="BG23" i="2"/>
  <c r="BH4" i="2"/>
  <c r="BH11" i="2" s="1"/>
  <c r="BG24" i="2"/>
  <c r="BG7" i="2"/>
  <c r="BG8" i="2"/>
  <c r="BG25" i="2"/>
  <c r="BG26" i="2"/>
  <c r="BG9" i="2"/>
  <c r="BG27" i="2"/>
  <c r="CS11" i="2"/>
  <c r="AT11" i="2"/>
  <c r="AC11" i="2"/>
  <c r="CR11" i="2"/>
  <c r="AS11" i="2"/>
  <c r="AB11" i="2"/>
  <c r="CQ11" i="2"/>
  <c r="AR11" i="2"/>
  <c r="AA11" i="2"/>
  <c r="CV11" i="2"/>
  <c r="CE11" i="2"/>
  <c r="AF11" i="2"/>
  <c r="CX11" i="2"/>
  <c r="BX11" i="2"/>
  <c r="BC11" i="2"/>
  <c r="CW11" i="2"/>
  <c r="BW11" i="2"/>
  <c r="BB11" i="2"/>
  <c r="CU11" i="2"/>
  <c r="BV11" i="2"/>
  <c r="BA11" i="2"/>
  <c r="AE11" i="2"/>
  <c r="CT11" i="2"/>
  <c r="BU11" i="2"/>
  <c r="AD11" i="2"/>
  <c r="BT11" i="2"/>
  <c r="Z11" i="2"/>
  <c r="CJ11" i="2"/>
  <c r="BS11" i="2"/>
  <c r="Y11" i="2"/>
  <c r="BR11" i="2"/>
  <c r="X12" i="2"/>
  <c r="BQ11" i="2"/>
  <c r="BP11" i="2"/>
  <c r="AQ11" i="2"/>
  <c r="CD11" i="2"/>
  <c r="BE11" i="2"/>
  <c r="AP11" i="2"/>
  <c r="CC11" i="2"/>
  <c r="BD11" i="2"/>
  <c r="BO11" i="2"/>
  <c r="CI11" i="2"/>
  <c r="CH11" i="2"/>
  <c r="CG11" i="2"/>
  <c r="CF11" i="2"/>
  <c r="BG11" i="2"/>
  <c r="BF11" i="2"/>
  <c r="AO11" i="2"/>
  <c r="AN11" i="2"/>
  <c r="AM11" i="2"/>
  <c r="CK4" i="2"/>
  <c r="CK28" i="2" s="1"/>
  <c r="CJ5" i="2"/>
  <c r="CJ23" i="2"/>
  <c r="CJ21" i="2"/>
  <c r="CJ6" i="2"/>
  <c r="CJ22" i="2"/>
  <c r="CJ7" i="2"/>
  <c r="CJ24" i="2"/>
  <c r="CJ25" i="2"/>
  <c r="CJ8" i="2"/>
  <c r="CJ9" i="2"/>
  <c r="CJ26" i="2"/>
  <c r="CJ27" i="2"/>
  <c r="AF22" i="2"/>
  <c r="AF21" i="2"/>
  <c r="AG4" i="2"/>
  <c r="AG11" i="2" s="1"/>
  <c r="AF5" i="2"/>
  <c r="AF6" i="2"/>
  <c r="AF23" i="2"/>
  <c r="AF24" i="2"/>
  <c r="AF7" i="2"/>
  <c r="AF8" i="2"/>
  <c r="AF25" i="2"/>
  <c r="AF9" i="2"/>
  <c r="AF26" i="2"/>
  <c r="AF27" i="2"/>
  <c r="BX21" i="2"/>
  <c r="BX22" i="2"/>
  <c r="BX6" i="2"/>
  <c r="BX5" i="2"/>
  <c r="BY4" i="2"/>
  <c r="BY11" i="2" s="1"/>
  <c r="BX23" i="2"/>
  <c r="BX24" i="2"/>
  <c r="BX7" i="2"/>
  <c r="BX25" i="2"/>
  <c r="BX8" i="2"/>
  <c r="BX26" i="2"/>
  <c r="BX9" i="2"/>
  <c r="AF10" i="2"/>
  <c r="AS21" i="2"/>
  <c r="AT4" i="2"/>
  <c r="AS5" i="2"/>
  <c r="AS22" i="2"/>
  <c r="AS6" i="2"/>
  <c r="AS23" i="2"/>
  <c r="AS7" i="2"/>
  <c r="AS24" i="2"/>
  <c r="AS25" i="2"/>
  <c r="AS8" i="2"/>
  <c r="AS26" i="2"/>
  <c r="AS9" i="2"/>
  <c r="CI28" i="2"/>
  <c r="BR28" i="2"/>
  <c r="BA28" i="2"/>
  <c r="CH28" i="2"/>
  <c r="BQ28" i="2"/>
  <c r="CG28" i="2"/>
  <c r="BP28" i="2"/>
  <c r="CW28" i="2"/>
  <c r="CF28" i="2"/>
  <c r="BO28" i="2"/>
  <c r="CV28" i="2"/>
  <c r="CE28" i="2"/>
  <c r="AF28" i="2"/>
  <c r="X29" i="2"/>
  <c r="CT28" i="2"/>
  <c r="CC28" i="2"/>
  <c r="AD28" i="2"/>
  <c r="BD28" i="2"/>
  <c r="AA28" i="2"/>
  <c r="BC28" i="2"/>
  <c r="Z28" i="2"/>
  <c r="BB28" i="2"/>
  <c r="Y28" i="2"/>
  <c r="BX28" i="2"/>
  <c r="BW28" i="2"/>
  <c r="CU28" i="2"/>
  <c r="BV28" i="2"/>
  <c r="AS28" i="2"/>
  <c r="CS28" i="2"/>
  <c r="BU28" i="2"/>
  <c r="AR28" i="2"/>
  <c r="CR28" i="2"/>
  <c r="BT28" i="2"/>
  <c r="AQ28" i="2"/>
  <c r="CJ28" i="2"/>
  <c r="BF28" i="2"/>
  <c r="AC28" i="2"/>
  <c r="CD28" i="2"/>
  <c r="BE28" i="2"/>
  <c r="AB28" i="2"/>
  <c r="BS28" i="2"/>
  <c r="BH28" i="2"/>
  <c r="BG28" i="2"/>
  <c r="AP28" i="2"/>
  <c r="AO28" i="2"/>
  <c r="CQ28" i="2"/>
  <c r="AE28" i="2"/>
  <c r="AN28" i="2"/>
  <c r="AM28" i="2"/>
  <c r="E20" i="34" l="1"/>
  <c r="F23" i="33"/>
  <c r="E8" i="9"/>
  <c r="F7" i="9"/>
  <c r="F19" i="34"/>
  <c r="G35" i="34"/>
  <c r="F6" i="9"/>
  <c r="F18" i="34"/>
  <c r="E35" i="9"/>
  <c r="E35" i="33"/>
  <c r="E21" i="6"/>
  <c r="G22" i="9"/>
  <c r="G22" i="33"/>
  <c r="AQ10" i="30"/>
  <c r="AR10" i="30" s="1"/>
  <c r="AS10" i="30" s="1"/>
  <c r="E37" i="33"/>
  <c r="AK10" i="30"/>
  <c r="AL10" i="30" s="1"/>
  <c r="AM10" i="30" s="1"/>
  <c r="E36" i="33"/>
  <c r="D6" i="7"/>
  <c r="G21" i="9"/>
  <c r="G21" i="33"/>
  <c r="CK11" i="2"/>
  <c r="BY28" i="2"/>
  <c r="AG28" i="2"/>
  <c r="F23" i="9"/>
  <c r="AQ10" i="8"/>
  <c r="E37" i="9"/>
  <c r="AK10" i="8"/>
  <c r="AL10" i="8" s="1"/>
  <c r="AM10" i="8" s="1"/>
  <c r="J20" i="6" s="1"/>
  <c r="K20" i="6" s="1"/>
  <c r="E36" i="9"/>
  <c r="I24" i="6"/>
  <c r="K14" i="6"/>
  <c r="H34" i="34" s="1"/>
  <c r="J14" i="6"/>
  <c r="AJ12" i="8"/>
  <c r="AP12" i="8"/>
  <c r="E13" i="6"/>
  <c r="E22" i="6" s="1"/>
  <c r="I15" i="6"/>
  <c r="L13" i="6"/>
  <c r="AI13" i="8"/>
  <c r="AR8" i="8"/>
  <c r="AS8" i="8" s="1"/>
  <c r="AO9" i="8"/>
  <c r="F11" i="7"/>
  <c r="K10" i="7"/>
  <c r="F47" i="34" s="1"/>
  <c r="O10" i="7"/>
  <c r="F48" i="34" s="1"/>
  <c r="S10" i="7"/>
  <c r="F49" i="34" s="1"/>
  <c r="C7" i="7"/>
  <c r="C45" i="34" s="1"/>
  <c r="G7" i="7"/>
  <c r="T7" i="7"/>
  <c r="L7" i="7"/>
  <c r="B8" i="7"/>
  <c r="D14" i="6"/>
  <c r="H33" i="34" s="1"/>
  <c r="B15" i="6"/>
  <c r="CK21" i="2"/>
  <c r="CK5" i="2"/>
  <c r="CK23" i="2"/>
  <c r="CL4" i="2"/>
  <c r="CK6" i="2"/>
  <c r="CK22" i="2"/>
  <c r="CK24" i="2"/>
  <c r="CK7" i="2"/>
  <c r="CK8" i="2"/>
  <c r="CK25" i="2"/>
  <c r="CK9" i="2"/>
  <c r="CK26" i="2"/>
  <c r="CK10" i="2"/>
  <c r="CK27" i="2"/>
  <c r="BU12" i="2"/>
  <c r="BD12" i="2"/>
  <c r="AN12" i="2"/>
  <c r="CK12" i="2"/>
  <c r="BT12" i="2"/>
  <c r="BC12" i="2"/>
  <c r="AM12" i="2"/>
  <c r="CJ12" i="2"/>
  <c r="BS12" i="2"/>
  <c r="BB12" i="2"/>
  <c r="BX12" i="2"/>
  <c r="BG12" i="2"/>
  <c r="AQ12" i="2"/>
  <c r="Z12" i="2"/>
  <c r="CV12" i="2"/>
  <c r="BA12" i="2"/>
  <c r="AF12" i="2"/>
  <c r="CU12" i="2"/>
  <c r="BY12" i="2"/>
  <c r="AE12" i="2"/>
  <c r="CT12" i="2"/>
  <c r="BW12" i="2"/>
  <c r="AD12" i="2"/>
  <c r="CS12" i="2"/>
  <c r="BV12" i="2"/>
  <c r="AC12" i="2"/>
  <c r="CR12" i="2"/>
  <c r="BR12" i="2"/>
  <c r="AB12" i="2"/>
  <c r="CQ12" i="2"/>
  <c r="BQ12" i="2"/>
  <c r="AA12" i="2"/>
  <c r="X13" i="2"/>
  <c r="BP12" i="2"/>
  <c r="Y12" i="2"/>
  <c r="BO12" i="2"/>
  <c r="AT12" i="2"/>
  <c r="CI12" i="2"/>
  <c r="AS12" i="2"/>
  <c r="CX12" i="2"/>
  <c r="CC12" i="2"/>
  <c r="BF12" i="2"/>
  <c r="CW12" i="2"/>
  <c r="BE12" i="2"/>
  <c r="AG12" i="2"/>
  <c r="CH12" i="2"/>
  <c r="AR12" i="2"/>
  <c r="CG12" i="2"/>
  <c r="CF12" i="2"/>
  <c r="CE12" i="2"/>
  <c r="CD12" i="2"/>
  <c r="BH12" i="2"/>
  <c r="AP12" i="2"/>
  <c r="AO12" i="2"/>
  <c r="X30" i="2"/>
  <c r="CT29" i="2"/>
  <c r="CC29" i="2"/>
  <c r="AD29" i="2"/>
  <c r="CS29" i="2"/>
  <c r="AT29" i="2"/>
  <c r="AC29" i="2"/>
  <c r="CR29" i="2"/>
  <c r="AS29" i="2"/>
  <c r="AB29" i="2"/>
  <c r="CQ29" i="2"/>
  <c r="BY29" i="2"/>
  <c r="BH29" i="2"/>
  <c r="AR29" i="2"/>
  <c r="AA29" i="2"/>
  <c r="BX29" i="2"/>
  <c r="BG29" i="2"/>
  <c r="AQ29" i="2"/>
  <c r="Z29" i="2"/>
  <c r="BV29" i="2"/>
  <c r="BE29" i="2"/>
  <c r="AO29" i="2"/>
  <c r="CW29" i="2"/>
  <c r="BS29" i="2"/>
  <c r="CV29" i="2"/>
  <c r="BR29" i="2"/>
  <c r="AP29" i="2"/>
  <c r="CU29" i="2"/>
  <c r="BQ29" i="2"/>
  <c r="AN29" i="2"/>
  <c r="BP29" i="2"/>
  <c r="AM29" i="2"/>
  <c r="CL29" i="2"/>
  <c r="BO29" i="2"/>
  <c r="CK29" i="2"/>
  <c r="CJ29" i="2"/>
  <c r="CI29" i="2"/>
  <c r="BF29" i="2"/>
  <c r="BU29" i="2"/>
  <c r="CX29" i="2"/>
  <c r="BT29" i="2"/>
  <c r="BD29" i="2"/>
  <c r="BC29" i="2"/>
  <c r="BB29" i="2"/>
  <c r="BA29" i="2"/>
  <c r="AG29" i="2"/>
  <c r="AF29" i="2"/>
  <c r="AE29" i="2"/>
  <c r="CD29" i="2"/>
  <c r="BW29" i="2"/>
  <c r="CH29" i="2"/>
  <c r="CG29" i="2"/>
  <c r="CF29" i="2"/>
  <c r="CE29" i="2"/>
  <c r="Y29" i="2"/>
  <c r="BY21" i="2"/>
  <c r="BY22" i="2"/>
  <c r="BY5" i="2"/>
  <c r="BZ4" i="2"/>
  <c r="BY6" i="2"/>
  <c r="BY23" i="2"/>
  <c r="BY7" i="2"/>
  <c r="BY24" i="2"/>
  <c r="BY25" i="2"/>
  <c r="BY8" i="2"/>
  <c r="BY9" i="2"/>
  <c r="BY26" i="2"/>
  <c r="BY10" i="2"/>
  <c r="BY27" i="2"/>
  <c r="AT21" i="2"/>
  <c r="AT22" i="2"/>
  <c r="AU4" i="2"/>
  <c r="AU29" i="2" s="1"/>
  <c r="AT5" i="2"/>
  <c r="AT23" i="2"/>
  <c r="AT6" i="2"/>
  <c r="AT7" i="2"/>
  <c r="AT24" i="2"/>
  <c r="AT25" i="2"/>
  <c r="AT8" i="2"/>
  <c r="AT26" i="2"/>
  <c r="AT9" i="2"/>
  <c r="AT27" i="2"/>
  <c r="AT10" i="2"/>
  <c r="AG22" i="2"/>
  <c r="AG21" i="2"/>
  <c r="AG5" i="2"/>
  <c r="AH4" i="2"/>
  <c r="AG6" i="2"/>
  <c r="AG23" i="2"/>
  <c r="AG24" i="2"/>
  <c r="AG7" i="2"/>
  <c r="AG8" i="2"/>
  <c r="AG25" i="2"/>
  <c r="AG26" i="2"/>
  <c r="AG9" i="2"/>
  <c r="AG27" i="2"/>
  <c r="AG10" i="2"/>
  <c r="BH22" i="2"/>
  <c r="BH21" i="2"/>
  <c r="BI4" i="2"/>
  <c r="BH5" i="2"/>
  <c r="BH23" i="2"/>
  <c r="BH6" i="2"/>
  <c r="BH24" i="2"/>
  <c r="BH7" i="2"/>
  <c r="BH8" i="2"/>
  <c r="BH25" i="2"/>
  <c r="BH9" i="2"/>
  <c r="BH26" i="2"/>
  <c r="BH10" i="2"/>
  <c r="BH27" i="2"/>
  <c r="CX22" i="2"/>
  <c r="CX21" i="2"/>
  <c r="CY4" i="2"/>
  <c r="CY29" i="2" s="1"/>
  <c r="CX5" i="2"/>
  <c r="CX6" i="2"/>
  <c r="CX23" i="2"/>
  <c r="CX7" i="2"/>
  <c r="CX24" i="2"/>
  <c r="CX8" i="2"/>
  <c r="CX25" i="2"/>
  <c r="CX9" i="2"/>
  <c r="CX26" i="2"/>
  <c r="CX10" i="2"/>
  <c r="CX27" i="2"/>
  <c r="AT28" i="2"/>
  <c r="F8" i="9" l="1"/>
  <c r="F20" i="34"/>
  <c r="H35" i="34"/>
  <c r="G6" i="9"/>
  <c r="G18" i="34"/>
  <c r="G7" i="9"/>
  <c r="G19" i="34"/>
  <c r="C34" i="33"/>
  <c r="C46" i="34"/>
  <c r="C50" i="34" s="1"/>
  <c r="L23" i="6"/>
  <c r="G23" i="33"/>
  <c r="G23" i="9"/>
  <c r="C33" i="33"/>
  <c r="F35" i="9"/>
  <c r="F35" i="33"/>
  <c r="AK11" i="30"/>
  <c r="AL11" i="30" s="1"/>
  <c r="AM11" i="30" s="1"/>
  <c r="F36" i="33"/>
  <c r="AQ11" i="30"/>
  <c r="AR11" i="30" s="1"/>
  <c r="AS11" i="30" s="1"/>
  <c r="F37" i="33"/>
  <c r="H21" i="9"/>
  <c r="H21" i="33"/>
  <c r="H22" i="9"/>
  <c r="H22" i="33"/>
  <c r="H7" i="7"/>
  <c r="C34" i="9"/>
  <c r="D7" i="7"/>
  <c r="C33" i="9"/>
  <c r="AK11" i="8"/>
  <c r="AL11" i="8" s="1"/>
  <c r="AM11" i="8" s="1"/>
  <c r="J21" i="6" s="1"/>
  <c r="K21" i="6" s="1"/>
  <c r="F36" i="9"/>
  <c r="AQ11" i="8"/>
  <c r="F37" i="9"/>
  <c r="K15" i="6"/>
  <c r="J15" i="6"/>
  <c r="AJ13" i="8"/>
  <c r="AP13" i="8"/>
  <c r="E14" i="6"/>
  <c r="E23" i="6" s="1"/>
  <c r="L14" i="6"/>
  <c r="L24" i="6" s="1"/>
  <c r="I25" i="6"/>
  <c r="AR9" i="8"/>
  <c r="AS9" i="8" s="1"/>
  <c r="AO10" i="8"/>
  <c r="AI14" i="8"/>
  <c r="F12" i="7"/>
  <c r="K11" i="7"/>
  <c r="G47" i="34" s="1"/>
  <c r="O11" i="7"/>
  <c r="G48" i="34" s="1"/>
  <c r="S11" i="7"/>
  <c r="G49" i="34" s="1"/>
  <c r="C8" i="7"/>
  <c r="D45" i="34" s="1"/>
  <c r="G8" i="7"/>
  <c r="T8" i="7"/>
  <c r="P8" i="7"/>
  <c r="L8" i="7"/>
  <c r="B9" i="7"/>
  <c r="D15" i="6"/>
  <c r="B25" i="6"/>
  <c r="BI22" i="2"/>
  <c r="BI21" i="2"/>
  <c r="BJ4" i="2"/>
  <c r="BJ13" i="2" s="1"/>
  <c r="BI5" i="2"/>
  <c r="BI6" i="2"/>
  <c r="BI23" i="2"/>
  <c r="BI7" i="2"/>
  <c r="BI24" i="2"/>
  <c r="BI8" i="2"/>
  <c r="BI25" i="2"/>
  <c r="BI26" i="2"/>
  <c r="BI9" i="2"/>
  <c r="BI27" i="2"/>
  <c r="BI10" i="2"/>
  <c r="BI11" i="2"/>
  <c r="BI28" i="2"/>
  <c r="CY12" i="2"/>
  <c r="AU12" i="2"/>
  <c r="AH22" i="2"/>
  <c r="AH5" i="2"/>
  <c r="AI4" i="2"/>
  <c r="AH21" i="2"/>
  <c r="AH6" i="2"/>
  <c r="AH23" i="2"/>
  <c r="AH7" i="2"/>
  <c r="AH24" i="2"/>
  <c r="AH8" i="2"/>
  <c r="AH25" i="2"/>
  <c r="AH26" i="2"/>
  <c r="AH9" i="2"/>
  <c r="AH10" i="2"/>
  <c r="AH27" i="2"/>
  <c r="AH11" i="2"/>
  <c r="AH28" i="2"/>
  <c r="AH29" i="2"/>
  <c r="AH12" i="2"/>
  <c r="CW13" i="2"/>
  <c r="CF13" i="2"/>
  <c r="BO13" i="2"/>
  <c r="AG13" i="2"/>
  <c r="CV13" i="2"/>
  <c r="CE13" i="2"/>
  <c r="AF13" i="2"/>
  <c r="CU13" i="2"/>
  <c r="CD13" i="2"/>
  <c r="AE13" i="2"/>
  <c r="CR13" i="2"/>
  <c r="BZ13" i="2"/>
  <c r="BI13" i="2"/>
  <c r="AS13" i="2"/>
  <c r="CI13" i="2"/>
  <c r="BR13" i="2"/>
  <c r="BA13" i="2"/>
  <c r="BD13" i="2"/>
  <c r="AD13" i="2"/>
  <c r="BY13" i="2"/>
  <c r="BC13" i="2"/>
  <c r="AC13" i="2"/>
  <c r="CY13" i="2"/>
  <c r="BX13" i="2"/>
  <c r="BB13" i="2"/>
  <c r="AB13" i="2"/>
  <c r="X14" i="2"/>
  <c r="CX13" i="2"/>
  <c r="BW13" i="2"/>
  <c r="AA13" i="2"/>
  <c r="CT13" i="2"/>
  <c r="BV13" i="2"/>
  <c r="Z13" i="2"/>
  <c r="BP13" i="2"/>
  <c r="CS13" i="2"/>
  <c r="BU13" i="2"/>
  <c r="AU13" i="2"/>
  <c r="Y13" i="2"/>
  <c r="CQ13" i="2"/>
  <c r="BT13" i="2"/>
  <c r="AT13" i="2"/>
  <c r="BS13" i="2"/>
  <c r="AR13" i="2"/>
  <c r="BQ13" i="2"/>
  <c r="AQ13" i="2"/>
  <c r="CG13" i="2"/>
  <c r="BF13" i="2"/>
  <c r="AI13" i="2"/>
  <c r="AP13" i="2"/>
  <c r="CC13" i="2"/>
  <c r="BE13" i="2"/>
  <c r="AH13" i="2"/>
  <c r="CL13" i="2"/>
  <c r="CK13" i="2"/>
  <c r="CJ13" i="2"/>
  <c r="CH13" i="2"/>
  <c r="BH13" i="2"/>
  <c r="BG13" i="2"/>
  <c r="AO13" i="2"/>
  <c r="AN13" i="2"/>
  <c r="AM13" i="2"/>
  <c r="BI12" i="2"/>
  <c r="CL22" i="2"/>
  <c r="CL21" i="2"/>
  <c r="CL5" i="2"/>
  <c r="CL23" i="2"/>
  <c r="CM4" i="2"/>
  <c r="CM13" i="2" s="1"/>
  <c r="CL6" i="2"/>
  <c r="CL24" i="2"/>
  <c r="CL7" i="2"/>
  <c r="CL25" i="2"/>
  <c r="CL8" i="2"/>
  <c r="CL9" i="2"/>
  <c r="CL26" i="2"/>
  <c r="CL27" i="2"/>
  <c r="CL10" i="2"/>
  <c r="CL11" i="2"/>
  <c r="CL28" i="2"/>
  <c r="CY22" i="2"/>
  <c r="CY21" i="2"/>
  <c r="CZ4" i="2"/>
  <c r="CZ13" i="2" s="1"/>
  <c r="CY5" i="2"/>
  <c r="CY23" i="2"/>
  <c r="CY6" i="2"/>
  <c r="CY7" i="2"/>
  <c r="CY24" i="2"/>
  <c r="CY25" i="2"/>
  <c r="CY8" i="2"/>
  <c r="CY26" i="2"/>
  <c r="CY9" i="2"/>
  <c r="CY27" i="2"/>
  <c r="CY10" i="2"/>
  <c r="CY28" i="2"/>
  <c r="CY11" i="2"/>
  <c r="BZ21" i="2"/>
  <c r="BZ22" i="2"/>
  <c r="BZ5" i="2"/>
  <c r="BZ23" i="2"/>
  <c r="BZ6" i="2"/>
  <c r="BZ7" i="2"/>
  <c r="BZ24" i="2"/>
  <c r="BZ25" i="2"/>
  <c r="BZ8" i="2"/>
  <c r="BZ26" i="2"/>
  <c r="BZ9" i="2"/>
  <c r="BZ10" i="2"/>
  <c r="BZ27" i="2"/>
  <c r="BZ28" i="2"/>
  <c r="BZ11" i="2"/>
  <c r="BV30" i="2"/>
  <c r="BE30" i="2"/>
  <c r="AO30" i="2"/>
  <c r="CL30" i="2"/>
  <c r="BU30" i="2"/>
  <c r="BD30" i="2"/>
  <c r="AN30" i="2"/>
  <c r="CK30" i="2"/>
  <c r="BT30" i="2"/>
  <c r="BC30" i="2"/>
  <c r="AM30" i="2"/>
  <c r="CJ30" i="2"/>
  <c r="BS30" i="2"/>
  <c r="BB30" i="2"/>
  <c r="CI30" i="2"/>
  <c r="BR30" i="2"/>
  <c r="BA30" i="2"/>
  <c r="CX30" i="2"/>
  <c r="CG30" i="2"/>
  <c r="BP30" i="2"/>
  <c r="AH30" i="2"/>
  <c r="BJ30" i="2"/>
  <c r="AG30" i="2"/>
  <c r="X31" i="2"/>
  <c r="CH30" i="2"/>
  <c r="BI30" i="2"/>
  <c r="AF30" i="2"/>
  <c r="CF30" i="2"/>
  <c r="BH30" i="2"/>
  <c r="AE30" i="2"/>
  <c r="CE30" i="2"/>
  <c r="BG30" i="2"/>
  <c r="AD30" i="2"/>
  <c r="CD30" i="2"/>
  <c r="BF30" i="2"/>
  <c r="AC30" i="2"/>
  <c r="CC30" i="2"/>
  <c r="AB30" i="2"/>
  <c r="AA30" i="2"/>
  <c r="CY30" i="2"/>
  <c r="BZ30" i="2"/>
  <c r="Z30" i="2"/>
  <c r="CQ30" i="2"/>
  <c r="AP30" i="2"/>
  <c r="AI30" i="2"/>
  <c r="AT30" i="2"/>
  <c r="AS30" i="2"/>
  <c r="CW30" i="2"/>
  <c r="AR30" i="2"/>
  <c r="CV30" i="2"/>
  <c r="AQ30" i="2"/>
  <c r="CU30" i="2"/>
  <c r="Y30" i="2"/>
  <c r="CT30" i="2"/>
  <c r="BX30" i="2"/>
  <c r="CS30" i="2"/>
  <c r="CR30" i="2"/>
  <c r="BY30" i="2"/>
  <c r="AU30" i="2"/>
  <c r="BW30" i="2"/>
  <c r="BQ30" i="2"/>
  <c r="BO30" i="2"/>
  <c r="BZ12" i="2"/>
  <c r="BI29" i="2"/>
  <c r="AV4" i="2"/>
  <c r="AV30" i="2" s="1"/>
  <c r="AU5" i="2"/>
  <c r="AU22" i="2"/>
  <c r="AU21" i="2"/>
  <c r="AU6" i="2"/>
  <c r="AU23" i="2"/>
  <c r="AU24" i="2"/>
  <c r="AU7" i="2"/>
  <c r="AU8" i="2"/>
  <c r="AU25" i="2"/>
  <c r="AU9" i="2"/>
  <c r="AU26" i="2"/>
  <c r="AU27" i="2"/>
  <c r="AU10" i="2"/>
  <c r="AU11" i="2"/>
  <c r="AU28" i="2"/>
  <c r="BZ29" i="2"/>
  <c r="CL12" i="2"/>
  <c r="G8" i="9" l="1"/>
  <c r="C38" i="33"/>
  <c r="D34" i="33"/>
  <c r="D46" i="34"/>
  <c r="D50" i="34" s="1"/>
  <c r="H7" i="9"/>
  <c r="H19" i="34"/>
  <c r="I33" i="34"/>
  <c r="D29" i="6"/>
  <c r="E29" i="6" s="1"/>
  <c r="D30" i="6"/>
  <c r="E30" i="6" s="1"/>
  <c r="J30" i="6"/>
  <c r="J29" i="6"/>
  <c r="G20" i="34"/>
  <c r="H6" i="9"/>
  <c r="H18" i="34"/>
  <c r="I34" i="34"/>
  <c r="K29" i="6"/>
  <c r="L29" i="6" s="1"/>
  <c r="K30" i="6"/>
  <c r="AQ12" i="30"/>
  <c r="AR12" i="30" s="1"/>
  <c r="AS12" i="30" s="1"/>
  <c r="G37" i="33"/>
  <c r="H23" i="33"/>
  <c r="AK12" i="30"/>
  <c r="AL12" i="30" s="1"/>
  <c r="AM12" i="30" s="1"/>
  <c r="G36" i="33"/>
  <c r="G35" i="9"/>
  <c r="G35" i="33"/>
  <c r="H23" i="9"/>
  <c r="I22" i="9"/>
  <c r="I22" i="33"/>
  <c r="I21" i="9"/>
  <c r="I21" i="33"/>
  <c r="D33" i="33"/>
  <c r="CZ30" i="2"/>
  <c r="CM30" i="2"/>
  <c r="C38" i="9"/>
  <c r="H8" i="7"/>
  <c r="D34" i="9"/>
  <c r="D8" i="7"/>
  <c r="D33" i="9"/>
  <c r="AQ12" i="8"/>
  <c r="G37" i="9"/>
  <c r="AK12" i="8"/>
  <c r="AL12" i="8" s="1"/>
  <c r="AM12" i="8" s="1"/>
  <c r="J22" i="6" s="1"/>
  <c r="K22" i="6" s="1"/>
  <c r="G36" i="9"/>
  <c r="AJ14" i="8"/>
  <c r="AP14" i="8"/>
  <c r="E15" i="6"/>
  <c r="E24" i="6" s="1"/>
  <c r="L15" i="6"/>
  <c r="L25" i="6" s="1"/>
  <c r="L26" i="6" s="1"/>
  <c r="I26" i="6"/>
  <c r="AI15" i="8"/>
  <c r="AI16" i="8" s="1"/>
  <c r="AR10" i="8"/>
  <c r="AS10" i="8" s="1"/>
  <c r="AO11" i="8"/>
  <c r="C9" i="7"/>
  <c r="E45" i="34" s="1"/>
  <c r="G9" i="7"/>
  <c r="F13" i="7"/>
  <c r="F18" i="7" s="1"/>
  <c r="K12" i="7"/>
  <c r="H47" i="34" s="1"/>
  <c r="O12" i="7"/>
  <c r="H48" i="34" s="1"/>
  <c r="S12" i="7"/>
  <c r="H49" i="34" s="1"/>
  <c r="B10" i="7"/>
  <c r="T9" i="7"/>
  <c r="P9" i="7"/>
  <c r="L9" i="7"/>
  <c r="B26" i="6"/>
  <c r="BJ22" i="2"/>
  <c r="BJ21" i="2"/>
  <c r="BK4" i="2"/>
  <c r="BJ5" i="2"/>
  <c r="BJ23" i="2"/>
  <c r="BJ6" i="2"/>
  <c r="BJ24" i="2"/>
  <c r="BJ7" i="2"/>
  <c r="BJ25" i="2"/>
  <c r="BJ8" i="2"/>
  <c r="BJ26" i="2"/>
  <c r="BJ9" i="2"/>
  <c r="BJ10" i="2"/>
  <c r="BJ27" i="2"/>
  <c r="BJ11" i="2"/>
  <c r="BJ28" i="2"/>
  <c r="BJ12" i="2"/>
  <c r="BJ29" i="2"/>
  <c r="CQ14" i="2"/>
  <c r="BY14" i="2"/>
  <c r="BH14" i="2"/>
  <c r="AR14" i="2"/>
  <c r="AA14" i="2"/>
  <c r="BX14" i="2"/>
  <c r="BG14" i="2"/>
  <c r="AQ14" i="2"/>
  <c r="Z14" i="2"/>
  <c r="BW14" i="2"/>
  <c r="BF14" i="2"/>
  <c r="AP14" i="2"/>
  <c r="Y14" i="2"/>
  <c r="CK14" i="2"/>
  <c r="BT14" i="2"/>
  <c r="BC14" i="2"/>
  <c r="AM14" i="2"/>
  <c r="X15" i="2"/>
  <c r="CT14" i="2"/>
  <c r="CC14" i="2"/>
  <c r="BK14" i="2"/>
  <c r="AU14" i="2"/>
  <c r="AD14" i="2"/>
  <c r="CI14" i="2"/>
  <c r="CH14" i="2"/>
  <c r="BJ14" i="2"/>
  <c r="CG14" i="2"/>
  <c r="BI14" i="2"/>
  <c r="AI14" i="2"/>
  <c r="CF14" i="2"/>
  <c r="BE14" i="2"/>
  <c r="AH14" i="2"/>
  <c r="BU14" i="2"/>
  <c r="DA14" i="2"/>
  <c r="CE14" i="2"/>
  <c r="BD14" i="2"/>
  <c r="AG14" i="2"/>
  <c r="CZ14" i="2"/>
  <c r="CD14" i="2"/>
  <c r="BB14" i="2"/>
  <c r="AF14" i="2"/>
  <c r="CY14" i="2"/>
  <c r="BA14" i="2"/>
  <c r="AE14" i="2"/>
  <c r="CX14" i="2"/>
  <c r="BZ14" i="2"/>
  <c r="AC14" i="2"/>
  <c r="CW14" i="2"/>
  <c r="BV14" i="2"/>
  <c r="AB14" i="2"/>
  <c r="CL14" i="2"/>
  <c r="BO14" i="2"/>
  <c r="AO14" i="2"/>
  <c r="CJ14" i="2"/>
  <c r="AN14" i="2"/>
  <c r="CV14" i="2"/>
  <c r="CU14" i="2"/>
  <c r="CS14" i="2"/>
  <c r="CR14" i="2"/>
  <c r="CM14" i="2"/>
  <c r="BS14" i="2"/>
  <c r="BR14" i="2"/>
  <c r="BQ14" i="2"/>
  <c r="BP14" i="2"/>
  <c r="AV14" i="2"/>
  <c r="AT14" i="2"/>
  <c r="AS14" i="2"/>
  <c r="AV21" i="2"/>
  <c r="AV22" i="2"/>
  <c r="AW4" i="2"/>
  <c r="AW31" i="2" s="1"/>
  <c r="AV5" i="2"/>
  <c r="AV6" i="2"/>
  <c r="AV23" i="2"/>
  <c r="AV7" i="2"/>
  <c r="AV24" i="2"/>
  <c r="AV8" i="2"/>
  <c r="AV25" i="2"/>
  <c r="AV26" i="2"/>
  <c r="AV9" i="2"/>
  <c r="AV10" i="2"/>
  <c r="AV27" i="2"/>
  <c r="AV11" i="2"/>
  <c r="AV28" i="2"/>
  <c r="AV29" i="2"/>
  <c r="AV12" i="2"/>
  <c r="AI22" i="2"/>
  <c r="AI5" i="2"/>
  <c r="AI23" i="2"/>
  <c r="AI21" i="2"/>
  <c r="AJ4" i="2"/>
  <c r="AJ14" i="2" s="1"/>
  <c r="AI6" i="2"/>
  <c r="AI7" i="2"/>
  <c r="AI24" i="2"/>
  <c r="AI8" i="2"/>
  <c r="AI25" i="2"/>
  <c r="AI9" i="2"/>
  <c r="AI26" i="2"/>
  <c r="AI10" i="2"/>
  <c r="AI27" i="2"/>
  <c r="AI28" i="2"/>
  <c r="AI11" i="2"/>
  <c r="AI29" i="2"/>
  <c r="AI12" i="2"/>
  <c r="AV13" i="2"/>
  <c r="CM21" i="2"/>
  <c r="CM5" i="2"/>
  <c r="CN4" i="2"/>
  <c r="CM6" i="2"/>
  <c r="CM23" i="2"/>
  <c r="CM22" i="2"/>
  <c r="CM7" i="2"/>
  <c r="CM24" i="2"/>
  <c r="CM25" i="2"/>
  <c r="CM8" i="2"/>
  <c r="CM9" i="2"/>
  <c r="CM26" i="2"/>
  <c r="CM10" i="2"/>
  <c r="CM27" i="2"/>
  <c r="CM28" i="2"/>
  <c r="CM11" i="2"/>
  <c r="CM29" i="2"/>
  <c r="CM12" i="2"/>
  <c r="CZ21" i="2"/>
  <c r="DA4" i="2"/>
  <c r="CZ5" i="2"/>
  <c r="CZ23" i="2"/>
  <c r="CZ22" i="2"/>
  <c r="CZ6" i="2"/>
  <c r="CZ7" i="2"/>
  <c r="CZ24" i="2"/>
  <c r="CZ8" i="2"/>
  <c r="CZ25" i="2"/>
  <c r="CZ26" i="2"/>
  <c r="CZ9" i="2"/>
  <c r="CZ27" i="2"/>
  <c r="CZ10" i="2"/>
  <c r="CZ28" i="2"/>
  <c r="CZ11" i="2"/>
  <c r="CZ29" i="2"/>
  <c r="CZ12" i="2"/>
  <c r="CX31" i="2"/>
  <c r="CX33" i="2" s="1"/>
  <c r="CU45" i="2" s="1"/>
  <c r="CG31" i="2"/>
  <c r="CG33" i="2" s="1"/>
  <c r="CG42" i="2" s="1"/>
  <c r="BP31" i="2"/>
  <c r="BP33" i="2" s="1"/>
  <c r="BS39" i="2" s="1"/>
  <c r="AH31" i="2"/>
  <c r="AH33" i="2" s="1"/>
  <c r="AC47" i="2" s="1"/>
  <c r="CW31" i="2"/>
  <c r="CW33" i="2" s="1"/>
  <c r="CU44" i="2" s="1"/>
  <c r="CF31" i="2"/>
  <c r="CF33" i="2" s="1"/>
  <c r="CG41" i="2" s="1"/>
  <c r="BO31" i="2"/>
  <c r="BO33" i="2" s="1"/>
  <c r="BS38" i="2" s="1"/>
  <c r="AG31" i="2"/>
  <c r="AG33" i="2" s="1"/>
  <c r="AC46" i="2" s="1"/>
  <c r="CV31" i="2"/>
  <c r="CV33" i="2" s="1"/>
  <c r="CU43" i="2" s="1"/>
  <c r="CE31" i="2"/>
  <c r="CE33" i="2" s="1"/>
  <c r="CG40" i="2" s="1"/>
  <c r="AF31" i="2"/>
  <c r="AF33" i="2" s="1"/>
  <c r="AC45" i="2" s="1"/>
  <c r="CU31" i="2"/>
  <c r="CU33" i="2" s="1"/>
  <c r="CU42" i="2" s="1"/>
  <c r="CD31" i="2"/>
  <c r="CD33" i="2" s="1"/>
  <c r="CG39" i="2" s="1"/>
  <c r="AV31" i="2"/>
  <c r="AE31" i="2"/>
  <c r="AE33" i="2" s="1"/>
  <c r="AC44" i="2" s="1"/>
  <c r="CT31" i="2"/>
  <c r="CT33" i="2" s="1"/>
  <c r="CU41" i="2" s="1"/>
  <c r="CC31" i="2"/>
  <c r="CC33" i="2" s="1"/>
  <c r="CG38" i="2" s="1"/>
  <c r="BK31" i="2"/>
  <c r="AU31" i="2"/>
  <c r="AU33" i="2" s="1"/>
  <c r="AQ46" i="2" s="1"/>
  <c r="AD31" i="2"/>
  <c r="AD33" i="2" s="1"/>
  <c r="AC43" i="2" s="1"/>
  <c r="CR31" i="2"/>
  <c r="CR33" i="2" s="1"/>
  <c r="CU39" i="2" s="1"/>
  <c r="BZ31" i="2"/>
  <c r="BZ33" i="2" s="1"/>
  <c r="BS49" i="2" s="1"/>
  <c r="BI31" i="2"/>
  <c r="BI33" i="2" s="1"/>
  <c r="BE46" i="2" s="1"/>
  <c r="AS31" i="2"/>
  <c r="AS33" i="2" s="1"/>
  <c r="AQ44" i="2" s="1"/>
  <c r="AB31" i="2"/>
  <c r="AB33" i="2" s="1"/>
  <c r="AC41" i="2" s="1"/>
  <c r="BY31" i="2"/>
  <c r="BY33" i="2" s="1"/>
  <c r="BS48" i="2" s="1"/>
  <c r="BB31" i="2"/>
  <c r="BB33" i="2" s="1"/>
  <c r="BE39" i="2" s="1"/>
  <c r="Y31" i="2"/>
  <c r="Y33" i="2" s="1"/>
  <c r="AC38" i="2" s="1"/>
  <c r="BX31" i="2"/>
  <c r="BX33" i="2" s="1"/>
  <c r="BS47" i="2" s="1"/>
  <c r="BA31" i="2"/>
  <c r="BA33" i="2" s="1"/>
  <c r="BE38" i="2" s="1"/>
  <c r="DA31" i="2"/>
  <c r="BW31" i="2"/>
  <c r="BW33" i="2" s="1"/>
  <c r="BS46" i="2" s="1"/>
  <c r="CZ31" i="2"/>
  <c r="BV31" i="2"/>
  <c r="BV33" i="2" s="1"/>
  <c r="BS45" i="2" s="1"/>
  <c r="AT31" i="2"/>
  <c r="AT33" i="2" s="1"/>
  <c r="AQ45" i="2" s="1"/>
  <c r="CY31" i="2"/>
  <c r="CY33" i="2" s="1"/>
  <c r="CU46" i="2" s="1"/>
  <c r="BU31" i="2"/>
  <c r="BU33" i="2" s="1"/>
  <c r="BS44" i="2" s="1"/>
  <c r="AR31" i="2"/>
  <c r="AR33" i="2" s="1"/>
  <c r="AQ43" i="2" s="1"/>
  <c r="CS31" i="2"/>
  <c r="CS33" i="2" s="1"/>
  <c r="CU40" i="2" s="1"/>
  <c r="BT31" i="2"/>
  <c r="BT33" i="2" s="1"/>
  <c r="BS43" i="2" s="1"/>
  <c r="AQ31" i="2"/>
  <c r="AQ33" i="2" s="1"/>
  <c r="AQ42" i="2" s="1"/>
  <c r="CQ31" i="2"/>
  <c r="CQ33" i="2" s="1"/>
  <c r="CU38" i="2" s="1"/>
  <c r="BS31" i="2"/>
  <c r="BS33" i="2" s="1"/>
  <c r="BS42" i="2" s="1"/>
  <c r="AP31" i="2"/>
  <c r="AP33" i="2" s="1"/>
  <c r="AQ41" i="2" s="1"/>
  <c r="BR31" i="2"/>
  <c r="BR33" i="2" s="1"/>
  <c r="BS41" i="2" s="1"/>
  <c r="AO31" i="2"/>
  <c r="AO33" i="2" s="1"/>
  <c r="AQ40" i="2" s="1"/>
  <c r="CH31" i="2"/>
  <c r="CH33" i="2" s="1"/>
  <c r="CG43" i="2" s="1"/>
  <c r="BD31" i="2"/>
  <c r="BD33" i="2" s="1"/>
  <c r="BE41" i="2" s="1"/>
  <c r="AA31" i="2"/>
  <c r="AA33" i="2" s="1"/>
  <c r="AC40" i="2" s="1"/>
  <c r="BC31" i="2"/>
  <c r="BC33" i="2" s="1"/>
  <c r="BE40" i="2" s="1"/>
  <c r="Z31" i="2"/>
  <c r="Z33" i="2" s="1"/>
  <c r="AC39" i="2" s="1"/>
  <c r="CN31" i="2"/>
  <c r="AI31" i="2"/>
  <c r="CM31" i="2"/>
  <c r="AC31" i="2"/>
  <c r="AC33" i="2" s="1"/>
  <c r="AC42" i="2" s="1"/>
  <c r="CL31" i="2"/>
  <c r="BG31" i="2"/>
  <c r="BG33" i="2" s="1"/>
  <c r="BE44" i="2" s="1"/>
  <c r="CK31" i="2"/>
  <c r="CK33" i="2" s="1"/>
  <c r="CG46" i="2" s="1"/>
  <c r="CJ31" i="2"/>
  <c r="CJ33" i="2" s="1"/>
  <c r="CG45" i="2" s="1"/>
  <c r="CI31" i="2"/>
  <c r="CI33" i="2" s="1"/>
  <c r="CG44" i="2" s="1"/>
  <c r="BQ31" i="2"/>
  <c r="BQ33" i="2" s="1"/>
  <c r="BS40" i="2" s="1"/>
  <c r="BJ31" i="2"/>
  <c r="BH31" i="2"/>
  <c r="BH33" i="2" s="1"/>
  <c r="BE45" i="2" s="1"/>
  <c r="AJ31" i="2"/>
  <c r="AM31" i="2"/>
  <c r="BF31" i="2"/>
  <c r="BF33" i="2" s="1"/>
  <c r="BE43" i="2" s="1"/>
  <c r="BE31" i="2"/>
  <c r="BE33" i="2" s="1"/>
  <c r="BE42" i="2" s="1"/>
  <c r="AN31" i="2"/>
  <c r="AN33" i="2" s="1"/>
  <c r="AQ39" i="2" s="1"/>
  <c r="CL33" i="2"/>
  <c r="CG47" i="2" s="1"/>
  <c r="H20" i="34" l="1"/>
  <c r="H8" i="9"/>
  <c r="D38" i="33"/>
  <c r="I7" i="9"/>
  <c r="I19" i="34"/>
  <c r="I6" i="9"/>
  <c r="I18" i="34"/>
  <c r="I35" i="34"/>
  <c r="E34" i="33"/>
  <c r="E46" i="34"/>
  <c r="E50" i="34" s="1"/>
  <c r="L30" i="6"/>
  <c r="I23" i="9"/>
  <c r="AQ13" i="30"/>
  <c r="AR13" i="30" s="1"/>
  <c r="AS13" i="30" s="1"/>
  <c r="H37" i="33"/>
  <c r="AK13" i="30"/>
  <c r="AL13" i="30" s="1"/>
  <c r="AM13" i="30" s="1"/>
  <c r="H36" i="33"/>
  <c r="H35" i="9"/>
  <c r="H35" i="33"/>
  <c r="I23" i="33"/>
  <c r="E33" i="33"/>
  <c r="E25" i="6"/>
  <c r="E26" i="6" s="1"/>
  <c r="AW14" i="2"/>
  <c r="D38" i="9"/>
  <c r="AK13" i="8"/>
  <c r="AL13" i="8" s="1"/>
  <c r="AM13" i="8" s="1"/>
  <c r="J23" i="6" s="1"/>
  <c r="K23" i="6" s="1"/>
  <c r="H36" i="9"/>
  <c r="H9" i="7"/>
  <c r="E34" i="9"/>
  <c r="AQ13" i="8"/>
  <c r="H37" i="9"/>
  <c r="D9" i="7"/>
  <c r="E33" i="9"/>
  <c r="AO12" i="8"/>
  <c r="AR11" i="8"/>
  <c r="AS11" i="8" s="1"/>
  <c r="C10" i="7"/>
  <c r="F45" i="34" s="1"/>
  <c r="G10" i="7"/>
  <c r="F14" i="7"/>
  <c r="K13" i="7"/>
  <c r="I47" i="34" s="1"/>
  <c r="S13" i="7"/>
  <c r="O13" i="7"/>
  <c r="B11" i="7"/>
  <c r="T10" i="7"/>
  <c r="P10" i="7"/>
  <c r="L10" i="7"/>
  <c r="CZ33" i="2"/>
  <c r="CU47" i="2" s="1"/>
  <c r="AI33" i="2"/>
  <c r="AC48" i="2" s="1"/>
  <c r="AW21" i="2"/>
  <c r="AW22" i="2"/>
  <c r="AX4" i="2"/>
  <c r="AW5" i="2"/>
  <c r="AW6" i="2"/>
  <c r="AW23" i="2"/>
  <c r="AW7" i="2"/>
  <c r="AW24" i="2"/>
  <c r="AW25" i="2"/>
  <c r="AW8" i="2"/>
  <c r="AW9" i="2"/>
  <c r="AW26" i="2"/>
  <c r="AW10" i="2"/>
  <c r="AW27" i="2"/>
  <c r="AW11" i="2"/>
  <c r="AW28" i="2"/>
  <c r="AW12" i="2"/>
  <c r="AW29" i="2"/>
  <c r="AW13" i="2"/>
  <c r="AW30" i="2"/>
  <c r="AV33" i="2"/>
  <c r="AQ47" i="2" s="1"/>
  <c r="DA23" i="2"/>
  <c r="DB4" i="2"/>
  <c r="DA5" i="2"/>
  <c r="DA21" i="2"/>
  <c r="DA6" i="2"/>
  <c r="DA22" i="2"/>
  <c r="DA24" i="2"/>
  <c r="DA7" i="2"/>
  <c r="DA8" i="2"/>
  <c r="DA25" i="2"/>
  <c r="DA26" i="2"/>
  <c r="DA9" i="2"/>
  <c r="DA27" i="2"/>
  <c r="DA10" i="2"/>
  <c r="DA11" i="2"/>
  <c r="DA28" i="2"/>
  <c r="DA12" i="2"/>
  <c r="DA29" i="2"/>
  <c r="DA30" i="2"/>
  <c r="DA13" i="2"/>
  <c r="CM33" i="2"/>
  <c r="CG48" i="2" s="1"/>
  <c r="CY15" i="2"/>
  <c r="CY17" i="2" s="1"/>
  <c r="CT46" i="2" s="1"/>
  <c r="CH15" i="2"/>
  <c r="CH17" i="2" s="1"/>
  <c r="CF43" i="2" s="1"/>
  <c r="BQ15" i="2"/>
  <c r="BQ17" i="2" s="1"/>
  <c r="BR40" i="2" s="1"/>
  <c r="CU15" i="2"/>
  <c r="CU17" i="2" s="1"/>
  <c r="CT42" i="2" s="1"/>
  <c r="CD15" i="2"/>
  <c r="CD17" i="2" s="1"/>
  <c r="CF39" i="2" s="1"/>
  <c r="AV15" i="2"/>
  <c r="AV17" i="2" s="1"/>
  <c r="AP47" i="2" s="1"/>
  <c r="AE15" i="2"/>
  <c r="AE17" i="2" s="1"/>
  <c r="AB44" i="2" s="1"/>
  <c r="CR15" i="2"/>
  <c r="CR17" i="2" s="1"/>
  <c r="CT39" i="2" s="1"/>
  <c r="BX15" i="2"/>
  <c r="BX17" i="2" s="1"/>
  <c r="BR47" i="2" s="1"/>
  <c r="BE15" i="2"/>
  <c r="BE17" i="2" s="1"/>
  <c r="BD42" i="2" s="1"/>
  <c r="AM15" i="2"/>
  <c r="CQ15" i="2"/>
  <c r="CQ17" i="2" s="1"/>
  <c r="CT38" i="2" s="1"/>
  <c r="BW15" i="2"/>
  <c r="BD15" i="2"/>
  <c r="BD17" i="2" s="1"/>
  <c r="BD41" i="2" s="1"/>
  <c r="BV15" i="2"/>
  <c r="BV17" i="2" s="1"/>
  <c r="BR45" i="2" s="1"/>
  <c r="BC15" i="2"/>
  <c r="BC17" i="2" s="1"/>
  <c r="BD40" i="2" s="1"/>
  <c r="AJ15" i="2"/>
  <c r="CL15" i="2"/>
  <c r="CL17" i="2" s="1"/>
  <c r="CF47" i="2" s="1"/>
  <c r="BS15" i="2"/>
  <c r="BS17" i="2" s="1"/>
  <c r="BR42" i="2" s="1"/>
  <c r="AG15" i="2"/>
  <c r="AG17" i="2" s="1"/>
  <c r="AB46" i="2" s="1"/>
  <c r="CV15" i="2"/>
  <c r="CV17" i="2" s="1"/>
  <c r="CT43" i="2" s="1"/>
  <c r="BH15" i="2"/>
  <c r="BH17" i="2" s="1"/>
  <c r="BD45" i="2" s="1"/>
  <c r="AP15" i="2"/>
  <c r="AP17" i="2" s="1"/>
  <c r="AP41" i="2" s="1"/>
  <c r="DA15" i="2"/>
  <c r="BY15" i="2"/>
  <c r="BY17" i="2" s="1"/>
  <c r="BR48" i="2" s="1"/>
  <c r="AU15" i="2"/>
  <c r="AU17" i="2" s="1"/>
  <c r="AP46" i="2" s="1"/>
  <c r="CZ15" i="2"/>
  <c r="CZ17" i="2" s="1"/>
  <c r="CT47" i="2" s="1"/>
  <c r="BU15" i="2"/>
  <c r="BU17" i="2" s="1"/>
  <c r="BR44" i="2" s="1"/>
  <c r="AT15" i="2"/>
  <c r="AT17" i="2" s="1"/>
  <c r="AP45" i="2" s="1"/>
  <c r="CX15" i="2"/>
  <c r="CX17" i="2" s="1"/>
  <c r="CT45" i="2" s="1"/>
  <c r="BT15" i="2"/>
  <c r="BT17" i="2" s="1"/>
  <c r="BR43" i="2" s="1"/>
  <c r="AS15" i="2"/>
  <c r="AS17" i="2" s="1"/>
  <c r="AP44" i="2" s="1"/>
  <c r="CJ15" i="2"/>
  <c r="CJ17" i="2" s="1"/>
  <c r="CF45" i="2" s="1"/>
  <c r="AF15" i="2"/>
  <c r="AF17" i="2" s="1"/>
  <c r="AB45" i="2" s="1"/>
  <c r="CW15" i="2"/>
  <c r="CW17" i="2" s="1"/>
  <c r="CT44" i="2" s="1"/>
  <c r="BR15" i="2"/>
  <c r="BR17" i="2" s="1"/>
  <c r="BR41" i="2" s="1"/>
  <c r="AR15" i="2"/>
  <c r="AR17" i="2" s="1"/>
  <c r="AP43" i="2" s="1"/>
  <c r="CT15" i="2"/>
  <c r="CT17" i="2" s="1"/>
  <c r="CT41" i="2" s="1"/>
  <c r="BP15" i="2"/>
  <c r="BP17" i="2" s="1"/>
  <c r="BR39" i="2" s="1"/>
  <c r="AQ15" i="2"/>
  <c r="AQ17" i="2" s="1"/>
  <c r="AP42" i="2" s="1"/>
  <c r="CS15" i="2"/>
  <c r="CS17" i="2" s="1"/>
  <c r="CT40" i="2" s="1"/>
  <c r="BO15" i="2"/>
  <c r="BO17" i="2" s="1"/>
  <c r="BR38" i="2" s="1"/>
  <c r="AO15" i="2"/>
  <c r="AO17" i="2" s="1"/>
  <c r="AP40" i="2" s="1"/>
  <c r="CN15" i="2"/>
  <c r="AN15" i="2"/>
  <c r="AN17" i="2" s="1"/>
  <c r="AP39" i="2" s="1"/>
  <c r="CM15" i="2"/>
  <c r="CM17" i="2" s="1"/>
  <c r="CF48" i="2" s="1"/>
  <c r="BK15" i="2"/>
  <c r="AI15" i="2"/>
  <c r="CK15" i="2"/>
  <c r="CK17" i="2" s="1"/>
  <c r="CF46" i="2" s="1"/>
  <c r="BJ15" i="2"/>
  <c r="BJ17" i="2" s="1"/>
  <c r="BD47" i="2" s="1"/>
  <c r="AH15" i="2"/>
  <c r="AH17" i="2" s="1"/>
  <c r="AB47" i="2" s="1"/>
  <c r="CC15" i="2"/>
  <c r="CC17" i="2" s="1"/>
  <c r="CF38" i="2" s="1"/>
  <c r="AX15" i="2"/>
  <c r="Z15" i="2"/>
  <c r="Z17" i="2" s="1"/>
  <c r="AB39" i="2" s="1"/>
  <c r="DB15" i="2"/>
  <c r="BZ15" i="2"/>
  <c r="BZ17" i="2" s="1"/>
  <c r="BR49" i="2" s="1"/>
  <c r="AW15" i="2"/>
  <c r="Y15" i="2"/>
  <c r="Y17" i="2" s="1"/>
  <c r="AB38" i="2" s="1"/>
  <c r="BI15" i="2"/>
  <c r="BI17" i="2" s="1"/>
  <c r="BD46" i="2" s="1"/>
  <c r="CI15" i="2"/>
  <c r="CG15" i="2"/>
  <c r="CG17" i="2" s="1"/>
  <c r="CF42" i="2" s="1"/>
  <c r="CF15" i="2"/>
  <c r="CF17" i="2" s="1"/>
  <c r="CF41" i="2" s="1"/>
  <c r="CE15" i="2"/>
  <c r="CE17" i="2" s="1"/>
  <c r="CF40" i="2" s="1"/>
  <c r="BG15" i="2"/>
  <c r="BG17" i="2" s="1"/>
  <c r="BD44" i="2" s="1"/>
  <c r="BF15" i="2"/>
  <c r="BF17" i="2" s="1"/>
  <c r="BD43" i="2" s="1"/>
  <c r="BB15" i="2"/>
  <c r="BB17" i="2" s="1"/>
  <c r="BD39" i="2" s="1"/>
  <c r="AB15" i="2"/>
  <c r="AB17" i="2" s="1"/>
  <c r="AB41" i="2" s="1"/>
  <c r="BA15" i="2"/>
  <c r="BA17" i="2" s="1"/>
  <c r="BD38" i="2" s="1"/>
  <c r="AD15" i="2"/>
  <c r="AD17" i="2" s="1"/>
  <c r="AB43" i="2" s="1"/>
  <c r="AA15" i="2"/>
  <c r="AA17" i="2" s="1"/>
  <c r="AB40" i="2" s="1"/>
  <c r="AC15" i="2"/>
  <c r="AC17" i="2" s="1"/>
  <c r="AB42" i="2" s="1"/>
  <c r="CN21" i="2"/>
  <c r="CN22" i="2"/>
  <c r="CN5" i="2"/>
  <c r="CN6" i="2"/>
  <c r="CN23" i="2"/>
  <c r="CN7" i="2"/>
  <c r="CN24" i="2"/>
  <c r="CN25" i="2"/>
  <c r="CN8" i="2"/>
  <c r="CN26" i="2"/>
  <c r="CN9" i="2"/>
  <c r="CN27" i="2"/>
  <c r="CN10" i="2"/>
  <c r="CN11" i="2"/>
  <c r="CN28" i="2"/>
  <c r="CN12" i="2"/>
  <c r="CN29" i="2"/>
  <c r="CN13" i="2"/>
  <c r="CN30" i="2"/>
  <c r="AM33" i="2"/>
  <c r="BK22" i="2"/>
  <c r="BK21" i="2"/>
  <c r="BL4" i="2"/>
  <c r="BL15" i="2" s="1"/>
  <c r="BK5" i="2"/>
  <c r="BK23" i="2"/>
  <c r="BK6" i="2"/>
  <c r="BK7" i="2"/>
  <c r="BK24" i="2"/>
  <c r="BK25" i="2"/>
  <c r="BK8" i="2"/>
  <c r="BK26" i="2"/>
  <c r="BK9" i="2"/>
  <c r="BK10" i="2"/>
  <c r="BK27" i="2"/>
  <c r="BK11" i="2"/>
  <c r="BK28" i="2"/>
  <c r="BK12" i="2"/>
  <c r="BK29" i="2"/>
  <c r="BK13" i="2"/>
  <c r="BK30" i="2"/>
  <c r="BJ33" i="2"/>
  <c r="BE47" i="2" s="1"/>
  <c r="AI17" i="2"/>
  <c r="AB48" i="2" s="1"/>
  <c r="AJ21" i="2"/>
  <c r="AJ23" i="2"/>
  <c r="AJ5" i="2"/>
  <c r="AJ6" i="2"/>
  <c r="AJ22" i="2"/>
  <c r="AJ7" i="2"/>
  <c r="AJ24" i="2"/>
  <c r="AJ25" i="2"/>
  <c r="AJ8" i="2"/>
  <c r="AJ9" i="2"/>
  <c r="AJ26" i="2"/>
  <c r="AJ27" i="2"/>
  <c r="AJ10" i="2"/>
  <c r="AJ11" i="2"/>
  <c r="AJ28" i="2"/>
  <c r="AJ29" i="2"/>
  <c r="AJ12" i="2"/>
  <c r="AJ13" i="2"/>
  <c r="AJ30" i="2"/>
  <c r="CI17" i="2"/>
  <c r="CF44" i="2" s="1"/>
  <c r="BW17" i="2"/>
  <c r="BR46" i="2" s="1"/>
  <c r="CN14" i="2"/>
  <c r="I8" i="9" l="1"/>
  <c r="I20" i="34"/>
  <c r="I37" i="33"/>
  <c r="I49" i="34"/>
  <c r="F34" i="33"/>
  <c r="F46" i="34"/>
  <c r="F50" i="34" s="1"/>
  <c r="E38" i="33"/>
  <c r="I36" i="33"/>
  <c r="I48" i="34"/>
  <c r="P6" i="24"/>
  <c r="P12" i="24"/>
  <c r="P5" i="24"/>
  <c r="P11" i="24"/>
  <c r="P7" i="24"/>
  <c r="P8" i="24"/>
  <c r="P9" i="24"/>
  <c r="P4" i="24"/>
  <c r="P10" i="24"/>
  <c r="F33" i="33"/>
  <c r="I35" i="9"/>
  <c r="I35" i="33"/>
  <c r="AW17" i="2"/>
  <c r="AP48" i="2" s="1"/>
  <c r="AJ17" i="2"/>
  <c r="AB49" i="2" s="1"/>
  <c r="I36" i="9"/>
  <c r="AK14" i="30"/>
  <c r="AL14" i="30" s="1"/>
  <c r="I37" i="9"/>
  <c r="AQ14" i="30"/>
  <c r="AR14" i="30" s="1"/>
  <c r="E8" i="31"/>
  <c r="E20" i="31" s="1"/>
  <c r="E4" i="31"/>
  <c r="L4" i="31" s="1"/>
  <c r="O4" i="31" s="1"/>
  <c r="E6" i="31"/>
  <c r="E18" i="31" s="1"/>
  <c r="E10" i="31"/>
  <c r="L10" i="31" s="1"/>
  <c r="O10" i="31" s="1"/>
  <c r="E3" i="31"/>
  <c r="E15" i="31" s="1"/>
  <c r="E5" i="31"/>
  <c r="E17" i="31" s="1"/>
  <c r="E2" i="31"/>
  <c r="E14" i="31" s="1"/>
  <c r="E7" i="31"/>
  <c r="E19" i="31" s="1"/>
  <c r="E11" i="31"/>
  <c r="E23" i="31" s="1"/>
  <c r="E9" i="31"/>
  <c r="E21" i="31" s="1"/>
  <c r="E10" i="29"/>
  <c r="M10" i="29" s="1"/>
  <c r="P10" i="29" s="1"/>
  <c r="E10" i="28"/>
  <c r="L10" i="28" s="1"/>
  <c r="P10" i="28" s="1"/>
  <c r="E10" i="27"/>
  <c r="K10" i="27" s="1"/>
  <c r="N10" i="27" s="1"/>
  <c r="E11" i="29"/>
  <c r="M11" i="29" s="1"/>
  <c r="P11" i="29" s="1"/>
  <c r="E11" i="28"/>
  <c r="L11" i="28" s="1"/>
  <c r="P11" i="28" s="1"/>
  <c r="E11" i="27"/>
  <c r="K11" i="27" s="1"/>
  <c r="N11" i="27" s="1"/>
  <c r="E8" i="29"/>
  <c r="M8" i="29" s="1"/>
  <c r="P8" i="29" s="1"/>
  <c r="E8" i="28"/>
  <c r="L8" i="28" s="1"/>
  <c r="P8" i="28" s="1"/>
  <c r="E8" i="27"/>
  <c r="K8" i="27" s="1"/>
  <c r="N8" i="27" s="1"/>
  <c r="E4" i="29"/>
  <c r="M4" i="29" s="1"/>
  <c r="P4" i="29" s="1"/>
  <c r="E4" i="28"/>
  <c r="L4" i="28" s="1"/>
  <c r="P4" i="28" s="1"/>
  <c r="E4" i="27"/>
  <c r="K4" i="27" s="1"/>
  <c r="N4" i="27" s="1"/>
  <c r="E6" i="29"/>
  <c r="M6" i="29" s="1"/>
  <c r="P6" i="29" s="1"/>
  <c r="E6" i="28"/>
  <c r="L6" i="28" s="1"/>
  <c r="P6" i="28" s="1"/>
  <c r="E6" i="27"/>
  <c r="K6" i="27" s="1"/>
  <c r="N6" i="27" s="1"/>
  <c r="E7" i="28"/>
  <c r="L7" i="28" s="1"/>
  <c r="P7" i="28" s="1"/>
  <c r="E7" i="29"/>
  <c r="M7" i="29" s="1"/>
  <c r="P7" i="29" s="1"/>
  <c r="E7" i="27"/>
  <c r="K7" i="27" s="1"/>
  <c r="N7" i="27" s="1"/>
  <c r="E9" i="29"/>
  <c r="M9" i="29" s="1"/>
  <c r="P9" i="29" s="1"/>
  <c r="E9" i="28"/>
  <c r="L9" i="28" s="1"/>
  <c r="P9" i="28" s="1"/>
  <c r="E9" i="27"/>
  <c r="K9" i="27" s="1"/>
  <c r="N9" i="27" s="1"/>
  <c r="E3" i="29"/>
  <c r="M3" i="29" s="1"/>
  <c r="P3" i="29" s="1"/>
  <c r="E3" i="28"/>
  <c r="L3" i="28" s="1"/>
  <c r="P3" i="28" s="1"/>
  <c r="E3" i="27"/>
  <c r="K3" i="27" s="1"/>
  <c r="N3" i="27" s="1"/>
  <c r="E5" i="29"/>
  <c r="M5" i="29" s="1"/>
  <c r="P5" i="29" s="1"/>
  <c r="E5" i="28"/>
  <c r="L5" i="28" s="1"/>
  <c r="P5" i="28" s="1"/>
  <c r="E5" i="27"/>
  <c r="K5" i="27" s="1"/>
  <c r="N5" i="27" s="1"/>
  <c r="E2" i="29"/>
  <c r="M2" i="29" s="1"/>
  <c r="P2" i="29" s="1"/>
  <c r="E2" i="28"/>
  <c r="L2" i="28" s="1"/>
  <c r="P2" i="28" s="1"/>
  <c r="E2" i="27"/>
  <c r="K2" i="27" s="1"/>
  <c r="N2" i="27" s="1"/>
  <c r="E6" i="19"/>
  <c r="J6" i="19" s="1"/>
  <c r="M6" i="19" s="1"/>
  <c r="E6" i="20"/>
  <c r="E8" i="19"/>
  <c r="E20" i="19" s="1"/>
  <c r="E8" i="20"/>
  <c r="E5" i="19"/>
  <c r="J5" i="19" s="1"/>
  <c r="M5" i="19" s="1"/>
  <c r="E5" i="20"/>
  <c r="E10" i="19"/>
  <c r="J10" i="19" s="1"/>
  <c r="M10" i="19" s="1"/>
  <c r="E10" i="20"/>
  <c r="E7" i="19"/>
  <c r="J7" i="19" s="1"/>
  <c r="M7" i="19" s="1"/>
  <c r="E7" i="20"/>
  <c r="E9" i="19"/>
  <c r="J9" i="19" s="1"/>
  <c r="M9" i="19" s="1"/>
  <c r="E9" i="20"/>
  <c r="E3" i="19"/>
  <c r="E15" i="19" s="1"/>
  <c r="E3" i="20"/>
  <c r="E11" i="19"/>
  <c r="E23" i="19" s="1"/>
  <c r="E11" i="20"/>
  <c r="E4" i="19"/>
  <c r="J4" i="19" s="1"/>
  <c r="M4" i="19" s="1"/>
  <c r="E4" i="20"/>
  <c r="E2" i="19"/>
  <c r="E2" i="20"/>
  <c r="E38" i="9"/>
  <c r="H10" i="7"/>
  <c r="F34" i="9"/>
  <c r="D10" i="7"/>
  <c r="F33" i="9"/>
  <c r="AQ14" i="8"/>
  <c r="F15" i="7"/>
  <c r="F19" i="7"/>
  <c r="AK14" i="8"/>
  <c r="AL14" i="8" s="1"/>
  <c r="AL15" i="8" s="1"/>
  <c r="AL16" i="8" s="1"/>
  <c r="AO13" i="8"/>
  <c r="AR12" i="8"/>
  <c r="AS12" i="8" s="1"/>
  <c r="C11" i="7"/>
  <c r="G45" i="34" s="1"/>
  <c r="G11" i="7"/>
  <c r="B12" i="7"/>
  <c r="T11" i="7"/>
  <c r="P11" i="7"/>
  <c r="L11" i="7"/>
  <c r="AX21" i="2"/>
  <c r="AY21" i="2" s="1"/>
  <c r="AX22" i="2"/>
  <c r="AX5" i="2"/>
  <c r="AY5" i="2" s="1"/>
  <c r="AX6" i="2"/>
  <c r="AX23" i="2"/>
  <c r="AY23" i="2" s="1"/>
  <c r="AX24" i="2"/>
  <c r="AY24" i="2" s="1"/>
  <c r="AX7" i="2"/>
  <c r="AY7" i="2" s="1"/>
  <c r="AX25" i="2"/>
  <c r="AY25" i="2" s="1"/>
  <c r="AX8" i="2"/>
  <c r="AY8" i="2" s="1"/>
  <c r="AX9" i="2"/>
  <c r="AY9" i="2" s="1"/>
  <c r="AX26" i="2"/>
  <c r="AY26" i="2" s="1"/>
  <c r="AX27" i="2"/>
  <c r="AY27" i="2" s="1"/>
  <c r="AX10" i="2"/>
  <c r="AY10" i="2" s="1"/>
  <c r="AX28" i="2"/>
  <c r="AY28" i="2" s="1"/>
  <c r="AX11" i="2"/>
  <c r="AY11" i="2" s="1"/>
  <c r="AX12" i="2"/>
  <c r="AY12" i="2" s="1"/>
  <c r="AX29" i="2"/>
  <c r="AY29" i="2" s="1"/>
  <c r="AX13" i="2"/>
  <c r="AY13" i="2" s="1"/>
  <c r="AX30" i="2"/>
  <c r="AY30" i="2" s="1"/>
  <c r="AX14" i="2"/>
  <c r="AY14" i="2" s="1"/>
  <c r="AX31" i="2"/>
  <c r="AY31" i="2" s="1"/>
  <c r="AJ33" i="2"/>
  <c r="AC49" i="2" s="1"/>
  <c r="CN17" i="2"/>
  <c r="CF49" i="2" s="1"/>
  <c r="AW33" i="2"/>
  <c r="AQ48" i="2" s="1"/>
  <c r="CN33" i="2"/>
  <c r="CG49" i="2" s="1"/>
  <c r="DA33" i="2"/>
  <c r="CU48" i="2" s="1"/>
  <c r="DA17" i="2"/>
  <c r="CT48" i="2" s="1"/>
  <c r="BK17" i="2"/>
  <c r="BD48" i="2" s="1"/>
  <c r="DB5" i="2"/>
  <c r="DB21" i="2"/>
  <c r="DB6" i="2"/>
  <c r="DB22" i="2"/>
  <c r="DB23" i="2"/>
  <c r="DB24" i="2"/>
  <c r="DB7" i="2"/>
  <c r="DB25" i="2"/>
  <c r="DB8" i="2"/>
  <c r="DB26" i="2"/>
  <c r="DB9" i="2"/>
  <c r="DB10" i="2"/>
  <c r="DB27" i="2"/>
  <c r="DB28" i="2"/>
  <c r="DB11" i="2"/>
  <c r="DB29" i="2"/>
  <c r="DB12" i="2"/>
  <c r="DB13" i="2"/>
  <c r="DB30" i="2"/>
  <c r="DB14" i="2"/>
  <c r="DB31" i="2"/>
  <c r="BL21" i="2"/>
  <c r="BL22" i="2"/>
  <c r="BL5" i="2"/>
  <c r="BL6" i="2"/>
  <c r="BL23" i="2"/>
  <c r="BL24" i="2"/>
  <c r="BL7" i="2"/>
  <c r="BL25" i="2"/>
  <c r="BL8" i="2"/>
  <c r="BL26" i="2"/>
  <c r="BL9" i="2"/>
  <c r="BL27" i="2"/>
  <c r="BL10" i="2"/>
  <c r="BL28" i="2"/>
  <c r="BL11" i="2"/>
  <c r="BL12" i="2"/>
  <c r="BL29" i="2"/>
  <c r="BL13" i="2"/>
  <c r="BL30" i="2"/>
  <c r="BL14" i="2"/>
  <c r="BL31" i="2"/>
  <c r="AY15" i="2"/>
  <c r="AM17" i="2"/>
  <c r="AQ38" i="2"/>
  <c r="BK33" i="2"/>
  <c r="BE48" i="2" s="1"/>
  <c r="F38" i="33" l="1"/>
  <c r="G34" i="33"/>
  <c r="G46" i="34"/>
  <c r="G50" i="34" s="1"/>
  <c r="P13" i="24"/>
  <c r="G33" i="33"/>
  <c r="AR15" i="30"/>
  <c r="AS14" i="30"/>
  <c r="J7" i="33" s="1"/>
  <c r="AM14" i="30"/>
  <c r="J6" i="33" s="1"/>
  <c r="AL15" i="30"/>
  <c r="E16" i="31"/>
  <c r="L16" i="31" s="1"/>
  <c r="O16" i="31" s="1"/>
  <c r="L8" i="31"/>
  <c r="O8" i="31" s="1"/>
  <c r="L6" i="31"/>
  <c r="O6" i="31" s="1"/>
  <c r="E22" i="31"/>
  <c r="L22" i="31" s="1"/>
  <c r="O22" i="31" s="1"/>
  <c r="L11" i="31"/>
  <c r="O11" i="31" s="1"/>
  <c r="L9" i="31"/>
  <c r="O9" i="31" s="1"/>
  <c r="L2" i="31"/>
  <c r="O2" i="31" s="1"/>
  <c r="L5" i="31"/>
  <c r="O5" i="31" s="1"/>
  <c r="L3" i="31"/>
  <c r="O3" i="31" s="1"/>
  <c r="E12" i="31"/>
  <c r="L12" i="31" s="1"/>
  <c r="O12" i="31" s="1"/>
  <c r="L7" i="31"/>
  <c r="O7" i="31" s="1"/>
  <c r="L23" i="31"/>
  <c r="O23" i="31" s="1"/>
  <c r="E35" i="31"/>
  <c r="L19" i="31"/>
  <c r="O19" i="31" s="1"/>
  <c r="E31" i="31"/>
  <c r="L14" i="31"/>
  <c r="O14" i="31" s="1"/>
  <c r="E26" i="31"/>
  <c r="L18" i="31"/>
  <c r="O18" i="31" s="1"/>
  <c r="E30" i="31"/>
  <c r="L17" i="31"/>
  <c r="O17" i="31" s="1"/>
  <c r="E29" i="31"/>
  <c r="L21" i="31"/>
  <c r="O21" i="31" s="1"/>
  <c r="E33" i="31"/>
  <c r="L20" i="31"/>
  <c r="O20" i="31" s="1"/>
  <c r="E32" i="31"/>
  <c r="L15" i="31"/>
  <c r="O15" i="31" s="1"/>
  <c r="E27" i="31"/>
  <c r="E15" i="29"/>
  <c r="M15" i="29" s="1"/>
  <c r="P15" i="29" s="1"/>
  <c r="E16" i="29"/>
  <c r="M16" i="29" s="1"/>
  <c r="P16" i="29" s="1"/>
  <c r="E21" i="27"/>
  <c r="K21" i="27" s="1"/>
  <c r="N21" i="27" s="1"/>
  <c r="E20" i="27"/>
  <c r="K20" i="27" s="1"/>
  <c r="N20" i="27" s="1"/>
  <c r="E20" i="28"/>
  <c r="L20" i="28" s="1"/>
  <c r="P20" i="28" s="1"/>
  <c r="Q8" i="28"/>
  <c r="R8" i="28" s="1"/>
  <c r="E20" i="29"/>
  <c r="M20" i="29" s="1"/>
  <c r="P20" i="29" s="1"/>
  <c r="E14" i="27"/>
  <c r="K14" i="27" s="1"/>
  <c r="N14" i="27" s="1"/>
  <c r="E19" i="27"/>
  <c r="K19" i="27" s="1"/>
  <c r="N19" i="27" s="1"/>
  <c r="E23" i="27"/>
  <c r="K23" i="27" s="1"/>
  <c r="N23" i="27" s="1"/>
  <c r="E21" i="28"/>
  <c r="L21" i="28" s="1"/>
  <c r="P21" i="28" s="1"/>
  <c r="Q9" i="28"/>
  <c r="R9" i="28" s="1"/>
  <c r="E14" i="28"/>
  <c r="L14" i="28" s="1"/>
  <c r="P14" i="28" s="1"/>
  <c r="E19" i="29"/>
  <c r="M19" i="29" s="1"/>
  <c r="P19" i="29" s="1"/>
  <c r="E23" i="28"/>
  <c r="L23" i="28" s="1"/>
  <c r="P23" i="28" s="1"/>
  <c r="Q11" i="28"/>
  <c r="R11" i="28" s="1"/>
  <c r="E16" i="27"/>
  <c r="K16" i="27" s="1"/>
  <c r="N16" i="27" s="1"/>
  <c r="E15" i="28"/>
  <c r="L15" i="28" s="1"/>
  <c r="P15" i="28" s="1"/>
  <c r="Q3" i="28"/>
  <c r="R3" i="28" s="1"/>
  <c r="E14" i="29"/>
  <c r="M14" i="29" s="1"/>
  <c r="P14" i="29" s="1"/>
  <c r="E19" i="28"/>
  <c r="L19" i="28" s="1"/>
  <c r="P19" i="28" s="1"/>
  <c r="Q7" i="28"/>
  <c r="R7" i="28" s="1"/>
  <c r="E23" i="29"/>
  <c r="M23" i="29" s="1"/>
  <c r="P23" i="29" s="1"/>
  <c r="E17" i="27"/>
  <c r="K17" i="27" s="1"/>
  <c r="N17" i="27" s="1"/>
  <c r="E18" i="27"/>
  <c r="K18" i="27" s="1"/>
  <c r="N18" i="27" s="1"/>
  <c r="E22" i="27"/>
  <c r="K22" i="27" s="1"/>
  <c r="N22" i="27" s="1"/>
  <c r="E16" i="28"/>
  <c r="L16" i="28" s="1"/>
  <c r="P16" i="28" s="1"/>
  <c r="Q4" i="28"/>
  <c r="R4" i="28" s="1"/>
  <c r="E17" i="28"/>
  <c r="L17" i="28" s="1"/>
  <c r="P17" i="28" s="1"/>
  <c r="Q5" i="28"/>
  <c r="R5" i="28" s="1"/>
  <c r="E18" i="28"/>
  <c r="L18" i="28" s="1"/>
  <c r="P18" i="28" s="1"/>
  <c r="Q6" i="28"/>
  <c r="R6" i="28" s="1"/>
  <c r="E22" i="28"/>
  <c r="L22" i="28" s="1"/>
  <c r="P22" i="28" s="1"/>
  <c r="Q10" i="28"/>
  <c r="R10" i="28" s="1"/>
  <c r="E15" i="27"/>
  <c r="K15" i="27" s="1"/>
  <c r="N15" i="27" s="1"/>
  <c r="E17" i="29"/>
  <c r="M17" i="29" s="1"/>
  <c r="P17" i="29" s="1"/>
  <c r="E18" i="29"/>
  <c r="M18" i="29" s="1"/>
  <c r="P18" i="29" s="1"/>
  <c r="E22" i="29"/>
  <c r="M22" i="29" s="1"/>
  <c r="P22" i="29" s="1"/>
  <c r="E21" i="29"/>
  <c r="M21" i="29" s="1"/>
  <c r="P21" i="29" s="1"/>
  <c r="E12" i="29"/>
  <c r="M12" i="29" s="1"/>
  <c r="P12" i="29" s="1"/>
  <c r="E12" i="28"/>
  <c r="L12" i="28" s="1"/>
  <c r="P12" i="28" s="1"/>
  <c r="E12" i="27"/>
  <c r="K12" i="27" s="1"/>
  <c r="N12" i="27" s="1"/>
  <c r="E12" i="19"/>
  <c r="J12" i="19" s="1"/>
  <c r="M12" i="19" s="1"/>
  <c r="E12" i="20"/>
  <c r="F38" i="9"/>
  <c r="H11" i="7"/>
  <c r="C22" i="24"/>
  <c r="G34" i="9"/>
  <c r="D11" i="7"/>
  <c r="C11" i="24"/>
  <c r="G33" i="9"/>
  <c r="E22" i="19"/>
  <c r="J22" i="19" s="1"/>
  <c r="M22" i="19" s="1"/>
  <c r="J3" i="19"/>
  <c r="M3" i="19" s="1"/>
  <c r="J8" i="19"/>
  <c r="M8" i="19" s="1"/>
  <c r="J11" i="19"/>
  <c r="M11" i="19" s="1"/>
  <c r="E21" i="19"/>
  <c r="E33" i="19" s="1"/>
  <c r="K7" i="20"/>
  <c r="O7" i="20" s="1"/>
  <c r="P7" i="20" s="1"/>
  <c r="Q7" i="20" s="1"/>
  <c r="E19" i="20"/>
  <c r="K6" i="20"/>
  <c r="O6" i="20" s="1"/>
  <c r="P6" i="20" s="1"/>
  <c r="Q6" i="20" s="1"/>
  <c r="E18" i="20"/>
  <c r="K5" i="20"/>
  <c r="O5" i="20" s="1"/>
  <c r="P5" i="20" s="1"/>
  <c r="Q5" i="20" s="1"/>
  <c r="E17" i="20"/>
  <c r="K4" i="20"/>
  <c r="O4" i="20" s="1"/>
  <c r="P4" i="20" s="1"/>
  <c r="Q4" i="20" s="1"/>
  <c r="E16" i="20"/>
  <c r="E19" i="19"/>
  <c r="E31" i="19" s="1"/>
  <c r="K9" i="20"/>
  <c r="O9" i="20" s="1"/>
  <c r="P9" i="20" s="1"/>
  <c r="Q9" i="20" s="1"/>
  <c r="E21" i="20"/>
  <c r="K11" i="20"/>
  <c r="O11" i="20" s="1"/>
  <c r="P11" i="20" s="1"/>
  <c r="Q11" i="20" s="1"/>
  <c r="E23" i="20"/>
  <c r="K8" i="20"/>
  <c r="O8" i="20" s="1"/>
  <c r="P8" i="20" s="1"/>
  <c r="Q8" i="20" s="1"/>
  <c r="E20" i="20"/>
  <c r="K10" i="20"/>
  <c r="O10" i="20" s="1"/>
  <c r="P10" i="20" s="1"/>
  <c r="Q10" i="20" s="1"/>
  <c r="E22" i="20"/>
  <c r="K3" i="20"/>
  <c r="O3" i="20" s="1"/>
  <c r="P3" i="20" s="1"/>
  <c r="Q3" i="20" s="1"/>
  <c r="E15" i="20"/>
  <c r="E16" i="19"/>
  <c r="E28" i="19" s="1"/>
  <c r="K2" i="20"/>
  <c r="O2" i="20" s="1"/>
  <c r="E14" i="20"/>
  <c r="E17" i="19"/>
  <c r="J17" i="19" s="1"/>
  <c r="M17" i="19" s="1"/>
  <c r="E18" i="19"/>
  <c r="E30" i="19" s="1"/>
  <c r="E32" i="19"/>
  <c r="J20" i="19"/>
  <c r="M20" i="19" s="1"/>
  <c r="E35" i="19"/>
  <c r="J23" i="19"/>
  <c r="M23" i="19" s="1"/>
  <c r="J15" i="19"/>
  <c r="M15" i="19" s="1"/>
  <c r="E27" i="19"/>
  <c r="J2" i="19"/>
  <c r="M2" i="19" s="1"/>
  <c r="E14" i="19"/>
  <c r="AM14" i="8"/>
  <c r="J18" i="34" s="1"/>
  <c r="AR13" i="8"/>
  <c r="AS13" i="8" s="1"/>
  <c r="AO14" i="8"/>
  <c r="C12" i="7"/>
  <c r="H45" i="34" s="1"/>
  <c r="G12" i="7"/>
  <c r="B13" i="7"/>
  <c r="T12" i="7"/>
  <c r="P12" i="7"/>
  <c r="L12" i="7"/>
  <c r="AP38" i="2"/>
  <c r="BL17" i="2"/>
  <c r="BD49" i="2" s="1"/>
  <c r="BL33" i="2"/>
  <c r="BE49" i="2" s="1"/>
  <c r="AX17" i="2"/>
  <c r="AP49" i="2" s="1"/>
  <c r="AY6" i="2"/>
  <c r="AX33" i="2"/>
  <c r="AY22" i="2"/>
  <c r="DB33" i="2"/>
  <c r="CU49" i="2" s="1"/>
  <c r="DB17" i="2"/>
  <c r="CT49" i="2" s="1"/>
  <c r="G38" i="33" l="1"/>
  <c r="H34" i="33"/>
  <c r="H46" i="34"/>
  <c r="H50" i="34" s="1"/>
  <c r="P14" i="24"/>
  <c r="H33" i="33"/>
  <c r="P3" i="24"/>
  <c r="AL16" i="30"/>
  <c r="AR16" i="30"/>
  <c r="E28" i="31"/>
  <c r="E40" i="31" s="1"/>
  <c r="E34" i="31"/>
  <c r="L34" i="31" s="1"/>
  <c r="O34" i="31" s="1"/>
  <c r="E24" i="31"/>
  <c r="L24" i="31" s="1"/>
  <c r="O24" i="31" s="1"/>
  <c r="E13" i="31"/>
  <c r="L13" i="31" s="1"/>
  <c r="O13" i="31" s="1"/>
  <c r="AC5" i="8" s="1"/>
  <c r="L29" i="31"/>
  <c r="O29" i="31" s="1"/>
  <c r="E41" i="31"/>
  <c r="L30" i="31"/>
  <c r="O30" i="31" s="1"/>
  <c r="E42" i="31"/>
  <c r="L26" i="31"/>
  <c r="O26" i="31" s="1"/>
  <c r="E38" i="31"/>
  <c r="L27" i="31"/>
  <c r="O27" i="31" s="1"/>
  <c r="E39" i="31"/>
  <c r="L32" i="31"/>
  <c r="O32" i="31" s="1"/>
  <c r="E44" i="31"/>
  <c r="L31" i="31"/>
  <c r="O31" i="31" s="1"/>
  <c r="E43" i="31"/>
  <c r="L33" i="31"/>
  <c r="O33" i="31" s="1"/>
  <c r="E45" i="31"/>
  <c r="L35" i="31"/>
  <c r="O35" i="31" s="1"/>
  <c r="E47" i="31"/>
  <c r="E29" i="28"/>
  <c r="L29" i="28" s="1"/>
  <c r="P29" i="28" s="1"/>
  <c r="Q17" i="28"/>
  <c r="R17" i="28" s="1"/>
  <c r="E27" i="28"/>
  <c r="L27" i="28" s="1"/>
  <c r="P27" i="28" s="1"/>
  <c r="Q15" i="28"/>
  <c r="R15" i="28" s="1"/>
  <c r="E26" i="27"/>
  <c r="K26" i="27" s="1"/>
  <c r="N26" i="27" s="1"/>
  <c r="E24" i="29"/>
  <c r="M24" i="29" s="1"/>
  <c r="P24" i="29" s="1"/>
  <c r="E28" i="27"/>
  <c r="K28" i="27" s="1"/>
  <c r="N28" i="27" s="1"/>
  <c r="E33" i="29"/>
  <c r="M33" i="29" s="1"/>
  <c r="P33" i="29" s="1"/>
  <c r="E28" i="28"/>
  <c r="L28" i="28" s="1"/>
  <c r="P28" i="28" s="1"/>
  <c r="Q16" i="28"/>
  <c r="R16" i="28" s="1"/>
  <c r="E30" i="28"/>
  <c r="L30" i="28" s="1"/>
  <c r="P30" i="28" s="1"/>
  <c r="Q18" i="28"/>
  <c r="R18" i="28" s="1"/>
  <c r="E34" i="27"/>
  <c r="K34" i="27" s="1"/>
  <c r="N34" i="27" s="1"/>
  <c r="E32" i="29"/>
  <c r="M32" i="29" s="1"/>
  <c r="P32" i="29" s="1"/>
  <c r="E34" i="29"/>
  <c r="M34" i="29" s="1"/>
  <c r="P34" i="29" s="1"/>
  <c r="E35" i="28"/>
  <c r="L35" i="28" s="1"/>
  <c r="P35" i="28" s="1"/>
  <c r="Q23" i="28"/>
  <c r="R23" i="28" s="1"/>
  <c r="E13" i="29"/>
  <c r="M13" i="29" s="1"/>
  <c r="P13" i="29" s="1"/>
  <c r="E13" i="28"/>
  <c r="L13" i="28" s="1"/>
  <c r="P13" i="28" s="1"/>
  <c r="E13" i="27"/>
  <c r="K13" i="27" s="1"/>
  <c r="N13" i="27" s="1"/>
  <c r="E30" i="27"/>
  <c r="K30" i="27" s="1"/>
  <c r="N30" i="27" s="1"/>
  <c r="E32" i="28"/>
  <c r="L32" i="28" s="1"/>
  <c r="P32" i="28" s="1"/>
  <c r="Q20" i="28"/>
  <c r="R20" i="28" s="1"/>
  <c r="E31" i="29"/>
  <c r="M31" i="29" s="1"/>
  <c r="P31" i="29" s="1"/>
  <c r="E32" i="27"/>
  <c r="K32" i="27" s="1"/>
  <c r="N32" i="27" s="1"/>
  <c r="E30" i="29"/>
  <c r="M30" i="29" s="1"/>
  <c r="P30" i="29" s="1"/>
  <c r="E29" i="27"/>
  <c r="K29" i="27" s="1"/>
  <c r="N29" i="27" s="1"/>
  <c r="Q2" i="28"/>
  <c r="R2" i="28" s="1"/>
  <c r="E31" i="27"/>
  <c r="K31" i="27" s="1"/>
  <c r="N31" i="27" s="1"/>
  <c r="E29" i="29"/>
  <c r="M29" i="29" s="1"/>
  <c r="P29" i="29" s="1"/>
  <c r="E26" i="28"/>
  <c r="L26" i="28" s="1"/>
  <c r="P26" i="28" s="1"/>
  <c r="E33" i="27"/>
  <c r="K33" i="27" s="1"/>
  <c r="N33" i="27" s="1"/>
  <c r="E24" i="28"/>
  <c r="L24" i="28" s="1"/>
  <c r="P24" i="28" s="1"/>
  <c r="Q12" i="28"/>
  <c r="R12" i="28" s="1"/>
  <c r="E27" i="27"/>
  <c r="K27" i="27" s="1"/>
  <c r="N27" i="27" s="1"/>
  <c r="E35" i="29"/>
  <c r="M35" i="29" s="1"/>
  <c r="P35" i="29" s="1"/>
  <c r="E33" i="28"/>
  <c r="L33" i="28" s="1"/>
  <c r="P33" i="28" s="1"/>
  <c r="Q21" i="28"/>
  <c r="R21" i="28" s="1"/>
  <c r="E28" i="29"/>
  <c r="M28" i="29" s="1"/>
  <c r="P28" i="29" s="1"/>
  <c r="E34" i="28"/>
  <c r="L34" i="28" s="1"/>
  <c r="P34" i="28" s="1"/>
  <c r="Q22" i="28"/>
  <c r="R22" i="28" s="1"/>
  <c r="E31" i="28"/>
  <c r="L31" i="28" s="1"/>
  <c r="P31" i="28" s="1"/>
  <c r="Q19" i="28"/>
  <c r="R19" i="28" s="1"/>
  <c r="E26" i="29"/>
  <c r="M26" i="29" s="1"/>
  <c r="P26" i="29" s="1"/>
  <c r="E24" i="27"/>
  <c r="K24" i="27" s="1"/>
  <c r="N24" i="27" s="1"/>
  <c r="E35" i="27"/>
  <c r="K35" i="27" s="1"/>
  <c r="N35" i="27" s="1"/>
  <c r="E27" i="29"/>
  <c r="M27" i="29" s="1"/>
  <c r="P27" i="29" s="1"/>
  <c r="E13" i="19"/>
  <c r="J13" i="19" s="1"/>
  <c r="M13" i="19" s="1"/>
  <c r="E13" i="20"/>
  <c r="G38" i="9"/>
  <c r="H12" i="7"/>
  <c r="D22" i="24"/>
  <c r="H34" i="9"/>
  <c r="D12" i="7"/>
  <c r="D11" i="24"/>
  <c r="H33" i="9"/>
  <c r="J24" i="6"/>
  <c r="K24" i="6" s="1"/>
  <c r="J34" i="34" s="1"/>
  <c r="J6" i="9"/>
  <c r="E34" i="19"/>
  <c r="E46" i="19" s="1"/>
  <c r="P2" i="20"/>
  <c r="Q2" i="20" s="1"/>
  <c r="J21" i="19"/>
  <c r="M21" i="19" s="1"/>
  <c r="J18" i="19"/>
  <c r="M18" i="19" s="1"/>
  <c r="J16" i="19"/>
  <c r="M16" i="19" s="1"/>
  <c r="E24" i="19"/>
  <c r="E36" i="19" s="1"/>
  <c r="E32" i="20"/>
  <c r="K20" i="20"/>
  <c r="O20" i="20" s="1"/>
  <c r="P20" i="20" s="1"/>
  <c r="Q20" i="20" s="1"/>
  <c r="K23" i="20"/>
  <c r="O23" i="20" s="1"/>
  <c r="P23" i="20" s="1"/>
  <c r="Q23" i="20" s="1"/>
  <c r="E35" i="20"/>
  <c r="E33" i="20"/>
  <c r="K21" i="20"/>
  <c r="O21" i="20" s="1"/>
  <c r="P21" i="20" s="1"/>
  <c r="Q21" i="20" s="1"/>
  <c r="K12" i="20"/>
  <c r="O12" i="20" s="1"/>
  <c r="P12" i="20" s="1"/>
  <c r="Q12" i="20" s="1"/>
  <c r="E24" i="20"/>
  <c r="E28" i="20"/>
  <c r="K16" i="20"/>
  <c r="O16" i="20" s="1"/>
  <c r="P16" i="20" s="1"/>
  <c r="Q16" i="20" s="1"/>
  <c r="K14" i="20"/>
  <c r="O14" i="20" s="1"/>
  <c r="E26" i="20"/>
  <c r="K17" i="20"/>
  <c r="O17" i="20" s="1"/>
  <c r="P17" i="20" s="1"/>
  <c r="Q17" i="20" s="1"/>
  <c r="E29" i="20"/>
  <c r="J19" i="19"/>
  <c r="M19" i="19" s="1"/>
  <c r="E30" i="20"/>
  <c r="K18" i="20"/>
  <c r="O18" i="20" s="1"/>
  <c r="P18" i="20" s="1"/>
  <c r="Q18" i="20" s="1"/>
  <c r="K15" i="20"/>
  <c r="O15" i="20" s="1"/>
  <c r="P15" i="20" s="1"/>
  <c r="Q15" i="20" s="1"/>
  <c r="E27" i="20"/>
  <c r="E29" i="19"/>
  <c r="J29" i="19" s="1"/>
  <c r="M29" i="19" s="1"/>
  <c r="E31" i="20"/>
  <c r="K19" i="20"/>
  <c r="O19" i="20" s="1"/>
  <c r="P19" i="20" s="1"/>
  <c r="Q19" i="20" s="1"/>
  <c r="E34" i="20"/>
  <c r="K22" i="20"/>
  <c r="O22" i="20" s="1"/>
  <c r="P22" i="20" s="1"/>
  <c r="Q22" i="20" s="1"/>
  <c r="J28" i="19"/>
  <c r="M28" i="19" s="1"/>
  <c r="E40" i="19"/>
  <c r="J33" i="19"/>
  <c r="M33" i="19" s="1"/>
  <c r="E45" i="19"/>
  <c r="J31" i="19"/>
  <c r="M31" i="19" s="1"/>
  <c r="E43" i="19"/>
  <c r="J14" i="19"/>
  <c r="M14" i="19" s="1"/>
  <c r="E26" i="19"/>
  <c r="E39" i="19"/>
  <c r="J27" i="19"/>
  <c r="M27" i="19" s="1"/>
  <c r="J30" i="19"/>
  <c r="M30" i="19" s="1"/>
  <c r="E42" i="19"/>
  <c r="E47" i="19"/>
  <c r="J35" i="19"/>
  <c r="M35" i="19" s="1"/>
  <c r="J32" i="19"/>
  <c r="M32" i="19" s="1"/>
  <c r="E44" i="19"/>
  <c r="AO15" i="8"/>
  <c r="AO16" i="8" s="1"/>
  <c r="AR14" i="8"/>
  <c r="G13" i="7"/>
  <c r="C13" i="7"/>
  <c r="I45" i="34" s="1"/>
  <c r="B14" i="7"/>
  <c r="AQ49" i="2"/>
  <c r="AY33" i="2"/>
  <c r="AY17" i="2"/>
  <c r="H38" i="33" l="1"/>
  <c r="I34" i="33"/>
  <c r="I46" i="34"/>
  <c r="I50" i="34" s="1"/>
  <c r="P15" i="24"/>
  <c r="Q3" i="24" s="1"/>
  <c r="J22" i="9"/>
  <c r="J22" i="33"/>
  <c r="I33" i="33"/>
  <c r="E46" i="31"/>
  <c r="E58" i="31" s="1"/>
  <c r="L28" i="31"/>
  <c r="O28" i="31" s="1"/>
  <c r="E36" i="31"/>
  <c r="L36" i="31" s="1"/>
  <c r="O36" i="31" s="1"/>
  <c r="E25" i="31"/>
  <c r="L25" i="31" s="1"/>
  <c r="O25" i="31" s="1"/>
  <c r="AC6" i="8" s="1"/>
  <c r="L40" i="31"/>
  <c r="O40" i="31" s="1"/>
  <c r="E52" i="31"/>
  <c r="L39" i="31"/>
  <c r="O39" i="31" s="1"/>
  <c r="E51" i="31"/>
  <c r="L38" i="31"/>
  <c r="O38" i="31" s="1"/>
  <c r="E50" i="31"/>
  <c r="E59" i="31"/>
  <c r="L47" i="31"/>
  <c r="O47" i="31" s="1"/>
  <c r="L45" i="31"/>
  <c r="O45" i="31" s="1"/>
  <c r="E57" i="31"/>
  <c r="L42" i="31"/>
  <c r="O42" i="31" s="1"/>
  <c r="E54" i="31"/>
  <c r="L43" i="31"/>
  <c r="O43" i="31" s="1"/>
  <c r="E55" i="31"/>
  <c r="L41" i="31"/>
  <c r="O41" i="31" s="1"/>
  <c r="E53" i="31"/>
  <c r="L44" i="31"/>
  <c r="O44" i="31" s="1"/>
  <c r="E56" i="31"/>
  <c r="E44" i="28"/>
  <c r="L44" i="28" s="1"/>
  <c r="P44" i="28" s="1"/>
  <c r="Q32" i="28"/>
  <c r="R32" i="28" s="1"/>
  <c r="E46" i="28"/>
  <c r="L46" i="28" s="1"/>
  <c r="P46" i="28" s="1"/>
  <c r="Q34" i="28"/>
  <c r="R34" i="28" s="1"/>
  <c r="E40" i="28"/>
  <c r="L40" i="28" s="1"/>
  <c r="P40" i="28" s="1"/>
  <c r="Q28" i="28"/>
  <c r="R28" i="28" s="1"/>
  <c r="E38" i="28"/>
  <c r="L38" i="28" s="1"/>
  <c r="P38" i="28" s="1"/>
  <c r="E41" i="29"/>
  <c r="M41" i="29" s="1"/>
  <c r="P41" i="29" s="1"/>
  <c r="E25" i="27"/>
  <c r="K25" i="27" s="1"/>
  <c r="N25" i="27" s="1"/>
  <c r="E42" i="27"/>
  <c r="K42" i="27" s="1"/>
  <c r="N42" i="27" s="1"/>
  <c r="E40" i="29"/>
  <c r="M40" i="29" s="1"/>
  <c r="P40" i="29" s="1"/>
  <c r="E43" i="27"/>
  <c r="K43" i="27" s="1"/>
  <c r="N43" i="27" s="1"/>
  <c r="E25" i="28"/>
  <c r="L25" i="28" s="1"/>
  <c r="P25" i="28" s="1"/>
  <c r="Q13" i="28"/>
  <c r="R13" i="28" s="1"/>
  <c r="E45" i="29"/>
  <c r="M45" i="29" s="1"/>
  <c r="P45" i="29" s="1"/>
  <c r="E25" i="29"/>
  <c r="M25" i="29" s="1"/>
  <c r="P25" i="29" s="1"/>
  <c r="AC5" i="30"/>
  <c r="AE5" i="30" s="1"/>
  <c r="AG5" i="30" s="1"/>
  <c r="E45" i="28"/>
  <c r="L45" i="28" s="1"/>
  <c r="P45" i="28" s="1"/>
  <c r="Q33" i="28"/>
  <c r="R33" i="28" s="1"/>
  <c r="E39" i="29"/>
  <c r="M39" i="29" s="1"/>
  <c r="P39" i="29" s="1"/>
  <c r="E41" i="27"/>
  <c r="K41" i="27" s="1"/>
  <c r="N41" i="27" s="1"/>
  <c r="E40" i="27"/>
  <c r="K40" i="27" s="1"/>
  <c r="N40" i="27" s="1"/>
  <c r="E47" i="28"/>
  <c r="L47" i="28" s="1"/>
  <c r="P47" i="28" s="1"/>
  <c r="Q35" i="28"/>
  <c r="R35" i="28" s="1"/>
  <c r="E47" i="29"/>
  <c r="M47" i="29" s="1"/>
  <c r="P47" i="29" s="1"/>
  <c r="E47" i="27"/>
  <c r="K47" i="27" s="1"/>
  <c r="N47" i="27" s="1"/>
  <c r="E36" i="29"/>
  <c r="M36" i="29" s="1"/>
  <c r="P36" i="29" s="1"/>
  <c r="E46" i="29"/>
  <c r="M46" i="29" s="1"/>
  <c r="P46" i="29" s="1"/>
  <c r="E38" i="27"/>
  <c r="K38" i="27" s="1"/>
  <c r="N38" i="27" s="1"/>
  <c r="E39" i="27"/>
  <c r="K39" i="27" s="1"/>
  <c r="N39" i="27" s="1"/>
  <c r="E44" i="27"/>
  <c r="K44" i="27" s="1"/>
  <c r="N44" i="27" s="1"/>
  <c r="E36" i="27"/>
  <c r="K36" i="27" s="1"/>
  <c r="N36" i="27" s="1"/>
  <c r="E36" i="28"/>
  <c r="L36" i="28" s="1"/>
  <c r="P36" i="28" s="1"/>
  <c r="Q24" i="28"/>
  <c r="R24" i="28" s="1"/>
  <c r="E44" i="29"/>
  <c r="M44" i="29" s="1"/>
  <c r="P44" i="29" s="1"/>
  <c r="E43" i="28"/>
  <c r="L43" i="28" s="1"/>
  <c r="P43" i="28" s="1"/>
  <c r="Q31" i="28"/>
  <c r="R31" i="28" s="1"/>
  <c r="E42" i="29"/>
  <c r="M42" i="29" s="1"/>
  <c r="P42" i="29" s="1"/>
  <c r="E45" i="27"/>
  <c r="K45" i="27" s="1"/>
  <c r="N45" i="27" s="1"/>
  <c r="E46" i="27"/>
  <c r="K46" i="27" s="1"/>
  <c r="N46" i="27" s="1"/>
  <c r="E39" i="28"/>
  <c r="L39" i="28" s="1"/>
  <c r="P39" i="28" s="1"/>
  <c r="Q27" i="28"/>
  <c r="R27" i="28" s="1"/>
  <c r="E38" i="29"/>
  <c r="M38" i="29" s="1"/>
  <c r="P38" i="29" s="1"/>
  <c r="E43" i="29"/>
  <c r="M43" i="29" s="1"/>
  <c r="P43" i="29" s="1"/>
  <c r="E42" i="28"/>
  <c r="L42" i="28" s="1"/>
  <c r="P42" i="28" s="1"/>
  <c r="Q30" i="28"/>
  <c r="R30" i="28" s="1"/>
  <c r="Q14" i="28"/>
  <c r="R14" i="28" s="1"/>
  <c r="E41" i="28"/>
  <c r="L41" i="28" s="1"/>
  <c r="P41" i="28" s="1"/>
  <c r="Q29" i="28"/>
  <c r="R29" i="28" s="1"/>
  <c r="H38" i="9"/>
  <c r="E11" i="24"/>
  <c r="I33" i="9"/>
  <c r="E22" i="24"/>
  <c r="E23" i="24" s="1"/>
  <c r="E27" i="24" s="1"/>
  <c r="I34" i="9"/>
  <c r="D23" i="24"/>
  <c r="D12" i="24"/>
  <c r="D16" i="24" s="1"/>
  <c r="J34" i="19"/>
  <c r="M34" i="19" s="1"/>
  <c r="P14" i="20"/>
  <c r="Q14" i="20" s="1"/>
  <c r="G5" i="8"/>
  <c r="I5" i="8" s="1"/>
  <c r="K5" i="8" s="1"/>
  <c r="J24" i="19"/>
  <c r="M24" i="19" s="1"/>
  <c r="E41" i="19"/>
  <c r="E53" i="19" s="1"/>
  <c r="K30" i="20"/>
  <c r="O30" i="20" s="1"/>
  <c r="P30" i="20" s="1"/>
  <c r="Q30" i="20" s="1"/>
  <c r="E42" i="20"/>
  <c r="E41" i="20"/>
  <c r="K29" i="20"/>
  <c r="O29" i="20" s="1"/>
  <c r="P29" i="20" s="1"/>
  <c r="Q29" i="20" s="1"/>
  <c r="K26" i="20"/>
  <c r="O26" i="20" s="1"/>
  <c r="E38" i="20"/>
  <c r="K28" i="20"/>
  <c r="O28" i="20" s="1"/>
  <c r="P28" i="20" s="1"/>
  <c r="Q28" i="20" s="1"/>
  <c r="E40" i="20"/>
  <c r="E36" i="20"/>
  <c r="K24" i="20"/>
  <c r="O24" i="20" s="1"/>
  <c r="P24" i="20" s="1"/>
  <c r="Q24" i="20" s="1"/>
  <c r="K13" i="20"/>
  <c r="O13" i="20" s="1"/>
  <c r="R5" i="8" s="1"/>
  <c r="E25" i="20"/>
  <c r="K31" i="20"/>
  <c r="O31" i="20" s="1"/>
  <c r="P31" i="20" s="1"/>
  <c r="Q31" i="20" s="1"/>
  <c r="E43" i="20"/>
  <c r="E45" i="20"/>
  <c r="K33" i="20"/>
  <c r="O33" i="20" s="1"/>
  <c r="P33" i="20" s="1"/>
  <c r="Q33" i="20" s="1"/>
  <c r="E25" i="19"/>
  <c r="J25" i="19" s="1"/>
  <c r="M25" i="19" s="1"/>
  <c r="K27" i="20"/>
  <c r="O27" i="20" s="1"/>
  <c r="P27" i="20" s="1"/>
  <c r="Q27" i="20" s="1"/>
  <c r="E39" i="20"/>
  <c r="K34" i="20"/>
  <c r="O34" i="20" s="1"/>
  <c r="P34" i="20" s="1"/>
  <c r="Q34" i="20" s="1"/>
  <c r="E46" i="20"/>
  <c r="E47" i="20"/>
  <c r="K35" i="20"/>
  <c r="O35" i="20" s="1"/>
  <c r="P35" i="20" s="1"/>
  <c r="Q35" i="20" s="1"/>
  <c r="K32" i="20"/>
  <c r="O32" i="20" s="1"/>
  <c r="P32" i="20" s="1"/>
  <c r="Q32" i="20" s="1"/>
  <c r="E44" i="20"/>
  <c r="E48" i="19"/>
  <c r="J36" i="19"/>
  <c r="M36" i="19" s="1"/>
  <c r="J47" i="19"/>
  <c r="M47" i="19" s="1"/>
  <c r="E59" i="19"/>
  <c r="E38" i="19"/>
  <c r="J26" i="19"/>
  <c r="M26" i="19" s="1"/>
  <c r="E56" i="19"/>
  <c r="J44" i="19"/>
  <c r="M44" i="19" s="1"/>
  <c r="E52" i="19"/>
  <c r="J40" i="19"/>
  <c r="M40" i="19" s="1"/>
  <c r="J43" i="19"/>
  <c r="M43" i="19" s="1"/>
  <c r="E55" i="19"/>
  <c r="J45" i="19"/>
  <c r="M45" i="19" s="1"/>
  <c r="E57" i="19"/>
  <c r="E54" i="19"/>
  <c r="J42" i="19"/>
  <c r="M42" i="19" s="1"/>
  <c r="J46" i="19"/>
  <c r="M46" i="19" s="1"/>
  <c r="E58" i="19"/>
  <c r="E51" i="19"/>
  <c r="J39" i="19"/>
  <c r="M39" i="19" s="1"/>
  <c r="AR15" i="8"/>
  <c r="AS14" i="8"/>
  <c r="L13" i="7"/>
  <c r="P13" i="7"/>
  <c r="T13" i="7"/>
  <c r="B15" i="7"/>
  <c r="H13" i="7"/>
  <c r="D13" i="7"/>
  <c r="D14" i="7" s="1"/>
  <c r="E12" i="18"/>
  <c r="C14" i="7" l="1"/>
  <c r="I38" i="33"/>
  <c r="J7" i="9"/>
  <c r="J19" i="34"/>
  <c r="Q11" i="24"/>
  <c r="Q5" i="24"/>
  <c r="Q9" i="24"/>
  <c r="Q10" i="24"/>
  <c r="Q7" i="24"/>
  <c r="Q12" i="24"/>
  <c r="Q13" i="24"/>
  <c r="Q8" i="24"/>
  <c r="Q14" i="24"/>
  <c r="Q4" i="24"/>
  <c r="Q6" i="24"/>
  <c r="L46" i="31"/>
  <c r="O46" i="31" s="1"/>
  <c r="E48" i="31"/>
  <c r="E60" i="31" s="1"/>
  <c r="E37" i="31"/>
  <c r="L37" i="31" s="1"/>
  <c r="O37" i="31" s="1"/>
  <c r="AC7" i="8" s="1"/>
  <c r="AE6" i="8"/>
  <c r="AG6" i="8" s="1"/>
  <c r="E66" i="31"/>
  <c r="L54" i="31"/>
  <c r="O54" i="31" s="1"/>
  <c r="E69" i="31"/>
  <c r="L57" i="31"/>
  <c r="O57" i="31" s="1"/>
  <c r="E71" i="31"/>
  <c r="L59" i="31"/>
  <c r="O59" i="31" s="1"/>
  <c r="E70" i="31"/>
  <c r="L58" i="31"/>
  <c r="O58" i="31" s="1"/>
  <c r="E68" i="31"/>
  <c r="L56" i="31"/>
  <c r="O56" i="31" s="1"/>
  <c r="E62" i="31"/>
  <c r="L50" i="31"/>
  <c r="O50" i="31" s="1"/>
  <c r="E65" i="31"/>
  <c r="L53" i="31"/>
  <c r="O53" i="31" s="1"/>
  <c r="E63" i="31"/>
  <c r="L51" i="31"/>
  <c r="O51" i="31" s="1"/>
  <c r="E67" i="31"/>
  <c r="L55" i="31"/>
  <c r="O55" i="31" s="1"/>
  <c r="E64" i="31"/>
  <c r="L52" i="31"/>
  <c r="O52" i="31" s="1"/>
  <c r="R5" i="30"/>
  <c r="T5" i="30" s="1"/>
  <c r="V5" i="30" s="1"/>
  <c r="E54" i="27"/>
  <c r="K54" i="27" s="1"/>
  <c r="N54" i="27" s="1"/>
  <c r="E53" i="28"/>
  <c r="L53" i="28" s="1"/>
  <c r="P53" i="28" s="1"/>
  <c r="Q41" i="28"/>
  <c r="R41" i="28" s="1"/>
  <c r="E51" i="29"/>
  <c r="M51" i="29" s="1"/>
  <c r="P51" i="29" s="1"/>
  <c r="E37" i="27"/>
  <c r="K37" i="27" s="1"/>
  <c r="N37" i="27" s="1"/>
  <c r="E51" i="27"/>
  <c r="K51" i="27" s="1"/>
  <c r="N51" i="27" s="1"/>
  <c r="E58" i="29"/>
  <c r="M58" i="29" s="1"/>
  <c r="P58" i="29" s="1"/>
  <c r="E55" i="28"/>
  <c r="L55" i="28" s="1"/>
  <c r="P55" i="28" s="1"/>
  <c r="Q43" i="28"/>
  <c r="R43" i="28" s="1"/>
  <c r="E57" i="28"/>
  <c r="L57" i="28" s="1"/>
  <c r="P57" i="28" s="1"/>
  <c r="Q45" i="28"/>
  <c r="R45" i="28" s="1"/>
  <c r="E54" i="28"/>
  <c r="L54" i="28" s="1"/>
  <c r="P54" i="28" s="1"/>
  <c r="Q42" i="28"/>
  <c r="R42" i="28" s="1"/>
  <c r="E48" i="29"/>
  <c r="M48" i="29" s="1"/>
  <c r="P48" i="29" s="1"/>
  <c r="E53" i="29"/>
  <c r="M53" i="29" s="1"/>
  <c r="P53" i="29" s="1"/>
  <c r="E54" i="29"/>
  <c r="M54" i="29" s="1"/>
  <c r="P54" i="29" s="1"/>
  <c r="E56" i="29"/>
  <c r="M56" i="29" s="1"/>
  <c r="P56" i="29" s="1"/>
  <c r="E37" i="29"/>
  <c r="M37" i="29" s="1"/>
  <c r="P37" i="29" s="1"/>
  <c r="AC6" i="30"/>
  <c r="AE6" i="30" s="1"/>
  <c r="AG6" i="30" s="1"/>
  <c r="Q26" i="28"/>
  <c r="R26" i="28" s="1"/>
  <c r="E55" i="29"/>
  <c r="M55" i="29" s="1"/>
  <c r="P55" i="29" s="1"/>
  <c r="E59" i="27"/>
  <c r="K59" i="27" s="1"/>
  <c r="N59" i="27" s="1"/>
  <c r="E50" i="28"/>
  <c r="L50" i="28" s="1"/>
  <c r="P50" i="28" s="1"/>
  <c r="E48" i="28"/>
  <c r="L48" i="28" s="1"/>
  <c r="P48" i="28" s="1"/>
  <c r="Q36" i="28"/>
  <c r="R36" i="28" s="1"/>
  <c r="E59" i="29"/>
  <c r="M59" i="29" s="1"/>
  <c r="P59" i="29" s="1"/>
  <c r="E57" i="29"/>
  <c r="M57" i="29" s="1"/>
  <c r="P57" i="29" s="1"/>
  <c r="E52" i="28"/>
  <c r="L52" i="28" s="1"/>
  <c r="P52" i="28" s="1"/>
  <c r="Q40" i="28"/>
  <c r="R40" i="28" s="1"/>
  <c r="E48" i="27"/>
  <c r="K48" i="27" s="1"/>
  <c r="N48" i="27" s="1"/>
  <c r="E50" i="29"/>
  <c r="M50" i="29" s="1"/>
  <c r="P50" i="29" s="1"/>
  <c r="E51" i="28"/>
  <c r="L51" i="28" s="1"/>
  <c r="P51" i="28" s="1"/>
  <c r="Q39" i="28"/>
  <c r="R39" i="28" s="1"/>
  <c r="E59" i="28"/>
  <c r="L59" i="28" s="1"/>
  <c r="P59" i="28" s="1"/>
  <c r="Q47" i="28"/>
  <c r="R47" i="28" s="1"/>
  <c r="E37" i="28"/>
  <c r="L37" i="28" s="1"/>
  <c r="P37" i="28" s="1"/>
  <c r="E58" i="28"/>
  <c r="L58" i="28" s="1"/>
  <c r="P58" i="28" s="1"/>
  <c r="Q46" i="28"/>
  <c r="R46" i="28" s="1"/>
  <c r="E50" i="27"/>
  <c r="K50" i="27" s="1"/>
  <c r="N50" i="27" s="1"/>
  <c r="E58" i="27"/>
  <c r="K58" i="27" s="1"/>
  <c r="N58" i="27" s="1"/>
  <c r="E52" i="29"/>
  <c r="M52" i="29" s="1"/>
  <c r="P52" i="29" s="1"/>
  <c r="E56" i="27"/>
  <c r="K56" i="27" s="1"/>
  <c r="N56" i="27" s="1"/>
  <c r="E52" i="27"/>
  <c r="K52" i="27" s="1"/>
  <c r="N52" i="27" s="1"/>
  <c r="E55" i="27"/>
  <c r="K55" i="27" s="1"/>
  <c r="N55" i="27" s="1"/>
  <c r="E56" i="28"/>
  <c r="L56" i="28" s="1"/>
  <c r="P56" i="28" s="1"/>
  <c r="Q44" i="28"/>
  <c r="R44" i="28" s="1"/>
  <c r="E57" i="27"/>
  <c r="K57" i="27" s="1"/>
  <c r="N57" i="27" s="1"/>
  <c r="E53" i="27"/>
  <c r="K53" i="27" s="1"/>
  <c r="N53" i="27" s="1"/>
  <c r="D15" i="24"/>
  <c r="D17" i="24" s="1"/>
  <c r="D19" i="24" s="1"/>
  <c r="D34" i="24" s="1"/>
  <c r="D26" i="24"/>
  <c r="D27" i="24"/>
  <c r="E26" i="24"/>
  <c r="E28" i="24" s="1"/>
  <c r="E30" i="24" s="1"/>
  <c r="E38" i="24" s="1"/>
  <c r="I38" i="9"/>
  <c r="E12" i="24"/>
  <c r="E16" i="24" s="1"/>
  <c r="AE5" i="8"/>
  <c r="AG5" i="8" s="1"/>
  <c r="P13" i="20"/>
  <c r="Q13" i="20" s="1"/>
  <c r="T5" i="8"/>
  <c r="V5" i="8" s="1"/>
  <c r="P26" i="20"/>
  <c r="Q26" i="20" s="1"/>
  <c r="G6" i="8"/>
  <c r="I6" i="8" s="1"/>
  <c r="K6" i="8" s="1"/>
  <c r="J41" i="19"/>
  <c r="M41" i="19" s="1"/>
  <c r="E37" i="19"/>
  <c r="E49" i="19" s="1"/>
  <c r="K43" i="20"/>
  <c r="O43" i="20" s="1"/>
  <c r="P43" i="20" s="1"/>
  <c r="Q43" i="20" s="1"/>
  <c r="E55" i="20"/>
  <c r="E37" i="20"/>
  <c r="K25" i="20"/>
  <c r="O25" i="20" s="1"/>
  <c r="P25" i="20" s="1"/>
  <c r="Q25" i="20" s="1"/>
  <c r="E48" i="20"/>
  <c r="K36" i="20"/>
  <c r="O36" i="20" s="1"/>
  <c r="P36" i="20" s="1"/>
  <c r="Q36" i="20" s="1"/>
  <c r="K47" i="20"/>
  <c r="O47" i="20" s="1"/>
  <c r="P47" i="20" s="1"/>
  <c r="Q47" i="20" s="1"/>
  <c r="E59" i="20"/>
  <c r="E58" i="20"/>
  <c r="K46" i="20"/>
  <c r="O46" i="20" s="1"/>
  <c r="P46" i="20" s="1"/>
  <c r="Q46" i="20" s="1"/>
  <c r="K45" i="20"/>
  <c r="O45" i="20" s="1"/>
  <c r="P45" i="20" s="1"/>
  <c r="Q45" i="20" s="1"/>
  <c r="E57" i="20"/>
  <c r="E56" i="20"/>
  <c r="K44" i="20"/>
  <c r="O44" i="20" s="1"/>
  <c r="P44" i="20" s="1"/>
  <c r="Q44" i="20" s="1"/>
  <c r="E50" i="20"/>
  <c r="K38" i="20"/>
  <c r="O38" i="20" s="1"/>
  <c r="E51" i="20"/>
  <c r="K39" i="20"/>
  <c r="O39" i="20" s="1"/>
  <c r="P39" i="20" s="1"/>
  <c r="Q39" i="20" s="1"/>
  <c r="K41" i="20"/>
  <c r="O41" i="20" s="1"/>
  <c r="P41" i="20" s="1"/>
  <c r="Q41" i="20" s="1"/>
  <c r="E53" i="20"/>
  <c r="E52" i="20"/>
  <c r="K40" i="20"/>
  <c r="O40" i="20" s="1"/>
  <c r="P40" i="20" s="1"/>
  <c r="Q40" i="20" s="1"/>
  <c r="E54" i="20"/>
  <c r="K42" i="20"/>
  <c r="O42" i="20" s="1"/>
  <c r="P42" i="20" s="1"/>
  <c r="Q42" i="20" s="1"/>
  <c r="J48" i="19"/>
  <c r="M48" i="19" s="1"/>
  <c r="E60" i="19"/>
  <c r="E50" i="19"/>
  <c r="J38" i="19"/>
  <c r="M38" i="19" s="1"/>
  <c r="E70" i="19"/>
  <c r="J58" i="19"/>
  <c r="M58" i="19" s="1"/>
  <c r="E64" i="19"/>
  <c r="J52" i="19"/>
  <c r="M52" i="19" s="1"/>
  <c r="E63" i="19"/>
  <c r="J51" i="19"/>
  <c r="M51" i="19" s="1"/>
  <c r="E66" i="19"/>
  <c r="J54" i="19"/>
  <c r="M54" i="19" s="1"/>
  <c r="J57" i="19"/>
  <c r="M57" i="19" s="1"/>
  <c r="E69" i="19"/>
  <c r="E65" i="19"/>
  <c r="J53" i="19"/>
  <c r="M53" i="19" s="1"/>
  <c r="E68" i="19"/>
  <c r="J56" i="19"/>
  <c r="M56" i="19" s="1"/>
  <c r="E71" i="19"/>
  <c r="J59" i="19"/>
  <c r="M59" i="19" s="1"/>
  <c r="E67" i="19"/>
  <c r="J55" i="19"/>
  <c r="M55" i="19" s="1"/>
  <c r="E5" i="18"/>
  <c r="E11" i="18"/>
  <c r="E13" i="18"/>
  <c r="E9" i="18"/>
  <c r="E7" i="18"/>
  <c r="E10" i="18"/>
  <c r="E8" i="18"/>
  <c r="E6" i="18"/>
  <c r="E4" i="18"/>
  <c r="H14" i="7"/>
  <c r="S14" i="7"/>
  <c r="AR16" i="8"/>
  <c r="D15" i="7"/>
  <c r="T15" i="7"/>
  <c r="P15" i="7"/>
  <c r="O14" i="7"/>
  <c r="H15" i="7" l="1"/>
  <c r="Q15" i="24"/>
  <c r="R3" i="24"/>
  <c r="F39" i="24" s="1"/>
  <c r="R10" i="24"/>
  <c r="E40" i="24" s="1"/>
  <c r="AQ15" i="30"/>
  <c r="AS15" i="30" s="1"/>
  <c r="K7" i="33" s="1"/>
  <c r="AK15" i="30"/>
  <c r="AM15" i="30" s="1"/>
  <c r="K6" i="33" s="1"/>
  <c r="L48" i="31"/>
  <c r="O48" i="31" s="1"/>
  <c r="E49" i="31"/>
  <c r="E61" i="31" s="1"/>
  <c r="E74" i="31"/>
  <c r="L62" i="31"/>
  <c r="O62" i="31" s="1"/>
  <c r="E80" i="31"/>
  <c r="L68" i="31"/>
  <c r="O68" i="31" s="1"/>
  <c r="E82" i="31"/>
  <c r="L70" i="31"/>
  <c r="O70" i="31" s="1"/>
  <c r="E72" i="31"/>
  <c r="L60" i="31"/>
  <c r="O60" i="31" s="1"/>
  <c r="E76" i="31"/>
  <c r="L64" i="31"/>
  <c r="O64" i="31" s="1"/>
  <c r="E83" i="31"/>
  <c r="L71" i="31"/>
  <c r="O71" i="31" s="1"/>
  <c r="E79" i="31"/>
  <c r="L67" i="31"/>
  <c r="O67" i="31" s="1"/>
  <c r="E75" i="31"/>
  <c r="L63" i="31"/>
  <c r="O63" i="31" s="1"/>
  <c r="E81" i="31"/>
  <c r="L69" i="31"/>
  <c r="O69" i="31" s="1"/>
  <c r="E77" i="31"/>
  <c r="L65" i="31"/>
  <c r="O65" i="31" s="1"/>
  <c r="E78" i="31"/>
  <c r="L66" i="31"/>
  <c r="O66" i="31" s="1"/>
  <c r="E67" i="29"/>
  <c r="M67" i="29" s="1"/>
  <c r="P67" i="29" s="1"/>
  <c r="E69" i="28"/>
  <c r="L69" i="28" s="1"/>
  <c r="P69" i="28" s="1"/>
  <c r="Q57" i="28"/>
  <c r="R57" i="28" s="1"/>
  <c r="E60" i="27"/>
  <c r="K60" i="27" s="1"/>
  <c r="N60" i="27" s="1"/>
  <c r="E70" i="27"/>
  <c r="K70" i="27" s="1"/>
  <c r="N70" i="27" s="1"/>
  <c r="E67" i="28"/>
  <c r="L67" i="28" s="1"/>
  <c r="P67" i="28" s="1"/>
  <c r="Q55" i="28"/>
  <c r="R55" i="28" s="1"/>
  <c r="E70" i="29"/>
  <c r="M70" i="29" s="1"/>
  <c r="P70" i="29" s="1"/>
  <c r="E65" i="27"/>
  <c r="K65" i="27" s="1"/>
  <c r="N65" i="27" s="1"/>
  <c r="E62" i="27"/>
  <c r="K62" i="27" s="1"/>
  <c r="N62" i="27" s="1"/>
  <c r="E69" i="29"/>
  <c r="M69" i="29" s="1"/>
  <c r="P69" i="29" s="1"/>
  <c r="E49" i="29"/>
  <c r="M49" i="29" s="1"/>
  <c r="P49" i="29" s="1"/>
  <c r="E64" i="28"/>
  <c r="L64" i="28" s="1"/>
  <c r="P64" i="28" s="1"/>
  <c r="Q52" i="28"/>
  <c r="R52" i="28" s="1"/>
  <c r="E69" i="27"/>
  <c r="K69" i="27" s="1"/>
  <c r="N69" i="27" s="1"/>
  <c r="E71" i="29"/>
  <c r="M71" i="29" s="1"/>
  <c r="P71" i="29" s="1"/>
  <c r="E68" i="29"/>
  <c r="M68" i="29" s="1"/>
  <c r="P68" i="29" s="1"/>
  <c r="E63" i="27"/>
  <c r="K63" i="27" s="1"/>
  <c r="N63" i="27" s="1"/>
  <c r="E70" i="28"/>
  <c r="L70" i="28" s="1"/>
  <c r="P70" i="28" s="1"/>
  <c r="Q58" i="28"/>
  <c r="R58" i="28" s="1"/>
  <c r="E49" i="27"/>
  <c r="K49" i="27" s="1"/>
  <c r="N49" i="27" s="1"/>
  <c r="E66" i="29"/>
  <c r="M66" i="29" s="1"/>
  <c r="P66" i="29" s="1"/>
  <c r="E60" i="28"/>
  <c r="L60" i="28" s="1"/>
  <c r="P60" i="28" s="1"/>
  <c r="Q48" i="28"/>
  <c r="R48" i="28" s="1"/>
  <c r="E63" i="29"/>
  <c r="M63" i="29" s="1"/>
  <c r="P63" i="29" s="1"/>
  <c r="Q25" i="28"/>
  <c r="R25" i="28" s="1"/>
  <c r="R6" i="30"/>
  <c r="T6" i="30" s="1"/>
  <c r="V6" i="30" s="1"/>
  <c r="E65" i="29"/>
  <c r="M65" i="29" s="1"/>
  <c r="P65" i="29" s="1"/>
  <c r="E67" i="27"/>
  <c r="K67" i="27" s="1"/>
  <c r="N67" i="27" s="1"/>
  <c r="E71" i="28"/>
  <c r="L71" i="28" s="1"/>
  <c r="P71" i="28" s="1"/>
  <c r="Q59" i="28"/>
  <c r="R59" i="28" s="1"/>
  <c r="Q38" i="28"/>
  <c r="R38" i="28" s="1"/>
  <c r="E60" i="29"/>
  <c r="M60" i="29" s="1"/>
  <c r="P60" i="29" s="1"/>
  <c r="E68" i="28"/>
  <c r="L68" i="28" s="1"/>
  <c r="P68" i="28" s="1"/>
  <c r="Q56" i="28"/>
  <c r="R56" i="28" s="1"/>
  <c r="E62" i="28"/>
  <c r="L62" i="28" s="1"/>
  <c r="P62" i="28" s="1"/>
  <c r="E64" i="29"/>
  <c r="M64" i="29" s="1"/>
  <c r="P64" i="29" s="1"/>
  <c r="E64" i="27"/>
  <c r="K64" i="27" s="1"/>
  <c r="N64" i="27" s="1"/>
  <c r="E63" i="28"/>
  <c r="L63" i="28" s="1"/>
  <c r="P63" i="28" s="1"/>
  <c r="Q51" i="28"/>
  <c r="R51" i="28" s="1"/>
  <c r="E65" i="28"/>
  <c r="L65" i="28" s="1"/>
  <c r="P65" i="28" s="1"/>
  <c r="Q53" i="28"/>
  <c r="R53" i="28" s="1"/>
  <c r="E49" i="28"/>
  <c r="L49" i="28" s="1"/>
  <c r="P49" i="28" s="1"/>
  <c r="Q37" i="28"/>
  <c r="R37" i="28" s="1"/>
  <c r="E62" i="29"/>
  <c r="M62" i="29" s="1"/>
  <c r="P62" i="29" s="1"/>
  <c r="E71" i="27"/>
  <c r="K71" i="27" s="1"/>
  <c r="N71" i="27" s="1"/>
  <c r="E66" i="28"/>
  <c r="L66" i="28" s="1"/>
  <c r="P66" i="28" s="1"/>
  <c r="Q54" i="28"/>
  <c r="R54" i="28" s="1"/>
  <c r="E66" i="27"/>
  <c r="K66" i="27" s="1"/>
  <c r="N66" i="27" s="1"/>
  <c r="E68" i="27"/>
  <c r="K68" i="27" s="1"/>
  <c r="N68" i="27" s="1"/>
  <c r="G14" i="7"/>
  <c r="F12" i="24"/>
  <c r="E15" i="24"/>
  <c r="E17" i="24" s="1"/>
  <c r="E19" i="24" s="1"/>
  <c r="E34" i="24" s="1"/>
  <c r="D28" i="24"/>
  <c r="D30" i="24" s="1"/>
  <c r="D38" i="24" s="1"/>
  <c r="AE7" i="8"/>
  <c r="AG7" i="8" s="1"/>
  <c r="R6" i="8"/>
  <c r="T6" i="8" s="1"/>
  <c r="V6" i="8" s="1"/>
  <c r="P38" i="20"/>
  <c r="Q38" i="20" s="1"/>
  <c r="J37" i="19"/>
  <c r="M37" i="19" s="1"/>
  <c r="E62" i="20"/>
  <c r="K50" i="20"/>
  <c r="O50" i="20" s="1"/>
  <c r="K57" i="20"/>
  <c r="O57" i="20" s="1"/>
  <c r="P57" i="20" s="1"/>
  <c r="Q57" i="20" s="1"/>
  <c r="E69" i="20"/>
  <c r="E66" i="20"/>
  <c r="K54" i="20"/>
  <c r="O54" i="20" s="1"/>
  <c r="P54" i="20" s="1"/>
  <c r="Q54" i="20" s="1"/>
  <c r="E68" i="20"/>
  <c r="K56" i="20"/>
  <c r="O56" i="20" s="1"/>
  <c r="P56" i="20" s="1"/>
  <c r="Q56" i="20" s="1"/>
  <c r="K48" i="20"/>
  <c r="O48" i="20" s="1"/>
  <c r="P48" i="20" s="1"/>
  <c r="Q48" i="20" s="1"/>
  <c r="E60" i="20"/>
  <c r="K59" i="20"/>
  <c r="O59" i="20" s="1"/>
  <c r="P59" i="20" s="1"/>
  <c r="Q59" i="20" s="1"/>
  <c r="E71" i="20"/>
  <c r="E49" i="20"/>
  <c r="K37" i="20"/>
  <c r="O37" i="20" s="1"/>
  <c r="P37" i="20" s="1"/>
  <c r="Q37" i="20" s="1"/>
  <c r="E63" i="20"/>
  <c r="K51" i="20"/>
  <c r="O51" i="20" s="1"/>
  <c r="P51" i="20" s="1"/>
  <c r="Q51" i="20" s="1"/>
  <c r="K55" i="20"/>
  <c r="O55" i="20" s="1"/>
  <c r="P55" i="20" s="1"/>
  <c r="Q55" i="20" s="1"/>
  <c r="E67" i="20"/>
  <c r="E70" i="20"/>
  <c r="K58" i="20"/>
  <c r="O58" i="20" s="1"/>
  <c r="P58" i="20" s="1"/>
  <c r="Q58" i="20" s="1"/>
  <c r="E64" i="20"/>
  <c r="K52" i="20"/>
  <c r="O52" i="20" s="1"/>
  <c r="P52" i="20" s="1"/>
  <c r="Q52" i="20" s="1"/>
  <c r="E65" i="20"/>
  <c r="K53" i="20"/>
  <c r="O53" i="20" s="1"/>
  <c r="P53" i="20" s="1"/>
  <c r="Q53" i="20" s="1"/>
  <c r="E81" i="19"/>
  <c r="J69" i="19"/>
  <c r="M69" i="19" s="1"/>
  <c r="E78" i="19"/>
  <c r="J66" i="19"/>
  <c r="M66" i="19" s="1"/>
  <c r="J49" i="19"/>
  <c r="M49" i="19" s="1"/>
  <c r="E61" i="19"/>
  <c r="E82" i="19"/>
  <c r="J70" i="19"/>
  <c r="M70" i="19" s="1"/>
  <c r="J63" i="19"/>
  <c r="M63" i="19" s="1"/>
  <c r="E75" i="19"/>
  <c r="E83" i="19"/>
  <c r="J71" i="19"/>
  <c r="M71" i="19" s="1"/>
  <c r="J50" i="19"/>
  <c r="M50" i="19" s="1"/>
  <c r="E62" i="19"/>
  <c r="J65" i="19"/>
  <c r="M65" i="19" s="1"/>
  <c r="E77" i="19"/>
  <c r="E79" i="19"/>
  <c r="J67" i="19"/>
  <c r="M67" i="19" s="1"/>
  <c r="J64" i="19"/>
  <c r="M64" i="19" s="1"/>
  <c r="E76" i="19"/>
  <c r="J60" i="19"/>
  <c r="M60" i="19" s="1"/>
  <c r="E72" i="19"/>
  <c r="E80" i="19"/>
  <c r="J68" i="19"/>
  <c r="M68" i="19" s="1"/>
  <c r="E17" i="18"/>
  <c r="AQ15" i="8"/>
  <c r="AS15" i="8" s="1"/>
  <c r="AK15" i="8"/>
  <c r="AM15" i="8" s="1"/>
  <c r="D35" i="24" l="1"/>
  <c r="D39" i="24"/>
  <c r="E35" i="24"/>
  <c r="C21" i="12"/>
  <c r="E21" i="12" s="1"/>
  <c r="K18" i="34"/>
  <c r="K7" i="9"/>
  <c r="K19" i="34"/>
  <c r="D36" i="24"/>
  <c r="D40" i="24"/>
  <c r="E36" i="24"/>
  <c r="H122" i="28"/>
  <c r="F23" i="24"/>
  <c r="F27" i="24" s="1"/>
  <c r="L49" i="31"/>
  <c r="O49" i="31" s="1"/>
  <c r="AC8" i="8" s="1"/>
  <c r="AE8" i="8" s="1"/>
  <c r="AG8" i="8" s="1"/>
  <c r="E91" i="31"/>
  <c r="L79" i="31"/>
  <c r="O79" i="31" s="1"/>
  <c r="E73" i="31"/>
  <c r="L61" i="31"/>
  <c r="O61" i="31" s="1"/>
  <c r="AC9" i="8" s="1"/>
  <c r="E95" i="31"/>
  <c r="L83" i="31"/>
  <c r="O83" i="31" s="1"/>
  <c r="E88" i="31"/>
  <c r="L76" i="31"/>
  <c r="O76" i="31" s="1"/>
  <c r="E90" i="31"/>
  <c r="L78" i="31"/>
  <c r="O78" i="31" s="1"/>
  <c r="E84" i="31"/>
  <c r="L72" i="31"/>
  <c r="O72" i="31" s="1"/>
  <c r="E89" i="31"/>
  <c r="L77" i="31"/>
  <c r="O77" i="31" s="1"/>
  <c r="E94" i="31"/>
  <c r="L82" i="31"/>
  <c r="O82" i="31" s="1"/>
  <c r="E93" i="31"/>
  <c r="L81" i="31"/>
  <c r="O81" i="31" s="1"/>
  <c r="E92" i="31"/>
  <c r="L80" i="31"/>
  <c r="O80" i="31" s="1"/>
  <c r="E87" i="31"/>
  <c r="L75" i="31"/>
  <c r="O75" i="31" s="1"/>
  <c r="E86" i="31"/>
  <c r="L74" i="31"/>
  <c r="O74" i="31" s="1"/>
  <c r="R7" i="30"/>
  <c r="T7" i="30" s="1"/>
  <c r="V7" i="30" s="1"/>
  <c r="E77" i="29"/>
  <c r="M77" i="29" s="1"/>
  <c r="P77" i="29" s="1"/>
  <c r="E80" i="29"/>
  <c r="M80" i="29" s="1"/>
  <c r="P80" i="29" s="1"/>
  <c r="E80" i="27"/>
  <c r="K80" i="27" s="1"/>
  <c r="N80" i="27" s="1"/>
  <c r="E76" i="27"/>
  <c r="K76" i="27" s="1"/>
  <c r="N76" i="27" s="1"/>
  <c r="E82" i="29"/>
  <c r="M82" i="29" s="1"/>
  <c r="P82" i="29" s="1"/>
  <c r="E83" i="29"/>
  <c r="M83" i="29" s="1"/>
  <c r="P83" i="29" s="1"/>
  <c r="E78" i="27"/>
  <c r="K78" i="27" s="1"/>
  <c r="N78" i="27" s="1"/>
  <c r="E76" i="29"/>
  <c r="M76" i="29" s="1"/>
  <c r="P76" i="29" s="1"/>
  <c r="E75" i="29"/>
  <c r="M75" i="29" s="1"/>
  <c r="P75" i="29" s="1"/>
  <c r="E81" i="27"/>
  <c r="K81" i="27" s="1"/>
  <c r="N81" i="27" s="1"/>
  <c r="E79" i="28"/>
  <c r="L79" i="28" s="1"/>
  <c r="P79" i="28" s="1"/>
  <c r="Q67" i="28"/>
  <c r="R67" i="28" s="1"/>
  <c r="Q50" i="28"/>
  <c r="R50" i="28" s="1"/>
  <c r="E78" i="28"/>
  <c r="L78" i="28" s="1"/>
  <c r="P78" i="28" s="1"/>
  <c r="Q66" i="28"/>
  <c r="R66" i="28" s="1"/>
  <c r="E74" i="28"/>
  <c r="L74" i="28" s="1"/>
  <c r="P74" i="28" s="1"/>
  <c r="E82" i="27"/>
  <c r="K82" i="27" s="1"/>
  <c r="N82" i="27" s="1"/>
  <c r="E83" i="27"/>
  <c r="K83" i="27" s="1"/>
  <c r="N83" i="27" s="1"/>
  <c r="E80" i="28"/>
  <c r="L80" i="28" s="1"/>
  <c r="P80" i="28" s="1"/>
  <c r="Q68" i="28"/>
  <c r="R68" i="28" s="1"/>
  <c r="E72" i="28"/>
  <c r="L72" i="28" s="1"/>
  <c r="P72" i="28" s="1"/>
  <c r="Q60" i="28"/>
  <c r="R60" i="28" s="1"/>
  <c r="E76" i="28"/>
  <c r="L76" i="28" s="1"/>
  <c r="P76" i="28" s="1"/>
  <c r="Q64" i="28"/>
  <c r="R64" i="28" s="1"/>
  <c r="E61" i="29"/>
  <c r="M61" i="29" s="1"/>
  <c r="P61" i="29" s="1"/>
  <c r="E72" i="27"/>
  <c r="K72" i="27" s="1"/>
  <c r="N72" i="27" s="1"/>
  <c r="E78" i="29"/>
  <c r="M78" i="29" s="1"/>
  <c r="P78" i="29" s="1"/>
  <c r="G8" i="30"/>
  <c r="I8" i="30" s="1"/>
  <c r="K8" i="30" s="1"/>
  <c r="E61" i="27"/>
  <c r="K61" i="27" s="1"/>
  <c r="N61" i="27" s="1"/>
  <c r="E61" i="28"/>
  <c r="L61" i="28" s="1"/>
  <c r="P61" i="28" s="1"/>
  <c r="Q49" i="28"/>
  <c r="R49" i="28" s="1"/>
  <c r="E81" i="29"/>
  <c r="M81" i="29" s="1"/>
  <c r="P81" i="29" s="1"/>
  <c r="E81" i="28"/>
  <c r="L81" i="28" s="1"/>
  <c r="P81" i="28" s="1"/>
  <c r="Q69" i="28"/>
  <c r="R69" i="28" s="1"/>
  <c r="E79" i="29"/>
  <c r="M79" i="29" s="1"/>
  <c r="P79" i="29" s="1"/>
  <c r="E77" i="28"/>
  <c r="L77" i="28" s="1"/>
  <c r="P77" i="28" s="1"/>
  <c r="Q65" i="28"/>
  <c r="R65" i="28" s="1"/>
  <c r="E83" i="28"/>
  <c r="L83" i="28" s="1"/>
  <c r="P83" i="28" s="1"/>
  <c r="Q71" i="28"/>
  <c r="R71" i="28" s="1"/>
  <c r="E82" i="28"/>
  <c r="L82" i="28" s="1"/>
  <c r="P82" i="28" s="1"/>
  <c r="Q70" i="28"/>
  <c r="R70" i="28" s="1"/>
  <c r="E74" i="27"/>
  <c r="K74" i="27" s="1"/>
  <c r="N74" i="27" s="1"/>
  <c r="E74" i="29"/>
  <c r="M74" i="29" s="1"/>
  <c r="P74" i="29" s="1"/>
  <c r="E72" i="29"/>
  <c r="M72" i="29" s="1"/>
  <c r="P72" i="29" s="1"/>
  <c r="E79" i="27"/>
  <c r="K79" i="27" s="1"/>
  <c r="N79" i="27" s="1"/>
  <c r="E75" i="28"/>
  <c r="L75" i="28" s="1"/>
  <c r="P75" i="28" s="1"/>
  <c r="Q63" i="28"/>
  <c r="R63" i="28" s="1"/>
  <c r="E75" i="27"/>
  <c r="K75" i="27" s="1"/>
  <c r="N75" i="27" s="1"/>
  <c r="E77" i="27"/>
  <c r="K77" i="27" s="1"/>
  <c r="N77" i="27" s="1"/>
  <c r="E39" i="24"/>
  <c r="E41" i="24" s="1"/>
  <c r="F35" i="24"/>
  <c r="F15" i="24"/>
  <c r="F16" i="24"/>
  <c r="P48" i="7"/>
  <c r="J25" i="6"/>
  <c r="K25" i="6" s="1"/>
  <c r="K34" i="34" s="1"/>
  <c r="K6" i="9"/>
  <c r="P50" i="20"/>
  <c r="Q50" i="20" s="1"/>
  <c r="R7" i="8"/>
  <c r="T7" i="8" s="1"/>
  <c r="V7" i="8" s="1"/>
  <c r="G7" i="8"/>
  <c r="I7" i="8" s="1"/>
  <c r="K7" i="8" s="1"/>
  <c r="G8" i="8"/>
  <c r="I8" i="8" s="1"/>
  <c r="K8" i="8" s="1"/>
  <c r="K63" i="20"/>
  <c r="O63" i="20" s="1"/>
  <c r="P63" i="20" s="1"/>
  <c r="Q63" i="20" s="1"/>
  <c r="E75" i="20"/>
  <c r="K49" i="20"/>
  <c r="O49" i="20" s="1"/>
  <c r="P49" i="20" s="1"/>
  <c r="Q49" i="20" s="1"/>
  <c r="E61" i="20"/>
  <c r="E83" i="20"/>
  <c r="K71" i="20"/>
  <c r="O71" i="20" s="1"/>
  <c r="P71" i="20" s="1"/>
  <c r="Q71" i="20" s="1"/>
  <c r="E72" i="20"/>
  <c r="K60" i="20"/>
  <c r="O60" i="20" s="1"/>
  <c r="P60" i="20" s="1"/>
  <c r="Q60" i="20" s="1"/>
  <c r="E80" i="20"/>
  <c r="K68" i="20"/>
  <c r="O68" i="20" s="1"/>
  <c r="P68" i="20" s="1"/>
  <c r="Q68" i="20" s="1"/>
  <c r="E78" i="20"/>
  <c r="K66" i="20"/>
  <c r="O66" i="20" s="1"/>
  <c r="P66" i="20" s="1"/>
  <c r="Q66" i="20" s="1"/>
  <c r="E81" i="20"/>
  <c r="K69" i="20"/>
  <c r="O69" i="20" s="1"/>
  <c r="P69" i="20" s="1"/>
  <c r="Q69" i="20" s="1"/>
  <c r="K70" i="20"/>
  <c r="O70" i="20" s="1"/>
  <c r="P70" i="20" s="1"/>
  <c r="Q70" i="20" s="1"/>
  <c r="E82" i="20"/>
  <c r="K65" i="20"/>
  <c r="O65" i="20" s="1"/>
  <c r="P65" i="20" s="1"/>
  <c r="Q65" i="20" s="1"/>
  <c r="E77" i="20"/>
  <c r="E76" i="20"/>
  <c r="K64" i="20"/>
  <c r="O64" i="20" s="1"/>
  <c r="P64" i="20" s="1"/>
  <c r="Q64" i="20" s="1"/>
  <c r="E79" i="20"/>
  <c r="K67" i="20"/>
  <c r="O67" i="20" s="1"/>
  <c r="P67" i="20" s="1"/>
  <c r="Q67" i="20" s="1"/>
  <c r="K62" i="20"/>
  <c r="O62" i="20" s="1"/>
  <c r="E74" i="20"/>
  <c r="J77" i="19"/>
  <c r="M77" i="19" s="1"/>
  <c r="E89" i="19"/>
  <c r="J80" i="19"/>
  <c r="M80" i="19" s="1"/>
  <c r="E92" i="19"/>
  <c r="E95" i="19"/>
  <c r="J83" i="19"/>
  <c r="M83" i="19" s="1"/>
  <c r="J75" i="19"/>
  <c r="M75" i="19" s="1"/>
  <c r="E87" i="19"/>
  <c r="E90" i="19"/>
  <c r="J78" i="19"/>
  <c r="M78" i="19" s="1"/>
  <c r="J62" i="19"/>
  <c r="M62" i="19" s="1"/>
  <c r="E74" i="19"/>
  <c r="E84" i="19"/>
  <c r="J72" i="19"/>
  <c r="M72" i="19" s="1"/>
  <c r="J82" i="19"/>
  <c r="M82" i="19" s="1"/>
  <c r="E94" i="19"/>
  <c r="E73" i="19"/>
  <c r="J61" i="19"/>
  <c r="M61" i="19" s="1"/>
  <c r="E88" i="19"/>
  <c r="J76" i="19"/>
  <c r="M76" i="19" s="1"/>
  <c r="J79" i="19"/>
  <c r="M79" i="19" s="1"/>
  <c r="E91" i="19"/>
  <c r="E93" i="19"/>
  <c r="J81" i="19"/>
  <c r="M81" i="19" s="1"/>
  <c r="T48" i="7"/>
  <c r="D41" i="24" l="1"/>
  <c r="E37" i="24"/>
  <c r="D37" i="24"/>
  <c r="H123" i="28"/>
  <c r="G122" i="20"/>
  <c r="M122" i="20" s="1"/>
  <c r="K22" i="9"/>
  <c r="K22" i="33"/>
  <c r="E106" i="31"/>
  <c r="L94" i="31"/>
  <c r="O94" i="31" s="1"/>
  <c r="E101" i="31"/>
  <c r="L89" i="31"/>
  <c r="O89" i="31" s="1"/>
  <c r="E96" i="31"/>
  <c r="L84" i="31"/>
  <c r="O84" i="31" s="1"/>
  <c r="E102" i="31"/>
  <c r="L90" i="31"/>
  <c r="O90" i="31" s="1"/>
  <c r="E98" i="31"/>
  <c r="L86" i="31"/>
  <c r="O86" i="31" s="1"/>
  <c r="E100" i="31"/>
  <c r="L88" i="31"/>
  <c r="O88" i="31" s="1"/>
  <c r="E99" i="31"/>
  <c r="L87" i="31"/>
  <c r="O87" i="31" s="1"/>
  <c r="E107" i="31"/>
  <c r="L95" i="31"/>
  <c r="O95" i="31" s="1"/>
  <c r="E104" i="31"/>
  <c r="L92" i="31"/>
  <c r="O92" i="31" s="1"/>
  <c r="E85" i="31"/>
  <c r="L73" i="31"/>
  <c r="O73" i="31" s="1"/>
  <c r="AC10" i="8" s="1"/>
  <c r="E105" i="31"/>
  <c r="L93" i="31"/>
  <c r="O93" i="31" s="1"/>
  <c r="E103" i="31"/>
  <c r="L91" i="31"/>
  <c r="O91" i="31" s="1"/>
  <c r="R8" i="30"/>
  <c r="T8" i="30" s="1"/>
  <c r="V8" i="30" s="1"/>
  <c r="E94" i="27"/>
  <c r="K94" i="27" s="1"/>
  <c r="N94" i="27" s="1"/>
  <c r="E89" i="27"/>
  <c r="K89" i="27" s="1"/>
  <c r="N89" i="27" s="1"/>
  <c r="E94" i="28"/>
  <c r="L94" i="28" s="1"/>
  <c r="P94" i="28" s="1"/>
  <c r="Q82" i="28"/>
  <c r="R82" i="28" s="1"/>
  <c r="E90" i="29"/>
  <c r="M90" i="29" s="1"/>
  <c r="P90" i="29" s="1"/>
  <c r="E90" i="27"/>
  <c r="K90" i="27" s="1"/>
  <c r="N90" i="27" s="1"/>
  <c r="Q62" i="28"/>
  <c r="R62" i="28" s="1"/>
  <c r="E87" i="27"/>
  <c r="K87" i="27" s="1"/>
  <c r="N87" i="27" s="1"/>
  <c r="E95" i="28"/>
  <c r="L95" i="28" s="1"/>
  <c r="P95" i="28" s="1"/>
  <c r="Q83" i="28"/>
  <c r="R83" i="28" s="1"/>
  <c r="E86" i="28"/>
  <c r="L86" i="28" s="1"/>
  <c r="P86" i="28" s="1"/>
  <c r="E84" i="27"/>
  <c r="K84" i="27" s="1"/>
  <c r="N84" i="27" s="1"/>
  <c r="E95" i="29"/>
  <c r="M95" i="29" s="1"/>
  <c r="P95" i="29" s="1"/>
  <c r="AC9" i="30"/>
  <c r="AE9" i="30" s="1"/>
  <c r="AG9" i="30" s="1"/>
  <c r="E73" i="29"/>
  <c r="M73" i="29" s="1"/>
  <c r="P73" i="29" s="1"/>
  <c r="E90" i="28"/>
  <c r="L90" i="28" s="1"/>
  <c r="P90" i="28" s="1"/>
  <c r="Q78" i="28"/>
  <c r="R78" i="28" s="1"/>
  <c r="E89" i="28"/>
  <c r="L89" i="28" s="1"/>
  <c r="P89" i="28" s="1"/>
  <c r="Q77" i="28"/>
  <c r="R77" i="28" s="1"/>
  <c r="E87" i="28"/>
  <c r="L87" i="28" s="1"/>
  <c r="P87" i="28" s="1"/>
  <c r="Q75" i="28"/>
  <c r="R75" i="28" s="1"/>
  <c r="E94" i="29"/>
  <c r="M94" i="29" s="1"/>
  <c r="P94" i="29" s="1"/>
  <c r="E88" i="27"/>
  <c r="K88" i="27" s="1"/>
  <c r="N88" i="27" s="1"/>
  <c r="E91" i="29"/>
  <c r="M91" i="29" s="1"/>
  <c r="P91" i="29" s="1"/>
  <c r="E91" i="27"/>
  <c r="K91" i="27" s="1"/>
  <c r="N91" i="27" s="1"/>
  <c r="E93" i="28"/>
  <c r="L93" i="28" s="1"/>
  <c r="P93" i="28" s="1"/>
  <c r="Q81" i="28"/>
  <c r="R81" i="28" s="1"/>
  <c r="E88" i="28"/>
  <c r="L88" i="28" s="1"/>
  <c r="P88" i="28" s="1"/>
  <c r="Q76" i="28"/>
  <c r="R76" i="28" s="1"/>
  <c r="E91" i="28"/>
  <c r="L91" i="28" s="1"/>
  <c r="P91" i="28" s="1"/>
  <c r="Q79" i="28"/>
  <c r="R79" i="28" s="1"/>
  <c r="E92" i="27"/>
  <c r="K92" i="27" s="1"/>
  <c r="N92" i="27" s="1"/>
  <c r="E84" i="29"/>
  <c r="M84" i="29" s="1"/>
  <c r="P84" i="29" s="1"/>
  <c r="E93" i="27"/>
  <c r="K93" i="27" s="1"/>
  <c r="N93" i="27" s="1"/>
  <c r="E93" i="29"/>
  <c r="M93" i="29" s="1"/>
  <c r="P93" i="29" s="1"/>
  <c r="E84" i="28"/>
  <c r="L84" i="28" s="1"/>
  <c r="P84" i="28" s="1"/>
  <c r="Q72" i="28"/>
  <c r="R72" i="28" s="1"/>
  <c r="E86" i="29"/>
  <c r="M86" i="29" s="1"/>
  <c r="P86" i="29" s="1"/>
  <c r="E87" i="29"/>
  <c r="M87" i="29" s="1"/>
  <c r="P87" i="29" s="1"/>
  <c r="E92" i="29"/>
  <c r="M92" i="29" s="1"/>
  <c r="P92" i="29" s="1"/>
  <c r="E73" i="28"/>
  <c r="L73" i="28" s="1"/>
  <c r="P73" i="28" s="1"/>
  <c r="E92" i="28"/>
  <c r="L92" i="28" s="1"/>
  <c r="P92" i="28" s="1"/>
  <c r="Q80" i="28"/>
  <c r="R80" i="28" s="1"/>
  <c r="E89" i="29"/>
  <c r="M89" i="29" s="1"/>
  <c r="P89" i="29" s="1"/>
  <c r="E86" i="27"/>
  <c r="K86" i="27" s="1"/>
  <c r="N86" i="27" s="1"/>
  <c r="E73" i="27"/>
  <c r="K73" i="27" s="1"/>
  <c r="N73" i="27" s="1"/>
  <c r="E95" i="27"/>
  <c r="K95" i="27" s="1"/>
  <c r="N95" i="27" s="1"/>
  <c r="E88" i="29"/>
  <c r="M88" i="29" s="1"/>
  <c r="P88" i="29" s="1"/>
  <c r="F26" i="24"/>
  <c r="F28" i="24" s="1"/>
  <c r="F30" i="24" s="1"/>
  <c r="F17" i="24"/>
  <c r="F19" i="24" s="1"/>
  <c r="I19" i="24" s="1"/>
  <c r="D8" i="26" s="1"/>
  <c r="D12" i="26" s="1"/>
  <c r="J15" i="30" s="1"/>
  <c r="AE9" i="8"/>
  <c r="AG9" i="8" s="1"/>
  <c r="P62" i="20"/>
  <c r="Q62" i="20" s="1"/>
  <c r="R8" i="8"/>
  <c r="T8" i="8" s="1"/>
  <c r="V8" i="8" s="1"/>
  <c r="G9" i="8"/>
  <c r="I9" i="8" s="1"/>
  <c r="K9" i="8" s="1"/>
  <c r="K78" i="20"/>
  <c r="O78" i="20" s="1"/>
  <c r="P78" i="20" s="1"/>
  <c r="Q78" i="20" s="1"/>
  <c r="E90" i="20"/>
  <c r="E84" i="20"/>
  <c r="K72" i="20"/>
  <c r="O72" i="20" s="1"/>
  <c r="P72" i="20" s="1"/>
  <c r="Q72" i="20" s="1"/>
  <c r="E95" i="20"/>
  <c r="K83" i="20"/>
  <c r="O83" i="20" s="1"/>
  <c r="P83" i="20" s="1"/>
  <c r="Q83" i="20" s="1"/>
  <c r="E91" i="20"/>
  <c r="K79" i="20"/>
  <c r="O79" i="20" s="1"/>
  <c r="P79" i="20" s="1"/>
  <c r="Q79" i="20" s="1"/>
  <c r="E89" i="20"/>
  <c r="K77" i="20"/>
  <c r="O77" i="20" s="1"/>
  <c r="P77" i="20" s="1"/>
  <c r="Q77" i="20" s="1"/>
  <c r="E87" i="20"/>
  <c r="K75" i="20"/>
  <c r="O75" i="20" s="1"/>
  <c r="P75" i="20" s="1"/>
  <c r="Q75" i="20" s="1"/>
  <c r="K81" i="20"/>
  <c r="O81" i="20" s="1"/>
  <c r="P81" i="20" s="1"/>
  <c r="Q81" i="20" s="1"/>
  <c r="E93" i="20"/>
  <c r="K80" i="20"/>
  <c r="O80" i="20" s="1"/>
  <c r="P80" i="20" s="1"/>
  <c r="Q80" i="20" s="1"/>
  <c r="E92" i="20"/>
  <c r="K74" i="20"/>
  <c r="O74" i="20" s="1"/>
  <c r="E86" i="20"/>
  <c r="K61" i="20"/>
  <c r="O61" i="20" s="1"/>
  <c r="P61" i="20" s="1"/>
  <c r="Q61" i="20" s="1"/>
  <c r="E73" i="20"/>
  <c r="K76" i="20"/>
  <c r="O76" i="20" s="1"/>
  <c r="P76" i="20" s="1"/>
  <c r="Q76" i="20" s="1"/>
  <c r="E88" i="20"/>
  <c r="E94" i="20"/>
  <c r="K82" i="20"/>
  <c r="O82" i="20" s="1"/>
  <c r="P82" i="20" s="1"/>
  <c r="Q82" i="20" s="1"/>
  <c r="E96" i="19"/>
  <c r="J84" i="19"/>
  <c r="M84" i="19" s="1"/>
  <c r="J90" i="19"/>
  <c r="M90" i="19" s="1"/>
  <c r="E102" i="19"/>
  <c r="J95" i="19"/>
  <c r="M95" i="19" s="1"/>
  <c r="E107" i="19"/>
  <c r="J92" i="19"/>
  <c r="M92" i="19" s="1"/>
  <c r="E104" i="19"/>
  <c r="J87" i="19"/>
  <c r="M87" i="19" s="1"/>
  <c r="E99" i="19"/>
  <c r="E105" i="19"/>
  <c r="J93" i="19"/>
  <c r="M93" i="19" s="1"/>
  <c r="J88" i="19"/>
  <c r="M88" i="19" s="1"/>
  <c r="E100" i="19"/>
  <c r="E101" i="19"/>
  <c r="J89" i="19"/>
  <c r="M89" i="19" s="1"/>
  <c r="E85" i="19"/>
  <c r="J73" i="19"/>
  <c r="M73" i="19" s="1"/>
  <c r="J74" i="19"/>
  <c r="M74" i="19" s="1"/>
  <c r="E86" i="19"/>
  <c r="E103" i="19"/>
  <c r="J91" i="19"/>
  <c r="M91" i="19" s="1"/>
  <c r="J94" i="19"/>
  <c r="M94" i="19" s="1"/>
  <c r="E106" i="19"/>
  <c r="H124" i="28" l="1"/>
  <c r="G123" i="20"/>
  <c r="M123" i="20" s="1"/>
  <c r="E119" i="31"/>
  <c r="L107" i="31"/>
  <c r="O107" i="31" s="1"/>
  <c r="E111" i="31"/>
  <c r="L99" i="31"/>
  <c r="O99" i="31" s="1"/>
  <c r="E112" i="31"/>
  <c r="L100" i="31"/>
  <c r="O100" i="31" s="1"/>
  <c r="E110" i="31"/>
  <c r="L98" i="31"/>
  <c r="O98" i="31" s="1"/>
  <c r="E115" i="31"/>
  <c r="L103" i="31"/>
  <c r="O103" i="31" s="1"/>
  <c r="E114" i="31"/>
  <c r="L102" i="31"/>
  <c r="O102" i="31" s="1"/>
  <c r="E117" i="31"/>
  <c r="L105" i="31"/>
  <c r="O105" i="31" s="1"/>
  <c r="E108" i="31"/>
  <c r="L96" i="31"/>
  <c r="O96" i="31" s="1"/>
  <c r="E97" i="31"/>
  <c r="L85" i="31"/>
  <c r="O85" i="31" s="1"/>
  <c r="AC11" i="8" s="1"/>
  <c r="E113" i="31"/>
  <c r="L101" i="31"/>
  <c r="O101" i="31" s="1"/>
  <c r="E116" i="31"/>
  <c r="L104" i="31"/>
  <c r="O104" i="31" s="1"/>
  <c r="E118" i="31"/>
  <c r="L106" i="31"/>
  <c r="O106" i="31" s="1"/>
  <c r="E85" i="28"/>
  <c r="L85" i="28" s="1"/>
  <c r="P85" i="28" s="1"/>
  <c r="E104" i="27"/>
  <c r="K104" i="27" s="1"/>
  <c r="N104" i="27" s="1"/>
  <c r="E99" i="28"/>
  <c r="L99" i="28" s="1"/>
  <c r="P99" i="28" s="1"/>
  <c r="Q87" i="28"/>
  <c r="R87" i="28" s="1"/>
  <c r="E99" i="27"/>
  <c r="K99" i="27" s="1"/>
  <c r="N99" i="27" s="1"/>
  <c r="E100" i="29"/>
  <c r="M100" i="29" s="1"/>
  <c r="P100" i="29" s="1"/>
  <c r="E104" i="29"/>
  <c r="M104" i="29" s="1"/>
  <c r="P104" i="29" s="1"/>
  <c r="E103" i="28"/>
  <c r="L103" i="28" s="1"/>
  <c r="P103" i="28" s="1"/>
  <c r="Q91" i="28"/>
  <c r="R91" i="28" s="1"/>
  <c r="Q89" i="28"/>
  <c r="R89" i="28" s="1"/>
  <c r="E101" i="28"/>
  <c r="L101" i="28" s="1"/>
  <c r="P101" i="28" s="1"/>
  <c r="E102" i="27"/>
  <c r="K102" i="27" s="1"/>
  <c r="N102" i="27" s="1"/>
  <c r="E107" i="27"/>
  <c r="K107" i="27" s="1"/>
  <c r="N107" i="27" s="1"/>
  <c r="E99" i="29"/>
  <c r="M99" i="29" s="1"/>
  <c r="P99" i="29" s="1"/>
  <c r="E100" i="28"/>
  <c r="L100" i="28" s="1"/>
  <c r="P100" i="28" s="1"/>
  <c r="Q88" i="28"/>
  <c r="R88" i="28" s="1"/>
  <c r="E102" i="28"/>
  <c r="L102" i="28" s="1"/>
  <c r="P102" i="28" s="1"/>
  <c r="Q90" i="28"/>
  <c r="R90" i="28" s="1"/>
  <c r="E85" i="29"/>
  <c r="M85" i="29" s="1"/>
  <c r="P85" i="29" s="1"/>
  <c r="AC10" i="30"/>
  <c r="AE10" i="30" s="1"/>
  <c r="AG10" i="30" s="1"/>
  <c r="C20" i="6" s="1"/>
  <c r="D20" i="6" s="1"/>
  <c r="G10" i="30"/>
  <c r="I10" i="30" s="1"/>
  <c r="K10" i="30" s="1"/>
  <c r="E85" i="27"/>
  <c r="K85" i="27" s="1"/>
  <c r="N85" i="27" s="1"/>
  <c r="E98" i="29"/>
  <c r="M98" i="29" s="1"/>
  <c r="P98" i="29" s="1"/>
  <c r="Q93" i="28"/>
  <c r="R93" i="28" s="1"/>
  <c r="E105" i="28"/>
  <c r="L105" i="28" s="1"/>
  <c r="P105" i="28" s="1"/>
  <c r="E102" i="29"/>
  <c r="M102" i="29" s="1"/>
  <c r="P102" i="29" s="1"/>
  <c r="E107" i="29"/>
  <c r="M107" i="29" s="1"/>
  <c r="P107" i="29" s="1"/>
  <c r="E106" i="28"/>
  <c r="L106" i="28" s="1"/>
  <c r="P106" i="28" s="1"/>
  <c r="Q94" i="28"/>
  <c r="R94" i="28" s="1"/>
  <c r="E98" i="27"/>
  <c r="K98" i="27" s="1"/>
  <c r="N98" i="27" s="1"/>
  <c r="E96" i="28"/>
  <c r="L96" i="28" s="1"/>
  <c r="P96" i="28" s="1"/>
  <c r="Q84" i="28"/>
  <c r="R84" i="28" s="1"/>
  <c r="E103" i="27"/>
  <c r="K103" i="27" s="1"/>
  <c r="N103" i="27" s="1"/>
  <c r="E101" i="27"/>
  <c r="K101" i="27" s="1"/>
  <c r="N101" i="27" s="1"/>
  <c r="E103" i="29"/>
  <c r="M103" i="29" s="1"/>
  <c r="P103" i="29" s="1"/>
  <c r="E96" i="27"/>
  <c r="K96" i="27" s="1"/>
  <c r="N96" i="27" s="1"/>
  <c r="E101" i="29"/>
  <c r="M101" i="29" s="1"/>
  <c r="P101" i="29" s="1"/>
  <c r="Q74" i="28"/>
  <c r="R74" i="28" s="1"/>
  <c r="E105" i="27"/>
  <c r="K105" i="27" s="1"/>
  <c r="N105" i="27" s="1"/>
  <c r="E100" i="27"/>
  <c r="K100" i="27" s="1"/>
  <c r="N100" i="27" s="1"/>
  <c r="E98" i="28"/>
  <c r="L98" i="28" s="1"/>
  <c r="P98" i="28" s="1"/>
  <c r="E106" i="27"/>
  <c r="K106" i="27" s="1"/>
  <c r="N106" i="27" s="1"/>
  <c r="E105" i="29"/>
  <c r="M105" i="29" s="1"/>
  <c r="P105" i="29" s="1"/>
  <c r="E104" i="28"/>
  <c r="L104" i="28" s="1"/>
  <c r="P104" i="28" s="1"/>
  <c r="Q92" i="28"/>
  <c r="R92" i="28" s="1"/>
  <c r="Q61" i="28"/>
  <c r="R61" i="28" s="1"/>
  <c r="R9" i="30"/>
  <c r="T9" i="30" s="1"/>
  <c r="V9" i="30" s="1"/>
  <c r="E96" i="29"/>
  <c r="M96" i="29" s="1"/>
  <c r="P96" i="29" s="1"/>
  <c r="E106" i="29"/>
  <c r="M106" i="29" s="1"/>
  <c r="P106" i="29" s="1"/>
  <c r="E107" i="28"/>
  <c r="L107" i="28" s="1"/>
  <c r="P107" i="28" s="1"/>
  <c r="Q95" i="28"/>
  <c r="R95" i="28" s="1"/>
  <c r="H125" i="28"/>
  <c r="G124" i="20"/>
  <c r="M124" i="20" s="1"/>
  <c r="F34" i="24"/>
  <c r="F36" i="24" s="1"/>
  <c r="F37" i="24" s="1"/>
  <c r="D46" i="24" s="1"/>
  <c r="F38" i="24"/>
  <c r="I30" i="24"/>
  <c r="D9" i="26" s="1"/>
  <c r="J15" i="8"/>
  <c r="AE10" i="8"/>
  <c r="AG10" i="8" s="1"/>
  <c r="R9" i="8"/>
  <c r="T9" i="8" s="1"/>
  <c r="V9" i="8" s="1"/>
  <c r="P74" i="20"/>
  <c r="Q74" i="20" s="1"/>
  <c r="G10" i="8"/>
  <c r="I10" i="8" s="1"/>
  <c r="K10" i="8" s="1"/>
  <c r="K93" i="20"/>
  <c r="O93" i="20" s="1"/>
  <c r="P93" i="20" s="1"/>
  <c r="Q93" i="20" s="1"/>
  <c r="E105" i="20"/>
  <c r="E99" i="20"/>
  <c r="K87" i="20"/>
  <c r="O87" i="20" s="1"/>
  <c r="P87" i="20" s="1"/>
  <c r="Q87" i="20" s="1"/>
  <c r="K89" i="20"/>
  <c r="O89" i="20" s="1"/>
  <c r="P89" i="20" s="1"/>
  <c r="Q89" i="20" s="1"/>
  <c r="E101" i="20"/>
  <c r="E106" i="20"/>
  <c r="K94" i="20"/>
  <c r="O94" i="20" s="1"/>
  <c r="P94" i="20" s="1"/>
  <c r="Q94" i="20" s="1"/>
  <c r="K91" i="20"/>
  <c r="O91" i="20" s="1"/>
  <c r="P91" i="20" s="1"/>
  <c r="Q91" i="20" s="1"/>
  <c r="E103" i="20"/>
  <c r="E85" i="20"/>
  <c r="K73" i="20"/>
  <c r="O73" i="20" s="1"/>
  <c r="P73" i="20" s="1"/>
  <c r="Q73" i="20" s="1"/>
  <c r="E96" i="20"/>
  <c r="K84" i="20"/>
  <c r="O84" i="20" s="1"/>
  <c r="P84" i="20" s="1"/>
  <c r="Q84" i="20" s="1"/>
  <c r="E98" i="20"/>
  <c r="K86" i="20"/>
  <c r="O86" i="20" s="1"/>
  <c r="E102" i="20"/>
  <c r="K90" i="20"/>
  <c r="O90" i="20" s="1"/>
  <c r="P90" i="20" s="1"/>
  <c r="Q90" i="20" s="1"/>
  <c r="K88" i="20"/>
  <c r="O88" i="20" s="1"/>
  <c r="P88" i="20" s="1"/>
  <c r="Q88" i="20" s="1"/>
  <c r="E100" i="20"/>
  <c r="K95" i="20"/>
  <c r="O95" i="20" s="1"/>
  <c r="P95" i="20" s="1"/>
  <c r="Q95" i="20" s="1"/>
  <c r="E107" i="20"/>
  <c r="E104" i="20"/>
  <c r="K92" i="20"/>
  <c r="O92" i="20" s="1"/>
  <c r="P92" i="20" s="1"/>
  <c r="Q92" i="20" s="1"/>
  <c r="E112" i="19"/>
  <c r="J100" i="19"/>
  <c r="M100" i="19" s="1"/>
  <c r="J105" i="19"/>
  <c r="M105" i="19" s="1"/>
  <c r="E117" i="19"/>
  <c r="E118" i="19"/>
  <c r="J106" i="19"/>
  <c r="M106" i="19" s="1"/>
  <c r="J107" i="19"/>
  <c r="M107" i="19" s="1"/>
  <c r="E119" i="19"/>
  <c r="E98" i="19"/>
  <c r="J86" i="19"/>
  <c r="M86" i="19" s="1"/>
  <c r="E113" i="19"/>
  <c r="J101" i="19"/>
  <c r="M101" i="19" s="1"/>
  <c r="E111" i="19"/>
  <c r="J99" i="19"/>
  <c r="M99" i="19" s="1"/>
  <c r="E116" i="19"/>
  <c r="J104" i="19"/>
  <c r="M104" i="19" s="1"/>
  <c r="E115" i="19"/>
  <c r="J103" i="19"/>
  <c r="M103" i="19" s="1"/>
  <c r="E114" i="19"/>
  <c r="J102" i="19"/>
  <c r="M102" i="19" s="1"/>
  <c r="J85" i="19"/>
  <c r="M85" i="19" s="1"/>
  <c r="E97" i="19"/>
  <c r="J96" i="19"/>
  <c r="M96" i="19" s="1"/>
  <c r="E108" i="19"/>
  <c r="G35" i="24" l="1"/>
  <c r="E120" i="31"/>
  <c r="L108" i="31"/>
  <c r="O108" i="31" s="1"/>
  <c r="E129" i="31"/>
  <c r="L117" i="31"/>
  <c r="O117" i="31" s="1"/>
  <c r="L114" i="31"/>
  <c r="O114" i="31" s="1"/>
  <c r="E126" i="31"/>
  <c r="E127" i="31"/>
  <c r="L115" i="31"/>
  <c r="O115" i="31" s="1"/>
  <c r="E130" i="31"/>
  <c r="L118" i="31"/>
  <c r="O118" i="31" s="1"/>
  <c r="E122" i="31"/>
  <c r="L110" i="31"/>
  <c r="O110" i="31" s="1"/>
  <c r="L116" i="31"/>
  <c r="O116" i="31" s="1"/>
  <c r="E128" i="31"/>
  <c r="E124" i="31"/>
  <c r="L112" i="31"/>
  <c r="O112" i="31" s="1"/>
  <c r="E125" i="31"/>
  <c r="L113" i="31"/>
  <c r="O113" i="31" s="1"/>
  <c r="E123" i="31"/>
  <c r="L111" i="31"/>
  <c r="O111" i="31" s="1"/>
  <c r="E109" i="31"/>
  <c r="L97" i="31"/>
  <c r="O97" i="31" s="1"/>
  <c r="AC12" i="8" s="1"/>
  <c r="L119" i="31"/>
  <c r="O119" i="31" s="1"/>
  <c r="E131" i="31"/>
  <c r="Q86" i="28"/>
  <c r="R86" i="28" s="1"/>
  <c r="E110" i="29"/>
  <c r="E113" i="28"/>
  <c r="L113" i="28" s="1"/>
  <c r="P113" i="28" s="1"/>
  <c r="Q101" i="28"/>
  <c r="R101" i="28" s="1"/>
  <c r="Q103" i="28"/>
  <c r="R103" i="28" s="1"/>
  <c r="E115" i="28"/>
  <c r="L115" i="28" s="1"/>
  <c r="P115" i="28" s="1"/>
  <c r="Q107" i="28"/>
  <c r="R107" i="28" s="1"/>
  <c r="E119" i="28"/>
  <c r="L119" i="28" s="1"/>
  <c r="P119" i="28" s="1"/>
  <c r="E112" i="27"/>
  <c r="K112" i="27" s="1"/>
  <c r="N112" i="27" s="1"/>
  <c r="E108" i="28"/>
  <c r="L108" i="28" s="1"/>
  <c r="P108" i="28" s="1"/>
  <c r="Q96" i="28"/>
  <c r="R96" i="28" s="1"/>
  <c r="E97" i="29"/>
  <c r="M97" i="29" s="1"/>
  <c r="P97" i="29" s="1"/>
  <c r="E97" i="27"/>
  <c r="K97" i="27" s="1"/>
  <c r="N97" i="27" s="1"/>
  <c r="G11" i="30"/>
  <c r="I11" i="30" s="1"/>
  <c r="K11" i="30" s="1"/>
  <c r="E118" i="29"/>
  <c r="E117" i="27"/>
  <c r="K117" i="27" s="1"/>
  <c r="N117" i="27" s="1"/>
  <c r="E110" i="27"/>
  <c r="K110" i="27" s="1"/>
  <c r="N110" i="27" s="1"/>
  <c r="E116" i="29"/>
  <c r="Q102" i="28"/>
  <c r="R102" i="28" s="1"/>
  <c r="E114" i="28"/>
  <c r="L114" i="28" s="1"/>
  <c r="P114" i="28" s="1"/>
  <c r="E112" i="29"/>
  <c r="E113" i="29"/>
  <c r="Q100" i="28"/>
  <c r="R100" i="28" s="1"/>
  <c r="E112" i="28"/>
  <c r="L112" i="28" s="1"/>
  <c r="P112" i="28" s="1"/>
  <c r="E111" i="27"/>
  <c r="K111" i="27" s="1"/>
  <c r="N111" i="27" s="1"/>
  <c r="E118" i="28"/>
  <c r="L118" i="28" s="1"/>
  <c r="P118" i="28" s="1"/>
  <c r="Q106" i="28"/>
  <c r="R106" i="28" s="1"/>
  <c r="E108" i="27"/>
  <c r="K108" i="27" s="1"/>
  <c r="N108" i="27" s="1"/>
  <c r="E119" i="29"/>
  <c r="E115" i="27"/>
  <c r="K115" i="27" s="1"/>
  <c r="N115" i="27" s="1"/>
  <c r="Q104" i="28"/>
  <c r="R104" i="28" s="1"/>
  <c r="E116" i="28"/>
  <c r="L116" i="28" s="1"/>
  <c r="P116" i="28" s="1"/>
  <c r="E111" i="29"/>
  <c r="Q99" i="28"/>
  <c r="R99" i="28" s="1"/>
  <c r="E111" i="28"/>
  <c r="L111" i="28" s="1"/>
  <c r="P111" i="28" s="1"/>
  <c r="E114" i="29"/>
  <c r="E110" i="28"/>
  <c r="L110" i="28" s="1"/>
  <c r="P110" i="28" s="1"/>
  <c r="E108" i="29"/>
  <c r="M108" i="29" s="1"/>
  <c r="P108" i="29" s="1"/>
  <c r="E117" i="29"/>
  <c r="E115" i="29"/>
  <c r="E117" i="28"/>
  <c r="L117" i="28" s="1"/>
  <c r="P117" i="28" s="1"/>
  <c r="Q105" i="28"/>
  <c r="R105" i="28" s="1"/>
  <c r="E119" i="27"/>
  <c r="K119" i="27" s="1"/>
  <c r="N119" i="27" s="1"/>
  <c r="E116" i="27"/>
  <c r="K116" i="27" s="1"/>
  <c r="N116" i="27" s="1"/>
  <c r="E118" i="27"/>
  <c r="K118" i="27" s="1"/>
  <c r="N118" i="27" s="1"/>
  <c r="Q73" i="28"/>
  <c r="R73" i="28" s="1"/>
  <c r="R10" i="30"/>
  <c r="T10" i="30" s="1"/>
  <c r="V10" i="30" s="1"/>
  <c r="E113" i="27"/>
  <c r="K113" i="27" s="1"/>
  <c r="N113" i="27" s="1"/>
  <c r="E114" i="27"/>
  <c r="K114" i="27" s="1"/>
  <c r="N114" i="27" s="1"/>
  <c r="E97" i="28"/>
  <c r="L97" i="28" s="1"/>
  <c r="P97" i="28" s="1"/>
  <c r="Q85" i="28"/>
  <c r="R85" i="28" s="1"/>
  <c r="H126" i="28"/>
  <c r="G125" i="20"/>
  <c r="M125" i="20" s="1"/>
  <c r="D13" i="26"/>
  <c r="U15" i="30" s="1"/>
  <c r="D11" i="26"/>
  <c r="F40" i="24"/>
  <c r="F41" i="24" s="1"/>
  <c r="D47" i="24" s="1"/>
  <c r="G39" i="24"/>
  <c r="AE11" i="8"/>
  <c r="AG11" i="8" s="1"/>
  <c r="P86" i="20"/>
  <c r="Q86" i="20" s="1"/>
  <c r="R10" i="8"/>
  <c r="T10" i="8" s="1"/>
  <c r="V10" i="8" s="1"/>
  <c r="G11" i="8"/>
  <c r="I11" i="8" s="1"/>
  <c r="K11" i="8" s="1"/>
  <c r="K103" i="20"/>
  <c r="O103" i="20" s="1"/>
  <c r="P103" i="20" s="1"/>
  <c r="Q103" i="20" s="1"/>
  <c r="E115" i="20"/>
  <c r="E97" i="20"/>
  <c r="K85" i="20"/>
  <c r="O85" i="20" s="1"/>
  <c r="P85" i="20" s="1"/>
  <c r="Q85" i="20" s="1"/>
  <c r="K98" i="20"/>
  <c r="O98" i="20" s="1"/>
  <c r="E110" i="20"/>
  <c r="K96" i="20"/>
  <c r="O96" i="20" s="1"/>
  <c r="P96" i="20" s="1"/>
  <c r="Q96" i="20" s="1"/>
  <c r="E108" i="20"/>
  <c r="E118" i="20"/>
  <c r="K106" i="20"/>
  <c r="O106" i="20" s="1"/>
  <c r="P106" i="20" s="1"/>
  <c r="Q106" i="20" s="1"/>
  <c r="E111" i="20"/>
  <c r="K99" i="20"/>
  <c r="O99" i="20" s="1"/>
  <c r="P99" i="20" s="1"/>
  <c r="Q99" i="20" s="1"/>
  <c r="E116" i="20"/>
  <c r="K104" i="20"/>
  <c r="O104" i="20" s="1"/>
  <c r="P104" i="20" s="1"/>
  <c r="Q104" i="20" s="1"/>
  <c r="K101" i="20"/>
  <c r="O101" i="20" s="1"/>
  <c r="P101" i="20" s="1"/>
  <c r="Q101" i="20" s="1"/>
  <c r="E113" i="20"/>
  <c r="K105" i="20"/>
  <c r="O105" i="20" s="1"/>
  <c r="P105" i="20" s="1"/>
  <c r="Q105" i="20" s="1"/>
  <c r="E117" i="20"/>
  <c r="K107" i="20"/>
  <c r="O107" i="20" s="1"/>
  <c r="P107" i="20" s="1"/>
  <c r="Q107" i="20" s="1"/>
  <c r="E119" i="20"/>
  <c r="E112" i="20"/>
  <c r="K100" i="20"/>
  <c r="O100" i="20" s="1"/>
  <c r="P100" i="20" s="1"/>
  <c r="Q100" i="20" s="1"/>
  <c r="E114" i="20"/>
  <c r="K102" i="20"/>
  <c r="O102" i="20" s="1"/>
  <c r="P102" i="20" s="1"/>
  <c r="Q102" i="20" s="1"/>
  <c r="J111" i="19"/>
  <c r="M111" i="19" s="1"/>
  <c r="E123" i="19"/>
  <c r="J108" i="19"/>
  <c r="M108" i="19" s="1"/>
  <c r="E120" i="19"/>
  <c r="J119" i="19"/>
  <c r="M119" i="19" s="1"/>
  <c r="E131" i="19"/>
  <c r="J97" i="19"/>
  <c r="M97" i="19" s="1"/>
  <c r="E109" i="19"/>
  <c r="J113" i="19"/>
  <c r="M113" i="19" s="1"/>
  <c r="E125" i="19"/>
  <c r="J98" i="19"/>
  <c r="M98" i="19" s="1"/>
  <c r="E110" i="19"/>
  <c r="E128" i="19"/>
  <c r="J116" i="19"/>
  <c r="M116" i="19" s="1"/>
  <c r="E130" i="19"/>
  <c r="J118" i="19"/>
  <c r="M118" i="19" s="1"/>
  <c r="E129" i="19"/>
  <c r="J117" i="19"/>
  <c r="M117" i="19" s="1"/>
  <c r="J114" i="19"/>
  <c r="M114" i="19" s="1"/>
  <c r="E126" i="19"/>
  <c r="E127" i="19"/>
  <c r="J115" i="19"/>
  <c r="M115" i="19" s="1"/>
  <c r="J112" i="19"/>
  <c r="M112" i="19" s="1"/>
  <c r="E124" i="19"/>
  <c r="M112" i="29" l="1"/>
  <c r="P112" i="29" s="1"/>
  <c r="E124" i="29"/>
  <c r="M124" i="29" s="1"/>
  <c r="P124" i="29" s="1"/>
  <c r="M114" i="29"/>
  <c r="P114" i="29" s="1"/>
  <c r="E126" i="29"/>
  <c r="M126" i="29" s="1"/>
  <c r="P126" i="29" s="1"/>
  <c r="M116" i="29"/>
  <c r="P116" i="29" s="1"/>
  <c r="E128" i="29"/>
  <c r="M128" i="29" s="1"/>
  <c r="P128" i="29" s="1"/>
  <c r="M110" i="29"/>
  <c r="P110" i="29" s="1"/>
  <c r="E122" i="29"/>
  <c r="M122" i="29" s="1"/>
  <c r="P122" i="29" s="1"/>
  <c r="M111" i="29"/>
  <c r="P111" i="29" s="1"/>
  <c r="E123" i="29"/>
  <c r="M123" i="29" s="1"/>
  <c r="P123" i="29" s="1"/>
  <c r="M118" i="29"/>
  <c r="P118" i="29" s="1"/>
  <c r="E130" i="29"/>
  <c r="M130" i="29" s="1"/>
  <c r="P130" i="29" s="1"/>
  <c r="M119" i="29"/>
  <c r="P119" i="29" s="1"/>
  <c r="E131" i="29"/>
  <c r="M131" i="29" s="1"/>
  <c r="P131" i="29" s="1"/>
  <c r="M115" i="29"/>
  <c r="P115" i="29" s="1"/>
  <c r="E127" i="29"/>
  <c r="M127" i="29" s="1"/>
  <c r="P127" i="29" s="1"/>
  <c r="M117" i="29"/>
  <c r="P117" i="29" s="1"/>
  <c r="E129" i="29"/>
  <c r="M129" i="29" s="1"/>
  <c r="P129" i="29" s="1"/>
  <c r="M113" i="29"/>
  <c r="P113" i="29" s="1"/>
  <c r="E125" i="29"/>
  <c r="M125" i="29" s="1"/>
  <c r="P125" i="29" s="1"/>
  <c r="E136" i="31"/>
  <c r="L136" i="31" s="1"/>
  <c r="O136" i="31" s="1"/>
  <c r="L124" i="31"/>
  <c r="O124" i="31" s="1"/>
  <c r="E140" i="31"/>
  <c r="L140" i="31" s="1"/>
  <c r="O140" i="31" s="1"/>
  <c r="L128" i="31"/>
  <c r="O128" i="31" s="1"/>
  <c r="E134" i="31"/>
  <c r="L134" i="31" s="1"/>
  <c r="O134" i="31" s="1"/>
  <c r="L122" i="31"/>
  <c r="O122" i="31" s="1"/>
  <c r="E142" i="31"/>
  <c r="L142" i="31" s="1"/>
  <c r="O142" i="31" s="1"/>
  <c r="L130" i="31"/>
  <c r="O130" i="31" s="1"/>
  <c r="E143" i="31"/>
  <c r="L143" i="31" s="1"/>
  <c r="O143" i="31" s="1"/>
  <c r="L131" i="31"/>
  <c r="O131" i="31" s="1"/>
  <c r="E139" i="31"/>
  <c r="L139" i="31" s="1"/>
  <c r="O139" i="31" s="1"/>
  <c r="L127" i="31"/>
  <c r="O127" i="31" s="1"/>
  <c r="E138" i="31"/>
  <c r="L138" i="31" s="1"/>
  <c r="O138" i="31" s="1"/>
  <c r="L126" i="31"/>
  <c r="O126" i="31" s="1"/>
  <c r="E121" i="31"/>
  <c r="L109" i="31"/>
  <c r="O109" i="31" s="1"/>
  <c r="AC13" i="8" s="1"/>
  <c r="L123" i="31"/>
  <c r="O123" i="31" s="1"/>
  <c r="E135" i="31"/>
  <c r="L135" i="31" s="1"/>
  <c r="O135" i="31" s="1"/>
  <c r="E141" i="31"/>
  <c r="L141" i="31" s="1"/>
  <c r="O141" i="31" s="1"/>
  <c r="L129" i="31"/>
  <c r="O129" i="31" s="1"/>
  <c r="E137" i="31"/>
  <c r="L137" i="31" s="1"/>
  <c r="O137" i="31" s="1"/>
  <c r="L125" i="31"/>
  <c r="O125" i="31" s="1"/>
  <c r="E132" i="31"/>
  <c r="L120" i="31"/>
  <c r="O120" i="31" s="1"/>
  <c r="E109" i="28"/>
  <c r="L109" i="28" s="1"/>
  <c r="P109" i="28" s="1"/>
  <c r="Q97" i="28"/>
  <c r="R97" i="28" s="1"/>
  <c r="E126" i="28"/>
  <c r="L126" i="28" s="1"/>
  <c r="P126" i="28" s="1"/>
  <c r="Q126" i="28" s="1"/>
  <c r="Q114" i="28"/>
  <c r="R114" i="28" s="1"/>
  <c r="E126" i="27"/>
  <c r="K126" i="27" s="1"/>
  <c r="N126" i="27" s="1"/>
  <c r="E127" i="27"/>
  <c r="K127" i="27" s="1"/>
  <c r="N127" i="27" s="1"/>
  <c r="E120" i="28"/>
  <c r="L120" i="28" s="1"/>
  <c r="P120" i="28" s="1"/>
  <c r="Q108" i="28"/>
  <c r="R108" i="28" s="1"/>
  <c r="Q117" i="28"/>
  <c r="R117" i="28" s="1"/>
  <c r="E129" i="28"/>
  <c r="L129" i="28" s="1"/>
  <c r="P129" i="28" s="1"/>
  <c r="Q129" i="28" s="1"/>
  <c r="R11" i="30"/>
  <c r="T11" i="30" s="1"/>
  <c r="V11" i="30" s="1"/>
  <c r="E124" i="27"/>
  <c r="K124" i="27" s="1"/>
  <c r="N124" i="27" s="1"/>
  <c r="Q119" i="28"/>
  <c r="R119" i="28" s="1"/>
  <c r="E131" i="28"/>
  <c r="L131" i="28" s="1"/>
  <c r="P131" i="28" s="1"/>
  <c r="Q131" i="28" s="1"/>
  <c r="E120" i="27"/>
  <c r="K120" i="27" s="1"/>
  <c r="N120" i="27" s="1"/>
  <c r="E122" i="28"/>
  <c r="L122" i="28" s="1"/>
  <c r="P122" i="28" s="1"/>
  <c r="Q122" i="28" s="1"/>
  <c r="E122" i="27"/>
  <c r="K122" i="27" s="1"/>
  <c r="N122" i="27" s="1"/>
  <c r="E127" i="28"/>
  <c r="L127" i="28" s="1"/>
  <c r="P127" i="28" s="1"/>
  <c r="Q127" i="28" s="1"/>
  <c r="Q115" i="28"/>
  <c r="R115" i="28" s="1"/>
  <c r="Q98" i="28"/>
  <c r="R98" i="28" s="1"/>
  <c r="E130" i="28"/>
  <c r="L130" i="28" s="1"/>
  <c r="P130" i="28" s="1"/>
  <c r="Q130" i="28" s="1"/>
  <c r="Q118" i="28"/>
  <c r="R118" i="28" s="1"/>
  <c r="E130" i="27"/>
  <c r="K130" i="27" s="1"/>
  <c r="N130" i="27" s="1"/>
  <c r="E123" i="27"/>
  <c r="K123" i="27" s="1"/>
  <c r="N123" i="27" s="1"/>
  <c r="E129" i="27"/>
  <c r="K129" i="27" s="1"/>
  <c r="N129" i="27" s="1"/>
  <c r="Q113" i="28"/>
  <c r="R113" i="28" s="1"/>
  <c r="E125" i="28"/>
  <c r="L125" i="28" s="1"/>
  <c r="P125" i="28" s="1"/>
  <c r="Q125" i="28" s="1"/>
  <c r="Q112" i="28"/>
  <c r="R112" i="28" s="1"/>
  <c r="E124" i="28"/>
  <c r="L124" i="28" s="1"/>
  <c r="P124" i="28" s="1"/>
  <c r="Q124" i="28" s="1"/>
  <c r="E128" i="27"/>
  <c r="K128" i="27" s="1"/>
  <c r="N128" i="27" s="1"/>
  <c r="R12" i="30"/>
  <c r="T12" i="30" s="1"/>
  <c r="V12" i="30" s="1"/>
  <c r="E109" i="29"/>
  <c r="M109" i="29" s="1"/>
  <c r="P109" i="29" s="1"/>
  <c r="AC12" i="30"/>
  <c r="AE12" i="30" s="1"/>
  <c r="AG12" i="30" s="1"/>
  <c r="C22" i="6" s="1"/>
  <c r="D22" i="6" s="1"/>
  <c r="E125" i="27"/>
  <c r="K125" i="27" s="1"/>
  <c r="N125" i="27" s="1"/>
  <c r="E123" i="28"/>
  <c r="L123" i="28" s="1"/>
  <c r="P123" i="28" s="1"/>
  <c r="Q123" i="28" s="1"/>
  <c r="Q111" i="28"/>
  <c r="R111" i="28" s="1"/>
  <c r="E131" i="27"/>
  <c r="K131" i="27" s="1"/>
  <c r="N131" i="27" s="1"/>
  <c r="E109" i="27"/>
  <c r="K109" i="27" s="1"/>
  <c r="N109" i="27" s="1"/>
  <c r="G12" i="30"/>
  <c r="I12" i="30" s="1"/>
  <c r="K12" i="30" s="1"/>
  <c r="E120" i="29"/>
  <c r="M120" i="29" s="1"/>
  <c r="P120" i="29" s="1"/>
  <c r="E128" i="28"/>
  <c r="L128" i="28" s="1"/>
  <c r="P128" i="28" s="1"/>
  <c r="Q128" i="28" s="1"/>
  <c r="Q116" i="28"/>
  <c r="R116" i="28" s="1"/>
  <c r="H127" i="28"/>
  <c r="G126" i="20"/>
  <c r="M126" i="20" s="1"/>
  <c r="U15" i="8"/>
  <c r="D15" i="26"/>
  <c r="D48" i="24"/>
  <c r="R11" i="8"/>
  <c r="T11" i="8" s="1"/>
  <c r="V11" i="8" s="1"/>
  <c r="AE12" i="8"/>
  <c r="AG12" i="8" s="1"/>
  <c r="P98" i="20"/>
  <c r="Q98" i="20" s="1"/>
  <c r="G12" i="8"/>
  <c r="I12" i="8" s="1"/>
  <c r="K12" i="8" s="1"/>
  <c r="E125" i="20"/>
  <c r="K113" i="20"/>
  <c r="O113" i="20" s="1"/>
  <c r="P113" i="20" s="1"/>
  <c r="Q113" i="20" s="1"/>
  <c r="E128" i="20"/>
  <c r="K116" i="20"/>
  <c r="O116" i="20" s="1"/>
  <c r="P116" i="20" s="1"/>
  <c r="Q116" i="20" s="1"/>
  <c r="K111" i="20"/>
  <c r="O111" i="20" s="1"/>
  <c r="P111" i="20" s="1"/>
  <c r="Q111" i="20" s="1"/>
  <c r="E123" i="20"/>
  <c r="E126" i="20"/>
  <c r="K114" i="20"/>
  <c r="O114" i="20" s="1"/>
  <c r="P114" i="20" s="1"/>
  <c r="Q114" i="20" s="1"/>
  <c r="K112" i="20"/>
  <c r="O112" i="20" s="1"/>
  <c r="P112" i="20" s="1"/>
  <c r="Q112" i="20" s="1"/>
  <c r="E124" i="20"/>
  <c r="K97" i="20"/>
  <c r="O97" i="20" s="1"/>
  <c r="P97" i="20" s="1"/>
  <c r="Q97" i="20" s="1"/>
  <c r="E109" i="20"/>
  <c r="E130" i="20"/>
  <c r="K118" i="20"/>
  <c r="O118" i="20" s="1"/>
  <c r="P118" i="20" s="1"/>
  <c r="Q118" i="20" s="1"/>
  <c r="E129" i="20"/>
  <c r="K117" i="20"/>
  <c r="O117" i="20" s="1"/>
  <c r="P117" i="20" s="1"/>
  <c r="Q117" i="20" s="1"/>
  <c r="E127" i="20"/>
  <c r="K115" i="20"/>
  <c r="O115" i="20" s="1"/>
  <c r="P115" i="20" s="1"/>
  <c r="Q115" i="20" s="1"/>
  <c r="E120" i="20"/>
  <c r="K108" i="20"/>
  <c r="O108" i="20" s="1"/>
  <c r="P108" i="20" s="1"/>
  <c r="Q108" i="20" s="1"/>
  <c r="K110" i="20"/>
  <c r="O110" i="20" s="1"/>
  <c r="E122" i="20"/>
  <c r="E131" i="20"/>
  <c r="K119" i="20"/>
  <c r="O119" i="20" s="1"/>
  <c r="P119" i="20" s="1"/>
  <c r="Q119" i="20" s="1"/>
  <c r="E142" i="19"/>
  <c r="J142" i="19" s="1"/>
  <c r="M142" i="19" s="1"/>
  <c r="J130" i="19"/>
  <c r="M130" i="19" s="1"/>
  <c r="E140" i="19"/>
  <c r="J140" i="19" s="1"/>
  <c r="M140" i="19" s="1"/>
  <c r="J128" i="19"/>
  <c r="M128" i="19" s="1"/>
  <c r="E122" i="19"/>
  <c r="J110" i="19"/>
  <c r="M110" i="19" s="1"/>
  <c r="E139" i="19"/>
  <c r="J139" i="19" s="1"/>
  <c r="M139" i="19" s="1"/>
  <c r="J127" i="19"/>
  <c r="M127" i="19" s="1"/>
  <c r="E135" i="19"/>
  <c r="J135" i="19" s="1"/>
  <c r="M135" i="19" s="1"/>
  <c r="J123" i="19"/>
  <c r="M123" i="19" s="1"/>
  <c r="E137" i="19"/>
  <c r="J137" i="19" s="1"/>
  <c r="M137" i="19" s="1"/>
  <c r="J125" i="19"/>
  <c r="M125" i="19" s="1"/>
  <c r="E136" i="19"/>
  <c r="J136" i="19" s="1"/>
  <c r="M136" i="19" s="1"/>
  <c r="J124" i="19"/>
  <c r="M124" i="19" s="1"/>
  <c r="J109" i="19"/>
  <c r="M109" i="19" s="1"/>
  <c r="E121" i="19"/>
  <c r="E143" i="19"/>
  <c r="J143" i="19" s="1"/>
  <c r="M143" i="19" s="1"/>
  <c r="J131" i="19"/>
  <c r="M131" i="19" s="1"/>
  <c r="E138" i="19"/>
  <c r="J138" i="19" s="1"/>
  <c r="M138" i="19" s="1"/>
  <c r="J126" i="19"/>
  <c r="M126" i="19" s="1"/>
  <c r="E132" i="19"/>
  <c r="J120" i="19"/>
  <c r="M120" i="19" s="1"/>
  <c r="E141" i="19"/>
  <c r="J141" i="19" s="1"/>
  <c r="M141" i="19" s="1"/>
  <c r="J129" i="19"/>
  <c r="M129" i="19" s="1"/>
  <c r="L121" i="31" l="1"/>
  <c r="O121" i="31" s="1"/>
  <c r="AC14" i="8" s="1"/>
  <c r="E133" i="31"/>
  <c r="L132" i="31"/>
  <c r="O132" i="31" s="1"/>
  <c r="E144" i="31"/>
  <c r="L144" i="31" s="1"/>
  <c r="O144" i="31" s="1"/>
  <c r="E140" i="28"/>
  <c r="L140" i="28" s="1"/>
  <c r="E121" i="29"/>
  <c r="M121" i="29" s="1"/>
  <c r="P121" i="29" s="1"/>
  <c r="AC13" i="30"/>
  <c r="AE13" i="30" s="1"/>
  <c r="AG13" i="30" s="1"/>
  <c r="C23" i="6" s="1"/>
  <c r="D23" i="6" s="1"/>
  <c r="E134" i="28"/>
  <c r="L134" i="28" s="1"/>
  <c r="E141" i="29"/>
  <c r="M141" i="29" s="1"/>
  <c r="P141" i="29" s="1"/>
  <c r="E138" i="29"/>
  <c r="M138" i="29" s="1"/>
  <c r="P138" i="29" s="1"/>
  <c r="Q110" i="28"/>
  <c r="R110" i="28" s="1"/>
  <c r="E141" i="28"/>
  <c r="L141" i="28" s="1"/>
  <c r="E132" i="29"/>
  <c r="E136" i="29"/>
  <c r="M136" i="29" s="1"/>
  <c r="P136" i="29" s="1"/>
  <c r="E140" i="29"/>
  <c r="M140" i="29" s="1"/>
  <c r="P140" i="29" s="1"/>
  <c r="E135" i="27"/>
  <c r="K135" i="27" s="1"/>
  <c r="N135" i="27" s="1"/>
  <c r="E132" i="27"/>
  <c r="E132" i="28"/>
  <c r="Q120" i="28"/>
  <c r="R120" i="28" s="1"/>
  <c r="E134" i="29"/>
  <c r="M134" i="29" s="1"/>
  <c r="P134" i="29" s="1"/>
  <c r="E142" i="27"/>
  <c r="K142" i="27" s="1"/>
  <c r="N142" i="27" s="1"/>
  <c r="E137" i="29"/>
  <c r="M137" i="29" s="1"/>
  <c r="P137" i="29" s="1"/>
  <c r="E143" i="28"/>
  <c r="L143" i="28" s="1"/>
  <c r="E139" i="27"/>
  <c r="K139" i="27" s="1"/>
  <c r="N139" i="27" s="1"/>
  <c r="E142" i="29"/>
  <c r="M142" i="29" s="1"/>
  <c r="P142" i="29" s="1"/>
  <c r="E141" i="27"/>
  <c r="K141" i="27" s="1"/>
  <c r="N141" i="27" s="1"/>
  <c r="E121" i="27"/>
  <c r="K121" i="27" s="1"/>
  <c r="N121" i="27" s="1"/>
  <c r="E135" i="29"/>
  <c r="M135" i="29" s="1"/>
  <c r="P135" i="29" s="1"/>
  <c r="E140" i="27"/>
  <c r="K140" i="27" s="1"/>
  <c r="N140" i="27" s="1"/>
  <c r="E142" i="28"/>
  <c r="L142" i="28" s="1"/>
  <c r="E139" i="29"/>
  <c r="M139" i="29" s="1"/>
  <c r="P139" i="29" s="1"/>
  <c r="E136" i="28"/>
  <c r="L136" i="28" s="1"/>
  <c r="E138" i="27"/>
  <c r="K138" i="27" s="1"/>
  <c r="N138" i="27" s="1"/>
  <c r="E136" i="27"/>
  <c r="K136" i="27" s="1"/>
  <c r="N136" i="27" s="1"/>
  <c r="E138" i="28"/>
  <c r="L138" i="28" s="1"/>
  <c r="E137" i="28"/>
  <c r="L137" i="28" s="1"/>
  <c r="E139" i="28"/>
  <c r="L139" i="28" s="1"/>
  <c r="E143" i="27"/>
  <c r="K143" i="27" s="1"/>
  <c r="N143" i="27" s="1"/>
  <c r="E135" i="28"/>
  <c r="L135" i="28" s="1"/>
  <c r="E137" i="27"/>
  <c r="K137" i="27" s="1"/>
  <c r="N137" i="27" s="1"/>
  <c r="E134" i="27"/>
  <c r="K134" i="27" s="1"/>
  <c r="N134" i="27" s="1"/>
  <c r="E143" i="29"/>
  <c r="M143" i="29" s="1"/>
  <c r="P143" i="29" s="1"/>
  <c r="E121" i="28"/>
  <c r="L121" i="28" s="1"/>
  <c r="P121" i="28" s="1"/>
  <c r="H128" i="28"/>
  <c r="G127" i="20"/>
  <c r="M127" i="20" s="1"/>
  <c r="AE13" i="8"/>
  <c r="AG13" i="8" s="1"/>
  <c r="P110" i="20"/>
  <c r="Q110" i="20" s="1"/>
  <c r="R12" i="8"/>
  <c r="T12" i="8" s="1"/>
  <c r="V12" i="8" s="1"/>
  <c r="G13" i="8"/>
  <c r="I13" i="8" s="1"/>
  <c r="K13" i="8" s="1"/>
  <c r="E142" i="20"/>
  <c r="K142" i="20" s="1"/>
  <c r="K130" i="20"/>
  <c r="E141" i="20"/>
  <c r="K141" i="20" s="1"/>
  <c r="K129" i="20"/>
  <c r="E138" i="20"/>
  <c r="K138" i="20" s="1"/>
  <c r="K126" i="20"/>
  <c r="O126" i="20" s="1"/>
  <c r="E134" i="20"/>
  <c r="K134" i="20" s="1"/>
  <c r="K122" i="20"/>
  <c r="O122" i="20" s="1"/>
  <c r="K120" i="20"/>
  <c r="O120" i="20" s="1"/>
  <c r="P120" i="20" s="1"/>
  <c r="Q120" i="20" s="1"/>
  <c r="E132" i="20"/>
  <c r="E140" i="20"/>
  <c r="K140" i="20" s="1"/>
  <c r="K128" i="20"/>
  <c r="K109" i="20"/>
  <c r="O109" i="20" s="1"/>
  <c r="P109" i="20" s="1"/>
  <c r="Q109" i="20" s="1"/>
  <c r="E121" i="20"/>
  <c r="E135" i="20"/>
  <c r="K135" i="20" s="1"/>
  <c r="K123" i="20"/>
  <c r="O123" i="20" s="1"/>
  <c r="E136" i="20"/>
  <c r="K136" i="20" s="1"/>
  <c r="K124" i="20"/>
  <c r="O124" i="20" s="1"/>
  <c r="E143" i="20"/>
  <c r="K143" i="20" s="1"/>
  <c r="K131" i="20"/>
  <c r="E139" i="20"/>
  <c r="K139" i="20" s="1"/>
  <c r="K127" i="20"/>
  <c r="E137" i="20"/>
  <c r="K137" i="20" s="1"/>
  <c r="K125" i="20"/>
  <c r="O125" i="20" s="1"/>
  <c r="E133" i="19"/>
  <c r="J121" i="19"/>
  <c r="M121" i="19" s="1"/>
  <c r="E134" i="19"/>
  <c r="J134" i="19" s="1"/>
  <c r="M134" i="19" s="1"/>
  <c r="J122" i="19"/>
  <c r="M122" i="19" s="1"/>
  <c r="E144" i="19"/>
  <c r="J144" i="19" s="1"/>
  <c r="M144" i="19" s="1"/>
  <c r="J132" i="19"/>
  <c r="M132" i="19" s="1"/>
  <c r="O127" i="20" l="1"/>
  <c r="E145" i="31"/>
  <c r="L145" i="31" s="1"/>
  <c r="O145" i="31" s="1"/>
  <c r="AC16" i="8" s="1"/>
  <c r="L133" i="31"/>
  <c r="O133" i="31" s="1"/>
  <c r="AC15" i="8" s="1"/>
  <c r="E133" i="27"/>
  <c r="G14" i="30"/>
  <c r="I14" i="30" s="1"/>
  <c r="K14" i="30" s="1"/>
  <c r="K132" i="27"/>
  <c r="N132" i="27" s="1"/>
  <c r="E144" i="27"/>
  <c r="K144" i="27" s="1"/>
  <c r="N144" i="27" s="1"/>
  <c r="E144" i="28"/>
  <c r="L144" i="28" s="1"/>
  <c r="L132" i="28"/>
  <c r="Q109" i="28"/>
  <c r="R109" i="28" s="1"/>
  <c r="R13" i="30"/>
  <c r="T13" i="30" s="1"/>
  <c r="V13" i="30" s="1"/>
  <c r="E133" i="29"/>
  <c r="AC14" i="30"/>
  <c r="AE14" i="30" s="1"/>
  <c r="AG14" i="30" s="1"/>
  <c r="Q121" i="28"/>
  <c r="R121" i="28" s="1"/>
  <c r="E133" i="28"/>
  <c r="E144" i="29"/>
  <c r="M144" i="29" s="1"/>
  <c r="P144" i="29" s="1"/>
  <c r="M132" i="29"/>
  <c r="P132" i="29" s="1"/>
  <c r="H129" i="28"/>
  <c r="G128" i="20"/>
  <c r="AE14" i="8"/>
  <c r="AG14" i="8" s="1"/>
  <c r="R13" i="8"/>
  <c r="T13" i="8" s="1"/>
  <c r="V13" i="8" s="1"/>
  <c r="G14" i="8"/>
  <c r="I14" i="8" s="1"/>
  <c r="K14" i="8" s="1"/>
  <c r="E133" i="20"/>
  <c r="K121" i="20"/>
  <c r="O121" i="20" s="1"/>
  <c r="P121" i="20" s="1"/>
  <c r="Q121" i="20" s="1"/>
  <c r="Q122" i="20" s="1"/>
  <c r="E144" i="20"/>
  <c r="K144" i="20" s="1"/>
  <c r="K132" i="20"/>
  <c r="E145" i="19"/>
  <c r="J145" i="19" s="1"/>
  <c r="M145" i="19" s="1"/>
  <c r="J133" i="19"/>
  <c r="M133" i="19" s="1"/>
  <c r="G15" i="8" s="1"/>
  <c r="I15" i="8" s="1"/>
  <c r="J5" i="33" l="1"/>
  <c r="J17" i="34"/>
  <c r="J3" i="33"/>
  <c r="J15" i="34"/>
  <c r="M128" i="20"/>
  <c r="O128" i="20" s="1"/>
  <c r="J3" i="9"/>
  <c r="J5" i="9"/>
  <c r="C24" i="6"/>
  <c r="R14" i="30"/>
  <c r="T14" i="30" s="1"/>
  <c r="V14" i="30" s="1"/>
  <c r="L133" i="28"/>
  <c r="E145" i="28"/>
  <c r="L145" i="28" s="1"/>
  <c r="R122" i="28"/>
  <c r="E145" i="27"/>
  <c r="K145" i="27" s="1"/>
  <c r="N145" i="27" s="1"/>
  <c r="K133" i="27"/>
  <c r="N133" i="27" s="1"/>
  <c r="G15" i="30" s="1"/>
  <c r="I15" i="30" s="1"/>
  <c r="K15" i="30" s="1"/>
  <c r="K3" i="33" s="1"/>
  <c r="E145" i="29"/>
  <c r="M145" i="29" s="1"/>
  <c r="P145" i="29" s="1"/>
  <c r="M133" i="29"/>
  <c r="P133" i="29" s="1"/>
  <c r="H130" i="28"/>
  <c r="G129" i="20"/>
  <c r="AE15" i="8"/>
  <c r="AG15" i="8" s="1"/>
  <c r="K17" i="34" s="1"/>
  <c r="K15" i="8"/>
  <c r="K15" i="34" s="1"/>
  <c r="AE16" i="8"/>
  <c r="AG16" i="8" s="1"/>
  <c r="L17" i="34" s="1"/>
  <c r="C26" i="34" s="1"/>
  <c r="E26" i="34" s="1"/>
  <c r="C6" i="34" s="1"/>
  <c r="R14" i="8"/>
  <c r="T14" i="8" s="1"/>
  <c r="V14" i="8" s="1"/>
  <c r="G16" i="8"/>
  <c r="I16" i="8" s="1"/>
  <c r="E145" i="20"/>
  <c r="K145" i="20" s="1"/>
  <c r="K133" i="20"/>
  <c r="J4" i="33" l="1"/>
  <c r="J16" i="34"/>
  <c r="J20" i="34" s="1"/>
  <c r="C25" i="6"/>
  <c r="K3" i="9"/>
  <c r="M129" i="20"/>
  <c r="O129" i="20" s="1"/>
  <c r="D24" i="6"/>
  <c r="J33" i="34" s="1"/>
  <c r="J35" i="34" s="1"/>
  <c r="J4" i="9"/>
  <c r="H20" i="12"/>
  <c r="J20" i="12" s="1"/>
  <c r="C26" i="6"/>
  <c r="AC7" i="30"/>
  <c r="AE7" i="30" s="1"/>
  <c r="AG7" i="30" s="1"/>
  <c r="AC8" i="30"/>
  <c r="AE8" i="30" s="1"/>
  <c r="AG8" i="30" s="1"/>
  <c r="AC11" i="30"/>
  <c r="AE11" i="30" s="1"/>
  <c r="AG11" i="30" s="1"/>
  <c r="C21" i="6" s="1"/>
  <c r="D21" i="6" s="1"/>
  <c r="G5" i="30"/>
  <c r="I5" i="30" s="1"/>
  <c r="K5" i="30" s="1"/>
  <c r="G6" i="30"/>
  <c r="I6" i="30" s="1"/>
  <c r="K6" i="30" s="1"/>
  <c r="G7" i="30"/>
  <c r="I7" i="30" s="1"/>
  <c r="K7" i="30" s="1"/>
  <c r="G9" i="30"/>
  <c r="I9" i="30" s="1"/>
  <c r="K9" i="30" s="1"/>
  <c r="G13" i="30"/>
  <c r="I13" i="30" s="1"/>
  <c r="K13" i="30" s="1"/>
  <c r="G16" i="30"/>
  <c r="I16" i="30" s="1"/>
  <c r="AC16" i="30"/>
  <c r="AE16" i="30" s="1"/>
  <c r="AG16" i="30" s="1"/>
  <c r="L5" i="33" s="1"/>
  <c r="C14" i="33" s="1"/>
  <c r="E14" i="33" s="1"/>
  <c r="AC15" i="30"/>
  <c r="AE15" i="30" s="1"/>
  <c r="AG15" i="30" s="1"/>
  <c r="K5" i="33" s="1"/>
  <c r="H131" i="28"/>
  <c r="G130" i="20"/>
  <c r="C20" i="12"/>
  <c r="E20" i="12" s="1"/>
  <c r="K5" i="9"/>
  <c r="L5" i="9"/>
  <c r="C14" i="9" s="1"/>
  <c r="J8" i="33" l="1"/>
  <c r="K14" i="33"/>
  <c r="J14" i="33"/>
  <c r="C44" i="33"/>
  <c r="J21" i="9"/>
  <c r="J23" i="9" s="1"/>
  <c r="J21" i="33"/>
  <c r="E14" i="9"/>
  <c r="J8" i="9"/>
  <c r="M130" i="20"/>
  <c r="O130" i="20" s="1"/>
  <c r="D26" i="6"/>
  <c r="L33" i="34" s="1"/>
  <c r="D25" i="6"/>
  <c r="K33" i="34" s="1"/>
  <c r="K35" i="34" s="1"/>
  <c r="H132" i="28"/>
  <c r="N132" i="28" s="1"/>
  <c r="P132" i="28" s="1"/>
  <c r="G131" i="20"/>
  <c r="C22" i="12"/>
  <c r="E22" i="12"/>
  <c r="J23" i="33" l="1"/>
  <c r="C44" i="9"/>
  <c r="C39" i="34"/>
  <c r="G25" i="6"/>
  <c r="K21" i="33"/>
  <c r="K23" i="33" s="1"/>
  <c r="G26" i="6"/>
  <c r="L21" i="33"/>
  <c r="M131" i="20"/>
  <c r="O131" i="20" s="1"/>
  <c r="K21" i="9"/>
  <c r="L21" i="9"/>
  <c r="H133" i="28"/>
  <c r="N133" i="28" s="1"/>
  <c r="P133" i="28" s="1"/>
  <c r="R15" i="30" s="1"/>
  <c r="T15" i="30" s="1"/>
  <c r="V15" i="30" s="1"/>
  <c r="K4" i="33" s="1"/>
  <c r="G132" i="20"/>
  <c r="F20" i="12" l="1"/>
  <c r="F22" i="12" s="1"/>
  <c r="K20" i="12"/>
  <c r="K22" i="12" s="1"/>
  <c r="C27" i="33"/>
  <c r="K23" i="9"/>
  <c r="M132" i="20"/>
  <c r="O132" i="20" s="1"/>
  <c r="C27" i="9"/>
  <c r="G133" i="20"/>
  <c r="G20" i="12" l="1"/>
  <c r="N20" i="12" s="1"/>
  <c r="L20" i="12"/>
  <c r="O20" i="12" s="1"/>
  <c r="M133" i="20"/>
  <c r="O133" i="20" s="1"/>
  <c r="R15" i="8" s="1"/>
  <c r="T15" i="8" s="1"/>
  <c r="V15" i="8" s="1"/>
  <c r="K16" i="34" s="1"/>
  <c r="K20" i="34" s="1"/>
  <c r="D27" i="9" l="1"/>
  <c r="D29" i="9" s="1"/>
  <c r="D39" i="34"/>
  <c r="D27" i="33"/>
  <c r="D29" i="33" s="1"/>
  <c r="L22" i="12"/>
  <c r="G22" i="12"/>
  <c r="K4" i="9"/>
  <c r="K8" i="33"/>
  <c r="E27" i="9" l="1"/>
  <c r="D41" i="34"/>
  <c r="E39" i="34"/>
  <c r="E27" i="33"/>
  <c r="D44" i="33" s="1"/>
  <c r="K8" i="9"/>
  <c r="D44" i="9" l="1"/>
  <c r="D6" i="34"/>
  <c r="G18" i="7" l="1"/>
  <c r="J34" i="33" l="1"/>
  <c r="J34" i="9"/>
  <c r="J46" i="34"/>
  <c r="H18" i="7"/>
  <c r="G15" i="7"/>
  <c r="P49" i="7"/>
  <c r="O18" i="7"/>
  <c r="P50" i="7"/>
  <c r="P51" i="7"/>
  <c r="P52" i="7"/>
  <c r="P53" i="7"/>
  <c r="P54" i="7"/>
  <c r="P55" i="7"/>
  <c r="P56" i="7"/>
  <c r="P57" i="7"/>
  <c r="J36" i="9" l="1"/>
  <c r="J36" i="33"/>
  <c r="J48" i="34"/>
  <c r="P18" i="7"/>
  <c r="O15" i="7"/>
  <c r="T49" i="7"/>
  <c r="S18" i="7"/>
  <c r="T50" i="7"/>
  <c r="T51" i="7"/>
  <c r="T52" i="7"/>
  <c r="T53" i="7"/>
  <c r="T54" i="7"/>
  <c r="T55" i="7"/>
  <c r="T56" i="7"/>
  <c r="T57" i="7"/>
  <c r="J49" i="34" l="1"/>
  <c r="J37" i="9"/>
  <c r="J37" i="33"/>
  <c r="T18" i="7"/>
  <c r="S15" i="7"/>
  <c r="AK16" i="8"/>
  <c r="AM16" i="8" s="1"/>
  <c r="AK16" i="30"/>
  <c r="AM16" i="30" s="1"/>
  <c r="L6" i="33" s="1"/>
  <c r="C15" i="33" s="1"/>
  <c r="E15" i="33" s="1"/>
  <c r="G23" i="24"/>
  <c r="G27" i="24" s="1"/>
  <c r="H134" i="28"/>
  <c r="N134" i="28" s="1"/>
  <c r="P134" i="28" s="1"/>
  <c r="G134" i="20"/>
  <c r="M134" i="20" s="1"/>
  <c r="O134" i="20" s="1"/>
  <c r="AQ16" i="30" l="1"/>
  <c r="AS16" i="30" s="1"/>
  <c r="L7" i="33" s="1"/>
  <c r="C16" i="33" s="1"/>
  <c r="E16" i="33" s="1"/>
  <c r="AQ16" i="8"/>
  <c r="AS16" i="8" s="1"/>
  <c r="L18" i="34"/>
  <c r="C27" i="34" s="1"/>
  <c r="E27" i="34" s="1"/>
  <c r="C7" i="34" s="1"/>
  <c r="J26" i="6"/>
  <c r="K26" i="6" s="1"/>
  <c r="H21" i="12"/>
  <c r="L6" i="9"/>
  <c r="C15" i="9" s="1"/>
  <c r="E15" i="9" s="1"/>
  <c r="C45" i="9" s="1"/>
  <c r="K15" i="33"/>
  <c r="C45" i="33"/>
  <c r="J15" i="33"/>
  <c r="H135" i="28"/>
  <c r="N135" i="28" s="1"/>
  <c r="P135" i="28" s="1"/>
  <c r="G135" i="20"/>
  <c r="M135" i="20" s="1"/>
  <c r="O135" i="20" s="1"/>
  <c r="G26" i="24"/>
  <c r="G28" i="24" s="1"/>
  <c r="G30" i="24" s="1"/>
  <c r="L7" i="9" l="1"/>
  <c r="C16" i="9" s="1"/>
  <c r="E16" i="9" s="1"/>
  <c r="C46" i="9" s="1"/>
  <c r="L19" i="34"/>
  <c r="C28" i="34" s="1"/>
  <c r="E28" i="34" s="1"/>
  <c r="C8" i="34" s="1"/>
  <c r="J16" i="33"/>
  <c r="C46" i="33"/>
  <c r="K16" i="33"/>
  <c r="L34" i="34"/>
  <c r="L22" i="9"/>
  <c r="L22" i="33"/>
  <c r="J21" i="12"/>
  <c r="J22" i="12" s="1"/>
  <c r="H22" i="12"/>
  <c r="G38" i="24"/>
  <c r="J30" i="24"/>
  <c r="E9" i="26" s="1"/>
  <c r="H136" i="28"/>
  <c r="N136" i="28" s="1"/>
  <c r="P136" i="28" s="1"/>
  <c r="G136" i="20"/>
  <c r="M136" i="20" s="1"/>
  <c r="O136" i="20" s="1"/>
  <c r="C28" i="9" l="1"/>
  <c r="L23" i="9"/>
  <c r="C28" i="33"/>
  <c r="L23" i="33"/>
  <c r="C40" i="34"/>
  <c r="L35" i="34"/>
  <c r="E13" i="26"/>
  <c r="H137" i="28"/>
  <c r="N137" i="28" s="1"/>
  <c r="P137" i="28" s="1"/>
  <c r="G137" i="20"/>
  <c r="M137" i="20" s="1"/>
  <c r="O137" i="20" s="1"/>
  <c r="H39" i="24"/>
  <c r="G40" i="24"/>
  <c r="G41" i="24" s="1"/>
  <c r="E47" i="24" s="1"/>
  <c r="E40" i="34" l="1"/>
  <c r="C41" i="34"/>
  <c r="E28" i="33"/>
  <c r="C29" i="33"/>
  <c r="E28" i="9"/>
  <c r="C29" i="9"/>
  <c r="F47" i="24"/>
  <c r="H138" i="28"/>
  <c r="N138" i="28" s="1"/>
  <c r="P138" i="28" s="1"/>
  <c r="G138" i="20"/>
  <c r="M138" i="20" s="1"/>
  <c r="O138" i="20" s="1"/>
  <c r="U16" i="30"/>
  <c r="U16" i="8"/>
  <c r="D45" i="9" l="1"/>
  <c r="E29" i="9"/>
  <c r="D45" i="33"/>
  <c r="D47" i="33" s="1"/>
  <c r="E29" i="33"/>
  <c r="D7" i="34"/>
  <c r="D9" i="34" s="1"/>
  <c r="E41" i="34"/>
  <c r="H139" i="28"/>
  <c r="N139" i="28" s="1"/>
  <c r="P139" i="28" s="1"/>
  <c r="G139" i="20"/>
  <c r="M139" i="20" s="1"/>
  <c r="O139" i="20" s="1"/>
  <c r="D47" i="9" l="1"/>
  <c r="H140" i="28"/>
  <c r="N140" i="28" s="1"/>
  <c r="P140" i="28" s="1"/>
  <c r="G140" i="20"/>
  <c r="M140" i="20" s="1"/>
  <c r="O140" i="20" s="1"/>
  <c r="H141" i="28" l="1"/>
  <c r="N141" i="28" s="1"/>
  <c r="P141" i="28" s="1"/>
  <c r="G141" i="20"/>
  <c r="M141" i="20" s="1"/>
  <c r="O141" i="20" s="1"/>
  <c r="H142" i="28" l="1"/>
  <c r="N142" i="28" s="1"/>
  <c r="P142" i="28" s="1"/>
  <c r="G142" i="20"/>
  <c r="M142" i="20" s="1"/>
  <c r="O142" i="20" s="1"/>
  <c r="H143" i="28" l="1"/>
  <c r="N143" i="28" s="1"/>
  <c r="P143" i="28" s="1"/>
  <c r="G143" i="20"/>
  <c r="M143" i="20" s="1"/>
  <c r="O143" i="20" s="1"/>
  <c r="H144" i="28" l="1"/>
  <c r="N144" i="28" s="1"/>
  <c r="P144" i="28" s="1"/>
  <c r="G144" i="20"/>
  <c r="M144" i="20" s="1"/>
  <c r="O144" i="20" s="1"/>
  <c r="V124" i="2"/>
  <c r="V125" i="2"/>
  <c r="V126" i="2"/>
  <c r="V127" i="2"/>
  <c r="V128" i="2"/>
  <c r="V129" i="2"/>
  <c r="V130" i="2"/>
  <c r="V131" i="2"/>
  <c r="V133" i="2"/>
  <c r="H145" i="28" l="1"/>
  <c r="N145" i="28" s="1"/>
  <c r="P145" i="28" s="1"/>
  <c r="G145" i="20"/>
  <c r="M145" i="20" s="1"/>
  <c r="O145" i="20" s="1"/>
  <c r="G19" i="7"/>
  <c r="K4" i="7"/>
  <c r="V132" i="2"/>
  <c r="H19" i="7" l="1"/>
  <c r="K34" i="33"/>
  <c r="K34" i="9"/>
  <c r="G21" i="7"/>
  <c r="K46" i="34"/>
  <c r="O19" i="7"/>
  <c r="R16" i="30"/>
  <c r="T16" i="30" s="1"/>
  <c r="V16" i="30" s="1"/>
  <c r="L4" i="33" s="1"/>
  <c r="R145" i="28"/>
  <c r="Q145" i="20"/>
  <c r="R16" i="8"/>
  <c r="T16" i="8" s="1"/>
  <c r="V16" i="8" s="1"/>
  <c r="L5" i="7"/>
  <c r="L14" i="7" s="1"/>
  <c r="K14" i="7" s="1"/>
  <c r="E43" i="9" l="1"/>
  <c r="E5" i="34"/>
  <c r="K36" i="33"/>
  <c r="E45" i="33" s="1"/>
  <c r="O21" i="7"/>
  <c r="K48" i="34"/>
  <c r="E7" i="34" s="1"/>
  <c r="K36" i="9"/>
  <c r="E45" i="9" s="1"/>
  <c r="L15" i="7"/>
  <c r="E43" i="33"/>
  <c r="S19" i="7"/>
  <c r="P19" i="7"/>
  <c r="L16" i="34"/>
  <c r="L4" i="9"/>
  <c r="C13" i="33"/>
  <c r="K49" i="34" l="1"/>
  <c r="E8" i="34" s="1"/>
  <c r="S21" i="7"/>
  <c r="K37" i="9"/>
  <c r="E46" i="9" s="1"/>
  <c r="K37" i="33"/>
  <c r="E46" i="33" s="1"/>
  <c r="T19" i="7"/>
  <c r="C13" i="9"/>
  <c r="E13" i="33"/>
  <c r="C25" i="34"/>
  <c r="E25" i="34" l="1"/>
  <c r="C43" i="33"/>
  <c r="K13" i="33"/>
  <c r="J13" i="33"/>
  <c r="E13" i="9"/>
  <c r="C43" i="9" l="1"/>
  <c r="C5" i="34"/>
  <c r="K18" i="7" l="1"/>
  <c r="J35" i="33" l="1"/>
  <c r="J47" i="34"/>
  <c r="J35" i="9"/>
  <c r="L18" i="7"/>
  <c r="K15" i="7"/>
  <c r="K19" i="7" l="1"/>
  <c r="L19" i="7" l="1"/>
  <c r="K35" i="33"/>
  <c r="K47" i="34"/>
  <c r="K35" i="9"/>
  <c r="K21" i="7"/>
  <c r="E44" i="33" l="1"/>
  <c r="E44" i="9"/>
  <c r="E6" i="34"/>
  <c r="C59" i="7" l="1"/>
  <c r="C18" i="7" s="1"/>
  <c r="C15" i="7" l="1"/>
  <c r="J33" i="33"/>
  <c r="J38" i="33" s="1"/>
  <c r="J45" i="34"/>
  <c r="J50" i="34" s="1"/>
  <c r="J33" i="9"/>
  <c r="D18" i="7"/>
  <c r="G12" i="24"/>
  <c r="G16" i="24" s="1"/>
  <c r="J38" i="9" l="1"/>
  <c r="G15" i="24"/>
  <c r="G17" i="24" s="1"/>
  <c r="G19" i="24" s="1"/>
  <c r="J19" i="24" s="1"/>
  <c r="E8" i="26" s="1"/>
  <c r="G34" i="24" l="1"/>
  <c r="H35" i="24"/>
  <c r="G36" i="24"/>
  <c r="G37" i="24" s="1"/>
  <c r="E46" i="24" s="1"/>
  <c r="E11" i="26"/>
  <c r="E12" i="26"/>
  <c r="J16" i="8" l="1"/>
  <c r="K16" i="8" s="1"/>
  <c r="J16" i="30"/>
  <c r="K16" i="30" s="1"/>
  <c r="L3" i="33" s="1"/>
  <c r="E15" i="26"/>
  <c r="E48" i="24"/>
  <c r="F48" i="24" s="1"/>
  <c r="F46" i="24"/>
  <c r="L8" i="33" l="1"/>
  <c r="C12" i="33"/>
  <c r="L3" i="9"/>
  <c r="L15" i="34"/>
  <c r="L20" i="34" l="1"/>
  <c r="C24" i="34"/>
  <c r="L8" i="9"/>
  <c r="C12" i="9"/>
  <c r="E12" i="33"/>
  <c r="C17" i="33"/>
  <c r="C42" i="33" l="1"/>
  <c r="C47" i="33" s="1"/>
  <c r="J12" i="33"/>
  <c r="K12" i="33"/>
  <c r="E17" i="33"/>
  <c r="E12" i="9"/>
  <c r="C42" i="9" s="1"/>
  <c r="C17" i="9"/>
  <c r="C29" i="34"/>
  <c r="E24" i="34"/>
  <c r="C4" i="34" l="1"/>
  <c r="C9" i="34" s="1"/>
  <c r="E29" i="34"/>
  <c r="E17" i="9"/>
  <c r="J17" i="33"/>
  <c r="K17" i="33"/>
  <c r="C60" i="7"/>
  <c r="C61" i="7"/>
  <c r="C62" i="7" s="1"/>
  <c r="C63" i="7" s="1"/>
  <c r="C64" i="7" s="1"/>
  <c r="C65" i="7" s="1"/>
  <c r="C66" i="7" s="1"/>
  <c r="C67" i="7" s="1"/>
  <c r="C68" i="7" s="1"/>
  <c r="C69" i="7" s="1"/>
  <c r="C70" i="7" s="1"/>
  <c r="C71" i="7" s="1"/>
  <c r="C47" i="9" l="1"/>
  <c r="C19" i="7"/>
  <c r="K33" i="9" l="1"/>
  <c r="D19" i="7"/>
  <c r="K45" i="34"/>
  <c r="C21" i="7"/>
  <c r="K33" i="33"/>
  <c r="E42" i="33" l="1"/>
  <c r="E47" i="33" s="1"/>
  <c r="K38" i="33"/>
  <c r="K50" i="34"/>
  <c r="E4" i="34"/>
  <c r="E9" i="34" s="1"/>
  <c r="K38" i="9"/>
  <c r="E42" i="9"/>
  <c r="E47" i="9" l="1"/>
</calcChain>
</file>

<file path=xl/sharedStrings.xml><?xml version="1.0" encoding="utf-8"?>
<sst xmlns="http://schemas.openxmlformats.org/spreadsheetml/2006/main" count="1865" uniqueCount="498">
  <si>
    <t>Date</t>
  </si>
  <si>
    <t>Year</t>
  </si>
  <si>
    <t>Month</t>
  </si>
  <si>
    <t>HDD20</t>
  </si>
  <si>
    <t>CDD20</t>
  </si>
  <si>
    <t>HDD18</t>
  </si>
  <si>
    <t>CDD18</t>
  </si>
  <si>
    <t>HDD16</t>
  </si>
  <si>
    <t>CDD16</t>
  </si>
  <si>
    <t>HDD14</t>
  </si>
  <si>
    <t>CDD14</t>
  </si>
  <si>
    <t>HDD12</t>
  </si>
  <si>
    <t>CDD12</t>
  </si>
  <si>
    <t>HDD10</t>
  </si>
  <si>
    <t>CDD10</t>
  </si>
  <si>
    <t>Avg.</t>
  </si>
  <si>
    <t>10-year</t>
  </si>
  <si>
    <t>Jan</t>
  </si>
  <si>
    <t>Feb</t>
  </si>
  <si>
    <t>Mar</t>
  </si>
  <si>
    <t>Apr</t>
  </si>
  <si>
    <t>May</t>
  </si>
  <si>
    <t>June</t>
  </si>
  <si>
    <t>July</t>
  </si>
  <si>
    <t>August</t>
  </si>
  <si>
    <t>Sept</t>
  </si>
  <si>
    <t>Oct</t>
  </si>
  <si>
    <t>Nov</t>
  </si>
  <si>
    <t>Dec</t>
  </si>
  <si>
    <t>10 Year Average</t>
  </si>
  <si>
    <t>January</t>
  </si>
  <si>
    <t>February</t>
  </si>
  <si>
    <t>March</t>
  </si>
  <si>
    <t>April</t>
  </si>
  <si>
    <t>September</t>
  </si>
  <si>
    <t>October</t>
  </si>
  <si>
    <t>November</t>
  </si>
  <si>
    <t>December</t>
  </si>
  <si>
    <t>Kapuskasing CDA</t>
  </si>
  <si>
    <t>Residential kWh</t>
  </si>
  <si>
    <t>General Service
 &lt; 50 kWkWh</t>
  </si>
  <si>
    <t>General Service
50 - 4,999 kWkWh</t>
  </si>
  <si>
    <t>Street LightingkWh</t>
  </si>
  <si>
    <t>Unmetered Scattered LoadkWh</t>
  </si>
  <si>
    <t>General Service
50 - 4,999 kWkW</t>
  </si>
  <si>
    <t>Street LightingkW</t>
  </si>
  <si>
    <t>Residential Count</t>
  </si>
  <si>
    <t>Street LightingCount</t>
  </si>
  <si>
    <t>Unmetered Scattered LoadCount</t>
  </si>
  <si>
    <t>Ont_GDP</t>
  </si>
  <si>
    <t>AgGen_GDP</t>
  </si>
  <si>
    <t>MinGenGDP</t>
  </si>
  <si>
    <t>O&amp;G_GDP</t>
  </si>
  <si>
    <t>O&amp;GSupport_GDP</t>
  </si>
  <si>
    <t>Total_OEA</t>
  </si>
  <si>
    <t>Ag_OEA</t>
  </si>
  <si>
    <t>Trend</t>
  </si>
  <si>
    <t>Trend2</t>
  </si>
  <si>
    <t>Jun</t>
  </si>
  <si>
    <t>Jul</t>
  </si>
  <si>
    <t>Aug</t>
  </si>
  <si>
    <t>Spring</t>
  </si>
  <si>
    <t>Fall</t>
  </si>
  <si>
    <t>Shoulder</t>
  </si>
  <si>
    <t>Month Days</t>
  </si>
  <si>
    <t>Peak 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</si>
  <si>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</si>
  <si>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</si>
  <si>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</si>
  <si>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</si>
  <si>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</si>
  <si>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</si>
  <si>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</si>
  <si>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</si>
  <si>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</si>
  <si>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</si>
  <si>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</si>
  <si>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</si>
  <si>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</si>
  <si>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</si>
  <si>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</si>
  <si>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</si>
  <si>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</si>
  <si>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</si>
  <si>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coefficient</t>
  </si>
  <si>
    <t>std. error</t>
  </si>
  <si>
    <t>t-ratio</t>
  </si>
  <si>
    <t>p-value</t>
  </si>
  <si>
    <t>const</t>
  </si>
  <si>
    <t>Statistics based on the rho-differenced data</t>
  </si>
  <si>
    <t>Sum squared resid</t>
  </si>
  <si>
    <t>S.E. of regression</t>
  </si>
  <si>
    <t>R-squared</t>
  </si>
  <si>
    <t>Adjusted R-squared</t>
  </si>
  <si>
    <t>P-value(F)</t>
  </si>
  <si>
    <t>rho</t>
  </si>
  <si>
    <t>Durbin-Watson</t>
  </si>
  <si>
    <t>Statistics based on the original data</t>
  </si>
  <si>
    <t>Mean dependent var</t>
  </si>
  <si>
    <t>S.D. dependent var</t>
  </si>
  <si>
    <t>Residential</t>
  </si>
  <si>
    <t>Percent of Prior Year</t>
  </si>
  <si>
    <t>GS &lt; 50</t>
  </si>
  <si>
    <t>GS &gt; 50</t>
  </si>
  <si>
    <t>St. Lights</t>
  </si>
  <si>
    <t>USL</t>
  </si>
  <si>
    <t>Customers</t>
  </si>
  <si>
    <t>Devices</t>
  </si>
  <si>
    <t>Street Light</t>
  </si>
  <si>
    <t>Actual</t>
  </si>
  <si>
    <t>Lamps / Devices</t>
  </si>
  <si>
    <t>Average per Device</t>
  </si>
  <si>
    <t>Normal Forecast</t>
  </si>
  <si>
    <t>A</t>
  </si>
  <si>
    <t>B</t>
  </si>
  <si>
    <t>C = A / B</t>
  </si>
  <si>
    <t>D = B * C</t>
  </si>
  <si>
    <t>kWh</t>
  </si>
  <si>
    <t>kW</t>
  </si>
  <si>
    <t>Ratio</t>
  </si>
  <si>
    <t>Customers/ Connections</t>
  </si>
  <si>
    <t>Total</t>
  </si>
  <si>
    <t>In year energy savings (GWh)</t>
  </si>
  <si>
    <t>In year energy savings (kWh)</t>
  </si>
  <si>
    <t>Retrofit</t>
  </si>
  <si>
    <t>% of provincial kWh</t>
  </si>
  <si>
    <t>Small Business</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</si>
  <si>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</si>
  <si>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</si>
  <si>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</si>
  <si>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</si>
  <si>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</si>
  <si>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</si>
  <si>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</si>
  <si>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</si>
  <si>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</si>
  <si>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</si>
  <si>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</si>
  <si>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</si>
  <si>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</si>
  <si>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</si>
  <si>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Total kWh</t>
  </si>
  <si>
    <t>5-Year Avg.</t>
  </si>
  <si>
    <t>Province</t>
  </si>
  <si>
    <t>Cummulative</t>
  </si>
  <si>
    <t>w/ 1/2 Year Adj.</t>
  </si>
  <si>
    <t>OEB Open Data (RRR): Section 2.1.5.4 Demand and Revenue</t>
  </si>
  <si>
    <t>Low-Income Measure</t>
  </si>
  <si>
    <t>2021 Used</t>
  </si>
  <si>
    <t>Statistics Canada - Population and dwelling counts: Canada and census subdivisions Table 98-10-0002-01</t>
  </si>
  <si>
    <t>GS&lt; 50</t>
  </si>
  <si>
    <t>Total CDM</t>
  </si>
  <si>
    <t>CDM</t>
  </si>
  <si>
    <t>*Allocations based on LRAMVA allocations in 2015-2019 period</t>
  </si>
  <si>
    <t>Rate Class</t>
  </si>
  <si>
    <t>CDM Adj Weight</t>
  </si>
  <si>
    <t>Amount</t>
  </si>
  <si>
    <t>C = A * B</t>
  </si>
  <si>
    <t>D</t>
  </si>
  <si>
    <t>E</t>
  </si>
  <si>
    <t>F = D * E</t>
  </si>
  <si>
    <t>G</t>
  </si>
  <si>
    <t>H</t>
  </si>
  <si>
    <t>I = G * H</t>
  </si>
  <si>
    <t>J</t>
  </si>
  <si>
    <t>TOTAL</t>
  </si>
  <si>
    <t>2024 Forecast</t>
  </si>
  <si>
    <t>2025 Forecast</t>
  </si>
  <si>
    <t>Weather-Normal Forecast</t>
  </si>
  <si>
    <t>% Savings</t>
  </si>
  <si>
    <t>C = B / A</t>
  </si>
  <si>
    <t>E = C * D</t>
  </si>
  <si>
    <t>2023-2025 Forecasted kWh Savings by Rate Class</t>
  </si>
  <si>
    <t>2024-2025 kW Forcasted Savings by Rate Class</t>
  </si>
  <si>
    <t>NOWI</t>
  </si>
  <si>
    <t>NOWI % Share</t>
  </si>
  <si>
    <t>NOWI Share</t>
  </si>
  <si>
    <t>NOWI %</t>
  </si>
  <si>
    <t>[Census Family Low Income Measure (CFLIM-AT) Table 11-10-0020-01 data not available for NOWI service area)</t>
  </si>
  <si>
    <t>Cochrane</t>
  </si>
  <si>
    <t>Kapuskasing</t>
  </si>
  <si>
    <t xml:space="preserve">   Cochrane</t>
  </si>
  <si>
    <t xml:space="preserve">   Kapuskasing</t>
  </si>
  <si>
    <t>Implementation Year</t>
  </si>
  <si>
    <t>Savings Year</t>
  </si>
  <si>
    <t>GS&lt;50</t>
  </si>
  <si>
    <t>GS&gt;50</t>
  </si>
  <si>
    <t>Streetlight</t>
  </si>
  <si>
    <t>Incremental CDM (accounting for lost persistence)</t>
  </si>
  <si>
    <t>ResidentialCDM</t>
  </si>
  <si>
    <t>Res_NoCDM</t>
  </si>
  <si>
    <t>ON Employment</t>
  </si>
  <si>
    <t>GDP (StatCan)</t>
  </si>
  <si>
    <t>GDP (Ontario Economic Accounts)</t>
  </si>
  <si>
    <t>Seasonally Adjusted</t>
  </si>
  <si>
    <t>Unadjusted</t>
  </si>
  <si>
    <t>Ontario</t>
  </si>
  <si>
    <t>Ag Gen</t>
  </si>
  <si>
    <t>Min Gen</t>
  </si>
  <si>
    <t>O&amp;G</t>
  </si>
  <si>
    <t>O&amp;G Support</t>
  </si>
  <si>
    <t>Total (40)</t>
  </si>
  <si>
    <t>3.       Agriculture, Forestry, Fishing &amp; Hunting</t>
  </si>
  <si>
    <t>14-10-0380-01</t>
  </si>
  <si>
    <t>36-10-0402-01</t>
  </si>
  <si>
    <t>Table 15</t>
  </si>
  <si>
    <t>Q1</t>
  </si>
  <si>
    <t>Latest Figures as of Jul. 22, 2024</t>
  </si>
  <si>
    <t>Q2</t>
  </si>
  <si>
    <t>TD</t>
  </si>
  <si>
    <t>BMO</t>
  </si>
  <si>
    <t>Scotia</t>
  </si>
  <si>
    <t>RBC</t>
  </si>
  <si>
    <t>Average Used</t>
  </si>
  <si>
    <t>Average</t>
  </si>
  <si>
    <t>Q3</t>
  </si>
  <si>
    <t>GDP</t>
  </si>
  <si>
    <t>Q4</t>
  </si>
  <si>
    <t>FTE</t>
  </si>
  <si>
    <t>OntFTEs</t>
  </si>
  <si>
    <t>OntFTEsAdj</t>
  </si>
  <si>
    <t>(Check)</t>
  </si>
  <si>
    <t>Sep</t>
  </si>
  <si>
    <t>Monthly Averages</t>
  </si>
  <si>
    <t>GS&lt;50 kWh</t>
  </si>
  <si>
    <t>GS&gt;50 kWh</t>
  </si>
  <si>
    <t>Cumulative Persisting CDM</t>
  </si>
  <si>
    <t>Actual No CDM</t>
  </si>
  <si>
    <t>Normal Predicted 
No CDM</t>
  </si>
  <si>
    <t>Normalized</t>
  </si>
  <si>
    <t>Additional Loads</t>
  </si>
  <si>
    <t>Normalized with Additional Loads</t>
  </si>
  <si>
    <t>Normal 
No CDM</t>
  </si>
  <si>
    <t>Additional / Lost Loads</t>
  </si>
  <si>
    <t>C = A + B</t>
  </si>
  <si>
    <t>E = B</t>
  </si>
  <si>
    <t>F = D - E</t>
  </si>
  <si>
    <t>H = F + G</t>
  </si>
  <si>
    <t>Res kWh</t>
  </si>
  <si>
    <t>Absolute</t>
  </si>
  <si>
    <t>GS &lt; 50 kWh</t>
  </si>
  <si>
    <t>GS &gt; 50 kWh</t>
  </si>
  <si>
    <t>CDM Added Back</t>
  </si>
  <si>
    <t>Predicted</t>
  </si>
  <si>
    <t>Error (%)</t>
  </si>
  <si>
    <t>Mean Absolute Percentage Error (Annual)</t>
  </si>
  <si>
    <t>Mean Absolute Percentage Error (Monthly)</t>
  </si>
  <si>
    <t>2017 Actual</t>
  </si>
  <si>
    <t>2018 Actual</t>
  </si>
  <si>
    <t>2019 Actual</t>
  </si>
  <si>
    <t>2020 Actual</t>
  </si>
  <si>
    <t>2021 Actual</t>
  </si>
  <si>
    <t>2022 Actual</t>
  </si>
  <si>
    <t>2023 Actual</t>
  </si>
  <si>
    <t>2023 Normal</t>
  </si>
  <si>
    <t>CDM Adjusted</t>
  </si>
  <si>
    <t>CDM Adjustment</t>
  </si>
  <si>
    <t>Customers / Devices</t>
  </si>
  <si>
    <t>2025 Weather Normal Forecast</t>
  </si>
  <si>
    <t>Change from 2023 Actual to 2025</t>
  </si>
  <si>
    <t>Change from 2023 Normalized to 2025</t>
  </si>
  <si>
    <t>2025 CDM Adjusted Forecast</t>
  </si>
  <si>
    <t>Statscan New zero-emission vehicle registrations, quarterly 20-10-0025-01</t>
  </si>
  <si>
    <t>Quarterly Increase</t>
  </si>
  <si>
    <t>Cumulative</t>
  </si>
  <si>
    <t>Table: 20-10-0024-01</t>
  </si>
  <si>
    <t>Geography</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</si>
  <si>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</si>
  <si>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</si>
  <si>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</si>
  <si>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</si>
  <si>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</si>
  <si>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</si>
  <si>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</si>
  <si>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</si>
  <si>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</si>
  <si>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</si>
  <si>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</si>
  <si>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</si>
  <si>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</si>
  <si>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</si>
  <si>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</si>
  <si>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</si>
  <si>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</si>
  <si>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</si>
  <si>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</si>
  <si>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</si>
  <si>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</si>
  <si>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</si>
  <si>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</si>
  <si>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</si>
  <si>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</si>
  <si>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</si>
  <si>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</si>
  <si>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</si>
  <si>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</si>
  <si>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</si>
  <si>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</si>
  <si>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</si>
  <si>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</si>
  <si>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</si>
  <si>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</si>
  <si>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</si>
  <si>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</si>
  <si>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</si>
  <si>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</si>
  <si>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</si>
  <si>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</si>
  <si>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</si>
  <si>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</si>
  <si>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</si>
  <si>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km</t>
  </si>
  <si>
    <t>kWh/ 100 km</t>
  </si>
  <si>
    <t>Passenger</t>
  </si>
  <si>
    <t>Multi-purpose vehicles (SUV)</t>
  </si>
  <si>
    <t>Van</t>
  </si>
  <si>
    <t>Pick-Up Truck</t>
  </si>
  <si>
    <t>Total EVs</t>
  </si>
  <si>
    <t>New</t>
  </si>
  <si>
    <t>Passenger + SUV EVs</t>
  </si>
  <si>
    <t>kWh/EV</t>
  </si>
  <si>
    <t>New kWh</t>
  </si>
  <si>
    <t>Cumulative kWh</t>
  </si>
  <si>
    <t>% of Other Evs that are Light Duty</t>
  </si>
  <si>
    <t>Van EVs</t>
  </si>
  <si>
    <t>Pickup Trucks</t>
  </si>
  <si>
    <t>EVs</t>
  </si>
  <si>
    <t>Passenger EV</t>
  </si>
  <si>
    <t>Multi-purpose vehicles (SUV) EV</t>
  </si>
  <si>
    <t>Van EV</t>
  </si>
  <si>
    <t>Pick-Up Truck EV</t>
  </si>
  <si>
    <t>All Vehicles</t>
  </si>
  <si>
    <t>All Passenger</t>
  </si>
  <si>
    <t>All Multi-purpose vehicles (SUV)</t>
  </si>
  <si>
    <t>All Van</t>
  </si>
  <si>
    <t>All Pick-Up Truck</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</si>
  <si>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</si>
  <si>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</si>
  <si>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</si>
  <si>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</si>
  <si>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</si>
  <si>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</si>
  <si>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</si>
  <si>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</si>
  <si>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</si>
  <si>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</si>
  <si>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</si>
  <si>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ON EVs</t>
  </si>
  <si>
    <t>ON Passenger EVs</t>
  </si>
  <si>
    <t>ON Multi-Purpose Vehicles EVs</t>
  </si>
  <si>
    <t>ON Vans EVs</t>
  </si>
  <si>
    <t>F</t>
  </si>
  <si>
    <t>ON Pickup Truck EVs</t>
  </si>
  <si>
    <t xml:space="preserve">G </t>
  </si>
  <si>
    <t>H = D / B</t>
  </si>
  <si>
    <t>I = E / B</t>
  </si>
  <si>
    <t>J = F / B</t>
  </si>
  <si>
    <t>K = G / B</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</si>
  <si>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</si>
  <si>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</si>
  <si>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</si>
  <si>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</si>
  <si>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</si>
  <si>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</si>
  <si>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</si>
  <si>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</si>
  <si>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</si>
  <si>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</si>
  <si>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</si>
  <si>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</si>
  <si>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</si>
  <si>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</si>
  <si>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S = P * Q * R</t>
  </si>
  <si>
    <t>T = S * (H + I)</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</si>
  <si>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</si>
  <si>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</si>
  <si>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</si>
  <si>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</si>
  <si>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</si>
  <si>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</si>
  <si>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</si>
  <si>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</si>
  <si>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</si>
  <si>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</si>
  <si>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</si>
  <si>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K = ( Jt-1 + I) * 6,000</t>
  </si>
  <si>
    <t>L = K - Kt-1</t>
  </si>
  <si>
    <t>2024 Incremental</t>
  </si>
  <si>
    <t>2025 Incremental</t>
  </si>
  <si>
    <t>2025 Incremental +  2024 Full</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</si>
  <si>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</si>
  <si>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</si>
  <si>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</si>
  <si>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</si>
  <si>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</si>
  <si>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</si>
  <si>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</si>
  <si>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</si>
  <si>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</si>
  <si>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</si>
  <si>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</si>
  <si>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</si>
  <si>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</si>
  <si>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</si>
  <si>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</si>
  <si>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</si>
  <si>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</si>
  <si>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</si>
  <si>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</si>
  <si>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</si>
  <si>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</si>
  <si>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</si>
  <si>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</si>
  <si>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</si>
  <si>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</si>
  <si>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</si>
  <si>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</si>
  <si>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 xml:space="preserve">  Winter</t>
  </si>
  <si>
    <t xml:space="preserve">  Summer</t>
  </si>
  <si>
    <t>Seasonally Adjusted kWh</t>
  </si>
  <si>
    <t>Heating</t>
  </si>
  <si>
    <t>Loads are incremental to loads forecasted based on 10-year consumption</t>
  </si>
  <si>
    <t>Figures are added in 'Normalized Annual Summary' and 'kW Forecast'</t>
  </si>
  <si>
    <t>Iroquois Falls</t>
  </si>
  <si>
    <t>NOWI Total (Calc)</t>
  </si>
  <si>
    <t>NOWI % of ON EVs</t>
  </si>
  <si>
    <t>% of Population in NOWI</t>
  </si>
  <si>
    <t>NOWI EVs</t>
  </si>
  <si>
    <t>New Vehicles in NOWI</t>
  </si>
  <si>
    <t>Trajectory to NOWI share of population in 2026</t>
  </si>
  <si>
    <t>Total New NOWI EVs</t>
  </si>
  <si>
    <t>Total vehicles times share of EVs times NOWI share of EVs</t>
  </si>
  <si>
    <t>Total NOWI EVs times 2023 share of vehicle type</t>
  </si>
  <si>
    <t>BEV</t>
  </si>
  <si>
    <t>PHEV</t>
  </si>
  <si>
    <t>kWh/100km</t>
  </si>
  <si>
    <t>% Share</t>
  </si>
  <si>
    <t>2-21-050-EV-Charging-Performance-Requirements-in-GTHA.pdf (cleanairpartnership.org)</t>
  </si>
  <si>
    <t>GS &gt; 50 kW</t>
  </si>
  <si>
    <t>Street Lighting</t>
  </si>
  <si>
    <t xml:space="preserve">   Iroquois Falls</t>
  </si>
  <si>
    <t>Forestry and logging</t>
  </si>
  <si>
    <t>Forestry Support</t>
  </si>
  <si>
    <t>Wood product manufacturing</t>
  </si>
  <si>
    <t>Paper manufacturing</t>
  </si>
  <si>
    <t>Wood_OEA</t>
  </si>
  <si>
    <t>Paper_OEA</t>
  </si>
  <si>
    <t>ForestryGDP</t>
  </si>
  <si>
    <t>ForestrySupportGDP</t>
  </si>
  <si>
    <t>WoodGDP</t>
  </si>
  <si>
    <t>PaperGDP</t>
  </si>
  <si>
    <t>14.      Wood Products and Furniture</t>
  </si>
  <si>
    <t>15.      Paper Products and Printing</t>
  </si>
  <si>
    <t>GSlt50CDM</t>
  </si>
  <si>
    <t>GSlt50_NoCDM</t>
  </si>
  <si>
    <t>GSlt50Count</t>
  </si>
  <si>
    <t>GSgt50Count</t>
  </si>
  <si>
    <t>GSgt50_NoCDM</t>
  </si>
  <si>
    <t>GSgt50CDM</t>
  </si>
  <si>
    <t>Dependent variable: Res_NoCDM</t>
  </si>
  <si>
    <t>Normal Predicted</t>
  </si>
  <si>
    <t>March 2020-Dec 2021 in orange</t>
  </si>
  <si>
    <t>Dependent variable: GSlt50_NoCDM</t>
  </si>
  <si>
    <t>Dependent variable: GSgt50_NoCDM</t>
  </si>
  <si>
    <t>TrendLn</t>
  </si>
  <si>
    <t>HDD10Norm</t>
  </si>
  <si>
    <t>General Service &lt; 50 kWh</t>
  </si>
  <si>
    <t>General Service 50 - 4,999 kWh</t>
  </si>
  <si>
    <t>HDD8</t>
  </si>
  <si>
    <t>CDD8</t>
  </si>
  <si>
    <t>Normal Predicted No CDM</t>
  </si>
  <si>
    <t>kWh Normalized</t>
  </si>
  <si>
    <t>kW Normalized</t>
  </si>
  <si>
    <t xml:space="preserve">Average </t>
  </si>
  <si>
    <t>Additional Load</t>
  </si>
  <si>
    <t>F = E * G</t>
  </si>
  <si>
    <t xml:space="preserve"> G </t>
  </si>
  <si>
    <t>I = E + H</t>
  </si>
  <si>
    <t>Divergence</t>
  </si>
  <si>
    <t>5-Year Average Used</t>
  </si>
  <si>
    <t>5-Year</t>
  </si>
  <si>
    <t>10-Year</t>
  </si>
  <si>
    <t>2-year average used</t>
  </si>
  <si>
    <t>Connections</t>
  </si>
  <si>
    <t>Average per Connection</t>
  </si>
  <si>
    <t>Summary of Load Forecast Billing Determinants</t>
  </si>
  <si>
    <t>Half Year:</t>
  </si>
  <si>
    <t>10-Months</t>
  </si>
  <si>
    <t>Model 1: Prais-Winsten, using observations 2014:01-2024:10 (T = 130)</t>
  </si>
  <si>
    <t>rho = 0.0760696</t>
  </si>
  <si>
    <t>F(3, 126)</t>
  </si>
  <si>
    <t>Model 2: Prais-Winsten, using observations 2014:01-2024:10 (T = 130)</t>
  </si>
  <si>
    <t>rho = 0.0853859</t>
  </si>
  <si>
    <t>F(4, 125)</t>
  </si>
  <si>
    <t>Model 3: Prais-Winsten, using observations 2014:01-2024:10 (T = 130)</t>
  </si>
  <si>
    <t>rho = 0.31334</t>
  </si>
  <si>
    <t>Forecast 2024 count based on 2023 actuals and 2014-2023 trend</t>
  </si>
  <si>
    <t>Forecast 2024 count based Jan-Oct 2024 actuals and 2014-2023 trend for Nov/Dec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</si>
</sst>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0.0_-;\-* #,##0.0_-;_-* &quot;-&quot;??_-;_-@_-"/>
    <numFmt numFmtId="165" formatCode="_-* #,##0_-;\-* #,##0_-;_-* &quot;-&quot;??_-;_-@_-"/>
    <numFmt numFmtId="166" formatCode="0.0"/>
    <numFmt numFmtId="167" formatCode="_(* #,##0.0_);_(* \(#,##0.0\);_(* &quot;-&quot;??_);_(@_)"/>
    <numFmt numFmtId="168" formatCode="_-* #,##0.00000_-;\-* #,##0.00000_-;_-* &quot;-&quot;??_-;_-@_-"/>
    <numFmt numFmtId="169" formatCode="_(* #,##0.00_);_(* \(#,##0.00\);_(* &quot;-&quot;??_);_(@_)"/>
    <numFmt numFmtId="170" formatCode="_(* #,##0_);_(* \(#,##0\);_(* &quot;-&quot;??_);_(@_)"/>
    <numFmt numFmtId="171" formatCode="_(* #,##0.000_);_(* \(#,##0.000\);_(* &quot;-&quot;??_);_(@_)"/>
    <numFmt numFmtId="172" formatCode="0.0%"/>
    <numFmt numFmtId="173" formatCode="0_);\(0\)"/>
    <numFmt numFmtId="174" formatCode="#,##0.000"/>
    <numFmt numFmtId="175" formatCode="0.0000"/>
    <numFmt numFmtId="176" formatCode="_-* #,##0.0000_-;\-* #,##0.0000_-;_-* &quot;-&quot;??_-;_-@_-"/>
    <numFmt numFmtId="177" formatCode="0.000"/>
    <numFmt numFmtId="178" formatCode="0.000%"/>
    <numFmt numFmtId="179" formatCode="_(* #,##0_);_(* \(#,##0\);_(* &quot;-&quot;?_);_(@_)"/>
    <numFmt numFmtId="180" formatCode="0.00000"/>
    <numFmt numFmtId="181" formatCode="0.000E+00"/>
    <numFmt numFmtId="182" formatCode="#,##0.0"/>
    <numFmt numFmtId="183" formatCode="0.000000"/>
    <numFmt numFmtId="184" formatCode="_-* #,##0.000_-;\-* #,##0.000_-;_-* &quot;-&quot;??_-;_-@_-"/>
  </numFmts>
  <fonts count="4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0"/>
      <name val="Arial"/>
      <family val="2"/>
    </font>
    <font>
      <i/>
      <sz val="11"/>
      <color theme="1"/>
      <name val="Aptos Narrow"/>
      <family val="2"/>
      <scheme val="minor"/>
    </font>
    <font>
      <sz val="10"/>
      <name val="Arial"/>
      <family val="2"/>
    </font>
    <font>
      <b/>
      <sz val="11"/>
      <name val="Arial"/>
      <family val="2"/>
    </font>
    <font>
      <b/>
      <sz val="10"/>
      <color theme="0"/>
      <name val="Arial"/>
      <family val="2"/>
    </font>
    <font>
      <sz val="10"/>
      <color rgb="FFFF0000"/>
      <name val="Arial"/>
      <family val="2"/>
    </font>
    <font>
      <sz val="10"/>
      <color rgb="FFFF0000"/>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b/>
      <sz val="11"/>
      <color theme="1"/>
      <name val="Arial"/>
      <family val="2"/>
    </font>
    <font>
      <sz val="10"/>
      <color rgb="FF000000"/>
      <name val="Arial"/>
      <family val="2"/>
    </font>
    <font>
      <b/>
      <sz val="10"/>
      <color rgb="FF000000"/>
      <name val="Arial"/>
      <family val="2"/>
    </font>
    <font>
      <u/>
      <sz val="11"/>
      <color theme="10"/>
      <name val="Aptos Narrow"/>
      <family val="2"/>
      <scheme val="minor"/>
    </font>
    <font>
      <sz val="11"/>
      <color theme="0"/>
      <name val="Arial"/>
      <family val="2"/>
    </font>
    <font>
      <sz val="10"/>
      <name val="Times New Roman"/>
      <family val="1"/>
    </font>
    <font>
      <sz val="11"/>
      <name val="Aptos Narrow"/>
      <family val="2"/>
      <scheme val="minor"/>
    </font>
    <font>
      <sz val="12"/>
      <color rgb="FF505050"/>
      <name val="Arial"/>
      <family val="2"/>
    </font>
    <font>
      <sz val="12"/>
      <color rgb="FF000000"/>
      <name val="Arial"/>
      <family val="2"/>
    </font>
    <font>
      <b/>
      <sz val="11"/>
      <name val="Aptos Narrow"/>
      <family val="2"/>
      <scheme val="minor"/>
    </font>
    <font>
      <sz val="11"/>
      <color theme="5"/>
      <name val="Aptos Narrow"/>
      <family val="2"/>
      <scheme val="minor"/>
    </font>
    <font>
      <sz val="11"/>
      <color rgb="FFC00000"/>
      <name val="Aptos Narrow"/>
      <family val="2"/>
      <scheme val="minor"/>
    </font>
    <font>
      <i/>
      <sz val="10"/>
      <color rgb="FFFF0000"/>
      <name val="Arial"/>
      <family val="2"/>
    </font>
    <font>
      <sz val="10"/>
      <color rgb="FFC00000"/>
      <name val="Times New Roman"/>
      <family val="1"/>
    </font>
    <font>
      <sz val="10"/>
      <color theme="0"/>
      <name val="Arial"/>
      <family val="2"/>
    </font>
    <font>
      <sz val="11"/>
      <color theme="4"/>
      <name val="Aptos Narrow"/>
      <family val="2"/>
      <scheme val="minor"/>
    </font>
    <font>
      <b/>
      <sz val="12"/>
      <name val="Arial"/>
      <family val="2"/>
    </font>
    <font>
      <i/>
      <sz val="10"/>
      <name val="Arial"/>
      <family val="2"/>
    </font>
    <font>
      <b/>
      <i/>
      <sz val="11"/>
      <color theme="1"/>
      <name val="Aptos Narrow"/>
      <family val="2"/>
      <scheme val="minor"/>
    </font>
    <font>
      <b/>
      <i/>
      <sz val="10"/>
      <name val="Arial"/>
      <family val="2"/>
    </font>
    <font>
      <sz val="8"/>
      <name val="Aptos Narrow"/>
      <family val="2"/>
      <scheme val="minor"/>
    </font>
    <font>
      <sz val="11"/>
      <color theme="1"/>
      <name val="Calibri"/>
      <family val="2"/>
    </font>
    <font>
      <sz val="11"/>
      <color rgb="FF000000"/>
      <name val="Arial"/>
      <family val="2"/>
    </font>
    <font>
      <i/>
      <sz val="11"/>
      <color theme="1"/>
      <name val="Arial"/>
      <family val="2"/>
    </font>
  </fonts>
  <fills count="10">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3" tint="0.74999237037263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9" fontId="6" fillId="0" borderId="0" applyFont="0" applyFill="0" applyBorder="0" applyAlignment="0" applyProtection="0"/>
    <xf numFmtId="0" fontId="1" fillId="0" borderId="0"/>
    <xf numFmtId="169" fontId="14"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1" fillId="0" borderId="0"/>
    <xf numFmtId="0" fontId="21" fillId="0" borderId="0"/>
  </cellStyleXfs>
  <cellXfs count="476">
    <xf numFmtId="0" fontId="0" fillId="0" borderId="0" xfId="0"/>
    <xf numFmtId="14" fontId="0" fillId="0" borderId="0" xfId="0" applyNumberFormat="1"/>
    <xf numFmtId="43" fontId="0" fillId="0" borderId="0" xfId="1" applyFont="1"/>
    <xf numFmtId="164" fontId="0" fillId="0" borderId="0" xfId="1" applyNumberFormat="1" applyFont="1"/>
    <xf numFmtId="165" fontId="0" fillId="0" borderId="0" xfId="1" applyNumberFormat="1" applyFont="1"/>
    <xf numFmtId="0" fontId="4" fillId="0" borderId="0" xfId="0" applyFont="1" applyAlignment="1">
      <alignment horizontal="right"/>
    </xf>
    <xf numFmtId="0" fontId="0" fillId="0" borderId="0" xfId="0" applyAlignment="1">
      <alignment horizontal="right"/>
    </xf>
    <xf numFmtId="166" fontId="0" fillId="0" borderId="0" xfId="0" applyNumberFormat="1"/>
    <xf numFmtId="167" fontId="5" fillId="0" borderId="0" xfId="1" applyNumberFormat="1" applyFont="1"/>
    <xf numFmtId="0" fontId="6" fillId="0" borderId="0" xfId="0" applyFont="1"/>
    <xf numFmtId="0" fontId="6" fillId="0" borderId="0" xfId="0" applyFont="1" applyAlignment="1">
      <alignment horizontal="right"/>
    </xf>
    <xf numFmtId="0" fontId="7" fillId="0" borderId="0" xfId="0" applyFont="1"/>
    <xf numFmtId="0" fontId="0" fillId="0" borderId="0" xfId="0" applyAlignment="1">
      <alignment horizontal="center"/>
    </xf>
    <xf numFmtId="1" fontId="0" fillId="0" borderId="0" xfId="0" applyNumberFormat="1"/>
    <xf numFmtId="2" fontId="0" fillId="0" borderId="0" xfId="0" applyNumberFormat="1"/>
    <xf numFmtId="166" fontId="2" fillId="0" borderId="0" xfId="0" applyNumberFormat="1" applyFont="1"/>
    <xf numFmtId="1" fontId="2" fillId="0" borderId="0" xfId="0" applyNumberFormat="1" applyFont="1"/>
    <xf numFmtId="165" fontId="0" fillId="0" borderId="0" xfId="0" applyNumberFormat="1"/>
    <xf numFmtId="11" fontId="0" fillId="0" borderId="0" xfId="0" applyNumberFormat="1"/>
    <xf numFmtId="9" fontId="0" fillId="0" borderId="0" xfId="2" applyFont="1"/>
    <xf numFmtId="0" fontId="6" fillId="0" borderId="0" xfId="3"/>
    <xf numFmtId="0" fontId="8" fillId="2" borderId="0" xfId="3" applyFont="1" applyFill="1" applyAlignment="1">
      <alignment horizontal="right"/>
    </xf>
    <xf numFmtId="3" fontId="6" fillId="0" borderId="0" xfId="3" applyNumberFormat="1"/>
    <xf numFmtId="10" fontId="6" fillId="0" borderId="0" xfId="4" applyNumberFormat="1"/>
    <xf numFmtId="0" fontId="9" fillId="0" borderId="0" xfId="3" applyFont="1"/>
    <xf numFmtId="0" fontId="2" fillId="0" borderId="0" xfId="0" applyFont="1"/>
    <xf numFmtId="3" fontId="9" fillId="0" borderId="0" xfId="3" applyNumberFormat="1" applyFont="1"/>
    <xf numFmtId="10" fontId="9" fillId="0" borderId="0" xfId="4" applyNumberFormat="1" applyFont="1"/>
    <xf numFmtId="0" fontId="8" fillId="2" borderId="0" xfId="3" applyFont="1" applyFill="1" applyAlignment="1">
      <alignment horizontal="center" vertical="center"/>
    </xf>
    <xf numFmtId="0" fontId="8" fillId="2" borderId="0" xfId="3" applyFont="1" applyFill="1" applyAlignment="1">
      <alignment horizontal="center" vertical="center" wrapText="1"/>
    </xf>
    <xf numFmtId="0" fontId="0" fillId="0" borderId="0" xfId="0" applyAlignment="1">
      <alignment horizontal="center" vertical="center"/>
    </xf>
    <xf numFmtId="0" fontId="6" fillId="4" borderId="0" xfId="3" applyFill="1"/>
    <xf numFmtId="3" fontId="6" fillId="4" borderId="0" xfId="3" applyNumberFormat="1" applyFill="1"/>
    <xf numFmtId="0" fontId="9" fillId="4" borderId="0" xfId="3" applyFont="1" applyFill="1"/>
    <xf numFmtId="3" fontId="9" fillId="4" borderId="0" xfId="3" applyNumberFormat="1" applyFont="1" applyFill="1"/>
    <xf numFmtId="0" fontId="10" fillId="0" borderId="0" xfId="0" applyFont="1"/>
    <xf numFmtId="10" fontId="9" fillId="3" borderId="0" xfId="4" applyNumberFormat="1" applyFont="1" applyFill="1"/>
    <xf numFmtId="3" fontId="0" fillId="0" borderId="0" xfId="0" applyNumberFormat="1"/>
    <xf numFmtId="0" fontId="11" fillId="0" borderId="0" xfId="5" applyFont="1"/>
    <xf numFmtId="0" fontId="12" fillId="0" borderId="0" xfId="5" applyFont="1"/>
    <xf numFmtId="0" fontId="6" fillId="0" borderId="0" xfId="5" applyFont="1"/>
    <xf numFmtId="0" fontId="13" fillId="0" borderId="0" xfId="5" applyFont="1"/>
    <xf numFmtId="0" fontId="13" fillId="0" borderId="0" xfId="5" applyFont="1" applyAlignment="1">
      <alignment horizontal="center"/>
    </xf>
    <xf numFmtId="1" fontId="6" fillId="0" borderId="0" xfId="5" applyNumberFormat="1" applyFont="1"/>
    <xf numFmtId="1" fontId="11" fillId="0" borderId="0" xfId="6" applyNumberFormat="1" applyFont="1"/>
    <xf numFmtId="10" fontId="6" fillId="0" borderId="0" xfId="5" applyNumberFormat="1" applyFont="1" applyAlignment="1">
      <alignment horizontal="center"/>
    </xf>
    <xf numFmtId="10" fontId="11" fillId="0" borderId="0" xfId="5" applyNumberFormat="1" applyFont="1"/>
    <xf numFmtId="10" fontId="6" fillId="0" borderId="0" xfId="5" applyNumberFormat="1" applyFont="1"/>
    <xf numFmtId="170" fontId="11" fillId="0" borderId="0" xfId="7" applyNumberFormat="1" applyFont="1"/>
    <xf numFmtId="0" fontId="6" fillId="5" borderId="0" xfId="5" applyFont="1" applyFill="1"/>
    <xf numFmtId="1" fontId="6" fillId="5" borderId="0" xfId="5" applyNumberFormat="1" applyFont="1" applyFill="1"/>
    <xf numFmtId="0" fontId="4" fillId="0" borderId="0" xfId="5" applyFont="1"/>
    <xf numFmtId="167" fontId="4" fillId="0" borderId="0" xfId="6" applyNumberFormat="1" applyFont="1"/>
    <xf numFmtId="170" fontId="4" fillId="0" borderId="0" xfId="5" applyNumberFormat="1" applyFont="1"/>
    <xf numFmtId="171" fontId="4" fillId="0" borderId="0" xfId="6" applyNumberFormat="1" applyFont="1"/>
    <xf numFmtId="0" fontId="6" fillId="0" borderId="2" xfId="5" applyFont="1" applyBorder="1"/>
    <xf numFmtId="0" fontId="6" fillId="0" borderId="3" xfId="5" applyFont="1" applyBorder="1"/>
    <xf numFmtId="0" fontId="6" fillId="0" borderId="4" xfId="5" applyFont="1" applyBorder="1"/>
    <xf numFmtId="0" fontId="11" fillId="0" borderId="2" xfId="5" applyFont="1" applyBorder="1"/>
    <xf numFmtId="0" fontId="11" fillId="0" borderId="3" xfId="5" applyFont="1" applyBorder="1"/>
    <xf numFmtId="170" fontId="11" fillId="0" borderId="3" xfId="7" applyNumberFormat="1" applyFont="1" applyBorder="1"/>
    <xf numFmtId="170" fontId="11" fillId="0" borderId="4" xfId="7" applyNumberFormat="1" applyFont="1" applyBorder="1"/>
    <xf numFmtId="0" fontId="11" fillId="0" borderId="5" xfId="5" applyFont="1" applyBorder="1"/>
    <xf numFmtId="170" fontId="11" fillId="0" borderId="0" xfId="7" applyNumberFormat="1" applyFont="1" applyBorder="1"/>
    <xf numFmtId="170" fontId="11" fillId="0" borderId="6" xfId="7" applyNumberFormat="1" applyFont="1" applyBorder="1"/>
    <xf numFmtId="0" fontId="4" fillId="0" borderId="5" xfId="5" applyFont="1" applyBorder="1"/>
    <xf numFmtId="0" fontId="4" fillId="0" borderId="0" xfId="7" applyNumberFormat="1" applyFont="1" applyBorder="1"/>
    <xf numFmtId="0" fontId="4" fillId="0" borderId="6" xfId="5" applyFont="1" applyBorder="1" applyAlignment="1">
      <alignment horizontal="center"/>
    </xf>
    <xf numFmtId="0" fontId="6" fillId="0" borderId="0" xfId="5" applyFont="1" applyAlignment="1">
      <alignment horizontal="center"/>
    </xf>
    <xf numFmtId="0" fontId="6" fillId="0" borderId="5" xfId="5" applyFont="1" applyBorder="1"/>
    <xf numFmtId="170" fontId="6" fillId="0" borderId="0" xfId="7" applyNumberFormat="1" applyFont="1" applyBorder="1" applyAlignment="1">
      <alignment vertical="top" wrapText="1"/>
    </xf>
    <xf numFmtId="170" fontId="4" fillId="0" borderId="6" xfId="5" applyNumberFormat="1" applyFont="1" applyBorder="1"/>
    <xf numFmtId="0" fontId="6" fillId="0" borderId="5" xfId="5" applyFont="1" applyBorder="1" applyAlignment="1">
      <alignment horizontal="right"/>
    </xf>
    <xf numFmtId="170" fontId="15" fillId="0" borderId="0" xfId="7" applyNumberFormat="1" applyFont="1" applyBorder="1"/>
    <xf numFmtId="0" fontId="11" fillId="0" borderId="5" xfId="5" applyFont="1" applyBorder="1" applyAlignment="1">
      <alignment horizontal="right"/>
    </xf>
    <xf numFmtId="10" fontId="6" fillId="0" borderId="0" xfId="8" applyNumberFormat="1" applyFont="1" applyBorder="1"/>
    <xf numFmtId="10" fontId="4" fillId="0" borderId="6" xfId="8" applyNumberFormat="1" applyFont="1" applyBorder="1"/>
    <xf numFmtId="10" fontId="4" fillId="0" borderId="0" xfId="8" applyNumberFormat="1" applyFont="1"/>
    <xf numFmtId="0" fontId="4" fillId="0" borderId="6" xfId="5" applyFont="1" applyBorder="1"/>
    <xf numFmtId="0" fontId="6" fillId="0" borderId="6" xfId="5" applyFont="1" applyBorder="1"/>
    <xf numFmtId="0" fontId="6" fillId="0" borderId="5" xfId="5" applyFont="1" applyBorder="1" applyAlignment="1">
      <alignment horizontal="center"/>
    </xf>
    <xf numFmtId="0" fontId="11" fillId="0" borderId="6" xfId="5" applyFont="1" applyBorder="1"/>
    <xf numFmtId="165" fontId="11" fillId="0" borderId="0" xfId="9" applyNumberFormat="1" applyFont="1" applyBorder="1"/>
    <xf numFmtId="165" fontId="11" fillId="0" borderId="6" xfId="5" applyNumberFormat="1" applyFont="1" applyBorder="1"/>
    <xf numFmtId="10" fontId="11" fillId="0" borderId="0" xfId="10" applyNumberFormat="1" applyFont="1"/>
    <xf numFmtId="170" fontId="4" fillId="0" borderId="5" xfId="5" applyNumberFormat="1" applyFont="1" applyBorder="1"/>
    <xf numFmtId="10" fontId="4" fillId="0" borderId="5" xfId="8" applyNumberFormat="1" applyFont="1" applyBorder="1"/>
    <xf numFmtId="170" fontId="11" fillId="0" borderId="0" xfId="5" applyNumberFormat="1" applyFont="1"/>
    <xf numFmtId="170" fontId="11" fillId="0" borderId="6" xfId="5" applyNumberFormat="1" applyFont="1" applyBorder="1"/>
    <xf numFmtId="10" fontId="4" fillId="0" borderId="6" xfId="10" applyNumberFormat="1" applyFont="1" applyBorder="1" applyAlignment="1">
      <alignment horizontal="right" vertical="center"/>
    </xf>
    <xf numFmtId="10" fontId="4" fillId="0" borderId="0" xfId="8" applyNumberFormat="1" applyFont="1" applyFill="1" applyBorder="1"/>
    <xf numFmtId="0" fontId="6" fillId="0" borderId="7" xfId="5" applyFont="1" applyBorder="1"/>
    <xf numFmtId="0" fontId="6" fillId="0" borderId="8" xfId="5" applyFont="1" applyBorder="1"/>
    <xf numFmtId="0" fontId="6" fillId="0" borderId="9" xfId="5" applyFont="1" applyBorder="1"/>
    <xf numFmtId="0" fontId="11" fillId="0" borderId="7" xfId="5" applyFont="1" applyBorder="1"/>
    <xf numFmtId="0" fontId="4" fillId="0" borderId="8" xfId="5" applyFont="1" applyBorder="1"/>
    <xf numFmtId="170" fontId="4" fillId="0" borderId="8" xfId="5" applyNumberFormat="1" applyFont="1" applyBorder="1"/>
    <xf numFmtId="170" fontId="4" fillId="0" borderId="9" xfId="5" applyNumberFormat="1" applyFont="1" applyBorder="1"/>
    <xf numFmtId="0" fontId="11" fillId="0" borderId="4" xfId="5" applyFont="1" applyBorder="1"/>
    <xf numFmtId="0" fontId="13" fillId="0" borderId="3" xfId="5" applyFont="1" applyBorder="1"/>
    <xf numFmtId="172" fontId="11" fillId="0" borderId="0" xfId="10" applyNumberFormat="1" applyFont="1" applyFill="1" applyBorder="1"/>
    <xf numFmtId="9" fontId="11" fillId="0" borderId="6" xfId="8" applyFont="1" applyBorder="1"/>
    <xf numFmtId="166" fontId="15" fillId="0" borderId="0" xfId="5" applyNumberFormat="1" applyFont="1" applyAlignment="1">
      <alignment horizontal="center"/>
    </xf>
    <xf numFmtId="170" fontId="6" fillId="0" borderId="0" xfId="7" applyNumberFormat="1" applyFont="1" applyBorder="1"/>
    <xf numFmtId="0" fontId="6" fillId="5" borderId="5" xfId="5" applyFont="1" applyFill="1" applyBorder="1"/>
    <xf numFmtId="170" fontId="6" fillId="5" borderId="0" xfId="7" applyNumberFormat="1" applyFont="1" applyFill="1" applyBorder="1"/>
    <xf numFmtId="9" fontId="11" fillId="0" borderId="0" xfId="5" applyNumberFormat="1" applyFont="1"/>
    <xf numFmtId="0" fontId="11" fillId="0" borderId="8" xfId="5" applyFont="1" applyBorder="1"/>
    <xf numFmtId="0" fontId="11" fillId="0" borderId="9" xfId="5" applyFont="1" applyBorder="1"/>
    <xf numFmtId="165" fontId="11" fillId="0" borderId="0" xfId="9" applyNumberFormat="1" applyFont="1"/>
    <xf numFmtId="170" fontId="11" fillId="0" borderId="8" xfId="5" applyNumberFormat="1" applyFont="1" applyBorder="1"/>
    <xf numFmtId="10" fontId="16" fillId="0" borderId="0" xfId="10" applyNumberFormat="1" applyFont="1"/>
    <xf numFmtId="170" fontId="19" fillId="0" borderId="0" xfId="11" applyNumberFormat="1"/>
    <xf numFmtId="170" fontId="11" fillId="0" borderId="0" xfId="6" applyNumberFormat="1" applyFont="1"/>
    <xf numFmtId="3" fontId="11" fillId="0" borderId="0" xfId="5" applyNumberFormat="1" applyFont="1"/>
    <xf numFmtId="0" fontId="1" fillId="0" borderId="0" xfId="5"/>
    <xf numFmtId="0" fontId="11" fillId="0" borderId="15" xfId="5" applyFont="1" applyBorder="1" applyAlignment="1">
      <alignment vertical="center" wrapText="1"/>
    </xf>
    <xf numFmtId="170" fontId="11" fillId="0" borderId="1" xfId="6" applyNumberFormat="1" applyFont="1" applyFill="1" applyBorder="1" applyAlignment="1">
      <alignment horizontal="right" vertical="center"/>
    </xf>
    <xf numFmtId="0" fontId="6" fillId="0" borderId="1" xfId="3" applyBorder="1" applyAlignment="1">
      <alignment horizontal="right" vertical="center"/>
    </xf>
    <xf numFmtId="170" fontId="11" fillId="0" borderId="1" xfId="6" applyNumberFormat="1" applyFont="1" applyBorder="1" applyAlignment="1">
      <alignment horizontal="right" vertical="center"/>
    </xf>
    <xf numFmtId="167" fontId="6" fillId="0" borderId="1" xfId="6" applyNumberFormat="1" applyFont="1" applyBorder="1" applyAlignment="1">
      <alignment vertical="center"/>
    </xf>
    <xf numFmtId="170" fontId="11" fillId="0" borderId="20" xfId="6" applyNumberFormat="1" applyFont="1" applyBorder="1" applyAlignment="1">
      <alignment vertical="center"/>
    </xf>
    <xf numFmtId="165" fontId="0" fillId="0" borderId="0" xfId="9" applyNumberFormat="1" applyFont="1"/>
    <xf numFmtId="0" fontId="11" fillId="0" borderId="21" xfId="5" applyFont="1" applyBorder="1" applyAlignment="1">
      <alignment vertical="center" wrapText="1"/>
    </xf>
    <xf numFmtId="0" fontId="1" fillId="0" borderId="27" xfId="5" applyBorder="1" applyAlignment="1">
      <alignment vertical="center" wrapText="1"/>
    </xf>
    <xf numFmtId="170" fontId="1" fillId="0" borderId="15" xfId="5" applyNumberFormat="1" applyBorder="1" applyAlignment="1">
      <alignment vertical="top"/>
    </xf>
    <xf numFmtId="170" fontId="6" fillId="0" borderId="1" xfId="3" applyNumberFormat="1" applyBorder="1"/>
    <xf numFmtId="172" fontId="0" fillId="0" borderId="1" xfId="10" applyNumberFormat="1" applyFont="1" applyBorder="1" applyAlignment="1">
      <alignment vertical="top"/>
    </xf>
    <xf numFmtId="170" fontId="1" fillId="0" borderId="1" xfId="5" applyNumberFormat="1" applyBorder="1" applyAlignment="1">
      <alignment vertical="top"/>
    </xf>
    <xf numFmtId="170" fontId="1" fillId="0" borderId="20" xfId="5" applyNumberFormat="1" applyBorder="1" applyAlignment="1">
      <alignment vertical="top"/>
    </xf>
    <xf numFmtId="170" fontId="1" fillId="0" borderId="0" xfId="5" applyNumberFormat="1"/>
    <xf numFmtId="0" fontId="1" fillId="0" borderId="28" xfId="5" applyBorder="1" applyAlignment="1">
      <alignment vertical="center" wrapText="1"/>
    </xf>
    <xf numFmtId="170" fontId="1" fillId="0" borderId="21" xfId="5" applyNumberFormat="1" applyBorder="1" applyAlignment="1">
      <alignment vertical="top"/>
    </xf>
    <xf numFmtId="170" fontId="1" fillId="0" borderId="29" xfId="5" applyNumberFormat="1" applyBorder="1" applyAlignment="1">
      <alignment vertical="top"/>
    </xf>
    <xf numFmtId="170" fontId="1" fillId="0" borderId="30" xfId="5" applyNumberFormat="1" applyBorder="1" applyAlignment="1">
      <alignment vertical="top"/>
    </xf>
    <xf numFmtId="165" fontId="6" fillId="0" borderId="0" xfId="1" applyNumberFormat="1" applyFont="1" applyFill="1" applyBorder="1"/>
    <xf numFmtId="170" fontId="4" fillId="0" borderId="0" xfId="6" applyNumberFormat="1" applyFont="1" applyBorder="1"/>
    <xf numFmtId="0" fontId="16" fillId="0" borderId="0" xfId="5" applyFont="1"/>
    <xf numFmtId="3" fontId="17" fillId="0" borderId="0" xfId="5" applyNumberFormat="1" applyFont="1" applyAlignment="1">
      <alignment horizontal="right" vertical="center"/>
    </xf>
    <xf numFmtId="3" fontId="18" fillId="0" borderId="0" xfId="5" applyNumberFormat="1" applyFont="1" applyAlignment="1">
      <alignment horizontal="right" vertical="center"/>
    </xf>
    <xf numFmtId="165" fontId="15" fillId="0" borderId="0" xfId="1" applyNumberFormat="1" applyFont="1" applyBorder="1"/>
    <xf numFmtId="0" fontId="15" fillId="0" borderId="5" xfId="5" applyFont="1" applyBorder="1"/>
    <xf numFmtId="0" fontId="0" fillId="0" borderId="0" xfId="0" applyAlignment="1">
      <alignment wrapText="1"/>
    </xf>
    <xf numFmtId="0" fontId="22" fillId="0" borderId="0" xfId="0" applyFont="1"/>
    <xf numFmtId="165" fontId="22" fillId="0" borderId="0" xfId="1" applyNumberFormat="1" applyFont="1"/>
    <xf numFmtId="170" fontId="22" fillId="0" borderId="0" xfId="0" applyNumberFormat="1" applyFont="1"/>
    <xf numFmtId="170" fontId="22" fillId="0" borderId="0" xfId="1" applyNumberFormat="1" applyFont="1"/>
    <xf numFmtId="169" fontId="0" fillId="0" borderId="0" xfId="6" applyFont="1"/>
    <xf numFmtId="17" fontId="0" fillId="0" borderId="0" xfId="0" applyNumberFormat="1"/>
    <xf numFmtId="170" fontId="0" fillId="0" borderId="0" xfId="6" applyNumberFormat="1" applyFont="1"/>
    <xf numFmtId="0" fontId="24" fillId="0" borderId="0" xfId="0" applyFont="1" applyAlignment="1">
      <alignment horizontal="right" vertical="center"/>
    </xf>
    <xf numFmtId="0" fontId="19" fillId="0" borderId="0" xfId="11"/>
    <xf numFmtId="172" fontId="0" fillId="0" borderId="0" xfId="0" applyNumberFormat="1"/>
    <xf numFmtId="10" fontId="0" fillId="0" borderId="0" xfId="0" applyNumberFormat="1"/>
    <xf numFmtId="17" fontId="22" fillId="0" borderId="0" xfId="0" applyNumberFormat="1" applyFont="1"/>
    <xf numFmtId="17" fontId="26" fillId="0" borderId="0" xfId="0" applyNumberFormat="1" applyFont="1"/>
    <xf numFmtId="0" fontId="26" fillId="0" borderId="0" xfId="0" applyFont="1"/>
    <xf numFmtId="17" fontId="2" fillId="0" borderId="0" xfId="0" applyNumberFormat="1" applyFont="1"/>
    <xf numFmtId="10" fontId="0" fillId="0" borderId="0" xfId="2" applyNumberFormat="1" applyFont="1"/>
    <xf numFmtId="0" fontId="19" fillId="0" borderId="0" xfId="11" applyFill="1"/>
    <xf numFmtId="0" fontId="25" fillId="0" borderId="0" xfId="0" applyFont="1" applyAlignment="1">
      <alignment horizontal="center"/>
    </xf>
    <xf numFmtId="0" fontId="3" fillId="0" borderId="0" xfId="0" applyFont="1" applyAlignment="1">
      <alignment horizontal="center"/>
    </xf>
    <xf numFmtId="15" fontId="3" fillId="0" borderId="0" xfId="0" applyNumberFormat="1" applyFont="1" applyAlignment="1">
      <alignment horizontal="right" vertical="center"/>
    </xf>
    <xf numFmtId="15" fontId="0" fillId="0" borderId="0" xfId="0" applyNumberFormat="1" applyAlignment="1">
      <alignment horizontal="center"/>
    </xf>
    <xf numFmtId="0" fontId="22" fillId="0" borderId="0" xfId="0" applyFont="1" applyAlignment="1">
      <alignment horizontal="center"/>
    </xf>
    <xf numFmtId="0" fontId="22" fillId="0" borderId="0" xfId="3" applyFont="1"/>
    <xf numFmtId="172" fontId="0" fillId="0" borderId="0" xfId="2" applyNumberFormat="1" applyFont="1" applyFill="1"/>
    <xf numFmtId="172" fontId="22" fillId="0" borderId="0" xfId="3" applyNumberFormat="1" applyFont="1"/>
    <xf numFmtId="169" fontId="0" fillId="0" borderId="0" xfId="6" applyFont="1" applyFill="1" applyAlignment="1">
      <alignment horizontal="center"/>
    </xf>
    <xf numFmtId="169" fontId="0" fillId="0" borderId="0" xfId="6" applyFont="1" applyFill="1"/>
    <xf numFmtId="169" fontId="22" fillId="0" borderId="0" xfId="6" applyFont="1" applyFill="1"/>
    <xf numFmtId="170" fontId="0" fillId="0" borderId="0" xfId="6" applyNumberFormat="1" applyFont="1" applyFill="1"/>
    <xf numFmtId="169" fontId="1" fillId="0" borderId="0" xfId="6" applyFont="1" applyFill="1"/>
    <xf numFmtId="169" fontId="26" fillId="0" borderId="0" xfId="6" applyFont="1" applyFill="1"/>
    <xf numFmtId="169" fontId="27" fillId="0" borderId="0" xfId="6" applyFont="1" applyFill="1"/>
    <xf numFmtId="169" fontId="0" fillId="0" borderId="0" xfId="6" applyFont="1" applyFill="1" applyAlignment="1">
      <alignment wrapText="1"/>
    </xf>
    <xf numFmtId="169" fontId="0" fillId="0" borderId="0" xfId="6" applyFont="1" applyFill="1" applyAlignment="1"/>
    <xf numFmtId="10" fontId="0" fillId="0" borderId="0" xfId="2" applyNumberFormat="1" applyFont="1" applyFill="1"/>
    <xf numFmtId="169" fontId="0" fillId="0" borderId="0" xfId="0" applyNumberFormat="1"/>
    <xf numFmtId="9" fontId="0" fillId="0" borderId="0" xfId="0" applyNumberFormat="1"/>
    <xf numFmtId="0" fontId="2" fillId="0" borderId="35" xfId="0" applyFont="1" applyBorder="1"/>
    <xf numFmtId="174" fontId="28" fillId="0" borderId="0" xfId="3" applyNumberFormat="1" applyFont="1" applyAlignment="1">
      <alignment horizontal="center"/>
    </xf>
    <xf numFmtId="172" fontId="0" fillId="0" borderId="0" xfId="2" applyNumberFormat="1" applyFont="1"/>
    <xf numFmtId="167" fontId="0" fillId="0" borderId="0" xfId="1" applyNumberFormat="1" applyFont="1"/>
    <xf numFmtId="170" fontId="0" fillId="0" borderId="0" xfId="1" applyNumberFormat="1" applyFont="1"/>
    <xf numFmtId="0" fontId="29" fillId="0" borderId="0" xfId="0" applyFont="1"/>
    <xf numFmtId="167" fontId="10" fillId="0" borderId="0" xfId="1" applyNumberFormat="1" applyFont="1"/>
    <xf numFmtId="10" fontId="10" fillId="0" borderId="0" xfId="2" applyNumberFormat="1" applyFont="1"/>
    <xf numFmtId="175" fontId="0" fillId="0" borderId="0" xfId="0" applyNumberFormat="1"/>
    <xf numFmtId="0" fontId="3" fillId="0" borderId="0" xfId="0" applyFont="1"/>
    <xf numFmtId="43" fontId="0" fillId="0" borderId="0" xfId="0" applyNumberFormat="1"/>
    <xf numFmtId="0" fontId="30" fillId="2" borderId="0" xfId="3" applyFont="1" applyFill="1" applyAlignment="1">
      <alignment horizontal="center" vertical="center" wrapText="1"/>
    </xf>
    <xf numFmtId="0" fontId="30" fillId="2" borderId="0" xfId="3" applyFont="1" applyFill="1" applyAlignment="1">
      <alignment horizontal="right"/>
    </xf>
    <xf numFmtId="3" fontId="10" fillId="0" borderId="0" xfId="0" applyNumberFormat="1" applyFont="1"/>
    <xf numFmtId="3" fontId="6" fillId="0" borderId="0" xfId="0" applyNumberFormat="1" applyFont="1"/>
    <xf numFmtId="0" fontId="11" fillId="0" borderId="0" xfId="12" applyFont="1" applyAlignment="1">
      <alignment horizontal="right"/>
    </xf>
    <xf numFmtId="0" fontId="11" fillId="0" borderId="0" xfId="12" applyFont="1"/>
    <xf numFmtId="3" fontId="11" fillId="0" borderId="0" xfId="12" applyNumberFormat="1" applyFont="1"/>
    <xf numFmtId="172" fontId="6" fillId="0" borderId="0" xfId="13" applyNumberFormat="1" applyFont="1"/>
    <xf numFmtId="172" fontId="11" fillId="0" borderId="0" xfId="12" applyNumberFormat="1" applyFont="1"/>
    <xf numFmtId="165" fontId="31" fillId="0" borderId="0" xfId="1" applyNumberFormat="1" applyFont="1"/>
    <xf numFmtId="0" fontId="32" fillId="4" borderId="0" xfId="3" applyFont="1" applyFill="1"/>
    <xf numFmtId="0" fontId="4" fillId="4" borderId="21" xfId="3" applyFont="1" applyFill="1" applyBorder="1" applyAlignment="1">
      <alignment horizontal="center"/>
    </xf>
    <xf numFmtId="3" fontId="6" fillId="4" borderId="36" xfId="3" applyNumberFormat="1" applyFill="1" applyBorder="1"/>
    <xf numFmtId="0" fontId="4" fillId="4" borderId="37" xfId="3" applyFont="1" applyFill="1" applyBorder="1" applyAlignment="1">
      <alignment horizontal="center"/>
    </xf>
    <xf numFmtId="3" fontId="33" fillId="4" borderId="36" xfId="3" applyNumberFormat="1" applyFont="1" applyFill="1" applyBorder="1"/>
    <xf numFmtId="170" fontId="6" fillId="4" borderId="0" xfId="1" applyNumberFormat="1" applyFont="1" applyFill="1"/>
    <xf numFmtId="172" fontId="6" fillId="4" borderId="35" xfId="2" applyNumberFormat="1" applyFont="1" applyFill="1" applyBorder="1"/>
    <xf numFmtId="172" fontId="6" fillId="4" borderId="36" xfId="2" applyNumberFormat="1" applyFont="1" applyFill="1" applyBorder="1"/>
    <xf numFmtId="0" fontId="4" fillId="4" borderId="0" xfId="3" applyFont="1" applyFill="1"/>
    <xf numFmtId="172" fontId="6" fillId="4" borderId="0" xfId="2" applyNumberFormat="1" applyFont="1" applyFill="1"/>
    <xf numFmtId="0" fontId="0" fillId="4" borderId="0" xfId="0" applyFill="1"/>
    <xf numFmtId="165" fontId="0" fillId="4" borderId="1" xfId="1" applyNumberFormat="1" applyFont="1" applyFill="1" applyBorder="1" applyAlignment="1">
      <alignment horizontal="center" vertical="center"/>
    </xf>
    <xf numFmtId="3" fontId="33" fillId="4" borderId="0" xfId="3" applyNumberFormat="1" applyFont="1" applyFill="1"/>
    <xf numFmtId="177" fontId="0" fillId="0" borderId="0" xfId="0" applyNumberFormat="1"/>
    <xf numFmtId="1" fontId="31" fillId="0" borderId="0" xfId="0" applyNumberFormat="1" applyFont="1"/>
    <xf numFmtId="0" fontId="0" fillId="0" borderId="2" xfId="0" applyBorder="1"/>
    <xf numFmtId="0" fontId="0" fillId="0" borderId="3" xfId="0" applyBorder="1"/>
    <xf numFmtId="0" fontId="0" fillId="0" borderId="4" xfId="0"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wrapText="1"/>
    </xf>
    <xf numFmtId="0" fontId="0" fillId="0" borderId="3" xfId="0" applyBorder="1" applyAlignment="1">
      <alignment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2" xfId="0" applyBorder="1" applyAlignment="1">
      <alignment vertical="center" wrapText="1"/>
    </xf>
    <xf numFmtId="0" fontId="0" fillId="0" borderId="5" xfId="0" applyBorder="1"/>
    <xf numFmtId="0" fontId="0" fillId="0" borderId="6" xfId="0" applyBorder="1"/>
    <xf numFmtId="17" fontId="0" fillId="0" borderId="5" xfId="0" applyNumberFormat="1" applyBorder="1"/>
    <xf numFmtId="17" fontId="0" fillId="0" borderId="6" xfId="0" applyNumberFormat="1" applyBorder="1"/>
    <xf numFmtId="170" fontId="0" fillId="0" borderId="5" xfId="6" applyNumberFormat="1" applyFont="1" applyBorder="1"/>
    <xf numFmtId="170" fontId="0" fillId="0" borderId="0" xfId="6" applyNumberFormat="1" applyFont="1" applyBorder="1"/>
    <xf numFmtId="170" fontId="0" fillId="0" borderId="6" xfId="6" applyNumberFormat="1" applyFont="1" applyBorder="1"/>
    <xf numFmtId="0" fontId="0" fillId="0" borderId="7" xfId="0" applyBorder="1"/>
    <xf numFmtId="0" fontId="0" fillId="0" borderId="8" xfId="0" applyBorder="1"/>
    <xf numFmtId="0" fontId="0" fillId="0" borderId="9" xfId="0" applyBorder="1"/>
    <xf numFmtId="17" fontId="0" fillId="0" borderId="7" xfId="0" applyNumberFormat="1" applyBorder="1"/>
    <xf numFmtId="17" fontId="0" fillId="0" borderId="9" xfId="0" applyNumberFormat="1" applyBorder="1"/>
    <xf numFmtId="170" fontId="0" fillId="0" borderId="7" xfId="6" applyNumberFormat="1" applyFont="1" applyBorder="1"/>
    <xf numFmtId="170" fontId="0" fillId="0" borderId="8" xfId="6" applyNumberFormat="1" applyFont="1" applyBorder="1"/>
    <xf numFmtId="170" fontId="0" fillId="0" borderId="9" xfId="6" applyNumberFormat="1" applyFont="1" applyBorder="1"/>
    <xf numFmtId="170" fontId="0" fillId="0" borderId="0" xfId="0" applyNumberFormat="1" applyAlignment="1">
      <alignment horizontal="left"/>
    </xf>
    <xf numFmtId="0" fontId="0" fillId="0" borderId="0" xfId="0" applyAlignment="1">
      <alignment horizontal="left"/>
    </xf>
    <xf numFmtId="0" fontId="0" fillId="0" borderId="1" xfId="0" applyBorder="1"/>
    <xf numFmtId="0" fontId="3" fillId="0" borderId="0" xfId="0" applyFont="1" applyAlignment="1">
      <alignment vertical="center"/>
    </xf>
    <xf numFmtId="170" fontId="0" fillId="6" borderId="0" xfId="6" applyNumberFormat="1" applyFont="1" applyFill="1"/>
    <xf numFmtId="10" fontId="0" fillId="0" borderId="0" xfId="0" applyNumberFormat="1" applyAlignment="1">
      <alignment horizontal="left"/>
    </xf>
    <xf numFmtId="0" fontId="3" fillId="0" borderId="3" xfId="0" applyFont="1" applyBorder="1" applyAlignment="1">
      <alignment vertical="center"/>
    </xf>
    <xf numFmtId="170" fontId="0" fillId="0" borderId="3" xfId="6" applyNumberFormat="1" applyFont="1" applyBorder="1"/>
    <xf numFmtId="170" fontId="0" fillId="7" borderId="3" xfId="0" applyNumberFormat="1" applyFill="1" applyBorder="1"/>
    <xf numFmtId="170" fontId="0" fillId="7" borderId="4" xfId="0" applyNumberFormat="1" applyFill="1" applyBorder="1"/>
    <xf numFmtId="170" fontId="0" fillId="0" borderId="0" xfId="6" applyNumberFormat="1" applyFont="1" applyFill="1" applyBorder="1"/>
    <xf numFmtId="170" fontId="0" fillId="0" borderId="6" xfId="6" applyNumberFormat="1" applyFont="1" applyFill="1" applyBorder="1"/>
    <xf numFmtId="0" fontId="3" fillId="0" borderId="8" xfId="0" applyFont="1" applyBorder="1" applyAlignment="1">
      <alignment vertical="center"/>
    </xf>
    <xf numFmtId="167" fontId="0" fillId="0" borderId="0" xfId="0" applyNumberFormat="1"/>
    <xf numFmtId="9" fontId="0" fillId="0" borderId="0" xfId="0" applyNumberFormat="1" applyAlignment="1">
      <alignment horizontal="left"/>
    </xf>
    <xf numFmtId="167" fontId="0" fillId="0" borderId="6" xfId="0" applyNumberFormat="1" applyBorder="1"/>
    <xf numFmtId="169" fontId="0" fillId="0" borderId="3" xfId="0" applyNumberFormat="1" applyBorder="1"/>
    <xf numFmtId="167" fontId="0" fillId="0" borderId="3" xfId="0" applyNumberFormat="1" applyBorder="1"/>
    <xf numFmtId="170" fontId="0" fillId="0" borderId="0" xfId="0" applyNumberFormat="1"/>
    <xf numFmtId="178" fontId="0" fillId="0" borderId="0" xfId="2" applyNumberFormat="1" applyFont="1" applyAlignment="1">
      <alignment horizontal="center"/>
    </xf>
    <xf numFmtId="170" fontId="3" fillId="0" borderId="0" xfId="0" applyNumberFormat="1" applyFont="1"/>
    <xf numFmtId="0" fontId="0" fillId="0" borderId="16" xfId="0" applyBorder="1"/>
    <xf numFmtId="43" fontId="0" fillId="0" borderId="4" xfId="0" applyNumberFormat="1" applyBorder="1"/>
    <xf numFmtId="170" fontId="0" fillId="0" borderId="5" xfId="0" applyNumberFormat="1" applyBorder="1"/>
    <xf numFmtId="170" fontId="0" fillId="0" borderId="6" xfId="0" applyNumberFormat="1" applyBorder="1"/>
    <xf numFmtId="10" fontId="0" fillId="0" borderId="1" xfId="0" applyNumberFormat="1" applyBorder="1"/>
    <xf numFmtId="170" fontId="0" fillId="0" borderId="7" xfId="0" applyNumberFormat="1" applyBorder="1"/>
    <xf numFmtId="170" fontId="0" fillId="0" borderId="8" xfId="0" applyNumberFormat="1" applyBorder="1"/>
    <xf numFmtId="170" fontId="0" fillId="0" borderId="9" xfId="0" applyNumberFormat="1" applyBorder="1"/>
    <xf numFmtId="172" fontId="0" fillId="0" borderId="2" xfId="2" applyNumberFormat="1" applyFont="1" applyBorder="1"/>
    <xf numFmtId="172" fontId="0" fillId="0" borderId="3" xfId="2" applyNumberFormat="1" applyFont="1" applyBorder="1"/>
    <xf numFmtId="172" fontId="0" fillId="0" borderId="4" xfId="2" applyNumberFormat="1" applyFont="1" applyBorder="1"/>
    <xf numFmtId="172" fontId="0" fillId="0" borderId="5" xfId="2" applyNumberFormat="1" applyFont="1" applyBorder="1"/>
    <xf numFmtId="172" fontId="0" fillId="0" borderId="0" xfId="2" applyNumberFormat="1" applyFont="1" applyBorder="1"/>
    <xf numFmtId="172" fontId="0" fillId="0" borderId="6" xfId="2" applyNumberFormat="1" applyFont="1" applyBorder="1"/>
    <xf numFmtId="172" fontId="0" fillId="0" borderId="7" xfId="2" applyNumberFormat="1" applyFont="1" applyBorder="1"/>
    <xf numFmtId="172" fontId="0" fillId="0" borderId="8" xfId="2" applyNumberFormat="1" applyFont="1" applyBorder="1"/>
    <xf numFmtId="172" fontId="0" fillId="0" borderId="9" xfId="2" applyNumberFormat="1" applyFont="1" applyBorder="1"/>
    <xf numFmtId="170" fontId="0" fillId="0" borderId="1" xfId="0" applyNumberFormat="1" applyBorder="1"/>
    <xf numFmtId="0" fontId="3" fillId="0" borderId="7" xfId="0" applyFont="1" applyBorder="1"/>
    <xf numFmtId="170" fontId="3" fillId="0" borderId="1" xfId="0" applyNumberFormat="1" applyFont="1" applyBorder="1"/>
    <xf numFmtId="169" fontId="0" fillId="0" borderId="1" xfId="0" applyNumberFormat="1" applyBorder="1"/>
    <xf numFmtId="0" fontId="5" fillId="0" borderId="1" xfId="0" applyFont="1" applyBorder="1"/>
    <xf numFmtId="170" fontId="5" fillId="0" borderId="1" xfId="0" applyNumberFormat="1" applyFont="1" applyBorder="1"/>
    <xf numFmtId="172" fontId="5" fillId="0" borderId="1" xfId="0" applyNumberFormat="1" applyFont="1" applyBorder="1"/>
    <xf numFmtId="172" fontId="0" fillId="0" borderId="1" xfId="0" applyNumberFormat="1" applyBorder="1"/>
    <xf numFmtId="10" fontId="5" fillId="0" borderId="1" xfId="0" applyNumberFormat="1" applyFont="1" applyBorder="1"/>
    <xf numFmtId="170" fontId="34" fillId="0" borderId="1" xfId="0" applyNumberFormat="1" applyFont="1" applyBorder="1"/>
    <xf numFmtId="165" fontId="0" fillId="0" borderId="0" xfId="6" applyNumberFormat="1" applyFont="1"/>
    <xf numFmtId="9" fontId="0" fillId="0" borderId="0" xfId="2" applyFont="1" applyAlignment="1">
      <alignment horizontal="center"/>
    </xf>
    <xf numFmtId="165" fontId="3" fillId="0" borderId="0" xfId="0" applyNumberFormat="1" applyFont="1"/>
    <xf numFmtId="0" fontId="0" fillId="0" borderId="0" xfId="0" quotePrefix="1"/>
    <xf numFmtId="179" fontId="0" fillId="0" borderId="0" xfId="0" applyNumberFormat="1"/>
    <xf numFmtId="170" fontId="3" fillId="0" borderId="0" xfId="6" applyNumberFormat="1" applyFont="1"/>
    <xf numFmtId="167" fontId="3" fillId="0" borderId="0" xfId="6" applyNumberFormat="1" applyFont="1"/>
    <xf numFmtId="172" fontId="3" fillId="0" borderId="0" xfId="0" applyNumberFormat="1" applyFont="1"/>
    <xf numFmtId="0" fontId="0" fillId="4" borderId="5" xfId="0" applyFill="1" applyBorder="1"/>
    <xf numFmtId="0" fontId="0" fillId="4" borderId="6" xfId="0" applyFill="1" applyBorder="1"/>
    <xf numFmtId="0" fontId="0" fillId="4" borderId="2" xfId="0" applyFill="1" applyBorder="1"/>
    <xf numFmtId="0" fontId="0" fillId="4" borderId="3" xfId="0" applyFill="1" applyBorder="1"/>
    <xf numFmtId="170" fontId="0" fillId="4" borderId="2" xfId="6" applyNumberFormat="1" applyFont="1" applyFill="1" applyBorder="1"/>
    <xf numFmtId="170" fontId="0" fillId="4" borderId="4" xfId="6" applyNumberFormat="1" applyFont="1" applyFill="1" applyBorder="1"/>
    <xf numFmtId="170" fontId="0" fillId="4" borderId="0" xfId="6" applyNumberFormat="1" applyFont="1" applyFill="1" applyBorder="1"/>
    <xf numFmtId="170" fontId="0" fillId="4" borderId="5" xfId="6" applyNumberFormat="1" applyFont="1" applyFill="1" applyBorder="1"/>
    <xf numFmtId="170" fontId="0" fillId="4" borderId="6" xfId="6" applyNumberFormat="1" applyFont="1" applyFill="1" applyBorder="1"/>
    <xf numFmtId="0" fontId="0" fillId="4" borderId="7" xfId="0" applyFill="1" applyBorder="1"/>
    <xf numFmtId="0" fontId="3" fillId="4" borderId="8" xfId="0" applyFont="1" applyFill="1" applyBorder="1"/>
    <xf numFmtId="170" fontId="3" fillId="4" borderId="7" xfId="0" applyNumberFormat="1" applyFont="1" applyFill="1" applyBorder="1"/>
    <xf numFmtId="170" fontId="3" fillId="4" borderId="9" xfId="0" applyNumberFormat="1" applyFont="1" applyFill="1" applyBorder="1"/>
    <xf numFmtId="170" fontId="3" fillId="4" borderId="0" xfId="0" applyNumberFormat="1" applyFont="1" applyFill="1"/>
    <xf numFmtId="0" fontId="3" fillId="4" borderId="5" xfId="0" applyFont="1" applyFill="1" applyBorder="1"/>
    <xf numFmtId="3" fontId="0" fillId="0" borderId="8" xfId="0" applyNumberFormat="1" applyBorder="1"/>
    <xf numFmtId="0" fontId="0" fillId="0" borderId="4" xfId="0" applyBorder="1" applyAlignment="1">
      <alignment wrapText="1"/>
    </xf>
    <xf numFmtId="1" fontId="0" fillId="0" borderId="8" xfId="0" applyNumberFormat="1" applyBorder="1"/>
    <xf numFmtId="170" fontId="3" fillId="0" borderId="0" xfId="6" applyNumberFormat="1" applyFont="1" applyFill="1"/>
    <xf numFmtId="170" fontId="0" fillId="3" borderId="3" xfId="0" applyNumberFormat="1" applyFill="1" applyBorder="1"/>
    <xf numFmtId="167" fontId="0" fillId="3" borderId="3" xfId="0" applyNumberFormat="1" applyFill="1" applyBorder="1"/>
    <xf numFmtId="0" fontId="0" fillId="0" borderId="0" xfId="0" applyAlignment="1">
      <alignment vertical="center"/>
    </xf>
    <xf numFmtId="11" fontId="0" fillId="0" borderId="0" xfId="1" applyNumberFormat="1" applyFont="1"/>
    <xf numFmtId="176" fontId="0" fillId="0" borderId="0" xfId="1" applyNumberFormat="1" applyFont="1"/>
    <xf numFmtId="180" fontId="0" fillId="0" borderId="0" xfId="0" applyNumberFormat="1"/>
    <xf numFmtId="10" fontId="4" fillId="4" borderId="0" xfId="2" applyNumberFormat="1" applyFont="1" applyFill="1"/>
    <xf numFmtId="3" fontId="0" fillId="4" borderId="0" xfId="0" applyNumberFormat="1" applyFill="1"/>
    <xf numFmtId="43" fontId="0" fillId="4" borderId="0" xfId="0" applyNumberFormat="1" applyFill="1"/>
    <xf numFmtId="165" fontId="0" fillId="4" borderId="0" xfId="1" applyNumberFormat="1" applyFont="1" applyFill="1"/>
    <xf numFmtId="2" fontId="0" fillId="4" borderId="0" xfId="0" applyNumberFormat="1" applyFill="1"/>
    <xf numFmtId="166" fontId="0" fillId="4" borderId="0" xfId="0" applyNumberFormat="1" applyFill="1"/>
    <xf numFmtId="2" fontId="0" fillId="4" borderId="0" xfId="1" applyNumberFormat="1" applyFont="1" applyFill="1"/>
    <xf numFmtId="0" fontId="4" fillId="8" borderId="32" xfId="3" applyFont="1" applyFill="1" applyBorder="1" applyAlignment="1">
      <alignment horizontal="center"/>
    </xf>
    <xf numFmtId="0" fontId="4" fillId="8" borderId="33" xfId="3" applyFont="1" applyFill="1" applyBorder="1" applyAlignment="1">
      <alignment vertical="center"/>
    </xf>
    <xf numFmtId="0" fontId="35" fillId="8" borderId="33" xfId="3" applyFont="1" applyFill="1" applyBorder="1" applyAlignment="1">
      <alignment vertical="center"/>
    </xf>
    <xf numFmtId="0" fontId="4" fillId="8" borderId="34" xfId="3" applyFont="1" applyFill="1" applyBorder="1" applyAlignment="1">
      <alignment vertical="center"/>
    </xf>
    <xf numFmtId="0" fontId="4" fillId="8" borderId="38" xfId="3" applyFont="1" applyFill="1" applyBorder="1" applyAlignment="1">
      <alignment horizontal="center"/>
    </xf>
    <xf numFmtId="3" fontId="4" fillId="8" borderId="39" xfId="3" applyNumberFormat="1" applyFont="1" applyFill="1" applyBorder="1"/>
    <xf numFmtId="3" fontId="35" fillId="8" borderId="39" xfId="3" applyNumberFormat="1" applyFont="1" applyFill="1" applyBorder="1"/>
    <xf numFmtId="3" fontId="4" fillId="8" borderId="40" xfId="3" applyNumberFormat="1" applyFont="1" applyFill="1" applyBorder="1"/>
    <xf numFmtId="0" fontId="4" fillId="8" borderId="32" xfId="3" applyFont="1" applyFill="1" applyBorder="1" applyAlignment="1">
      <alignment horizontal="center" vertical="center"/>
    </xf>
    <xf numFmtId="0" fontId="4" fillId="8" borderId="33" xfId="3" applyFont="1" applyFill="1" applyBorder="1" applyAlignment="1">
      <alignment horizontal="center" vertical="center" wrapText="1"/>
    </xf>
    <xf numFmtId="0" fontId="4" fillId="8" borderId="34" xfId="3" applyFont="1" applyFill="1" applyBorder="1" applyAlignment="1">
      <alignment horizontal="center" vertical="center" wrapText="1"/>
    </xf>
    <xf numFmtId="0" fontId="4" fillId="8" borderId="32" xfId="3" applyFont="1" applyFill="1" applyBorder="1" applyAlignment="1">
      <alignment horizontal="center" vertical="center" wrapText="1"/>
    </xf>
    <xf numFmtId="172" fontId="4" fillId="8" borderId="41" xfId="2" applyNumberFormat="1" applyFont="1" applyFill="1" applyBorder="1"/>
    <xf numFmtId="172" fontId="4" fillId="8" borderId="40" xfId="2" applyNumberFormat="1" applyFont="1" applyFill="1" applyBorder="1"/>
    <xf numFmtId="0" fontId="25" fillId="8" borderId="1" xfId="0" applyFont="1" applyFill="1" applyBorder="1" applyAlignment="1">
      <alignment horizontal="center" vertical="center"/>
    </xf>
    <xf numFmtId="0" fontId="25" fillId="8" borderId="1" xfId="0" applyFont="1" applyFill="1" applyBorder="1" applyAlignment="1">
      <alignment horizontal="center" vertical="center" wrapText="1"/>
    </xf>
    <xf numFmtId="165" fontId="25" fillId="8" borderId="1" xfId="1" applyNumberFormat="1" applyFont="1" applyFill="1" applyBorder="1" applyAlignment="1">
      <alignment horizontal="center" vertical="center"/>
    </xf>
    <xf numFmtId="0" fontId="3" fillId="4" borderId="1" xfId="0" applyFont="1" applyFill="1" applyBorder="1" applyAlignment="1">
      <alignment horizontal="center" vertical="center"/>
    </xf>
    <xf numFmtId="0" fontId="37" fillId="0" borderId="0" xfId="0" applyFont="1"/>
    <xf numFmtId="0" fontId="16" fillId="0" borderId="0" xfId="12" applyFont="1"/>
    <xf numFmtId="3" fontId="16" fillId="0" borderId="0" xfId="12" applyNumberFormat="1" applyFont="1"/>
    <xf numFmtId="172" fontId="4" fillId="0" borderId="0" xfId="13" applyNumberFormat="1" applyFont="1"/>
    <xf numFmtId="181" fontId="0" fillId="0" borderId="0" xfId="0" applyNumberFormat="1"/>
    <xf numFmtId="182" fontId="9" fillId="0" borderId="0" xfId="3" applyNumberFormat="1" applyFont="1"/>
    <xf numFmtId="0" fontId="11" fillId="0" borderId="0" xfId="0" applyFont="1" applyAlignment="1">
      <alignment horizontal="center" vertical="center"/>
    </xf>
    <xf numFmtId="0" fontId="11" fillId="0" borderId="0" xfId="0" applyFont="1"/>
    <xf numFmtId="0" fontId="16" fillId="0" borderId="0" xfId="0" applyFont="1"/>
    <xf numFmtId="165" fontId="11" fillId="0" borderId="0" xfId="1" applyNumberFormat="1" applyFont="1"/>
    <xf numFmtId="168" fontId="11" fillId="0" borderId="0" xfId="1" applyNumberFormat="1" applyFont="1"/>
    <xf numFmtId="168" fontId="11" fillId="0" borderId="0" xfId="0" applyNumberFormat="1" applyFont="1"/>
    <xf numFmtId="0" fontId="11" fillId="0" borderId="0" xfId="0" applyFont="1" applyAlignment="1">
      <alignment horizontal="center" vertical="center" wrapText="1"/>
    </xf>
    <xf numFmtId="0" fontId="38" fillId="0" borderId="0" xfId="0" applyFont="1" applyAlignment="1">
      <alignment horizontal="center" vertical="center" wrapText="1"/>
    </xf>
    <xf numFmtId="3" fontId="6" fillId="0" borderId="0" xfId="3" applyNumberFormat="1" applyAlignment="1">
      <alignment horizontal="center"/>
    </xf>
    <xf numFmtId="170" fontId="6" fillId="0" borderId="0" xfId="6" applyNumberFormat="1" applyFont="1" applyAlignment="1">
      <alignment horizontal="center"/>
    </xf>
    <xf numFmtId="183" fontId="6" fillId="0" borderId="0" xfId="3" applyNumberFormat="1"/>
    <xf numFmtId="9" fontId="6" fillId="0" borderId="0" xfId="2" applyFont="1"/>
    <xf numFmtId="9" fontId="6" fillId="0" borderId="0" xfId="3" applyNumberFormat="1"/>
    <xf numFmtId="170" fontId="6" fillId="0" borderId="0" xfId="6" applyNumberFormat="1" applyFont="1"/>
    <xf numFmtId="170" fontId="4" fillId="0" borderId="0" xfId="6" applyNumberFormat="1" applyFont="1"/>
    <xf numFmtId="0" fontId="4" fillId="0" borderId="0" xfId="3" applyFont="1"/>
    <xf numFmtId="167" fontId="5" fillId="0" borderId="1" xfId="0" applyNumberFormat="1" applyFont="1" applyBorder="1"/>
    <xf numFmtId="165" fontId="0" fillId="0" borderId="1" xfId="0" applyNumberFormat="1" applyBorder="1"/>
    <xf numFmtId="167" fontId="0" fillId="0" borderId="1" xfId="0" applyNumberFormat="1" applyBorder="1"/>
    <xf numFmtId="164" fontId="0" fillId="0" borderId="1" xfId="0" applyNumberFormat="1" applyBorder="1"/>
    <xf numFmtId="167" fontId="0" fillId="0" borderId="3" xfId="6" applyNumberFormat="1" applyFont="1" applyBorder="1"/>
    <xf numFmtId="167" fontId="0" fillId="0" borderId="0" xfId="6" applyNumberFormat="1" applyFont="1"/>
    <xf numFmtId="167" fontId="0" fillId="6" borderId="0" xfId="6" applyNumberFormat="1" applyFont="1" applyFill="1"/>
    <xf numFmtId="0" fontId="0" fillId="0" borderId="0" xfId="6" applyNumberFormat="1" applyFont="1"/>
    <xf numFmtId="170" fontId="22" fillId="0" borderId="0" xfId="1" applyNumberFormat="1" applyFont="1" applyFill="1"/>
    <xf numFmtId="0" fontId="11" fillId="9" borderId="0" xfId="12" applyFont="1" applyFill="1" applyAlignment="1">
      <alignment horizontal="center" vertical="center"/>
    </xf>
    <xf numFmtId="0" fontId="15" fillId="9" borderId="0" xfId="3" applyFont="1" applyFill="1" applyAlignment="1">
      <alignment horizontal="center" vertical="center" wrapText="1"/>
    </xf>
    <xf numFmtId="0" fontId="15" fillId="9" borderId="0" xfId="3" applyFont="1" applyFill="1" applyAlignment="1">
      <alignment horizontal="right"/>
    </xf>
    <xf numFmtId="0" fontId="15" fillId="9" borderId="0" xfId="3" applyFont="1" applyFill="1" applyAlignment="1">
      <alignment horizontal="center"/>
    </xf>
    <xf numFmtId="0" fontId="11" fillId="9" borderId="15" xfId="5" applyFont="1" applyFill="1" applyBorder="1" applyAlignment="1">
      <alignment horizontal="center" vertical="center"/>
    </xf>
    <xf numFmtId="0" fontId="16" fillId="9" borderId="1" xfId="5" applyFont="1" applyFill="1" applyBorder="1" applyAlignment="1">
      <alignment horizontal="center" vertical="center"/>
    </xf>
    <xf numFmtId="0" fontId="16" fillId="9" borderId="1" xfId="5" applyFont="1" applyFill="1" applyBorder="1" applyAlignment="1">
      <alignment horizontal="center" vertical="center" wrapText="1"/>
    </xf>
    <xf numFmtId="0" fontId="16" fillId="9" borderId="20" xfId="5" applyFont="1" applyFill="1" applyBorder="1" applyAlignment="1">
      <alignment horizontal="center" vertical="center"/>
    </xf>
    <xf numFmtId="0" fontId="16" fillId="9" borderId="1" xfId="5" applyFont="1" applyFill="1" applyBorder="1" applyAlignment="1">
      <alignment horizontal="center"/>
    </xf>
    <xf numFmtId="0" fontId="16" fillId="9" borderId="20" xfId="5" applyFont="1" applyFill="1" applyBorder="1" applyAlignment="1">
      <alignment horizontal="center"/>
    </xf>
    <xf numFmtId="0" fontId="13" fillId="9" borderId="22" xfId="5" applyFont="1" applyFill="1" applyBorder="1" applyAlignment="1">
      <alignment wrapText="1"/>
    </xf>
    <xf numFmtId="170" fontId="13" fillId="9" borderId="23" xfId="5" applyNumberFormat="1" applyFont="1" applyFill="1" applyBorder="1"/>
    <xf numFmtId="0" fontId="13" fillId="9" borderId="23" xfId="3" applyFont="1" applyFill="1" applyBorder="1"/>
    <xf numFmtId="170" fontId="13" fillId="9" borderId="23" xfId="6" applyNumberFormat="1" applyFont="1" applyFill="1" applyBorder="1"/>
    <xf numFmtId="167" fontId="13" fillId="9" borderId="23" xfId="6" applyNumberFormat="1" applyFont="1" applyFill="1" applyBorder="1"/>
    <xf numFmtId="170" fontId="13" fillId="9" borderId="24" xfId="6" applyNumberFormat="1" applyFont="1" applyFill="1" applyBorder="1" applyAlignment="1">
      <alignment vertical="top"/>
    </xf>
    <xf numFmtId="0" fontId="1" fillId="9" borderId="13" xfId="5" applyFill="1" applyBorder="1" applyAlignment="1">
      <alignment vertical="center"/>
    </xf>
    <xf numFmtId="0" fontId="1" fillId="9" borderId="27" xfId="5" applyFill="1" applyBorder="1" applyAlignment="1">
      <alignment vertical="center" wrapText="1"/>
    </xf>
    <xf numFmtId="0" fontId="3" fillId="9" borderId="15" xfId="5" applyFont="1" applyFill="1" applyBorder="1" applyAlignment="1">
      <alignment horizontal="center" vertical="center" wrapText="1"/>
    </xf>
    <xf numFmtId="0" fontId="3" fillId="9" borderId="1" xfId="5" applyFont="1" applyFill="1" applyBorder="1" applyAlignment="1">
      <alignment horizontal="center" vertical="center" wrapText="1"/>
    </xf>
    <xf numFmtId="0" fontId="3" fillId="9" borderId="20" xfId="5" applyFont="1" applyFill="1" applyBorder="1" applyAlignment="1">
      <alignment horizontal="center" vertical="center" wrapText="1"/>
    </xf>
    <xf numFmtId="0" fontId="3" fillId="9" borderId="31" xfId="5" applyFont="1" applyFill="1" applyBorder="1" applyAlignment="1">
      <alignment wrapText="1"/>
    </xf>
    <xf numFmtId="170" fontId="3" fillId="9" borderId="22" xfId="5" applyNumberFormat="1" applyFont="1" applyFill="1" applyBorder="1"/>
    <xf numFmtId="170" fontId="3" fillId="9" borderId="23" xfId="5" applyNumberFormat="1" applyFont="1" applyFill="1" applyBorder="1"/>
    <xf numFmtId="172" fontId="3" fillId="9" borderId="23" xfId="10" applyNumberFormat="1" applyFont="1" applyFill="1" applyBorder="1"/>
    <xf numFmtId="170" fontId="3" fillId="9" borderId="23" xfId="6" applyNumberFormat="1" applyFont="1" applyFill="1" applyBorder="1"/>
    <xf numFmtId="0" fontId="15" fillId="4" borderId="0" xfId="0" applyFont="1" applyFill="1"/>
    <xf numFmtId="165" fontId="15" fillId="4" borderId="1" xfId="1" applyNumberFormat="1" applyFont="1" applyFill="1" applyBorder="1" applyAlignment="1">
      <alignment horizontal="center" vertical="center"/>
    </xf>
    <xf numFmtId="165" fontId="15" fillId="4" borderId="0" xfId="1" applyNumberFormat="1" applyFont="1" applyFill="1"/>
    <xf numFmtId="166" fontId="15" fillId="4" borderId="0" xfId="0" applyNumberFormat="1" applyFont="1" applyFill="1"/>
    <xf numFmtId="2" fontId="15" fillId="4" borderId="0" xfId="1" applyNumberFormat="1" applyFont="1" applyFill="1"/>
    <xf numFmtId="2" fontId="15" fillId="4" borderId="0" xfId="0" applyNumberFormat="1" applyFont="1" applyFill="1"/>
    <xf numFmtId="43" fontId="15" fillId="4" borderId="0" xfId="0" applyNumberFormat="1" applyFont="1" applyFill="1"/>
    <xf numFmtId="3" fontId="15" fillId="4" borderId="0" xfId="0" applyNumberFormat="1" applyFont="1" applyFill="1"/>
    <xf numFmtId="0" fontId="4" fillId="8" borderId="42" xfId="0" applyFont="1" applyFill="1" applyBorder="1" applyAlignment="1">
      <alignment horizontal="center" vertical="center"/>
    </xf>
    <xf numFmtId="0" fontId="4" fillId="8" borderId="44" xfId="0" applyFont="1" applyFill="1" applyBorder="1" applyAlignment="1">
      <alignment horizontal="center" vertical="center"/>
    </xf>
    <xf numFmtId="0" fontId="4" fillId="8" borderId="43" xfId="0" applyFont="1" applyFill="1" applyBorder="1" applyAlignment="1">
      <alignment horizontal="center" vertical="center" wrapText="1"/>
    </xf>
    <xf numFmtId="0" fontId="13" fillId="4" borderId="15" xfId="0" applyFont="1" applyFill="1" applyBorder="1" applyAlignment="1">
      <alignment horizontal="center" vertical="center"/>
    </xf>
    <xf numFmtId="165" fontId="15" fillId="4" borderId="20" xfId="1" applyNumberFormat="1" applyFont="1" applyFill="1" applyBorder="1" applyAlignment="1">
      <alignment horizontal="center" vertical="center"/>
    </xf>
    <xf numFmtId="0" fontId="4" fillId="8" borderId="22" xfId="0" applyFont="1" applyFill="1" applyBorder="1" applyAlignment="1">
      <alignment horizontal="center" vertical="center"/>
    </xf>
    <xf numFmtId="165" fontId="4" fillId="8" borderId="23" xfId="1" applyNumberFormat="1" applyFont="1" applyFill="1" applyBorder="1" applyAlignment="1">
      <alignment horizontal="center" vertical="center"/>
    </xf>
    <xf numFmtId="165" fontId="4" fillId="8" borderId="24" xfId="1" applyNumberFormat="1" applyFont="1" applyFill="1" applyBorder="1" applyAlignment="1">
      <alignment horizontal="center" vertical="center"/>
    </xf>
    <xf numFmtId="165" fontId="0" fillId="3" borderId="0" xfId="1" applyNumberFormat="1" applyFont="1" applyFill="1"/>
    <xf numFmtId="184" fontId="1" fillId="0" borderId="0" xfId="1" applyNumberFormat="1"/>
    <xf numFmtId="43" fontId="6" fillId="0" borderId="1" xfId="3" applyNumberFormat="1" applyBorder="1" applyAlignment="1">
      <alignment horizontal="right" vertical="center"/>
    </xf>
    <xf numFmtId="0" fontId="39" fillId="0" borderId="0" xfId="0" applyFont="1"/>
    <xf numFmtId="165" fontId="39" fillId="0" borderId="0" xfId="1" applyNumberFormat="1" applyFont="1"/>
    <xf numFmtId="168" fontId="39" fillId="0" borderId="0" xfId="1" applyNumberFormat="1" applyFont="1"/>
    <xf numFmtId="3" fontId="5" fillId="0" borderId="0" xfId="0" applyNumberFormat="1" applyFont="1"/>
    <xf numFmtId="0" fontId="39" fillId="0" borderId="0" xfId="12" applyFont="1"/>
    <xf numFmtId="3" fontId="39" fillId="0" borderId="0" xfId="12" applyNumberFormat="1" applyFont="1"/>
    <xf numFmtId="172" fontId="33" fillId="0" borderId="0" xfId="13" applyNumberFormat="1" applyFont="1"/>
    <xf numFmtId="0" fontId="33" fillId="0" borderId="0" xfId="0" applyFont="1"/>
    <xf numFmtId="0" fontId="39" fillId="0" borderId="0" xfId="12" applyFont="1" applyAlignment="1">
      <alignment horizontal="right"/>
    </xf>
    <xf numFmtId="43" fontId="10" fillId="0" borderId="0" xfId="0" applyNumberFormat="1" applyFont="1"/>
    <xf numFmtId="178" fontId="10" fillId="0" borderId="0" xfId="2" applyNumberFormat="1" applyFont="1"/>
    <xf numFmtId="165" fontId="0" fillId="4" borderId="0" xfId="0" applyNumberFormat="1" applyFill="1"/>
    <xf numFmtId="10" fontId="0" fillId="4" borderId="0" xfId="2" applyNumberFormat="1" applyFont="1" applyFill="1"/>
    <xf numFmtId="0" fontId="0" fillId="0" borderId="0" xfId="0" applyAlignment="1">
      <alignment horizontal="center"/>
    </xf>
    <xf numFmtId="169" fontId="0" fillId="0" borderId="0" xfId="6" applyFont="1" applyFill="1" applyAlignment="1">
      <alignment horizontal="center"/>
    </xf>
    <xf numFmtId="0" fontId="23" fillId="0" borderId="0" xfId="0" applyFont="1" applyAlignment="1">
      <alignment horizontal="center"/>
    </xf>
    <xf numFmtId="169" fontId="23" fillId="0" borderId="0" xfId="6" applyFont="1" applyFill="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170" fontId="3" fillId="0" borderId="5" xfId="0" applyNumberFormat="1" applyFont="1" applyBorder="1" applyAlignment="1">
      <alignment horizontal="center"/>
    </xf>
    <xf numFmtId="170" fontId="3" fillId="0" borderId="0" xfId="0" applyNumberFormat="1" applyFont="1" applyAlignment="1">
      <alignment horizontal="center"/>
    </xf>
    <xf numFmtId="10" fontId="0" fillId="0" borderId="0" xfId="2" applyNumberFormat="1" applyFont="1" applyAlignment="1">
      <alignment horizontal="center" vertical="center"/>
    </xf>
    <xf numFmtId="0" fontId="0" fillId="4" borderId="2" xfId="0" applyFill="1" applyBorder="1" applyAlignment="1">
      <alignment horizontal="center"/>
    </xf>
    <xf numFmtId="0" fontId="0" fillId="4" borderId="4" xfId="0" applyFill="1" applyBorder="1" applyAlignment="1">
      <alignment horizontal="center"/>
    </xf>
    <xf numFmtId="0" fontId="11" fillId="0" borderId="0" xfId="12" applyFont="1"/>
    <xf numFmtId="0" fontId="11" fillId="9" borderId="0" xfId="12" applyFont="1" applyFill="1" applyAlignment="1">
      <alignment horizontal="center" vertical="center"/>
    </xf>
    <xf numFmtId="0" fontId="8" fillId="2" borderId="0" xfId="3" applyFont="1" applyFill="1" applyAlignment="1">
      <alignment horizontal="center"/>
    </xf>
    <xf numFmtId="0" fontId="8" fillId="2" borderId="0" xfId="3" applyFont="1" applyFill="1" applyAlignment="1">
      <alignment horizontal="center" wrapText="1"/>
    </xf>
    <xf numFmtId="0" fontId="13" fillId="9" borderId="0" xfId="3" applyFont="1" applyFill="1" applyAlignment="1">
      <alignment horizontal="center"/>
    </xf>
    <xf numFmtId="0" fontId="3" fillId="9" borderId="32" xfId="5" applyFont="1" applyFill="1" applyBorder="1" applyAlignment="1">
      <alignment horizontal="center"/>
    </xf>
    <xf numFmtId="0" fontId="3" fillId="9" borderId="33" xfId="5" applyFont="1" applyFill="1" applyBorder="1" applyAlignment="1">
      <alignment horizontal="center"/>
    </xf>
    <xf numFmtId="0" fontId="3" fillId="9" borderId="34" xfId="5" applyFont="1" applyFill="1" applyBorder="1" applyAlignment="1">
      <alignment horizontal="center"/>
    </xf>
    <xf numFmtId="0" fontId="16" fillId="9" borderId="13" xfId="5" applyFont="1" applyFill="1" applyBorder="1" applyAlignment="1">
      <alignment horizontal="center"/>
    </xf>
    <xf numFmtId="0" fontId="16" fillId="9" borderId="8" xfId="5" applyFont="1" applyFill="1" applyBorder="1" applyAlignment="1">
      <alignment horizontal="center"/>
    </xf>
    <xf numFmtId="0" fontId="16" fillId="9" borderId="14" xfId="5" applyFont="1" applyFill="1" applyBorder="1" applyAlignment="1">
      <alignment horizontal="center"/>
    </xf>
    <xf numFmtId="0" fontId="20" fillId="2" borderId="10" xfId="5" applyFont="1" applyFill="1" applyBorder="1" applyAlignment="1">
      <alignment horizontal="center"/>
    </xf>
    <xf numFmtId="0" fontId="20" fillId="2" borderId="11" xfId="5" applyFont="1" applyFill="1" applyBorder="1" applyAlignment="1">
      <alignment horizontal="center"/>
    </xf>
    <xf numFmtId="0" fontId="20" fillId="2" borderId="12" xfId="5" applyFont="1" applyFill="1" applyBorder="1" applyAlignment="1">
      <alignment horizontal="center"/>
    </xf>
    <xf numFmtId="0" fontId="3" fillId="9" borderId="25" xfId="5" applyFont="1" applyFill="1" applyBorder="1" applyAlignment="1">
      <alignment horizontal="center"/>
    </xf>
    <xf numFmtId="0" fontId="3" fillId="9" borderId="26" xfId="5" applyFont="1" applyFill="1" applyBorder="1" applyAlignment="1">
      <alignment horizontal="center"/>
    </xf>
    <xf numFmtId="0" fontId="11" fillId="9" borderId="15" xfId="5" applyFont="1" applyFill="1" applyBorder="1" applyAlignment="1">
      <alignment horizontal="center" vertical="center"/>
    </xf>
    <xf numFmtId="0" fontId="16" fillId="9" borderId="16" xfId="5" applyFont="1" applyFill="1" applyBorder="1" applyAlignment="1">
      <alignment horizontal="center" vertical="center"/>
    </xf>
    <xf numFmtId="0" fontId="16" fillId="9" borderId="17" xfId="5" applyFont="1" applyFill="1" applyBorder="1" applyAlignment="1">
      <alignment horizontal="center" vertical="center"/>
    </xf>
    <xf numFmtId="0" fontId="16" fillId="9" borderId="18" xfId="5" applyFont="1" applyFill="1" applyBorder="1" applyAlignment="1">
      <alignment horizontal="center" vertical="center"/>
    </xf>
    <xf numFmtId="173" fontId="16" fillId="9" borderId="16" xfId="5" applyNumberFormat="1" applyFont="1" applyFill="1" applyBorder="1" applyAlignment="1">
      <alignment horizontal="center" vertical="center" wrapText="1"/>
    </xf>
    <xf numFmtId="173" fontId="16" fillId="9" borderId="17" xfId="5" applyNumberFormat="1" applyFont="1" applyFill="1" applyBorder="1" applyAlignment="1">
      <alignment horizontal="center" vertical="center" wrapText="1"/>
    </xf>
    <xf numFmtId="173" fontId="16" fillId="9" borderId="19" xfId="5" applyNumberFormat="1" applyFont="1" applyFill="1" applyBorder="1" applyAlignment="1">
      <alignment horizontal="center" vertical="center" wrapText="1"/>
    </xf>
  </cellXfs>
  <cellStyles count="14">
    <cellStyle name="Comma" xfId="1" builtinId="3"/>
    <cellStyle name="Comma 2 3" xfId="6" xr:uid="{B6EC23A4-F677-4397-879C-363C4F76BACD}"/>
    <cellStyle name="Comma 44" xfId="7" xr:uid="{0E7C3A37-55AE-48A7-9C6D-5AC4EF2A0658}"/>
    <cellStyle name="Comma 8" xfId="9" xr:uid="{E06750FE-DDC2-49CD-999B-87B65B02313D}"/>
    <cellStyle name="Hyperlink" xfId="11" builtinId="8"/>
    <cellStyle name="Normal" xfId="0" builtinId="0"/>
    <cellStyle name="Normal 14" xfId="5" xr:uid="{D59E696C-FD07-44D3-ACC1-BF0FE8890A53}"/>
    <cellStyle name="Normal 2 2 2 2 2" xfId="3" xr:uid="{3A50E53F-EF9F-4CBD-8423-712C9DC247B6}"/>
    <cellStyle name="Normal 3" xfId="12" xr:uid="{7AED6FFD-DEED-46A8-AE22-48ED638EE44D}"/>
    <cellStyle name="Percent" xfId="2" builtinId="5"/>
    <cellStyle name="Percent 10 2" xfId="8" xr:uid="{527E839F-3953-441D-A509-0D106D40D2F1}"/>
    <cellStyle name="Percent 3" xfId="13" xr:uid="{F1DB4FAC-7F78-4B93-AC33-FD06FDBE62C6}"/>
    <cellStyle name="Percent 43" xfId="10" xr:uid="{9A071C36-CEF9-47E7-AC0A-F66A0D292AB1}"/>
    <cellStyle name="Percent 5 3" xfId="4" xr:uid="{795535FB-C139-4F24-B8C5-2DFB81D035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Weather!$T$121</c:f>
              <c:strCache>
                <c:ptCount val="1"/>
                <c:pt idx="0">
                  <c:v>Residential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Weather!$T$122:$T$241</c:f>
              <c:numCache>
                <c:formatCode>_-* #,##0_-;\-* #,##0_-;_-* "-"??_-;_-@_-</c:formatCode>
                <c:ptCount val="120"/>
                <c:pt idx="0">
                  <c:v>984.46117037495753</c:v>
                </c:pt>
                <c:pt idx="1">
                  <c:v>999.29767732340088</c:v>
                </c:pt>
                <c:pt idx="2">
                  <c:v>800.10930475738928</c:v>
                </c:pt>
                <c:pt idx="3">
                  <c:v>815.97631574666377</c:v>
                </c:pt>
                <c:pt idx="4">
                  <c:v>633.457190378679</c:v>
                </c:pt>
                <c:pt idx="5">
                  <c:v>553.76211958355213</c:v>
                </c:pt>
                <c:pt idx="6">
                  <c:v>532.77854432885704</c:v>
                </c:pt>
                <c:pt idx="7">
                  <c:v>549.72896741177249</c:v>
                </c:pt>
                <c:pt idx="8">
                  <c:v>548.56680786552488</c:v>
                </c:pt>
                <c:pt idx="9">
                  <c:v>545.14284688262387</c:v>
                </c:pt>
                <c:pt idx="10">
                  <c:v>620.98177705053661</c:v>
                </c:pt>
                <c:pt idx="11">
                  <c:v>747.22879030798788</c:v>
                </c:pt>
                <c:pt idx="12">
                  <c:v>871.13601926232525</c:v>
                </c:pt>
                <c:pt idx="13">
                  <c:v>953.95970635541448</c:v>
                </c:pt>
                <c:pt idx="14">
                  <c:v>886.47886965348232</c:v>
                </c:pt>
                <c:pt idx="15">
                  <c:v>754.18385808087567</c:v>
                </c:pt>
                <c:pt idx="16">
                  <c:v>620.71437607392284</c:v>
                </c:pt>
                <c:pt idx="17">
                  <c:v>542.22348791076934</c:v>
                </c:pt>
                <c:pt idx="18">
                  <c:v>512.57873732656685</c:v>
                </c:pt>
                <c:pt idx="19">
                  <c:v>577.54326106785641</c:v>
                </c:pt>
                <c:pt idx="20">
                  <c:v>556.52920127061282</c:v>
                </c:pt>
                <c:pt idx="21">
                  <c:v>541.95859223424941</c:v>
                </c:pt>
                <c:pt idx="22">
                  <c:v>610.1573295134948</c:v>
                </c:pt>
                <c:pt idx="23">
                  <c:v>640.03768709973701</c:v>
                </c:pt>
                <c:pt idx="24">
                  <c:v>764.58331093096626</c:v>
                </c:pt>
                <c:pt idx="25">
                  <c:v>841.25380488898975</c:v>
                </c:pt>
                <c:pt idx="26">
                  <c:v>781.94003428153849</c:v>
                </c:pt>
                <c:pt idx="27">
                  <c:v>699.25587083293567</c:v>
                </c:pt>
                <c:pt idx="28">
                  <c:v>609.46721149837015</c:v>
                </c:pt>
                <c:pt idx="29">
                  <c:v>524.87924971695998</c:v>
                </c:pt>
                <c:pt idx="30">
                  <c:v>528.54611548623984</c:v>
                </c:pt>
                <c:pt idx="31">
                  <c:v>560.22194190166488</c:v>
                </c:pt>
                <c:pt idx="32">
                  <c:v>581.79940246997103</c:v>
                </c:pt>
                <c:pt idx="33">
                  <c:v>504.12977276368071</c:v>
                </c:pt>
                <c:pt idx="34">
                  <c:v>580.33493210637505</c:v>
                </c:pt>
                <c:pt idx="35">
                  <c:v>623.42340839477049</c:v>
                </c:pt>
                <c:pt idx="36">
                  <c:v>824.16796359608816</c:v>
                </c:pt>
                <c:pt idx="37">
                  <c:v>797.29478839532317</c:v>
                </c:pt>
                <c:pt idx="38">
                  <c:v>698.43780960541631</c:v>
                </c:pt>
                <c:pt idx="39">
                  <c:v>729.49643463103257</c:v>
                </c:pt>
                <c:pt idx="40">
                  <c:v>576.69361607417409</c:v>
                </c:pt>
                <c:pt idx="41">
                  <c:v>536.87133551980526</c:v>
                </c:pt>
                <c:pt idx="42">
                  <c:v>497.84828307210933</c:v>
                </c:pt>
                <c:pt idx="43">
                  <c:v>539.58873184076401</c:v>
                </c:pt>
                <c:pt idx="44">
                  <c:v>515.77133491763482</c:v>
                </c:pt>
                <c:pt idx="45">
                  <c:v>510.57131476454816</c:v>
                </c:pt>
                <c:pt idx="46">
                  <c:v>558.2574039868208</c:v>
                </c:pt>
                <c:pt idx="47">
                  <c:v>694.10038274775309</c:v>
                </c:pt>
                <c:pt idx="48">
                  <c:v>877.22969311952761</c:v>
                </c:pt>
                <c:pt idx="49">
                  <c:v>874.13665164953704</c:v>
                </c:pt>
                <c:pt idx="50">
                  <c:v>736.1635051855335</c:v>
                </c:pt>
                <c:pt idx="51">
                  <c:v>690.73392196718942</c:v>
                </c:pt>
                <c:pt idx="52">
                  <c:v>615.06926396432846</c:v>
                </c:pt>
                <c:pt idx="53">
                  <c:v>529.3651894556499</c:v>
                </c:pt>
                <c:pt idx="54">
                  <c:v>516.2566649347483</c:v>
                </c:pt>
                <c:pt idx="55">
                  <c:v>609.22724533456449</c:v>
                </c:pt>
                <c:pt idx="56">
                  <c:v>558.37008519285848</c:v>
                </c:pt>
                <c:pt idx="57">
                  <c:v>528.90915607533577</c:v>
                </c:pt>
                <c:pt idx="58">
                  <c:v>631.96242057344114</c:v>
                </c:pt>
                <c:pt idx="59">
                  <c:v>702.92492003898224</c:v>
                </c:pt>
                <c:pt idx="60">
                  <c:v>823.23032885029613</c:v>
                </c:pt>
                <c:pt idx="61">
                  <c:v>936.12168684080086</c:v>
                </c:pt>
                <c:pt idx="62">
                  <c:v>781.61220707876373</c:v>
                </c:pt>
                <c:pt idx="63">
                  <c:v>731.17182149478595</c:v>
                </c:pt>
                <c:pt idx="64">
                  <c:v>613.05612431218447</c:v>
                </c:pt>
                <c:pt idx="65">
                  <c:v>552.21934577266336</c:v>
                </c:pt>
                <c:pt idx="66">
                  <c:v>520.49733424716658</c:v>
                </c:pt>
                <c:pt idx="67">
                  <c:v>617.33742940092861</c:v>
                </c:pt>
                <c:pt idx="68">
                  <c:v>553.45448073933426</c:v>
                </c:pt>
                <c:pt idx="69">
                  <c:v>528.23482265276027</c:v>
                </c:pt>
                <c:pt idx="70">
                  <c:v>592.7035174925004</c:v>
                </c:pt>
                <c:pt idx="71">
                  <c:v>713.0546097094666</c:v>
                </c:pt>
                <c:pt idx="72">
                  <c:v>838.50367647940368</c:v>
                </c:pt>
                <c:pt idx="73">
                  <c:v>801.77882940549694</c:v>
                </c:pt>
                <c:pt idx="74">
                  <c:v>745.49560542890674</c:v>
                </c:pt>
                <c:pt idx="75">
                  <c:v>715.28268035382916</c:v>
                </c:pt>
                <c:pt idx="76">
                  <c:v>646.03139847498505</c:v>
                </c:pt>
                <c:pt idx="77">
                  <c:v>613.21064510738438</c:v>
                </c:pt>
                <c:pt idx="78">
                  <c:v>607.14894877054962</c:v>
                </c:pt>
                <c:pt idx="79">
                  <c:v>711.60483401823171</c:v>
                </c:pt>
                <c:pt idx="80">
                  <c:v>611.93642403582339</c:v>
                </c:pt>
                <c:pt idx="81">
                  <c:v>529.13505918423846</c:v>
                </c:pt>
                <c:pt idx="82">
                  <c:v>631.57676519469692</c:v>
                </c:pt>
                <c:pt idx="83">
                  <c:v>681.47314073481766</c:v>
                </c:pt>
                <c:pt idx="84">
                  <c:v>825.39983686444305</c:v>
                </c:pt>
                <c:pt idx="85">
                  <c:v>817.252356472109</c:v>
                </c:pt>
                <c:pt idx="86">
                  <c:v>784.01484655532158</c:v>
                </c:pt>
                <c:pt idx="87">
                  <c:v>735.43493328376587</c:v>
                </c:pt>
                <c:pt idx="88">
                  <c:v>598.4697908084346</c:v>
                </c:pt>
                <c:pt idx="89">
                  <c:v>574.4147093979974</c:v>
                </c:pt>
                <c:pt idx="90">
                  <c:v>564.82146919870718</c:v>
                </c:pt>
                <c:pt idx="91">
                  <c:v>597.72746568832383</c:v>
                </c:pt>
                <c:pt idx="92">
                  <c:v>642.59978946569743</c:v>
                </c:pt>
                <c:pt idx="93">
                  <c:v>522.86648567103589</c:v>
                </c:pt>
                <c:pt idx="94">
                  <c:v>570.02235140849075</c:v>
                </c:pt>
                <c:pt idx="95">
                  <c:v>676.15550747502493</c:v>
                </c:pt>
                <c:pt idx="96">
                  <c:v>845.330521634359</c:v>
                </c:pt>
                <c:pt idx="97">
                  <c:v>974.8796499736294</c:v>
                </c:pt>
                <c:pt idx="98">
                  <c:v>816.82544680418994</c:v>
                </c:pt>
                <c:pt idx="99">
                  <c:v>738.37853320541558</c:v>
                </c:pt>
                <c:pt idx="100">
                  <c:v>614.02429882495971</c:v>
                </c:pt>
                <c:pt idx="101">
                  <c:v>551.96732649491048</c:v>
                </c:pt>
                <c:pt idx="102">
                  <c:v>547.09191487937073</c:v>
                </c:pt>
                <c:pt idx="103">
                  <c:v>578.67587423274051</c:v>
                </c:pt>
                <c:pt idx="104">
                  <c:v>575.59348322784797</c:v>
                </c:pt>
                <c:pt idx="105">
                  <c:v>529.95671483510102</c:v>
                </c:pt>
                <c:pt idx="106">
                  <c:v>585.40556317394487</c:v>
                </c:pt>
                <c:pt idx="107">
                  <c:v>668.90468951832679</c:v>
                </c:pt>
                <c:pt idx="108">
                  <c:v>811.10025274470092</c:v>
                </c:pt>
                <c:pt idx="109">
                  <c:v>815.83107774955488</c:v>
                </c:pt>
                <c:pt idx="110">
                  <c:v>763.34611422175931</c:v>
                </c:pt>
                <c:pt idx="111">
                  <c:v>730.31756946494386</c:v>
                </c:pt>
                <c:pt idx="112">
                  <c:v>619.95341048248747</c:v>
                </c:pt>
                <c:pt idx="113">
                  <c:v>564.18181214073638</c:v>
                </c:pt>
                <c:pt idx="114">
                  <c:v>586.30151099711884</c:v>
                </c:pt>
                <c:pt idx="115">
                  <c:v>605.05162053164213</c:v>
                </c:pt>
                <c:pt idx="116">
                  <c:v>551.98150543701252</c:v>
                </c:pt>
                <c:pt idx="117">
                  <c:v>537.91715729037412</c:v>
                </c:pt>
                <c:pt idx="118">
                  <c:v>601.02970299128742</c:v>
                </c:pt>
                <c:pt idx="119">
                  <c:v>688.58901992215908</c:v>
                </c:pt>
              </c:numCache>
            </c:numRef>
          </c:yVal>
          <c:smooth val="0"/>
          <c:extLst>
            <c:ext xmlns:c16="http://schemas.microsoft.com/office/drawing/2014/chart" uri="{C3380CC4-5D6E-409C-BE32-E72D297353CC}">
              <c16:uniqueId val="{00000000-7374-48BC-A5C8-AF90FDB0D74D}"/>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Res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Summary'!$C$3</c:f>
              <c:strCache>
                <c:ptCount val="1"/>
                <c:pt idx="0">
                  <c:v>CDM Added Back</c:v>
                </c:pt>
              </c:strCache>
            </c:strRef>
          </c:tx>
          <c:spPr>
            <a:ln w="19050" cap="rnd" cmpd="sng" algn="ctr">
              <a:solidFill>
                <a:schemeClr val="accent3"/>
              </a:solidFill>
              <a:prstDash val="solid"/>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43864776.97660166</c:v>
                </c:pt>
                <c:pt idx="1">
                  <c:v>42224313.5184284</c:v>
                </c:pt>
                <c:pt idx="2">
                  <c:v>39576589.911565922</c:v>
                </c:pt>
                <c:pt idx="3">
                  <c:v>38896696.187510021</c:v>
                </c:pt>
                <c:pt idx="4">
                  <c:v>40607720.209604323</c:v>
                </c:pt>
                <c:pt idx="5">
                  <c:v>40639419.246583492</c:v>
                </c:pt>
                <c:pt idx="6">
                  <c:v>41929357.400596619</c:v>
                </c:pt>
                <c:pt idx="7">
                  <c:v>40855357.012767971</c:v>
                </c:pt>
                <c:pt idx="8">
                  <c:v>41430807.01911661</c:v>
                </c:pt>
                <c:pt idx="9">
                  <c:v>40901110.982517324</c:v>
                </c:pt>
              </c:numCache>
            </c:numRef>
          </c:val>
          <c:smooth val="0"/>
          <c:extLst>
            <c:ext xmlns:c16="http://schemas.microsoft.com/office/drawing/2014/chart" uri="{C3380CC4-5D6E-409C-BE32-E72D297353CC}">
              <c16:uniqueId val="{00000000-98E2-4101-88A0-625252D95F61}"/>
            </c:ext>
          </c:extLst>
        </c:ser>
        <c:ser>
          <c:idx val="0"/>
          <c:order val="1"/>
          <c:tx>
            <c:strRef>
              <c:f>'Model Summary'!$D$3</c:f>
              <c:strCache>
                <c:ptCount val="1"/>
                <c:pt idx="0">
                  <c:v>Predicted</c:v>
                </c:pt>
              </c:strCache>
            </c:strRef>
          </c:tx>
          <c:spPr>
            <a:ln w="19050" cap="rnd" cmpd="sng" algn="ctr">
              <a:solidFill>
                <a:schemeClr val="accent1"/>
              </a:solidFill>
              <a:prstDash val="solid"/>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42093150.083901681</c:v>
                </c:pt>
                <c:pt idx="1">
                  <c:v>41685272.564213216</c:v>
                </c:pt>
                <c:pt idx="2">
                  <c:v>40715084.743156634</c:v>
                </c:pt>
                <c:pt idx="3">
                  <c:v>40845493.104026064</c:v>
                </c:pt>
                <c:pt idx="4">
                  <c:v>41842814.532741524</c:v>
                </c:pt>
                <c:pt idx="5">
                  <c:v>41761746.907170653</c:v>
                </c:pt>
                <c:pt idx="6">
                  <c:v>40966212.303137831</c:v>
                </c:pt>
                <c:pt idx="7">
                  <c:v>40469045.077450685</c:v>
                </c:pt>
                <c:pt idx="8">
                  <c:v>41277736.636307918</c:v>
                </c:pt>
                <c:pt idx="9">
                  <c:v>40463866.19453118</c:v>
                </c:pt>
              </c:numCache>
            </c:numRef>
          </c:val>
          <c:smooth val="0"/>
          <c:extLst>
            <c:ext xmlns:c16="http://schemas.microsoft.com/office/drawing/2014/chart" uri="{C3380CC4-5D6E-409C-BE32-E72D297353CC}">
              <c16:uniqueId val="{00000001-98E2-4101-88A0-625252D95F61}"/>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GS &lt; 50 kW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Summary'!$I$3</c:f>
              <c:strCache>
                <c:ptCount val="1"/>
                <c:pt idx="0">
                  <c:v>CDM Added Back</c:v>
                </c:pt>
              </c:strCache>
            </c:strRef>
          </c:tx>
          <c:marker>
            <c:symbol val="none"/>
          </c:marker>
          <c:cat>
            <c:numRef>
              <c:f>'Model Summary'!$H$4:$H$13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21470123.46736047</c:v>
                </c:pt>
                <c:pt idx="1">
                  <c:v>21418851.183689468</c:v>
                </c:pt>
                <c:pt idx="2">
                  <c:v>20043153.298730098</c:v>
                </c:pt>
                <c:pt idx="3">
                  <c:v>19451379.974433169</c:v>
                </c:pt>
                <c:pt idx="4">
                  <c:v>20313585.847074512</c:v>
                </c:pt>
                <c:pt idx="5">
                  <c:v>20160136.039156388</c:v>
                </c:pt>
                <c:pt idx="6">
                  <c:v>18918481.455066059</c:v>
                </c:pt>
                <c:pt idx="7">
                  <c:v>19276839.410256926</c:v>
                </c:pt>
                <c:pt idx="8">
                  <c:v>19854808.647446509</c:v>
                </c:pt>
                <c:pt idx="9">
                  <c:v>19521219.250245396</c:v>
                </c:pt>
              </c:numCache>
            </c:numRef>
          </c:val>
          <c:smooth val="0"/>
          <c:extLst>
            <c:ext xmlns:c16="http://schemas.microsoft.com/office/drawing/2014/chart" uri="{C3380CC4-5D6E-409C-BE32-E72D297353CC}">
              <c16:uniqueId val="{00000000-83B4-4FC5-A5FB-035B79C1FAB1}"/>
            </c:ext>
          </c:extLst>
        </c:ser>
        <c:ser>
          <c:idx val="0"/>
          <c:order val="1"/>
          <c:tx>
            <c:strRef>
              <c:f>'Model Summary'!$J$3</c:f>
              <c:strCache>
                <c:ptCount val="1"/>
                <c:pt idx="0">
                  <c:v>Predicted</c:v>
                </c:pt>
              </c:strCache>
            </c:strRef>
          </c:tx>
          <c:marker>
            <c:symbol val="none"/>
          </c:marker>
          <c:cat>
            <c:numRef>
              <c:f>'Model Summary'!$H$4:$H$13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Summary'!$J$4:$J$13</c:f>
              <c:numCache>
                <c:formatCode>#,##0</c:formatCode>
                <c:ptCount val="10"/>
                <c:pt idx="0">
                  <c:v>20861885.132967263</c:v>
                </c:pt>
                <c:pt idx="1">
                  <c:v>21154193.091192674</c:v>
                </c:pt>
                <c:pt idx="2">
                  <c:v>19780614.399610613</c:v>
                </c:pt>
                <c:pt idx="3">
                  <c:v>20212629.992933888</c:v>
                </c:pt>
                <c:pt idx="4">
                  <c:v>19833361.903073221</c:v>
                </c:pt>
                <c:pt idx="5">
                  <c:v>20428417.081076264</c:v>
                </c:pt>
                <c:pt idx="6">
                  <c:v>19622278.166274</c:v>
                </c:pt>
                <c:pt idx="7">
                  <c:v>19208242.328349192</c:v>
                </c:pt>
                <c:pt idx="8">
                  <c:v>19619038.946548209</c:v>
                </c:pt>
                <c:pt idx="9">
                  <c:v>19420545.294742823</c:v>
                </c:pt>
              </c:numCache>
            </c:numRef>
          </c:val>
          <c:smooth val="0"/>
          <c:extLst>
            <c:ext xmlns:c16="http://schemas.microsoft.com/office/drawing/2014/chart" uri="{C3380CC4-5D6E-409C-BE32-E72D297353CC}">
              <c16:uniqueId val="{00000001-83B4-4FC5-A5FB-035B79C1FAB1}"/>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GS &gt; 50 kW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Summary'!$O$3</c:f>
              <c:strCache>
                <c:ptCount val="1"/>
                <c:pt idx="0">
                  <c:v>CDM Added Back</c:v>
                </c:pt>
              </c:strCache>
            </c:strRef>
          </c:tx>
          <c:marker>
            <c:symbol val="none"/>
          </c:marker>
          <c:cat>
            <c:numRef>
              <c:f>'Model Summary'!$N$4:$N$13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Summary'!$O$4:$O$13</c:f>
              <c:numCache>
                <c:formatCode>#,##0</c:formatCode>
                <c:ptCount val="10"/>
                <c:pt idx="0">
                  <c:v>55925468.183128454</c:v>
                </c:pt>
                <c:pt idx="1">
                  <c:v>60145601.393206462</c:v>
                </c:pt>
                <c:pt idx="2">
                  <c:v>62123387.789063156</c:v>
                </c:pt>
                <c:pt idx="3">
                  <c:v>61877746.561473161</c:v>
                </c:pt>
                <c:pt idx="4">
                  <c:v>61856847.410471715</c:v>
                </c:pt>
                <c:pt idx="5">
                  <c:v>62832835.248162679</c:v>
                </c:pt>
                <c:pt idx="6">
                  <c:v>60174451.390223101</c:v>
                </c:pt>
                <c:pt idx="7">
                  <c:v>59993611.805962145</c:v>
                </c:pt>
                <c:pt idx="8">
                  <c:v>59661276.335024729</c:v>
                </c:pt>
                <c:pt idx="9">
                  <c:v>59147736.58702746</c:v>
                </c:pt>
              </c:numCache>
            </c:numRef>
          </c:val>
          <c:smooth val="0"/>
          <c:extLst>
            <c:ext xmlns:c16="http://schemas.microsoft.com/office/drawing/2014/chart" uri="{C3380CC4-5D6E-409C-BE32-E72D297353CC}">
              <c16:uniqueId val="{00000000-97DC-47C7-B20C-342EDBEA035A}"/>
            </c:ext>
          </c:extLst>
        </c:ser>
        <c:ser>
          <c:idx val="0"/>
          <c:order val="1"/>
          <c:tx>
            <c:strRef>
              <c:f>'Model Summary'!$P$3</c:f>
              <c:strCache>
                <c:ptCount val="1"/>
                <c:pt idx="0">
                  <c:v>Predicted</c:v>
                </c:pt>
              </c:strCache>
            </c:strRef>
          </c:tx>
          <c:marker>
            <c:symbol val="none"/>
          </c:marker>
          <c:cat>
            <c:numRef>
              <c:f>'Model Summary'!$N$4:$N$13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Summary'!$P$4:$P$13</c:f>
              <c:numCache>
                <c:formatCode>#,##0</c:formatCode>
                <c:ptCount val="10"/>
                <c:pt idx="0">
                  <c:v>61168996.2228797</c:v>
                </c:pt>
                <c:pt idx="1">
                  <c:v>60880398.509050488</c:v>
                </c:pt>
                <c:pt idx="2">
                  <c:v>60193932.661764443</c:v>
                </c:pt>
                <c:pt idx="3">
                  <c:v>60286204.368329406</c:v>
                </c:pt>
                <c:pt idx="4">
                  <c:v>60991868.864131965</c:v>
                </c:pt>
                <c:pt idx="5">
                  <c:v>60934508.675653853</c:v>
                </c:pt>
                <c:pt idx="6">
                  <c:v>60371620.414071664</c:v>
                </c:pt>
                <c:pt idx="7">
                  <c:v>60019844.898633309</c:v>
                </c:pt>
                <c:pt idx="8">
                  <c:v>60592042.491816282</c:v>
                </c:pt>
                <c:pt idx="9">
                  <c:v>60016180.529555313</c:v>
                </c:pt>
              </c:numCache>
            </c:numRef>
          </c:val>
          <c:smooth val="0"/>
          <c:extLst>
            <c:ext xmlns:c16="http://schemas.microsoft.com/office/drawing/2014/chart" uri="{C3380CC4-5D6E-409C-BE32-E72D297353CC}">
              <c16:uniqueId val="{00000001-97DC-47C7-B20C-342EDBEA035A}"/>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numRef>
              <c:f>'Res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Normalized'!$D$2:$D$145</c:f>
              <c:numCache>
                <c:formatCode>_-* #,##0_-;\-* #,##0_-;_-* "-"??_-;_-@_-</c:formatCode>
                <c:ptCount val="144"/>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4536154.7431210773</c:v>
                </c:pt>
                <c:pt idx="49">
                  <c:v>4527153.7188929524</c:v>
                </c:pt>
                <c:pt idx="50">
                  <c:v>3823633.2459336612</c:v>
                </c:pt>
                <c:pt idx="51">
                  <c:v>3577310.9818680743</c:v>
                </c:pt>
                <c:pt idx="52">
                  <c:v>3186058.7873352217</c:v>
                </c:pt>
                <c:pt idx="53">
                  <c:v>2724113.2649387745</c:v>
                </c:pt>
                <c:pt idx="54">
                  <c:v>2667498.1877178443</c:v>
                </c:pt>
                <c:pt idx="55">
                  <c:v>3163717.0850223936</c:v>
                </c:pt>
                <c:pt idx="56">
                  <c:v>2861088.3165282067</c:v>
                </c:pt>
                <c:pt idx="57">
                  <c:v>2699552.3326085135</c:v>
                </c:pt>
                <c:pt idx="58">
                  <c:v>3237543.4805977391</c:v>
                </c:pt>
                <c:pt idx="59">
                  <c:v>3603896.0650398619</c:v>
                </c:pt>
                <c:pt idx="60">
                  <c:v>4201767.5984519115</c:v>
                </c:pt>
                <c:pt idx="61">
                  <c:v>4731159.0052934075</c:v>
                </c:pt>
                <c:pt idx="62">
                  <c:v>3958865.8288539383</c:v>
                </c:pt>
                <c:pt idx="63">
                  <c:v>3717277.5404794915</c:v>
                </c:pt>
                <c:pt idx="64">
                  <c:v>3119229.5605003946</c:v>
                </c:pt>
                <c:pt idx="65">
                  <c:v>2814109.7860574927</c:v>
                </c:pt>
                <c:pt idx="66">
                  <c:v>2659220.8806687742</c:v>
                </c:pt>
                <c:pt idx="67">
                  <c:v>3150272.9022329389</c:v>
                </c:pt>
                <c:pt idx="68">
                  <c:v>2819850.5793669079</c:v>
                </c:pt>
                <c:pt idx="69">
                  <c:v>2715126.9884351878</c:v>
                </c:pt>
                <c:pt idx="70">
                  <c:v>3069611.5170936594</c:v>
                </c:pt>
                <c:pt idx="71">
                  <c:v>3682927.0591493947</c:v>
                </c:pt>
                <c:pt idx="72">
                  <c:v>4335064.0073985169</c:v>
                </c:pt>
                <c:pt idx="73">
                  <c:v>4140385.8750499859</c:v>
                </c:pt>
                <c:pt idx="74">
                  <c:v>3848248.3152240166</c:v>
                </c:pt>
                <c:pt idx="75">
                  <c:v>3687997.4999043434</c:v>
                </c:pt>
                <c:pt idx="76">
                  <c:v>3326415.6707476983</c:v>
                </c:pt>
                <c:pt idx="77">
                  <c:v>3154968.7690774924</c:v>
                </c:pt>
                <c:pt idx="78">
                  <c:v>3122567.0435269368</c:v>
                </c:pt>
                <c:pt idx="79">
                  <c:v>3663341.6855258569</c:v>
                </c:pt>
                <c:pt idx="80">
                  <c:v>3155144.2023287057</c:v>
                </c:pt>
                <c:pt idx="81">
                  <c:v>2719754.2042069854</c:v>
                </c:pt>
                <c:pt idx="82">
                  <c:v>3265883.4528217777</c:v>
                </c:pt>
                <c:pt idx="83">
                  <c:v>3509586.6747843111</c:v>
                </c:pt>
                <c:pt idx="84">
                  <c:v>4263190.1574048484</c:v>
                </c:pt>
                <c:pt idx="85">
                  <c:v>4226829.1876737475</c:v>
                </c:pt>
                <c:pt idx="86">
                  <c:v>4039244.4894530168</c:v>
                </c:pt>
                <c:pt idx="87">
                  <c:v>3794108.820810948</c:v>
                </c:pt>
                <c:pt idx="88">
                  <c:v>3101868.9257601164</c:v>
                </c:pt>
                <c:pt idx="89">
                  <c:v>2965128.7299124626</c:v>
                </c:pt>
                <c:pt idx="90">
                  <c:v>2919562.1742881173</c:v>
                </c:pt>
                <c:pt idx="91">
                  <c:v>3078894.175760556</c:v>
                </c:pt>
                <c:pt idx="92">
                  <c:v>3326739.1100639156</c:v>
                </c:pt>
                <c:pt idx="93">
                  <c:v>2700605.3984909002</c:v>
                </c:pt>
                <c:pt idx="94">
                  <c:v>2951575.7355931653</c:v>
                </c:pt>
                <c:pt idx="95">
                  <c:v>3487610.1075561787</c:v>
                </c:pt>
                <c:pt idx="96">
                  <c:v>4371204.1273712702</c:v>
                </c:pt>
                <c:pt idx="97">
                  <c:v>5039152.9107136903</c:v>
                </c:pt>
                <c:pt idx="98">
                  <c:v>4211552.0037224032</c:v>
                </c:pt>
                <c:pt idx="99">
                  <c:v>3799695.9318750687</c:v>
                </c:pt>
                <c:pt idx="100">
                  <c:v>3175119.6492238664</c:v>
                </c:pt>
                <c:pt idx="101">
                  <c:v>2854775.0126316771</c:v>
                </c:pt>
                <c:pt idx="102">
                  <c:v>2826823.9241817086</c:v>
                </c:pt>
                <c:pt idx="103">
                  <c:v>2984810.1592924753</c:v>
                </c:pt>
                <c:pt idx="104">
                  <c:v>2963730.8451401889</c:v>
                </c:pt>
                <c:pt idx="105">
                  <c:v>2727687.2112562652</c:v>
                </c:pt>
                <c:pt idx="106">
                  <c:v>3025375.9504829473</c:v>
                </c:pt>
                <c:pt idx="107">
                  <c:v>3450879.2932250476</c:v>
                </c:pt>
                <c:pt idx="108">
                  <c:v>4207177.010986764</c:v>
                </c:pt>
                <c:pt idx="109">
                  <c:v>4233347.46244244</c:v>
                </c:pt>
                <c:pt idx="110">
                  <c:v>3958712.948354044</c:v>
                </c:pt>
                <c:pt idx="111">
                  <c:v>3784505.644967339</c:v>
                </c:pt>
                <c:pt idx="112">
                  <c:v>3224377.6879194174</c:v>
                </c:pt>
                <c:pt idx="113">
                  <c:v>2928667.7868225626</c:v>
                </c:pt>
                <c:pt idx="114">
                  <c:v>3049940.460207012</c:v>
                </c:pt>
                <c:pt idx="115">
                  <c:v>3144453.271902944</c:v>
                </c:pt>
                <c:pt idx="116">
                  <c:v>2865887.9762289687</c:v>
                </c:pt>
                <c:pt idx="117">
                  <c:v>2795555.4664380746</c:v>
                </c:pt>
                <c:pt idx="118">
                  <c:v>3136774.019911529</c:v>
                </c:pt>
                <c:pt idx="119">
                  <c:v>3571711.2463362389</c:v>
                </c:pt>
                <c:pt idx="120">
                  <c:v>4005895.2953150608</c:v>
                </c:pt>
                <c:pt idx="121">
                  <c:v>4302730.3482179875</c:v>
                </c:pt>
                <c:pt idx="122">
                  <c:v>3768112.4011209141</c:v>
                </c:pt>
                <c:pt idx="123">
                  <c:v>3682543.4540238408</c:v>
                </c:pt>
                <c:pt idx="124">
                  <c:v>3154863.5069267675</c:v>
                </c:pt>
                <c:pt idx="125">
                  <c:v>2833887.5598296942</c:v>
                </c:pt>
                <c:pt idx="126">
                  <c:v>3089982.6127326209</c:v>
                </c:pt>
                <c:pt idx="127">
                  <c:v>3416128.6656355476</c:v>
                </c:pt>
                <c:pt idx="128">
                  <c:v>3265561.7185384743</c:v>
                </c:pt>
                <c:pt idx="129">
                  <c:v>2994047.771441401</c:v>
                </c:pt>
              </c:numCache>
            </c:numRef>
          </c:val>
          <c:smooth val="0"/>
          <c:extLst>
            <c:ext xmlns:c16="http://schemas.microsoft.com/office/drawing/2014/chart" uri="{C3380CC4-5D6E-409C-BE32-E72D297353CC}">
              <c16:uniqueId val="{00000000-4F3C-4365-92F4-77189BD7F04D}"/>
            </c:ext>
          </c:extLst>
        </c:ser>
        <c:ser>
          <c:idx val="1"/>
          <c:order val="1"/>
          <c:tx>
            <c:strRef>
              <c:f>'Res Normalized'!$M$1</c:f>
              <c:strCache>
                <c:ptCount val="1"/>
                <c:pt idx="0">
                  <c:v>Normal Predicted</c:v>
                </c:pt>
              </c:strCache>
            </c:strRef>
          </c:tx>
          <c:spPr>
            <a:ln w="28575" cap="rnd">
              <a:solidFill>
                <a:schemeClr val="accent2"/>
              </a:solidFill>
              <a:round/>
            </a:ln>
            <a:effectLst/>
          </c:spPr>
          <c:marker>
            <c:symbol val="none"/>
          </c:marker>
          <c:cat>
            <c:numRef>
              <c:f>'Res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Normalized'!$M$2:$M$145</c:f>
              <c:numCache>
                <c:formatCode>_-* #,##0_-;\-* #,##0_-;_-* "-"??_-;_-@_-</c:formatCode>
                <c:ptCount val="144"/>
                <c:pt idx="0">
                  <c:v>4494412.3864108613</c:v>
                </c:pt>
                <c:pt idx="1">
                  <c:v>4385875.389160973</c:v>
                </c:pt>
                <c:pt idx="2">
                  <c:v>4085358.8095715707</c:v>
                </c:pt>
                <c:pt idx="3">
                  <c:v>3574890.0164906839</c:v>
                </c:pt>
                <c:pt idx="4">
                  <c:v>3188426.2945656427</c:v>
                </c:pt>
                <c:pt idx="5">
                  <c:v>3004168.5090022008</c:v>
                </c:pt>
                <c:pt idx="6">
                  <c:v>2994140.5371802053</c:v>
                </c:pt>
                <c:pt idx="7">
                  <c:v>2996767.8641316034</c:v>
                </c:pt>
                <c:pt idx="8">
                  <c:v>3046977.8665344804</c:v>
                </c:pt>
                <c:pt idx="9">
                  <c:v>2727679.2530736816</c:v>
                </c:pt>
                <c:pt idx="10">
                  <c:v>3155091.3755669785</c:v>
                </c:pt>
                <c:pt idx="11">
                  <c:v>3558253.9129748545</c:v>
                </c:pt>
                <c:pt idx="12">
                  <c:v>4494412.3864108613</c:v>
                </c:pt>
                <c:pt idx="13">
                  <c:v>4385875.389160973</c:v>
                </c:pt>
                <c:pt idx="14">
                  <c:v>4085358.8095715707</c:v>
                </c:pt>
                <c:pt idx="15">
                  <c:v>3574890.0164906839</c:v>
                </c:pt>
                <c:pt idx="16">
                  <c:v>3188426.2945656427</c:v>
                </c:pt>
                <c:pt idx="17">
                  <c:v>3004168.5090022008</c:v>
                </c:pt>
                <c:pt idx="18">
                  <c:v>2994140.5371802053</c:v>
                </c:pt>
                <c:pt idx="19">
                  <c:v>2996767.8641316034</c:v>
                </c:pt>
                <c:pt idx="20">
                  <c:v>3046977.8665344804</c:v>
                </c:pt>
                <c:pt idx="21">
                  <c:v>2727679.2530736816</c:v>
                </c:pt>
                <c:pt idx="22">
                  <c:v>3155091.3755669785</c:v>
                </c:pt>
                <c:pt idx="23">
                  <c:v>3558253.9129748545</c:v>
                </c:pt>
                <c:pt idx="24">
                  <c:v>4494412.3864108613</c:v>
                </c:pt>
                <c:pt idx="25">
                  <c:v>4385875.389160973</c:v>
                </c:pt>
                <c:pt idx="26">
                  <c:v>4085358.8095715707</c:v>
                </c:pt>
                <c:pt idx="27">
                  <c:v>3574890.0164906839</c:v>
                </c:pt>
                <c:pt idx="28">
                  <c:v>3188426.2945656427</c:v>
                </c:pt>
                <c:pt idx="29">
                  <c:v>3004168.5090022008</c:v>
                </c:pt>
                <c:pt idx="30">
                  <c:v>2994140.5371802053</c:v>
                </c:pt>
                <c:pt idx="31">
                  <c:v>2996767.8641316034</c:v>
                </c:pt>
                <c:pt idx="32">
                  <c:v>3046977.8665344804</c:v>
                </c:pt>
                <c:pt idx="33">
                  <c:v>2727679.2530736816</c:v>
                </c:pt>
                <c:pt idx="34">
                  <c:v>3155091.3755669785</c:v>
                </c:pt>
                <c:pt idx="35">
                  <c:v>3558253.9129748545</c:v>
                </c:pt>
                <c:pt idx="36">
                  <c:v>4494412.3864108613</c:v>
                </c:pt>
                <c:pt idx="37">
                  <c:v>4385875.389160973</c:v>
                </c:pt>
                <c:pt idx="38">
                  <c:v>4085358.8095715707</c:v>
                </c:pt>
                <c:pt idx="39">
                  <c:v>3574890.0164906839</c:v>
                </c:pt>
                <c:pt idx="40">
                  <c:v>3188426.2945656427</c:v>
                </c:pt>
                <c:pt idx="41">
                  <c:v>3004168.5090022008</c:v>
                </c:pt>
                <c:pt idx="42">
                  <c:v>2994140.5371802053</c:v>
                </c:pt>
                <c:pt idx="43">
                  <c:v>2996767.8641316034</c:v>
                </c:pt>
                <c:pt idx="44">
                  <c:v>3046977.8665344804</c:v>
                </c:pt>
                <c:pt idx="45">
                  <c:v>2727679.2530736816</c:v>
                </c:pt>
                <c:pt idx="46">
                  <c:v>3155091.3755669785</c:v>
                </c:pt>
                <c:pt idx="47">
                  <c:v>3558253.9129748545</c:v>
                </c:pt>
                <c:pt idx="48">
                  <c:v>4494412.3864108613</c:v>
                </c:pt>
                <c:pt idx="49">
                  <c:v>4385875.389160973</c:v>
                </c:pt>
                <c:pt idx="50">
                  <c:v>4085358.8095715707</c:v>
                </c:pt>
                <c:pt idx="51">
                  <c:v>3574890.0164906839</c:v>
                </c:pt>
                <c:pt idx="52">
                  <c:v>3188426.2945656427</c:v>
                </c:pt>
                <c:pt idx="53">
                  <c:v>3004168.5090022008</c:v>
                </c:pt>
                <c:pt idx="54">
                  <c:v>2994140.5371802053</c:v>
                </c:pt>
                <c:pt idx="55">
                  <c:v>2996767.8641316034</c:v>
                </c:pt>
                <c:pt idx="56">
                  <c:v>3046977.8665344804</c:v>
                </c:pt>
                <c:pt idx="57">
                  <c:v>2727679.2530736816</c:v>
                </c:pt>
                <c:pt idx="58">
                  <c:v>3155091.3755669785</c:v>
                </c:pt>
                <c:pt idx="59">
                  <c:v>3558253.9129748545</c:v>
                </c:pt>
                <c:pt idx="60">
                  <c:v>4494412.3864108613</c:v>
                </c:pt>
                <c:pt idx="61">
                  <c:v>4385875.389160973</c:v>
                </c:pt>
                <c:pt idx="62">
                  <c:v>4085358.8095715707</c:v>
                </c:pt>
                <c:pt idx="63">
                  <c:v>3574890.0164906839</c:v>
                </c:pt>
                <c:pt idx="64">
                  <c:v>3188426.2945656427</c:v>
                </c:pt>
                <c:pt idx="65">
                  <c:v>3004168.5090022008</c:v>
                </c:pt>
                <c:pt idx="66">
                  <c:v>2994140.5371802053</c:v>
                </c:pt>
                <c:pt idx="67">
                  <c:v>2996767.8641316034</c:v>
                </c:pt>
                <c:pt idx="68">
                  <c:v>3046977.8665344804</c:v>
                </c:pt>
                <c:pt idx="69">
                  <c:v>2727679.2530736816</c:v>
                </c:pt>
                <c:pt idx="70">
                  <c:v>3155091.3755669785</c:v>
                </c:pt>
                <c:pt idx="71">
                  <c:v>3558253.9129748545</c:v>
                </c:pt>
                <c:pt idx="72">
                  <c:v>4494412.3864108613</c:v>
                </c:pt>
                <c:pt idx="73">
                  <c:v>4385875.389160973</c:v>
                </c:pt>
                <c:pt idx="74">
                  <c:v>4085358.8095715707</c:v>
                </c:pt>
                <c:pt idx="75">
                  <c:v>3574890.0164906839</c:v>
                </c:pt>
                <c:pt idx="76">
                  <c:v>3188426.2945656427</c:v>
                </c:pt>
                <c:pt idx="77">
                  <c:v>3004168.5090022008</c:v>
                </c:pt>
                <c:pt idx="78">
                  <c:v>2994140.5371802053</c:v>
                </c:pt>
                <c:pt idx="79">
                  <c:v>2996767.8641316034</c:v>
                </c:pt>
                <c:pt idx="80">
                  <c:v>3046977.8665344804</c:v>
                </c:pt>
                <c:pt idx="81">
                  <c:v>2727679.2530736816</c:v>
                </c:pt>
                <c:pt idx="82">
                  <c:v>3155091.3755669785</c:v>
                </c:pt>
                <c:pt idx="83">
                  <c:v>3558253.9129748545</c:v>
                </c:pt>
                <c:pt idx="84">
                  <c:v>4494412.3864108613</c:v>
                </c:pt>
                <c:pt idx="85">
                  <c:v>4385875.389160973</c:v>
                </c:pt>
                <c:pt idx="86">
                  <c:v>4085358.8095715707</c:v>
                </c:pt>
                <c:pt idx="87">
                  <c:v>3574890.0164906839</c:v>
                </c:pt>
                <c:pt idx="88">
                  <c:v>3188426.2945656427</c:v>
                </c:pt>
                <c:pt idx="89">
                  <c:v>3004168.5090022008</c:v>
                </c:pt>
                <c:pt idx="90">
                  <c:v>2994140.5371802053</c:v>
                </c:pt>
                <c:pt idx="91">
                  <c:v>2996767.8641316034</c:v>
                </c:pt>
                <c:pt idx="92">
                  <c:v>3046977.8665344804</c:v>
                </c:pt>
                <c:pt idx="93">
                  <c:v>2727679.2530736816</c:v>
                </c:pt>
                <c:pt idx="94">
                  <c:v>3155091.3755669785</c:v>
                </c:pt>
                <c:pt idx="95">
                  <c:v>3558253.9129748545</c:v>
                </c:pt>
                <c:pt idx="96">
                  <c:v>4494412.3864108613</c:v>
                </c:pt>
                <c:pt idx="97">
                  <c:v>4385875.389160973</c:v>
                </c:pt>
                <c:pt idx="98">
                  <c:v>4085358.8095715707</c:v>
                </c:pt>
                <c:pt idx="99">
                  <c:v>3574890.0164906839</c:v>
                </c:pt>
                <c:pt idx="100">
                  <c:v>3188426.2945656427</c:v>
                </c:pt>
                <c:pt idx="101">
                  <c:v>3004168.5090022008</c:v>
                </c:pt>
                <c:pt idx="102">
                  <c:v>2994140.5371802053</c:v>
                </c:pt>
                <c:pt idx="103">
                  <c:v>2996767.8641316034</c:v>
                </c:pt>
                <c:pt idx="104">
                  <c:v>3046977.8665344804</c:v>
                </c:pt>
                <c:pt idx="105">
                  <c:v>2727679.2530736816</c:v>
                </c:pt>
                <c:pt idx="106">
                  <c:v>3155091.3755669785</c:v>
                </c:pt>
                <c:pt idx="107">
                  <c:v>3558253.9129748545</c:v>
                </c:pt>
                <c:pt idx="108">
                  <c:v>4494412.3864108613</c:v>
                </c:pt>
                <c:pt idx="109">
                  <c:v>4385875.389160973</c:v>
                </c:pt>
                <c:pt idx="110">
                  <c:v>4085358.8095715707</c:v>
                </c:pt>
                <c:pt idx="111">
                  <c:v>3574890.0164906839</c:v>
                </c:pt>
                <c:pt idx="112">
                  <c:v>3188426.2945656427</c:v>
                </c:pt>
                <c:pt idx="113">
                  <c:v>3004168.5090022008</c:v>
                </c:pt>
                <c:pt idx="114">
                  <c:v>2994140.5371802053</c:v>
                </c:pt>
                <c:pt idx="115">
                  <c:v>2996767.8641316034</c:v>
                </c:pt>
                <c:pt idx="116">
                  <c:v>3046977.8665344804</c:v>
                </c:pt>
                <c:pt idx="117">
                  <c:v>2727679.2530736816</c:v>
                </c:pt>
                <c:pt idx="118">
                  <c:v>3155091.3755669785</c:v>
                </c:pt>
                <c:pt idx="119">
                  <c:v>3558253.9129748545</c:v>
                </c:pt>
                <c:pt idx="120">
                  <c:v>4494412.3864108613</c:v>
                </c:pt>
                <c:pt idx="121">
                  <c:v>4385875.389160973</c:v>
                </c:pt>
                <c:pt idx="122">
                  <c:v>4085358.8095715707</c:v>
                </c:pt>
                <c:pt idx="123">
                  <c:v>3574890.0164906839</c:v>
                </c:pt>
                <c:pt idx="124">
                  <c:v>3188426.2945656427</c:v>
                </c:pt>
                <c:pt idx="125">
                  <c:v>3004168.5090022008</c:v>
                </c:pt>
                <c:pt idx="126">
                  <c:v>2994140.5371802053</c:v>
                </c:pt>
                <c:pt idx="127">
                  <c:v>2996767.8641316034</c:v>
                </c:pt>
                <c:pt idx="128">
                  <c:v>3046977.8665344804</c:v>
                </c:pt>
                <c:pt idx="129">
                  <c:v>2727679.2530736816</c:v>
                </c:pt>
                <c:pt idx="130">
                  <c:v>3155091.3755669785</c:v>
                </c:pt>
                <c:pt idx="131">
                  <c:v>3558253.9129748545</c:v>
                </c:pt>
                <c:pt idx="132">
                  <c:v>4494412.3864108613</c:v>
                </c:pt>
                <c:pt idx="133">
                  <c:v>4385875.389160973</c:v>
                </c:pt>
                <c:pt idx="134">
                  <c:v>4085358.8095715707</c:v>
                </c:pt>
                <c:pt idx="135">
                  <c:v>3574890.0164906839</c:v>
                </c:pt>
                <c:pt idx="136">
                  <c:v>3188426.2945656427</c:v>
                </c:pt>
                <c:pt idx="137">
                  <c:v>3004168.5090022008</c:v>
                </c:pt>
                <c:pt idx="138">
                  <c:v>2994140.5371802053</c:v>
                </c:pt>
                <c:pt idx="139">
                  <c:v>2996767.8641316034</c:v>
                </c:pt>
                <c:pt idx="140">
                  <c:v>3046977.8665344804</c:v>
                </c:pt>
                <c:pt idx="141">
                  <c:v>2727679.2530736816</c:v>
                </c:pt>
                <c:pt idx="142">
                  <c:v>3155091.3755669785</c:v>
                </c:pt>
                <c:pt idx="143">
                  <c:v>3558253.9129748545</c:v>
                </c:pt>
              </c:numCache>
            </c:numRef>
          </c:val>
          <c:smooth val="0"/>
          <c:extLst>
            <c:ext xmlns:c16="http://schemas.microsoft.com/office/drawing/2014/chart" uri="{C3380CC4-5D6E-409C-BE32-E72D297353CC}">
              <c16:uniqueId val="{00000001-4F3C-4365-92F4-77189BD7F04D}"/>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Normalized'!$D$1</c:f>
              <c:strCache>
                <c:ptCount val="1"/>
                <c:pt idx="0">
                  <c:v> GSlt50_NoCDM </c:v>
                </c:pt>
              </c:strCache>
            </c:strRef>
          </c:tx>
          <c:spPr>
            <a:ln w="28575" cap="rnd">
              <a:solidFill>
                <a:schemeClr val="accent1"/>
              </a:solidFill>
              <a:round/>
            </a:ln>
            <a:effectLst/>
          </c:spPr>
          <c:marker>
            <c:symbol val="none"/>
          </c:marker>
          <c:cat>
            <c:numRef>
              <c:f>'GS &lt;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Normalized'!$D$2:$D$145</c:f>
              <c:numCache>
                <c:formatCode>_-* #,##0_-;\-* #,##0_-;_-* "-"??_-;_-@_-</c:formatCode>
                <c:ptCount val="144"/>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2039721.9078656486</c:v>
                </c:pt>
                <c:pt idx="49">
                  <c:v>2068451.9595124074</c:v>
                </c:pt>
                <c:pt idx="50">
                  <c:v>1836052.8045858156</c:v>
                </c:pt>
                <c:pt idx="51">
                  <c:v>1852621.7019807273</c:v>
                </c:pt>
                <c:pt idx="52">
                  <c:v>1636843.6491979214</c:v>
                </c:pt>
                <c:pt idx="53">
                  <c:v>1513960.2225070726</c:v>
                </c:pt>
                <c:pt idx="54">
                  <c:v>1444064.5407707687</c:v>
                </c:pt>
                <c:pt idx="55">
                  <c:v>1608578.9682369984</c:v>
                </c:pt>
                <c:pt idx="56">
                  <c:v>1511644.4192810222</c:v>
                </c:pt>
                <c:pt idx="57">
                  <c:v>1388574.8726781455</c:v>
                </c:pt>
                <c:pt idx="58">
                  <c:v>1616445.3101982041</c:v>
                </c:pt>
                <c:pt idx="59">
                  <c:v>1796625.4902597803</c:v>
                </c:pt>
                <c:pt idx="60">
                  <c:v>1907774.2240176995</c:v>
                </c:pt>
                <c:pt idx="61">
                  <c:v>2169676.5254105679</c:v>
                </c:pt>
                <c:pt idx="62">
                  <c:v>1938783.6374502934</c:v>
                </c:pt>
                <c:pt idx="63">
                  <c:v>1907776.9398509474</c:v>
                </c:pt>
                <c:pt idx="64">
                  <c:v>1627478.4999186685</c:v>
                </c:pt>
                <c:pt idx="65">
                  <c:v>1519946.5878462784</c:v>
                </c:pt>
                <c:pt idx="66">
                  <c:v>1429592.0662636776</c:v>
                </c:pt>
                <c:pt idx="67">
                  <c:v>1561409.6245129688</c:v>
                </c:pt>
                <c:pt idx="68">
                  <c:v>1441703.5427390249</c:v>
                </c:pt>
                <c:pt idx="69">
                  <c:v>1351790.1869173101</c:v>
                </c:pt>
                <c:pt idx="70">
                  <c:v>1513169.8617438227</c:v>
                </c:pt>
                <c:pt idx="71">
                  <c:v>1791034.3424851298</c:v>
                </c:pt>
                <c:pt idx="72">
                  <c:v>1935550.3501778767</c:v>
                </c:pt>
                <c:pt idx="73">
                  <c:v>1977817.5945423183</c:v>
                </c:pt>
                <c:pt idx="74">
                  <c:v>1850467.8951052148</c:v>
                </c:pt>
                <c:pt idx="75">
                  <c:v>1756590.0618654145</c:v>
                </c:pt>
                <c:pt idx="76">
                  <c:v>1418935.7332032486</c:v>
                </c:pt>
                <c:pt idx="77">
                  <c:v>1377562.0480620193</c:v>
                </c:pt>
                <c:pt idx="78">
                  <c:v>1378667.8360778366</c:v>
                </c:pt>
                <c:pt idx="79">
                  <c:v>1513114.8121348398</c:v>
                </c:pt>
                <c:pt idx="80">
                  <c:v>1397996.7457012909</c:v>
                </c:pt>
                <c:pt idx="81">
                  <c:v>1284992.2736673818</c:v>
                </c:pt>
                <c:pt idx="82">
                  <c:v>1464478.2777535517</c:v>
                </c:pt>
                <c:pt idx="83">
                  <c:v>1562307.8267750656</c:v>
                </c:pt>
                <c:pt idx="84">
                  <c:v>1834545.4505539462</c:v>
                </c:pt>
                <c:pt idx="85">
                  <c:v>1818925.427847272</c:v>
                </c:pt>
                <c:pt idx="86">
                  <c:v>1761238.2654504171</c:v>
                </c:pt>
                <c:pt idx="87">
                  <c:v>1831512.198590517</c:v>
                </c:pt>
                <c:pt idx="88">
                  <c:v>1511642.3028173393</c:v>
                </c:pt>
                <c:pt idx="89">
                  <c:v>1474746.1004095075</c:v>
                </c:pt>
                <c:pt idx="90">
                  <c:v>1425605.6503695406</c:v>
                </c:pt>
                <c:pt idx="91">
                  <c:v>1522148.8955182382</c:v>
                </c:pt>
                <c:pt idx="92">
                  <c:v>1594979.7956060998</c:v>
                </c:pt>
                <c:pt idx="93">
                  <c:v>1422657.9661976707</c:v>
                </c:pt>
                <c:pt idx="94">
                  <c:v>1410769.7058828673</c:v>
                </c:pt>
                <c:pt idx="95">
                  <c:v>1668067.6510135117</c:v>
                </c:pt>
                <c:pt idx="96">
                  <c:v>1926907.4134284349</c:v>
                </c:pt>
                <c:pt idx="97">
                  <c:v>2160827.4711737516</c:v>
                </c:pt>
                <c:pt idx="98">
                  <c:v>1932746.0266007786</c:v>
                </c:pt>
                <c:pt idx="99">
                  <c:v>1912363.8713649923</c:v>
                </c:pt>
                <c:pt idx="100">
                  <c:v>1582272.1607022141</c:v>
                </c:pt>
                <c:pt idx="101">
                  <c:v>1463034.5311222468</c:v>
                </c:pt>
                <c:pt idx="102">
                  <c:v>1413022.3318274003</c:v>
                </c:pt>
                <c:pt idx="103">
                  <c:v>1444023.7846525921</c:v>
                </c:pt>
                <c:pt idx="104">
                  <c:v>1459452.2654821102</c:v>
                </c:pt>
                <c:pt idx="105">
                  <c:v>1385483.647600366</c:v>
                </c:pt>
                <c:pt idx="106">
                  <c:v>1494225.9685888838</c:v>
                </c:pt>
                <c:pt idx="107">
                  <c:v>1680449.1749027357</c:v>
                </c:pt>
                <c:pt idx="108">
                  <c:v>1905264.2219758234</c:v>
                </c:pt>
                <c:pt idx="109">
                  <c:v>1974339.2236516613</c:v>
                </c:pt>
                <c:pt idx="110">
                  <c:v>1882647.2363357965</c:v>
                </c:pt>
                <c:pt idx="111">
                  <c:v>1867618.501662056</c:v>
                </c:pt>
                <c:pt idx="112">
                  <c:v>1578145.3866843837</c:v>
                </c:pt>
                <c:pt idx="113">
                  <c:v>1492657.8417762832</c:v>
                </c:pt>
                <c:pt idx="114">
                  <c:v>1469523.6742042131</c:v>
                </c:pt>
                <c:pt idx="115">
                  <c:v>1469068.243886916</c:v>
                </c:pt>
                <c:pt idx="116">
                  <c:v>1397330.2603077565</c:v>
                </c:pt>
                <c:pt idx="117">
                  <c:v>1335558.5748998993</c:v>
                </c:pt>
                <c:pt idx="118">
                  <c:v>1471313.5202568101</c:v>
                </c:pt>
                <c:pt idx="119">
                  <c:v>1677752.5646037958</c:v>
                </c:pt>
                <c:pt idx="120">
                  <c:v>1776466.2983720335</c:v>
                </c:pt>
                <c:pt idx="121">
                  <c:v>1933374.5475966891</c:v>
                </c:pt>
                <c:pt idx="122">
                  <c:v>1755628.7968213446</c:v>
                </c:pt>
                <c:pt idx="123">
                  <c:v>1729157.0460460004</c:v>
                </c:pt>
                <c:pt idx="124">
                  <c:v>1542403.295270656</c:v>
                </c:pt>
                <c:pt idx="125">
                  <c:v>1408141.5444953116</c:v>
                </c:pt>
                <c:pt idx="126">
                  <c:v>1393341.7937199674</c:v>
                </c:pt>
                <c:pt idx="127">
                  <c:v>1473943.0429446229</c:v>
                </c:pt>
                <c:pt idx="128">
                  <c:v>1425748.2921692787</c:v>
                </c:pt>
                <c:pt idx="129">
                  <c:v>1349574.5413939343</c:v>
                </c:pt>
              </c:numCache>
            </c:numRef>
          </c:val>
          <c:smooth val="0"/>
          <c:extLst>
            <c:ext xmlns:c16="http://schemas.microsoft.com/office/drawing/2014/chart" uri="{C3380CC4-5D6E-409C-BE32-E72D297353CC}">
              <c16:uniqueId val="{00000000-AC01-438E-950A-04BFFFCCA53F}"/>
            </c:ext>
          </c:extLst>
        </c:ser>
        <c:ser>
          <c:idx val="1"/>
          <c:order val="1"/>
          <c:tx>
            <c:strRef>
              <c:f>'GS &lt; 50 Normalized'!$O$1</c:f>
              <c:strCache>
                <c:ptCount val="1"/>
                <c:pt idx="0">
                  <c:v>Normal Predicted</c:v>
                </c:pt>
              </c:strCache>
            </c:strRef>
          </c:tx>
          <c:spPr>
            <a:ln w="28575" cap="rnd">
              <a:solidFill>
                <a:schemeClr val="accent2"/>
              </a:solidFill>
              <a:round/>
            </a:ln>
            <a:effectLst/>
          </c:spPr>
          <c:marker>
            <c:symbol val="none"/>
          </c:marker>
          <c:cat>
            <c:numRef>
              <c:f>'GS &lt;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Normalized'!$O$2:$O$145</c:f>
              <c:numCache>
                <c:formatCode>_-* #,##0_-;\-* #,##0_-;_-* "-"??_-;_-@_-</c:formatCode>
                <c:ptCount val="144"/>
                <c:pt idx="0">
                  <c:v>2101175.9193795947</c:v>
                </c:pt>
                <c:pt idx="1">
                  <c:v>2049934.2089746953</c:v>
                </c:pt>
                <c:pt idx="2">
                  <c:v>1961398.3345875617</c:v>
                </c:pt>
                <c:pt idx="3">
                  <c:v>1778120.2073541111</c:v>
                </c:pt>
                <c:pt idx="4">
                  <c:v>1633677.427983393</c:v>
                </c:pt>
                <c:pt idx="5">
                  <c:v>1579560.7278593297</c:v>
                </c:pt>
                <c:pt idx="6">
                  <c:v>1570826.4862353671</c:v>
                </c:pt>
                <c:pt idx="7">
                  <c:v>1555801.5109775481</c:v>
                </c:pt>
                <c:pt idx="8">
                  <c:v>1581804.7339371515</c:v>
                </c:pt>
                <c:pt idx="9">
                  <c:v>1422495.7851014251</c:v>
                </c:pt>
                <c:pt idx="10">
                  <c:v>1568546.6634596442</c:v>
                </c:pt>
                <c:pt idx="11">
                  <c:v>1757460.0004156339</c:v>
                </c:pt>
                <c:pt idx="12">
                  <c:v>2111791.0916628693</c:v>
                </c:pt>
                <c:pt idx="13">
                  <c:v>2078241.3350634275</c:v>
                </c:pt>
                <c:pt idx="14">
                  <c:v>1979090.2883930195</c:v>
                </c:pt>
                <c:pt idx="15">
                  <c:v>1822350.0918677552</c:v>
                </c:pt>
                <c:pt idx="16">
                  <c:v>1676138.1171164908</c:v>
                </c:pt>
                <c:pt idx="17">
                  <c:v>1613175.4400896991</c:v>
                </c:pt>
                <c:pt idx="18">
                  <c:v>1609748.7846073739</c:v>
                </c:pt>
                <c:pt idx="19">
                  <c:v>1610646.5677744667</c:v>
                </c:pt>
                <c:pt idx="20">
                  <c:v>1626034.6184507955</c:v>
                </c:pt>
                <c:pt idx="21">
                  <c:v>1463187.2788539778</c:v>
                </c:pt>
                <c:pt idx="22">
                  <c:v>1605699.7664511052</c:v>
                </c:pt>
                <c:pt idx="23">
                  <c:v>1796382.2987876404</c:v>
                </c:pt>
                <c:pt idx="24">
                  <c:v>2030408.1041577645</c:v>
                </c:pt>
                <c:pt idx="25">
                  <c:v>1989781.5660361394</c:v>
                </c:pt>
                <c:pt idx="26">
                  <c:v>1887092.1286046398</c:v>
                </c:pt>
                <c:pt idx="27">
                  <c:v>1700275.6106100976</c:v>
                </c:pt>
                <c:pt idx="28">
                  <c:v>1573524.7850448368</c:v>
                </c:pt>
                <c:pt idx="29">
                  <c:v>1521177.2803013197</c:v>
                </c:pt>
                <c:pt idx="30">
                  <c:v>1508904.6479162655</c:v>
                </c:pt>
                <c:pt idx="31">
                  <c:v>1497418.0634195381</c:v>
                </c:pt>
                <c:pt idx="32">
                  <c:v>1516344.5048569583</c:v>
                </c:pt>
                <c:pt idx="33">
                  <c:v>1399496.2451543303</c:v>
                </c:pt>
                <c:pt idx="34">
                  <c:v>1582700.2265040104</c:v>
                </c:pt>
                <c:pt idx="35">
                  <c:v>1743306.4373712675</c:v>
                </c:pt>
                <c:pt idx="36">
                  <c:v>2078176.3794324999</c:v>
                </c:pt>
                <c:pt idx="37">
                  <c:v>2023396.2782665088</c:v>
                </c:pt>
                <c:pt idx="38">
                  <c:v>1924245.2315961008</c:v>
                </c:pt>
                <c:pt idx="39">
                  <c:v>1740967.1043626498</c:v>
                </c:pt>
                <c:pt idx="40">
                  <c:v>1607139.4972752063</c:v>
                </c:pt>
                <c:pt idx="41">
                  <c:v>1558330.3832927805</c:v>
                </c:pt>
                <c:pt idx="42">
                  <c:v>1561980.5093326385</c:v>
                </c:pt>
                <c:pt idx="43">
                  <c:v>1545186.3386942737</c:v>
                </c:pt>
                <c:pt idx="44">
                  <c:v>1564112.7801316939</c:v>
                </c:pt>
                <c:pt idx="45">
                  <c:v>1429572.5666236083</c:v>
                </c:pt>
                <c:pt idx="46">
                  <c:v>1573854.2496012815</c:v>
                </c:pt>
                <c:pt idx="47">
                  <c:v>1730922.0697074472</c:v>
                </c:pt>
                <c:pt idx="48">
                  <c:v>2042792.4718215847</c:v>
                </c:pt>
                <c:pt idx="49">
                  <c:v>1998627.5429388683</c:v>
                </c:pt>
                <c:pt idx="50">
                  <c:v>1853477.4163742703</c:v>
                </c:pt>
                <c:pt idx="51">
                  <c:v>1673737.6799019109</c:v>
                </c:pt>
                <c:pt idx="52">
                  <c:v>1536371.682053376</c:v>
                </c:pt>
                <c:pt idx="53">
                  <c:v>1476947.3957876756</c:v>
                </c:pt>
                <c:pt idx="54">
                  <c:v>1480597.5218275334</c:v>
                </c:pt>
                <c:pt idx="55">
                  <c:v>1492110.4772779008</c:v>
                </c:pt>
                <c:pt idx="56">
                  <c:v>1495114.1602904093</c:v>
                </c:pt>
                <c:pt idx="57">
                  <c:v>1348189.5791185033</c:v>
                </c:pt>
                <c:pt idx="58">
                  <c:v>1517239.9974238172</c:v>
                </c:pt>
                <c:pt idx="59">
                  <c:v>1702614.9436187153</c:v>
                </c:pt>
                <c:pt idx="60">
                  <c:v>2071099.5979103171</c:v>
                </c:pt>
                <c:pt idx="61">
                  <c:v>2005704.3244610513</c:v>
                </c:pt>
                <c:pt idx="62">
                  <c:v>1908322.473171189</c:v>
                </c:pt>
                <c:pt idx="63">
                  <c:v>1746274.6905042874</c:v>
                </c:pt>
                <c:pt idx="64">
                  <c:v>1614216.2787973895</c:v>
                </c:pt>
                <c:pt idx="65">
                  <c:v>1549484.4063900518</c:v>
                </c:pt>
                <c:pt idx="66">
                  <c:v>1547826.9462882723</c:v>
                </c:pt>
                <c:pt idx="67">
                  <c:v>1548724.7294553651</c:v>
                </c:pt>
                <c:pt idx="68">
                  <c:v>1564112.7801316939</c:v>
                </c:pt>
                <c:pt idx="69">
                  <c:v>1401265.4405348762</c:v>
                </c:pt>
                <c:pt idx="70">
                  <c:v>1549085.5142736409</c:v>
                </c:pt>
                <c:pt idx="71">
                  <c:v>1734460.460468539</c:v>
                </c:pt>
                <c:pt idx="72">
                  <c:v>2035715.690299402</c:v>
                </c:pt>
                <c:pt idx="73">
                  <c:v>1998627.5429388683</c:v>
                </c:pt>
                <c:pt idx="74">
                  <c:v>1887092.1286046398</c:v>
                </c:pt>
                <c:pt idx="75">
                  <c:v>1703814.001371189</c:v>
                </c:pt>
                <c:pt idx="76">
                  <c:v>1562909.6127615622</c:v>
                </c:pt>
                <c:pt idx="77">
                  <c:v>1517638.8895402281</c:v>
                </c:pt>
                <c:pt idx="78">
                  <c:v>1501827.8663940825</c:v>
                </c:pt>
                <c:pt idx="79">
                  <c:v>1490341.2818973551</c:v>
                </c:pt>
                <c:pt idx="80">
                  <c:v>1511036.9187153212</c:v>
                </c:pt>
                <c:pt idx="81">
                  <c:v>1341112.7975963203</c:v>
                </c:pt>
                <c:pt idx="82">
                  <c:v>1485394.4805739936</c:v>
                </c:pt>
                <c:pt idx="83">
                  <c:v>1670769.4267688915</c:v>
                </c:pt>
                <c:pt idx="84">
                  <c:v>1986178.2196441204</c:v>
                </c:pt>
                <c:pt idx="85">
                  <c:v>1945551.6815224953</c:v>
                </c:pt>
                <c:pt idx="86">
                  <c:v>1844631.4394715417</c:v>
                </c:pt>
                <c:pt idx="87">
                  <c:v>1666660.8983797282</c:v>
                </c:pt>
                <c:pt idx="88">
                  <c:v>1568217.1989031998</c:v>
                </c:pt>
                <c:pt idx="89">
                  <c:v>1487562.5680709502</c:v>
                </c:pt>
                <c:pt idx="90">
                  <c:v>1482366.7172080793</c:v>
                </c:pt>
                <c:pt idx="91">
                  <c:v>1479726.1096140805</c:v>
                </c:pt>
                <c:pt idx="92">
                  <c:v>1493344.9649098634</c:v>
                </c:pt>
                <c:pt idx="93">
                  <c:v>1346420.3837379576</c:v>
                </c:pt>
                <c:pt idx="94">
                  <c:v>1485394.4805739936</c:v>
                </c:pt>
                <c:pt idx="95">
                  <c:v>1676077.0129105286</c:v>
                </c:pt>
                <c:pt idx="96">
                  <c:v>1998562.5873079407</c:v>
                </c:pt>
                <c:pt idx="97">
                  <c:v>1961474.4399474072</c:v>
                </c:pt>
                <c:pt idx="98">
                  <c:v>1851708.2209937247</c:v>
                </c:pt>
                <c:pt idx="99">
                  <c:v>1684352.8521851855</c:v>
                </c:pt>
                <c:pt idx="100">
                  <c:v>1557602.0266199252</c:v>
                </c:pt>
                <c:pt idx="101">
                  <c:v>1499946.9357347705</c:v>
                </c:pt>
                <c:pt idx="102">
                  <c:v>1496520.2802524453</c:v>
                </c:pt>
                <c:pt idx="103">
                  <c:v>1497418.0634195381</c:v>
                </c:pt>
                <c:pt idx="104">
                  <c:v>1514575.3094764126</c:v>
                </c:pt>
                <c:pt idx="105">
                  <c:v>1351727.9698795949</c:v>
                </c:pt>
                <c:pt idx="106">
                  <c:v>1496009.6528572682</c:v>
                </c:pt>
                <c:pt idx="107">
                  <c:v>1686692.1851938032</c:v>
                </c:pt>
                <c:pt idx="108">
                  <c:v>2014485.3457328528</c:v>
                </c:pt>
                <c:pt idx="109">
                  <c:v>1973858.8076112275</c:v>
                </c:pt>
                <c:pt idx="110">
                  <c:v>1876476.9563213652</c:v>
                </c:pt>
                <c:pt idx="111">
                  <c:v>1693198.8290879144</c:v>
                </c:pt>
                <c:pt idx="112">
                  <c:v>1561140.4173810165</c:v>
                </c:pt>
                <c:pt idx="113">
                  <c:v>1508792.9126374994</c:v>
                </c:pt>
                <c:pt idx="114">
                  <c:v>1505366.2571551742</c:v>
                </c:pt>
                <c:pt idx="115">
                  <c:v>1495648.8680389924</c:v>
                </c:pt>
                <c:pt idx="116">
                  <c:v>1512806.1140958669</c:v>
                </c:pt>
                <c:pt idx="117">
                  <c:v>1348189.5791185033</c:v>
                </c:pt>
                <c:pt idx="118">
                  <c:v>1501317.2389989053</c:v>
                </c:pt>
                <c:pt idx="119">
                  <c:v>1684922.9898132575</c:v>
                </c:pt>
                <c:pt idx="120">
                  <c:v>2000331.7826884869</c:v>
                </c:pt>
                <c:pt idx="121">
                  <c:v>1965012.8307084988</c:v>
                </c:pt>
                <c:pt idx="122">
                  <c:v>1867630.9794186365</c:v>
                </c:pt>
                <c:pt idx="123">
                  <c:v>1691429.6337073687</c:v>
                </c:pt>
                <c:pt idx="124">
                  <c:v>1566448.0035226541</c:v>
                </c:pt>
                <c:pt idx="125">
                  <c:v>1505254.5218764078</c:v>
                </c:pt>
                <c:pt idx="126">
                  <c:v>1498289.4756329909</c:v>
                </c:pt>
                <c:pt idx="127">
                  <c:v>1499187.2588000838</c:v>
                </c:pt>
                <c:pt idx="128">
                  <c:v>1518113.7002375042</c:v>
                </c:pt>
                <c:pt idx="129">
                  <c:v>1353497.1652601406</c:v>
                </c:pt>
                <c:pt idx="130">
                  <c:v>1500667.2519462293</c:v>
                </c:pt>
                <c:pt idx="131">
                  <c:v>1688134.7497704485</c:v>
                </c:pt>
                <c:pt idx="132">
                  <c:v>2010943.7630007667</c:v>
                </c:pt>
                <c:pt idx="133">
                  <c:v>1974179.1370783604</c:v>
                </c:pt>
                <c:pt idx="134">
                  <c:v>1871813.303711307</c:v>
                </c:pt>
                <c:pt idx="135">
                  <c:v>1697704.8400924527</c:v>
                </c:pt>
                <c:pt idx="136">
                  <c:v>1565970.197765951</c:v>
                </c:pt>
                <c:pt idx="137">
                  <c:v>1503331.3728091985</c:v>
                </c:pt>
                <c:pt idx="138">
                  <c:v>1500228.6521076732</c:v>
                </c:pt>
                <c:pt idx="139">
                  <c:v>1501450.4527874514</c:v>
                </c:pt>
                <c:pt idx="140">
                  <c:v>1518931.7991100256</c:v>
                </c:pt>
                <c:pt idx="141">
                  <c:v>1358177.837933603</c:v>
                </c:pt>
                <c:pt idx="142">
                  <c:v>1504552.982126961</c:v>
                </c:pt>
                <c:pt idx="143">
                  <c:v>1692021.472353979</c:v>
                </c:pt>
              </c:numCache>
            </c:numRef>
          </c:val>
          <c:smooth val="0"/>
          <c:extLst>
            <c:ext xmlns:c16="http://schemas.microsoft.com/office/drawing/2014/chart" uri="{C3380CC4-5D6E-409C-BE32-E72D297353CC}">
              <c16:uniqueId val="{00000001-AC01-438E-950A-04BFFFCCA53F}"/>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Normalized'!$D$1</c:f>
              <c:strCache>
                <c:ptCount val="1"/>
                <c:pt idx="0">
                  <c:v> GSgt50_NoCDM </c:v>
                </c:pt>
              </c:strCache>
            </c:strRef>
          </c:tx>
          <c:spPr>
            <a:ln w="28575" cap="rnd">
              <a:solidFill>
                <a:schemeClr val="accent1"/>
              </a:solidFill>
              <a:round/>
            </a:ln>
            <a:effectLst/>
          </c:spPr>
          <c:marker>
            <c:symbol val="none"/>
          </c:marker>
          <c:cat>
            <c:numRef>
              <c:f>'GS &gt;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Normalized'!$D$2:$D$145</c:f>
              <c:numCache>
                <c:formatCode>_-* #,##0_-;\-* #,##0_-;_-* "-"??_-;_-@_-</c:formatCode>
                <c:ptCount val="144"/>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pt idx="120">
                  <c:v>5191252.9068947835</c:v>
                </c:pt>
                <c:pt idx="121">
                  <c:v>5721499.9924026718</c:v>
                </c:pt>
                <c:pt idx="122">
                  <c:v>5706334.0779105602</c:v>
                </c:pt>
                <c:pt idx="123">
                  <c:v>5709519.1634184485</c:v>
                </c:pt>
                <c:pt idx="124">
                  <c:v>5430698.2489263369</c:v>
                </c:pt>
                <c:pt idx="125">
                  <c:v>5108824.3344342252</c:v>
                </c:pt>
                <c:pt idx="126">
                  <c:v>4751604.4199421136</c:v>
                </c:pt>
                <c:pt idx="127">
                  <c:v>4863179.505450001</c:v>
                </c:pt>
                <c:pt idx="128">
                  <c:v>4225940.5909578893</c:v>
                </c:pt>
                <c:pt idx="129">
                  <c:v>4360697.6764657777</c:v>
                </c:pt>
              </c:numCache>
            </c:numRef>
          </c:val>
          <c:smooth val="0"/>
          <c:extLst>
            <c:ext xmlns:c16="http://schemas.microsoft.com/office/drawing/2014/chart" uri="{C3380CC4-5D6E-409C-BE32-E72D297353CC}">
              <c16:uniqueId val="{00000000-E68B-4362-8396-F0D09A011EFB}"/>
            </c:ext>
          </c:extLst>
        </c:ser>
        <c:ser>
          <c:idx val="1"/>
          <c:order val="1"/>
          <c:tx>
            <c:strRef>
              <c:f>'GS &gt; 50 Normalized'!$O$1</c:f>
              <c:strCache>
                <c:ptCount val="1"/>
                <c:pt idx="0">
                  <c:v>Normal Predicted</c:v>
                </c:pt>
              </c:strCache>
            </c:strRef>
          </c:tx>
          <c:spPr>
            <a:ln w="28575" cap="rnd">
              <a:solidFill>
                <a:schemeClr val="accent2"/>
              </a:solidFill>
              <a:round/>
            </a:ln>
            <a:effectLst/>
          </c:spPr>
          <c:marker>
            <c:symbol val="none"/>
          </c:marker>
          <c:cat>
            <c:numRef>
              <c:f>'GS &gt;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Normalized'!$O$2:$O$145</c:f>
              <c:numCache>
                <c:formatCode>_-* #,##0_-;\-* #,##0_-;_-* "-"??_-;_-@_-</c:formatCode>
                <c:ptCount val="144"/>
                <c:pt idx="0">
                  <c:v>5690328.9471408464</c:v>
                </c:pt>
                <c:pt idx="1">
                  <c:v>5613532.5370417312</c:v>
                </c:pt>
                <c:pt idx="2">
                  <c:v>5569148.4184929905</c:v>
                </c:pt>
                <c:pt idx="3">
                  <c:v>5207961.2494211998</c:v>
                </c:pt>
                <c:pt idx="4">
                  <c:v>4934515.0768773369</c:v>
                </c:pt>
                <c:pt idx="5">
                  <c:v>4635892.369227428</c:v>
                </c:pt>
                <c:pt idx="6">
                  <c:v>4628796.9800420124</c:v>
                </c:pt>
                <c:pt idx="7">
                  <c:v>4630655.9708298212</c:v>
                </c:pt>
                <c:pt idx="8">
                  <c:v>4666182.5473273378</c:v>
                </c:pt>
                <c:pt idx="9">
                  <c:v>4597491.4781125579</c:v>
                </c:pt>
                <c:pt idx="10">
                  <c:v>4899911.0905213766</c:v>
                </c:pt>
                <c:pt idx="11">
                  <c:v>5471143.0985540021</c:v>
                </c:pt>
                <c:pt idx="12">
                  <c:v>5690328.9471408464</c:v>
                </c:pt>
                <c:pt idx="13">
                  <c:v>5613532.5370417312</c:v>
                </c:pt>
                <c:pt idx="14">
                  <c:v>5569148.4184929905</c:v>
                </c:pt>
                <c:pt idx="15">
                  <c:v>5207961.2494211998</c:v>
                </c:pt>
                <c:pt idx="16">
                  <c:v>4934515.0768773369</c:v>
                </c:pt>
                <c:pt idx="17">
                  <c:v>4635892.369227428</c:v>
                </c:pt>
                <c:pt idx="18">
                  <c:v>4628796.9800420124</c:v>
                </c:pt>
                <c:pt idx="19">
                  <c:v>4630655.9708298212</c:v>
                </c:pt>
                <c:pt idx="20">
                  <c:v>4666182.5473273378</c:v>
                </c:pt>
                <c:pt idx="21">
                  <c:v>4597491.4781125579</c:v>
                </c:pt>
                <c:pt idx="22">
                  <c:v>4899911.0905213766</c:v>
                </c:pt>
                <c:pt idx="23">
                  <c:v>5471143.0985540021</c:v>
                </c:pt>
                <c:pt idx="24">
                  <c:v>5690328.9471408464</c:v>
                </c:pt>
                <c:pt idx="25">
                  <c:v>5613532.5370417312</c:v>
                </c:pt>
                <c:pt idx="26">
                  <c:v>5569148.4184929905</c:v>
                </c:pt>
                <c:pt idx="27">
                  <c:v>5207961.2494211998</c:v>
                </c:pt>
                <c:pt idx="28">
                  <c:v>4934515.0768773369</c:v>
                </c:pt>
                <c:pt idx="29">
                  <c:v>4635892.369227428</c:v>
                </c:pt>
                <c:pt idx="30">
                  <c:v>4628796.9800420124</c:v>
                </c:pt>
                <c:pt idx="31">
                  <c:v>4630655.9708298212</c:v>
                </c:pt>
                <c:pt idx="32">
                  <c:v>4666182.5473273378</c:v>
                </c:pt>
                <c:pt idx="33">
                  <c:v>4597491.4781125579</c:v>
                </c:pt>
                <c:pt idx="34">
                  <c:v>4899911.0905213766</c:v>
                </c:pt>
                <c:pt idx="35">
                  <c:v>5471143.0985540021</c:v>
                </c:pt>
                <c:pt idx="36">
                  <c:v>5690328.9471408464</c:v>
                </c:pt>
                <c:pt idx="37">
                  <c:v>5613532.5370417312</c:v>
                </c:pt>
                <c:pt idx="38">
                  <c:v>5569148.4184929905</c:v>
                </c:pt>
                <c:pt idx="39">
                  <c:v>5207961.2494211998</c:v>
                </c:pt>
                <c:pt idx="40">
                  <c:v>4934515.0768773369</c:v>
                </c:pt>
                <c:pt idx="41">
                  <c:v>4635892.369227428</c:v>
                </c:pt>
                <c:pt idx="42">
                  <c:v>4628796.9800420124</c:v>
                </c:pt>
                <c:pt idx="43">
                  <c:v>4630655.9708298212</c:v>
                </c:pt>
                <c:pt idx="44">
                  <c:v>4666182.5473273378</c:v>
                </c:pt>
                <c:pt idx="45">
                  <c:v>4597491.4781125579</c:v>
                </c:pt>
                <c:pt idx="46">
                  <c:v>4899911.0905213766</c:v>
                </c:pt>
                <c:pt idx="47">
                  <c:v>5471143.0985540021</c:v>
                </c:pt>
                <c:pt idx="48">
                  <c:v>5690328.9471408464</c:v>
                </c:pt>
                <c:pt idx="49">
                  <c:v>5613532.5370417312</c:v>
                </c:pt>
                <c:pt idx="50">
                  <c:v>5569148.4184929905</c:v>
                </c:pt>
                <c:pt idx="51">
                  <c:v>5207961.2494211998</c:v>
                </c:pt>
                <c:pt idx="52">
                  <c:v>4934515.0768773369</c:v>
                </c:pt>
                <c:pt idx="53">
                  <c:v>4635892.369227428</c:v>
                </c:pt>
                <c:pt idx="54">
                  <c:v>4628796.9800420124</c:v>
                </c:pt>
                <c:pt idx="55">
                  <c:v>4630655.9708298212</c:v>
                </c:pt>
                <c:pt idx="56">
                  <c:v>4666182.5473273378</c:v>
                </c:pt>
                <c:pt idx="57">
                  <c:v>4597491.4781125579</c:v>
                </c:pt>
                <c:pt idx="58">
                  <c:v>4899911.0905213766</c:v>
                </c:pt>
                <c:pt idx="59">
                  <c:v>5471143.0985540021</c:v>
                </c:pt>
                <c:pt idx="60">
                  <c:v>5690328.9471408464</c:v>
                </c:pt>
                <c:pt idx="61">
                  <c:v>5613532.5370417312</c:v>
                </c:pt>
                <c:pt idx="62">
                  <c:v>5569148.4184929905</c:v>
                </c:pt>
                <c:pt idx="63">
                  <c:v>5207961.2494211998</c:v>
                </c:pt>
                <c:pt idx="64">
                  <c:v>4934515.0768773369</c:v>
                </c:pt>
                <c:pt idx="65">
                  <c:v>4635892.369227428</c:v>
                </c:pt>
                <c:pt idx="66">
                  <c:v>4628796.9800420124</c:v>
                </c:pt>
                <c:pt idx="67">
                  <c:v>4630655.9708298212</c:v>
                </c:pt>
                <c:pt idx="68">
                  <c:v>4666182.5473273378</c:v>
                </c:pt>
                <c:pt idx="69">
                  <c:v>4597491.4781125579</c:v>
                </c:pt>
                <c:pt idx="70">
                  <c:v>4899911.0905213766</c:v>
                </c:pt>
                <c:pt idx="71">
                  <c:v>5471143.0985540021</c:v>
                </c:pt>
                <c:pt idx="72">
                  <c:v>5690328.9471408464</c:v>
                </c:pt>
                <c:pt idx="73">
                  <c:v>5613532.5370417312</c:v>
                </c:pt>
                <c:pt idx="74">
                  <c:v>5569148.4184929905</c:v>
                </c:pt>
                <c:pt idx="75">
                  <c:v>5207961.2494211998</c:v>
                </c:pt>
                <c:pt idx="76">
                  <c:v>4934515.0768773369</c:v>
                </c:pt>
                <c:pt idx="77">
                  <c:v>4635892.369227428</c:v>
                </c:pt>
                <c:pt idx="78">
                  <c:v>4628796.9800420124</c:v>
                </c:pt>
                <c:pt idx="79">
                  <c:v>4630655.9708298212</c:v>
                </c:pt>
                <c:pt idx="80">
                  <c:v>4666182.5473273378</c:v>
                </c:pt>
                <c:pt idx="81">
                  <c:v>4597491.4781125579</c:v>
                </c:pt>
                <c:pt idx="82">
                  <c:v>4899911.0905213766</c:v>
                </c:pt>
                <c:pt idx="83">
                  <c:v>5471143.0985540021</c:v>
                </c:pt>
                <c:pt idx="84">
                  <c:v>5690328.9471408464</c:v>
                </c:pt>
                <c:pt idx="85">
                  <c:v>5613532.5370417312</c:v>
                </c:pt>
                <c:pt idx="86">
                  <c:v>5569148.4184929905</c:v>
                </c:pt>
                <c:pt idx="87">
                  <c:v>5207961.2494211998</c:v>
                </c:pt>
                <c:pt idx="88">
                  <c:v>4934515.0768773369</c:v>
                </c:pt>
                <c:pt idx="89">
                  <c:v>4635892.369227428</c:v>
                </c:pt>
                <c:pt idx="90">
                  <c:v>4628796.9800420124</c:v>
                </c:pt>
                <c:pt idx="91">
                  <c:v>4630655.9708298212</c:v>
                </c:pt>
                <c:pt idx="92">
                  <c:v>4666182.5473273378</c:v>
                </c:pt>
                <c:pt idx="93">
                  <c:v>4597491.4781125579</c:v>
                </c:pt>
                <c:pt idx="94">
                  <c:v>4899911.0905213766</c:v>
                </c:pt>
                <c:pt idx="95">
                  <c:v>5471143.0985540021</c:v>
                </c:pt>
                <c:pt idx="96">
                  <c:v>5690328.9471408464</c:v>
                </c:pt>
                <c:pt idx="97">
                  <c:v>5613532.5370417312</c:v>
                </c:pt>
                <c:pt idx="98">
                  <c:v>5569148.4184929905</c:v>
                </c:pt>
                <c:pt idx="99">
                  <c:v>5207961.2494211998</c:v>
                </c:pt>
                <c:pt idx="100">
                  <c:v>4934515.0768773369</c:v>
                </c:pt>
                <c:pt idx="101">
                  <c:v>4635892.369227428</c:v>
                </c:pt>
                <c:pt idx="102">
                  <c:v>4628796.9800420124</c:v>
                </c:pt>
                <c:pt idx="103">
                  <c:v>4630655.9708298212</c:v>
                </c:pt>
                <c:pt idx="104">
                  <c:v>4666182.5473273378</c:v>
                </c:pt>
                <c:pt idx="105">
                  <c:v>4597491.4781125579</c:v>
                </c:pt>
                <c:pt idx="106">
                  <c:v>4899911.0905213766</c:v>
                </c:pt>
                <c:pt idx="107">
                  <c:v>5471143.0985540021</c:v>
                </c:pt>
                <c:pt idx="108">
                  <c:v>5690328.9471408464</c:v>
                </c:pt>
                <c:pt idx="109">
                  <c:v>5613532.5370417312</c:v>
                </c:pt>
                <c:pt idx="110">
                  <c:v>5569148.4184929905</c:v>
                </c:pt>
                <c:pt idx="111">
                  <c:v>5207961.2494211998</c:v>
                </c:pt>
                <c:pt idx="112">
                  <c:v>4934515.0768773369</c:v>
                </c:pt>
                <c:pt idx="113">
                  <c:v>4635892.369227428</c:v>
                </c:pt>
                <c:pt idx="114">
                  <c:v>4628796.9800420124</c:v>
                </c:pt>
                <c:pt idx="115">
                  <c:v>4630655.9708298212</c:v>
                </c:pt>
                <c:pt idx="116">
                  <c:v>4666182.5473273378</c:v>
                </c:pt>
                <c:pt idx="117">
                  <c:v>4597491.4781125579</c:v>
                </c:pt>
                <c:pt idx="118">
                  <c:v>4899911.0905213766</c:v>
                </c:pt>
                <c:pt idx="119">
                  <c:v>5471143.0985540021</c:v>
                </c:pt>
                <c:pt idx="120">
                  <c:v>5690328.9471408464</c:v>
                </c:pt>
                <c:pt idx="121">
                  <c:v>5613532.5370417312</c:v>
                </c:pt>
                <c:pt idx="122">
                  <c:v>5569148.4184929905</c:v>
                </c:pt>
                <c:pt idx="123">
                  <c:v>5207961.2494211998</c:v>
                </c:pt>
                <c:pt idx="124">
                  <c:v>4934515.0768773369</c:v>
                </c:pt>
                <c:pt idx="125">
                  <c:v>4635892.369227428</c:v>
                </c:pt>
                <c:pt idx="126">
                  <c:v>4628796.9800420124</c:v>
                </c:pt>
                <c:pt idx="127">
                  <c:v>4630655.9708298212</c:v>
                </c:pt>
                <c:pt idx="128">
                  <c:v>4666182.5473273378</c:v>
                </c:pt>
                <c:pt idx="129">
                  <c:v>4597491.4781125579</c:v>
                </c:pt>
                <c:pt idx="130">
                  <c:v>4899911.0905213766</c:v>
                </c:pt>
                <c:pt idx="131">
                  <c:v>5471143.0985540021</c:v>
                </c:pt>
                <c:pt idx="132">
                  <c:v>5690328.9471408464</c:v>
                </c:pt>
                <c:pt idx="133">
                  <c:v>5613532.5370417312</c:v>
                </c:pt>
                <c:pt idx="134">
                  <c:v>5569148.4184929905</c:v>
                </c:pt>
                <c:pt idx="135">
                  <c:v>5207961.2494211998</c:v>
                </c:pt>
                <c:pt idx="136">
                  <c:v>4934515.0768773369</c:v>
                </c:pt>
                <c:pt idx="137">
                  <c:v>4635892.369227428</c:v>
                </c:pt>
                <c:pt idx="138">
                  <c:v>4628796.9800420124</c:v>
                </c:pt>
                <c:pt idx="139">
                  <c:v>4630655.9708298212</c:v>
                </c:pt>
                <c:pt idx="140">
                  <c:v>4666182.5473273378</c:v>
                </c:pt>
                <c:pt idx="141">
                  <c:v>4597491.4781125579</c:v>
                </c:pt>
                <c:pt idx="142">
                  <c:v>4899911.0905213766</c:v>
                </c:pt>
                <c:pt idx="143">
                  <c:v>5471143.0985540021</c:v>
                </c:pt>
              </c:numCache>
            </c:numRef>
          </c:val>
          <c:smooth val="0"/>
          <c:extLst>
            <c:ext xmlns:c16="http://schemas.microsoft.com/office/drawing/2014/chart" uri="{C3380CC4-5D6E-409C-BE32-E72D297353CC}">
              <c16:uniqueId val="{00000001-E68B-4362-8396-F0D09A011EF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 WN'!$D$1</c:f>
              <c:strCache>
                <c:ptCount val="1"/>
                <c:pt idx="0">
                  <c:v> Res_NoCDM </c:v>
                </c:pt>
              </c:strCache>
            </c:strRef>
          </c:tx>
          <c:spPr>
            <a:ln w="28575" cap="rnd">
              <a:solidFill>
                <a:schemeClr val="accent1"/>
              </a:solidFill>
              <a:round/>
            </a:ln>
            <a:effectLst/>
          </c:spPr>
          <c:marker>
            <c:symbol val="none"/>
          </c:marker>
          <c:cat>
            <c:numRef>
              <c:f>'Res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 WN'!$D$2:$D$145</c:f>
              <c:numCache>
                <c:formatCode>_-* #,##0_-;\-* #,##0_-;_-* "-"??_-;_-@_-</c:formatCode>
                <c:ptCount val="144"/>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4536154.7431210773</c:v>
                </c:pt>
                <c:pt idx="49">
                  <c:v>4527153.7188929524</c:v>
                </c:pt>
                <c:pt idx="50">
                  <c:v>3823633.2459336612</c:v>
                </c:pt>
                <c:pt idx="51">
                  <c:v>3577310.9818680743</c:v>
                </c:pt>
                <c:pt idx="52">
                  <c:v>3186058.7873352217</c:v>
                </c:pt>
                <c:pt idx="53">
                  <c:v>2724113.2649387745</c:v>
                </c:pt>
                <c:pt idx="54">
                  <c:v>2667498.1877178443</c:v>
                </c:pt>
                <c:pt idx="55">
                  <c:v>3163717.0850223936</c:v>
                </c:pt>
                <c:pt idx="56">
                  <c:v>2861088.3165282067</c:v>
                </c:pt>
                <c:pt idx="57">
                  <c:v>2699552.3326085135</c:v>
                </c:pt>
                <c:pt idx="58">
                  <c:v>3237543.4805977391</c:v>
                </c:pt>
                <c:pt idx="59">
                  <c:v>3603896.0650398619</c:v>
                </c:pt>
                <c:pt idx="60">
                  <c:v>4201767.5984519115</c:v>
                </c:pt>
                <c:pt idx="61">
                  <c:v>4731159.0052934075</c:v>
                </c:pt>
                <c:pt idx="62">
                  <c:v>3958865.8288539383</c:v>
                </c:pt>
                <c:pt idx="63">
                  <c:v>3717277.5404794915</c:v>
                </c:pt>
                <c:pt idx="64">
                  <c:v>3119229.5605003946</c:v>
                </c:pt>
                <c:pt idx="65">
                  <c:v>2814109.7860574927</c:v>
                </c:pt>
                <c:pt idx="66">
                  <c:v>2659220.8806687742</c:v>
                </c:pt>
                <c:pt idx="67">
                  <c:v>3150272.9022329389</c:v>
                </c:pt>
                <c:pt idx="68">
                  <c:v>2819850.5793669079</c:v>
                </c:pt>
                <c:pt idx="69">
                  <c:v>2715126.9884351878</c:v>
                </c:pt>
                <c:pt idx="70">
                  <c:v>3069611.5170936594</c:v>
                </c:pt>
                <c:pt idx="71">
                  <c:v>3682927.0591493947</c:v>
                </c:pt>
                <c:pt idx="72">
                  <c:v>4335064.0073985169</c:v>
                </c:pt>
                <c:pt idx="73">
                  <c:v>4140385.8750499859</c:v>
                </c:pt>
                <c:pt idx="74">
                  <c:v>3848248.3152240166</c:v>
                </c:pt>
                <c:pt idx="75">
                  <c:v>3687997.4999043434</c:v>
                </c:pt>
                <c:pt idx="76">
                  <c:v>3326415.6707476983</c:v>
                </c:pt>
                <c:pt idx="77">
                  <c:v>3154968.7690774924</c:v>
                </c:pt>
                <c:pt idx="78">
                  <c:v>3122567.0435269368</c:v>
                </c:pt>
                <c:pt idx="79">
                  <c:v>3663341.6855258569</c:v>
                </c:pt>
                <c:pt idx="80">
                  <c:v>3155144.2023287057</c:v>
                </c:pt>
                <c:pt idx="81">
                  <c:v>2719754.2042069854</c:v>
                </c:pt>
                <c:pt idx="82">
                  <c:v>3265883.4528217777</c:v>
                </c:pt>
                <c:pt idx="83">
                  <c:v>3509586.6747843111</c:v>
                </c:pt>
                <c:pt idx="84">
                  <c:v>4263190.1574048484</c:v>
                </c:pt>
                <c:pt idx="85">
                  <c:v>4226829.1876737475</c:v>
                </c:pt>
                <c:pt idx="86">
                  <c:v>4039244.4894530168</c:v>
                </c:pt>
                <c:pt idx="87">
                  <c:v>3794108.820810948</c:v>
                </c:pt>
                <c:pt idx="88">
                  <c:v>3101868.9257601164</c:v>
                </c:pt>
                <c:pt idx="89">
                  <c:v>2965128.7299124626</c:v>
                </c:pt>
                <c:pt idx="90">
                  <c:v>2919562.1742881173</c:v>
                </c:pt>
                <c:pt idx="91">
                  <c:v>3078894.175760556</c:v>
                </c:pt>
                <c:pt idx="92">
                  <c:v>3326739.1100639156</c:v>
                </c:pt>
                <c:pt idx="93">
                  <c:v>2700605.3984909002</c:v>
                </c:pt>
                <c:pt idx="94">
                  <c:v>2951575.7355931653</c:v>
                </c:pt>
                <c:pt idx="95">
                  <c:v>3487610.1075561787</c:v>
                </c:pt>
                <c:pt idx="96">
                  <c:v>4371204.1273712702</c:v>
                </c:pt>
                <c:pt idx="97">
                  <c:v>5039152.9107136903</c:v>
                </c:pt>
                <c:pt idx="98">
                  <c:v>4211552.0037224032</c:v>
                </c:pt>
                <c:pt idx="99">
                  <c:v>3799695.9318750687</c:v>
                </c:pt>
                <c:pt idx="100">
                  <c:v>3175119.6492238664</c:v>
                </c:pt>
                <c:pt idx="101">
                  <c:v>2854775.0126316771</c:v>
                </c:pt>
                <c:pt idx="102">
                  <c:v>2826823.9241817086</c:v>
                </c:pt>
                <c:pt idx="103">
                  <c:v>2984810.1592924753</c:v>
                </c:pt>
                <c:pt idx="104">
                  <c:v>2963730.8451401889</c:v>
                </c:pt>
                <c:pt idx="105">
                  <c:v>2727687.2112562652</c:v>
                </c:pt>
                <c:pt idx="106">
                  <c:v>3025375.9504829473</c:v>
                </c:pt>
                <c:pt idx="107">
                  <c:v>3450879.2932250476</c:v>
                </c:pt>
                <c:pt idx="108">
                  <c:v>4207177.010986764</c:v>
                </c:pt>
                <c:pt idx="109">
                  <c:v>4233347.46244244</c:v>
                </c:pt>
                <c:pt idx="110">
                  <c:v>3958712.948354044</c:v>
                </c:pt>
                <c:pt idx="111">
                  <c:v>3784505.644967339</c:v>
                </c:pt>
                <c:pt idx="112">
                  <c:v>3224377.6879194174</c:v>
                </c:pt>
                <c:pt idx="113">
                  <c:v>2928667.7868225626</c:v>
                </c:pt>
                <c:pt idx="114">
                  <c:v>3049940.460207012</c:v>
                </c:pt>
                <c:pt idx="115">
                  <c:v>3144453.271902944</c:v>
                </c:pt>
                <c:pt idx="116">
                  <c:v>2865887.9762289687</c:v>
                </c:pt>
                <c:pt idx="117">
                  <c:v>2795555.4664380746</c:v>
                </c:pt>
                <c:pt idx="118">
                  <c:v>3136774.019911529</c:v>
                </c:pt>
                <c:pt idx="119">
                  <c:v>3571711.2463362389</c:v>
                </c:pt>
                <c:pt idx="120">
                  <c:v>4005895.2953150608</c:v>
                </c:pt>
                <c:pt idx="121">
                  <c:v>4302730.3482179875</c:v>
                </c:pt>
                <c:pt idx="122">
                  <c:v>3768112.4011209141</c:v>
                </c:pt>
                <c:pt idx="123">
                  <c:v>3682543.4540238408</c:v>
                </c:pt>
                <c:pt idx="124">
                  <c:v>3154863.5069267675</c:v>
                </c:pt>
                <c:pt idx="125">
                  <c:v>2833887.5598296942</c:v>
                </c:pt>
                <c:pt idx="126">
                  <c:v>3089982.6127326209</c:v>
                </c:pt>
                <c:pt idx="127">
                  <c:v>3416128.6656355476</c:v>
                </c:pt>
                <c:pt idx="128">
                  <c:v>3265561.7185384743</c:v>
                </c:pt>
                <c:pt idx="129">
                  <c:v>2994047.771441401</c:v>
                </c:pt>
              </c:numCache>
            </c:numRef>
          </c:val>
          <c:smooth val="0"/>
          <c:extLst>
            <c:ext xmlns:c16="http://schemas.microsoft.com/office/drawing/2014/chart" uri="{C3380CC4-5D6E-409C-BE32-E72D297353CC}">
              <c16:uniqueId val="{00000000-80EA-4CF2-AB56-B6AEF32BE7AE}"/>
            </c:ext>
          </c:extLst>
        </c:ser>
        <c:ser>
          <c:idx val="1"/>
          <c:order val="1"/>
          <c:tx>
            <c:strRef>
              <c:f>'Res Normalized WN'!$N$1</c:f>
              <c:strCache>
                <c:ptCount val="1"/>
                <c:pt idx="0">
                  <c:v>Normal Predicted</c:v>
                </c:pt>
              </c:strCache>
            </c:strRef>
          </c:tx>
          <c:spPr>
            <a:ln w="28575" cap="rnd">
              <a:solidFill>
                <a:schemeClr val="accent2"/>
              </a:solidFill>
              <a:round/>
            </a:ln>
            <a:effectLst/>
          </c:spPr>
          <c:marker>
            <c:symbol val="none"/>
          </c:marker>
          <c:cat>
            <c:numRef>
              <c:f>'Res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 WN'!$N$2:$N$145</c:f>
              <c:numCache>
                <c:formatCode>_-* #,##0_-;\-* #,##0_-;_-* "-"??_-;_-@_-</c:formatCode>
                <c:ptCount val="144"/>
                <c:pt idx="0">
                  <c:v>4958233.6945747249</c:v>
                </c:pt>
                <c:pt idx="1">
                  <c:v>5237329.8993111812</c:v>
                </c:pt>
                <c:pt idx="2">
                  <c:v>3959346.771506852</c:v>
                </c:pt>
                <c:pt idx="3">
                  <c:v>4237807.6872071382</c:v>
                </c:pt>
                <c:pt idx="4">
                  <c:v>3387951.9830689835</c:v>
                </c:pt>
                <c:pt idx="5">
                  <c:v>2943848.9397893865</c:v>
                </c:pt>
                <c:pt idx="6">
                  <c:v>2815212.070222667</c:v>
                </c:pt>
                <c:pt idx="7">
                  <c:v>2867315.5071588624</c:v>
                </c:pt>
                <c:pt idx="8">
                  <c:v>2815654.6288578412</c:v>
                </c:pt>
                <c:pt idx="9">
                  <c:v>2856430.9054624564</c:v>
                </c:pt>
                <c:pt idx="10">
                  <c:v>3028379.5326156886</c:v>
                </c:pt>
                <c:pt idx="11">
                  <c:v>3876157.4875879367</c:v>
                </c:pt>
                <c:pt idx="12">
                  <c:v>4374822.8774173297</c:v>
                </c:pt>
                <c:pt idx="13">
                  <c:v>4633271.1310809292</c:v>
                </c:pt>
                <c:pt idx="14">
                  <c:v>4598159.9730659164</c:v>
                </c:pt>
                <c:pt idx="15">
                  <c:v>3960083.244239816</c:v>
                </c:pt>
                <c:pt idx="16">
                  <c:v>2901237.3189182463</c:v>
                </c:pt>
                <c:pt idx="17">
                  <c:v>2836514.1915993332</c:v>
                </c:pt>
                <c:pt idx="18">
                  <c:v>2694144.2851844244</c:v>
                </c:pt>
                <c:pt idx="19">
                  <c:v>3032384.7517856201</c:v>
                </c:pt>
                <c:pt idx="20">
                  <c:v>2929879.6654010159</c:v>
                </c:pt>
                <c:pt idx="21">
                  <c:v>2759469.7964657717</c:v>
                </c:pt>
                <c:pt idx="22">
                  <c:v>3379776.8772073332</c:v>
                </c:pt>
                <c:pt idx="23">
                  <c:v>3651339.0565131949</c:v>
                </c:pt>
                <c:pt idx="24">
                  <c:v>4115427.67875621</c:v>
                </c:pt>
                <c:pt idx="25">
                  <c:v>4380640.6721329847</c:v>
                </c:pt>
                <c:pt idx="26">
                  <c:v>4195494.5445404295</c:v>
                </c:pt>
                <c:pt idx="27">
                  <c:v>3537859.2278792346</c:v>
                </c:pt>
                <c:pt idx="28">
                  <c:v>3234839.6435794067</c:v>
                </c:pt>
                <c:pt idx="29">
                  <c:v>2729753.2400413067</c:v>
                </c:pt>
                <c:pt idx="30">
                  <c:v>2764310.6584108635</c:v>
                </c:pt>
                <c:pt idx="31">
                  <c:v>2906800.6723610424</c:v>
                </c:pt>
                <c:pt idx="32">
                  <c:v>3060014.0018779142</c:v>
                </c:pt>
                <c:pt idx="33">
                  <c:v>2649019.3684332408</c:v>
                </c:pt>
                <c:pt idx="34">
                  <c:v>3290055.6635115221</c:v>
                </c:pt>
                <c:pt idx="35">
                  <c:v>3209332.0115488758</c:v>
                </c:pt>
                <c:pt idx="36">
                  <c:v>4601558.0193263041</c:v>
                </c:pt>
                <c:pt idx="37">
                  <c:v>4383790.0806621034</c:v>
                </c:pt>
                <c:pt idx="38">
                  <c:v>3637810.462870623</c:v>
                </c:pt>
                <c:pt idx="39">
                  <c:v>3899242.9739491041</c:v>
                </c:pt>
                <c:pt idx="40">
                  <c:v>3027007.5932927909</c:v>
                </c:pt>
                <c:pt idx="41">
                  <c:v>2830251.4683690267</c:v>
                </c:pt>
                <c:pt idx="42">
                  <c:v>2615740.0515111056</c:v>
                </c:pt>
                <c:pt idx="43">
                  <c:v>2772361.3234201786</c:v>
                </c:pt>
                <c:pt idx="44">
                  <c:v>2684783.2568853577</c:v>
                </c:pt>
                <c:pt idx="45">
                  <c:v>2759859.8656350384</c:v>
                </c:pt>
                <c:pt idx="46">
                  <c:v>2781197.3660266208</c:v>
                </c:pt>
                <c:pt idx="47">
                  <c:v>3269642.8361994266</c:v>
                </c:pt>
                <c:pt idx="48">
                  <c:v>4503057.3227974707</c:v>
                </c:pt>
                <c:pt idx="49">
                  <c:v>4585024.9920630353</c:v>
                </c:pt>
                <c:pt idx="50">
                  <c:v>3733625.7518122531</c:v>
                </c:pt>
                <c:pt idx="51">
                  <c:v>3396620.2021967848</c:v>
                </c:pt>
                <c:pt idx="52">
                  <c:v>3244745.8556993771</c:v>
                </c:pt>
                <c:pt idx="53">
                  <c:v>2719277.0431758277</c:v>
                </c:pt>
                <c:pt idx="54">
                  <c:v>2668041.2082511596</c:v>
                </c:pt>
                <c:pt idx="55">
                  <c:v>3165413.6989827519</c:v>
                </c:pt>
                <c:pt idx="56">
                  <c:v>2810164.58515997</c:v>
                </c:pt>
                <c:pt idx="57">
                  <c:v>2496995.6389313401</c:v>
                </c:pt>
                <c:pt idx="58">
                  <c:v>3036836.7364364513</c:v>
                </c:pt>
                <c:pt idx="59">
                  <c:v>3617144.856020113</c:v>
                </c:pt>
                <c:pt idx="60">
                  <c:v>3928901.9925943809</c:v>
                </c:pt>
                <c:pt idx="61">
                  <c:v>4694553.7143460102</c:v>
                </c:pt>
                <c:pt idx="62">
                  <c:v>3963353.663057141</c:v>
                </c:pt>
                <c:pt idx="63">
                  <c:v>3740159.0103676477</c:v>
                </c:pt>
                <c:pt idx="64">
                  <c:v>3132836.4004910975</c:v>
                </c:pt>
                <c:pt idx="65">
                  <c:v>2805159.7199110519</c:v>
                </c:pt>
                <c:pt idx="66">
                  <c:v>2659763.9012020896</c:v>
                </c:pt>
                <c:pt idx="67">
                  <c:v>3135759.9456717372</c:v>
                </c:pt>
                <c:pt idx="68">
                  <c:v>2817867.4104919606</c:v>
                </c:pt>
                <c:pt idx="69">
                  <c:v>2765508.7316513364</c:v>
                </c:pt>
                <c:pt idx="70">
                  <c:v>2900349.6754039051</c:v>
                </c:pt>
                <c:pt idx="71">
                  <c:v>3545500.3888882292</c:v>
                </c:pt>
                <c:pt idx="72">
                  <c:v>4526730.6518589053</c:v>
                </c:pt>
                <c:pt idx="73">
                  <c:v>4294932.4912321754</c:v>
                </c:pt>
                <c:pt idx="74">
                  <c:v>3965989.9624690497</c:v>
                </c:pt>
                <c:pt idx="75">
                  <c:v>3620177.3701571911</c:v>
                </c:pt>
                <c:pt idx="76">
                  <c:v>3231762.2036578353</c:v>
                </c:pt>
                <c:pt idx="77">
                  <c:v>3145664.0611738539</c:v>
                </c:pt>
                <c:pt idx="78">
                  <c:v>3123110.0640602522</c:v>
                </c:pt>
                <c:pt idx="79">
                  <c:v>3666512.0330105703</c:v>
                </c:pt>
                <c:pt idx="80">
                  <c:v>3149945.6148551656</c:v>
                </c:pt>
                <c:pt idx="81">
                  <c:v>2553969.9750191993</c:v>
                </c:pt>
                <c:pt idx="82">
                  <c:v>3363658.9733739905</c:v>
                </c:pt>
                <c:pt idx="83">
                  <c:v>3532733.9112543478</c:v>
                </c:pt>
                <c:pt idx="84">
                  <c:v>4530671.3286261782</c:v>
                </c:pt>
                <c:pt idx="85">
                  <c:v>4193927.9328570822</c:v>
                </c:pt>
                <c:pt idx="86">
                  <c:v>4200410.0496349297</c:v>
                </c:pt>
                <c:pt idx="87">
                  <c:v>3971819.0009637037</c:v>
                </c:pt>
                <c:pt idx="88">
                  <c:v>3132593.1412315643</c:v>
                </c:pt>
                <c:pt idx="89">
                  <c:v>2970183.0727113639</c:v>
                </c:pt>
                <c:pt idx="90">
                  <c:v>2916124.2129484704</c:v>
                </c:pt>
                <c:pt idx="91">
                  <c:v>3082064.5232452694</c:v>
                </c:pt>
                <c:pt idx="92">
                  <c:v>3337901.3289890983</c:v>
                </c:pt>
                <c:pt idx="93">
                  <c:v>2849853.3826858434</c:v>
                </c:pt>
                <c:pt idx="94">
                  <c:v>3026015.8285217667</c:v>
                </c:pt>
                <c:pt idx="95">
                  <c:v>3386790.3475657585</c:v>
                </c:pt>
                <c:pt idx="96">
                  <c:v>3998422.951075722</c:v>
                </c:pt>
                <c:pt idx="97">
                  <c:v>4911254.950535655</c:v>
                </c:pt>
                <c:pt idx="98">
                  <c:v>4253439.7195668072</c:v>
                </c:pt>
                <c:pt idx="99">
                  <c:v>3870887.4900214961</c:v>
                </c:pt>
                <c:pt idx="100">
                  <c:v>3299926.3824159079</c:v>
                </c:pt>
                <c:pt idx="101">
                  <c:v>2864234.7941477685</c:v>
                </c:pt>
                <c:pt idx="102">
                  <c:v>2825917.7212548326</c:v>
                </c:pt>
                <c:pt idx="103">
                  <c:v>2985939.3464413169</c:v>
                </c:pt>
                <c:pt idx="104">
                  <c:v>2972780.9753780607</c:v>
                </c:pt>
                <c:pt idx="105">
                  <c:v>2812169.7296589618</c:v>
                </c:pt>
                <c:pt idx="106">
                  <c:v>3116941.2998202308</c:v>
                </c:pt>
                <c:pt idx="107">
                  <c:v>3453197.2371556703</c:v>
                </c:pt>
                <c:pt idx="108">
                  <c:v>4394312.1218829593</c:v>
                </c:pt>
                <c:pt idx="109">
                  <c:v>4355298.5606741868</c:v>
                </c:pt>
                <c:pt idx="110">
                  <c:v>3919048.8218988408</c:v>
                </c:pt>
                <c:pt idx="111">
                  <c:v>3819342.4825370284</c:v>
                </c:pt>
                <c:pt idx="112">
                  <c:v>3317905.0181266177</c:v>
                </c:pt>
                <c:pt idx="113">
                  <c:v>2937339.4755448811</c:v>
                </c:pt>
                <c:pt idx="114">
                  <c:v>3050483.4807403274</c:v>
                </c:pt>
                <c:pt idx="115">
                  <c:v>3143005.3956161486</c:v>
                </c:pt>
                <c:pt idx="116">
                  <c:v>2894474.9268244673</c:v>
                </c:pt>
                <c:pt idx="117">
                  <c:v>2814925.7582192644</c:v>
                </c:pt>
                <c:pt idx="118">
                  <c:v>3132838.2844994278</c:v>
                </c:pt>
                <c:pt idx="119">
                  <c:v>3870312.6760857361</c:v>
                </c:pt>
                <c:pt idx="120">
                  <c:v>4212220.4657396227</c:v>
                </c:pt>
                <c:pt idx="121">
                  <c:v>4573583.6989051625</c:v>
                </c:pt>
                <c:pt idx="122">
                  <c:v>3987171.2579333754</c:v>
                </c:pt>
                <c:pt idx="123">
                  <c:v>3845074.9669685327</c:v>
                </c:pt>
                <c:pt idx="124">
                  <c:v>3281033.6406520358</c:v>
                </c:pt>
                <c:pt idx="125">
                  <c:v>2836892.8613647865</c:v>
                </c:pt>
                <c:pt idx="126">
                  <c:v>3090525.6332659363</c:v>
                </c:pt>
                <c:pt idx="127">
                  <c:v>3419299.013120261</c:v>
                </c:pt>
                <c:pt idx="128">
                  <c:v>3300216.9836460236</c:v>
                </c:pt>
                <c:pt idx="129">
                  <c:v>3079775.4764582585</c:v>
                </c:pt>
                <c:pt idx="130">
                  <c:v>3155091.3755669785</c:v>
                </c:pt>
                <c:pt idx="131">
                  <c:v>3558253.9129748545</c:v>
                </c:pt>
                <c:pt idx="132">
                  <c:v>4494412.3864108613</c:v>
                </c:pt>
                <c:pt idx="133">
                  <c:v>4385875.389160973</c:v>
                </c:pt>
                <c:pt idx="134">
                  <c:v>4085358.8095715707</c:v>
                </c:pt>
                <c:pt idx="135">
                  <c:v>3574890.0164906839</c:v>
                </c:pt>
                <c:pt idx="136">
                  <c:v>3188426.2945656427</c:v>
                </c:pt>
                <c:pt idx="137">
                  <c:v>3004168.5090022008</c:v>
                </c:pt>
                <c:pt idx="138">
                  <c:v>2994140.5371802053</c:v>
                </c:pt>
                <c:pt idx="139">
                  <c:v>2996767.8641316034</c:v>
                </c:pt>
                <c:pt idx="140">
                  <c:v>3046977.8665344804</c:v>
                </c:pt>
                <c:pt idx="141">
                  <c:v>2727679.2530736816</c:v>
                </c:pt>
                <c:pt idx="142">
                  <c:v>3155091.3755669785</c:v>
                </c:pt>
                <c:pt idx="143">
                  <c:v>3558253.9129748545</c:v>
                </c:pt>
              </c:numCache>
            </c:numRef>
          </c:val>
          <c:smooth val="0"/>
          <c:extLst>
            <c:ext xmlns:c16="http://schemas.microsoft.com/office/drawing/2014/chart" uri="{C3380CC4-5D6E-409C-BE32-E72D297353CC}">
              <c16:uniqueId val="{00000001-80EA-4CF2-AB56-B6AEF32BE7AE}"/>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Normalized WN'!$D$1</c:f>
              <c:strCache>
                <c:ptCount val="1"/>
                <c:pt idx="0">
                  <c:v> GSlt50_NoCDM </c:v>
                </c:pt>
              </c:strCache>
            </c:strRef>
          </c:tx>
          <c:spPr>
            <a:ln w="28575" cap="rnd">
              <a:solidFill>
                <a:schemeClr val="accent1"/>
              </a:solidFill>
              <a:round/>
            </a:ln>
            <a:effectLst/>
          </c:spPr>
          <c:marker>
            <c:symbol val="none"/>
          </c:marker>
          <c:cat>
            <c:numRef>
              <c:f>'GS &lt;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 WN'!$D$2:$D$145</c:f>
              <c:numCache>
                <c:formatCode>_-* #,##0_-;\-* #,##0_-;_-* "-"??_-;_-@_-</c:formatCode>
                <c:ptCount val="144"/>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2039721.9078656486</c:v>
                </c:pt>
                <c:pt idx="49">
                  <c:v>2068451.9595124074</c:v>
                </c:pt>
                <c:pt idx="50">
                  <c:v>1836052.8045858156</c:v>
                </c:pt>
                <c:pt idx="51">
                  <c:v>1852621.7019807273</c:v>
                </c:pt>
                <c:pt idx="52">
                  <c:v>1636843.6491979214</c:v>
                </c:pt>
                <c:pt idx="53">
                  <c:v>1513960.2225070726</c:v>
                </c:pt>
                <c:pt idx="54">
                  <c:v>1444064.5407707687</c:v>
                </c:pt>
                <c:pt idx="55">
                  <c:v>1608578.9682369984</c:v>
                </c:pt>
                <c:pt idx="56">
                  <c:v>1511644.4192810222</c:v>
                </c:pt>
                <c:pt idx="57">
                  <c:v>1388574.8726781455</c:v>
                </c:pt>
                <c:pt idx="58">
                  <c:v>1616445.3101982041</c:v>
                </c:pt>
                <c:pt idx="59">
                  <c:v>1796625.4902597803</c:v>
                </c:pt>
                <c:pt idx="60">
                  <c:v>1907774.2240176995</c:v>
                </c:pt>
                <c:pt idx="61">
                  <c:v>2169676.5254105679</c:v>
                </c:pt>
                <c:pt idx="62">
                  <c:v>1938783.6374502934</c:v>
                </c:pt>
                <c:pt idx="63">
                  <c:v>1907776.9398509474</c:v>
                </c:pt>
                <c:pt idx="64">
                  <c:v>1627478.4999186685</c:v>
                </c:pt>
                <c:pt idx="65">
                  <c:v>1519946.5878462784</c:v>
                </c:pt>
                <c:pt idx="66">
                  <c:v>1429592.0662636776</c:v>
                </c:pt>
                <c:pt idx="67">
                  <c:v>1561409.6245129688</c:v>
                </c:pt>
                <c:pt idx="68">
                  <c:v>1441703.5427390249</c:v>
                </c:pt>
                <c:pt idx="69">
                  <c:v>1351790.1869173101</c:v>
                </c:pt>
                <c:pt idx="70">
                  <c:v>1513169.8617438227</c:v>
                </c:pt>
                <c:pt idx="71">
                  <c:v>1791034.3424851298</c:v>
                </c:pt>
                <c:pt idx="72">
                  <c:v>1935550.3501778767</c:v>
                </c:pt>
                <c:pt idx="73">
                  <c:v>1977817.5945423183</c:v>
                </c:pt>
                <c:pt idx="74">
                  <c:v>1850467.8951052148</c:v>
                </c:pt>
                <c:pt idx="75">
                  <c:v>1756590.0618654145</c:v>
                </c:pt>
                <c:pt idx="76">
                  <c:v>1418935.7332032486</c:v>
                </c:pt>
                <c:pt idx="77">
                  <c:v>1377562.0480620193</c:v>
                </c:pt>
                <c:pt idx="78">
                  <c:v>1378667.8360778366</c:v>
                </c:pt>
                <c:pt idx="79">
                  <c:v>1513114.8121348398</c:v>
                </c:pt>
                <c:pt idx="80">
                  <c:v>1397996.7457012909</c:v>
                </c:pt>
                <c:pt idx="81">
                  <c:v>1284992.2736673818</c:v>
                </c:pt>
                <c:pt idx="82">
                  <c:v>1464478.2777535517</c:v>
                </c:pt>
                <c:pt idx="83">
                  <c:v>1562307.8267750656</c:v>
                </c:pt>
                <c:pt idx="84">
                  <c:v>1834545.4505539462</c:v>
                </c:pt>
                <c:pt idx="85">
                  <c:v>1818925.427847272</c:v>
                </c:pt>
                <c:pt idx="86">
                  <c:v>1761238.2654504171</c:v>
                </c:pt>
                <c:pt idx="87">
                  <c:v>1831512.198590517</c:v>
                </c:pt>
                <c:pt idx="88">
                  <c:v>1511642.3028173393</c:v>
                </c:pt>
                <c:pt idx="89">
                  <c:v>1474746.1004095075</c:v>
                </c:pt>
                <c:pt idx="90">
                  <c:v>1425605.6503695406</c:v>
                </c:pt>
                <c:pt idx="91">
                  <c:v>1522148.8955182382</c:v>
                </c:pt>
                <c:pt idx="92">
                  <c:v>1594979.7956060998</c:v>
                </c:pt>
                <c:pt idx="93">
                  <c:v>1422657.9661976707</c:v>
                </c:pt>
                <c:pt idx="94">
                  <c:v>1410769.7058828673</c:v>
                </c:pt>
                <c:pt idx="95">
                  <c:v>1668067.6510135117</c:v>
                </c:pt>
                <c:pt idx="96">
                  <c:v>1926907.4134284349</c:v>
                </c:pt>
                <c:pt idx="97">
                  <c:v>2160827.4711737516</c:v>
                </c:pt>
                <c:pt idx="98">
                  <c:v>1932746.0266007786</c:v>
                </c:pt>
                <c:pt idx="99">
                  <c:v>1912363.8713649923</c:v>
                </c:pt>
                <c:pt idx="100">
                  <c:v>1582272.1607022141</c:v>
                </c:pt>
                <c:pt idx="101">
                  <c:v>1463034.5311222468</c:v>
                </c:pt>
                <c:pt idx="102">
                  <c:v>1413022.3318274003</c:v>
                </c:pt>
                <c:pt idx="103">
                  <c:v>1444023.7846525921</c:v>
                </c:pt>
                <c:pt idx="104">
                  <c:v>1459452.2654821102</c:v>
                </c:pt>
                <c:pt idx="105">
                  <c:v>1385483.647600366</c:v>
                </c:pt>
                <c:pt idx="106">
                  <c:v>1494225.9685888838</c:v>
                </c:pt>
                <c:pt idx="107">
                  <c:v>1680449.1749027357</c:v>
                </c:pt>
                <c:pt idx="108">
                  <c:v>1905264.2219758234</c:v>
                </c:pt>
                <c:pt idx="109">
                  <c:v>1974339.2236516613</c:v>
                </c:pt>
                <c:pt idx="110">
                  <c:v>1882647.2363357965</c:v>
                </c:pt>
                <c:pt idx="111">
                  <c:v>1867618.501662056</c:v>
                </c:pt>
                <c:pt idx="112">
                  <c:v>1578145.3866843837</c:v>
                </c:pt>
                <c:pt idx="113">
                  <c:v>1492657.8417762832</c:v>
                </c:pt>
                <c:pt idx="114">
                  <c:v>1469523.6742042131</c:v>
                </c:pt>
                <c:pt idx="115">
                  <c:v>1469068.243886916</c:v>
                </c:pt>
                <c:pt idx="116">
                  <c:v>1397330.2603077565</c:v>
                </c:pt>
                <c:pt idx="117">
                  <c:v>1335558.5748998993</c:v>
                </c:pt>
                <c:pt idx="118">
                  <c:v>1471313.5202568101</c:v>
                </c:pt>
                <c:pt idx="119">
                  <c:v>1677752.5646037958</c:v>
                </c:pt>
                <c:pt idx="120">
                  <c:v>1776466.2983720335</c:v>
                </c:pt>
                <c:pt idx="121">
                  <c:v>1933374.5475966891</c:v>
                </c:pt>
                <c:pt idx="122">
                  <c:v>1755628.7968213446</c:v>
                </c:pt>
                <c:pt idx="123">
                  <c:v>1729157.0460460004</c:v>
                </c:pt>
                <c:pt idx="124">
                  <c:v>1542403.295270656</c:v>
                </c:pt>
                <c:pt idx="125">
                  <c:v>1408141.5444953116</c:v>
                </c:pt>
                <c:pt idx="126">
                  <c:v>1393341.7937199674</c:v>
                </c:pt>
                <c:pt idx="127">
                  <c:v>1473943.0429446229</c:v>
                </c:pt>
                <c:pt idx="128">
                  <c:v>1425748.2921692787</c:v>
                </c:pt>
                <c:pt idx="129">
                  <c:v>1349574.5413939343</c:v>
                </c:pt>
              </c:numCache>
            </c:numRef>
          </c:val>
          <c:smooth val="0"/>
          <c:extLst>
            <c:ext xmlns:c16="http://schemas.microsoft.com/office/drawing/2014/chart" uri="{C3380CC4-5D6E-409C-BE32-E72D297353CC}">
              <c16:uniqueId val="{00000000-B9C8-4BE6-AB55-E06A6ED1676B}"/>
            </c:ext>
          </c:extLst>
        </c:ser>
        <c:ser>
          <c:idx val="1"/>
          <c:order val="1"/>
          <c:tx>
            <c:strRef>
              <c:f>'GS &lt; 50 Normalized WN'!$P$1</c:f>
              <c:strCache>
                <c:ptCount val="1"/>
              </c:strCache>
            </c:strRef>
          </c:tx>
          <c:spPr>
            <a:ln w="28575" cap="rnd">
              <a:solidFill>
                <a:schemeClr val="accent2"/>
              </a:solidFill>
              <a:round/>
            </a:ln>
            <a:effectLst/>
          </c:spPr>
          <c:marker>
            <c:symbol val="none"/>
          </c:marker>
          <c:cat>
            <c:numRef>
              <c:f>'GS &lt;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 WN'!$P$2:$P$145</c:f>
              <c:numCache>
                <c:formatCode>_-* #,##0_-;\-* #,##0_-;_-* "-"??_-;_-@_-</c:formatCode>
                <c:ptCount val="144"/>
                <c:pt idx="0">
                  <c:v>2183442.6562263262</c:v>
                </c:pt>
                <c:pt idx="1">
                  <c:v>2295196.9380784705</c:v>
                </c:pt>
                <c:pt idx="2">
                  <c:v>1906687.0334051664</c:v>
                </c:pt>
                <c:pt idx="3">
                  <c:v>2020687.3953364016</c:v>
                </c:pt>
                <c:pt idx="4">
                  <c:v>1698185.1568384646</c:v>
                </c:pt>
                <c:pt idx="5">
                  <c:v>1606374.5797026239</c:v>
                </c:pt>
                <c:pt idx="6">
                  <c:v>1541373.2564870443</c:v>
                </c:pt>
                <c:pt idx="7">
                  <c:v>1575802.4172952557</c:v>
                </c:pt>
                <c:pt idx="8">
                  <c:v>1504372.1386395744</c:v>
                </c:pt>
                <c:pt idx="9">
                  <c:v>1465474.7319145545</c:v>
                </c:pt>
                <c:pt idx="10">
                  <c:v>1540072.5919278469</c:v>
                </c:pt>
                <c:pt idx="11">
                  <c:v>1831371.4448069287</c:v>
                </c:pt>
                <c:pt idx="12">
                  <c:v>2026998.9811956601</c:v>
                </c:pt>
                <c:pt idx="13">
                  <c:v>2148855.3085418809</c:v>
                </c:pt>
                <c:pt idx="14">
                  <c:v>2131147.0048178015</c:v>
                </c:pt>
                <c:pt idx="15">
                  <c:v>2011618.9889794756</c:v>
                </c:pt>
                <c:pt idx="16">
                  <c:v>1589020.1842737533</c:v>
                </c:pt>
                <c:pt idx="17">
                  <c:v>1523923.0241618317</c:v>
                </c:pt>
                <c:pt idx="18">
                  <c:v>1563503.449608309</c:v>
                </c:pt>
                <c:pt idx="19">
                  <c:v>1689215.1221484842</c:v>
                </c:pt>
                <c:pt idx="20">
                  <c:v>1561926.2030431016</c:v>
                </c:pt>
                <c:pt idx="21">
                  <c:v>1507559.5835307273</c:v>
                </c:pt>
                <c:pt idx="22">
                  <c:v>1700598.5511730663</c:v>
                </c:pt>
                <c:pt idx="23">
                  <c:v>1802777.370141326</c:v>
                </c:pt>
                <c:pt idx="24">
                  <c:v>1905611.7409612464</c:v>
                </c:pt>
                <c:pt idx="25">
                  <c:v>2013688.4254180659</c:v>
                </c:pt>
                <c:pt idx="26">
                  <c:v>2000294.6712807328</c:v>
                </c:pt>
                <c:pt idx="27">
                  <c:v>1803895.5083210212</c:v>
                </c:pt>
                <c:pt idx="28">
                  <c:v>1686877.15614983</c:v>
                </c:pt>
                <c:pt idx="29">
                  <c:v>1507956.6108665306</c:v>
                </c:pt>
                <c:pt idx="30">
                  <c:v>1505445.3989008481</c:v>
                </c:pt>
                <c:pt idx="31">
                  <c:v>1560917.5657890062</c:v>
                </c:pt>
                <c:pt idx="32">
                  <c:v>1590868.6874816543</c:v>
                </c:pt>
                <c:pt idx="33">
                  <c:v>1398566.3802020957</c:v>
                </c:pt>
                <c:pt idx="34">
                  <c:v>1612260.4853391345</c:v>
                </c:pt>
                <c:pt idx="35">
                  <c:v>1626585.8683864833</c:v>
                </c:pt>
                <c:pt idx="36">
                  <c:v>2034110.5871801144</c:v>
                </c:pt>
                <c:pt idx="37">
                  <c:v>2004642.5896593616</c:v>
                </c:pt>
                <c:pt idx="38">
                  <c:v>1783016.9515107877</c:v>
                </c:pt>
                <c:pt idx="39">
                  <c:v>1949608.2491885717</c:v>
                </c:pt>
                <c:pt idx="40">
                  <c:v>1540340.1166251046</c:v>
                </c:pt>
                <c:pt idx="41">
                  <c:v>1504496.5760049517</c:v>
                </c:pt>
                <c:pt idx="42">
                  <c:v>1446803.9897858521</c:v>
                </c:pt>
                <c:pt idx="43">
                  <c:v>1470679.664786889</c:v>
                </c:pt>
                <c:pt idx="44">
                  <c:v>1410416.9658579796</c:v>
                </c:pt>
                <c:pt idx="45">
                  <c:v>1418230.3171842739</c:v>
                </c:pt>
                <c:pt idx="46">
                  <c:v>1402717.0250774904</c:v>
                </c:pt>
                <c:pt idx="47">
                  <c:v>1611570.3369545913</c:v>
                </c:pt>
                <c:pt idx="48">
                  <c:v>2028412.1975058781</c:v>
                </c:pt>
                <c:pt idx="49">
                  <c:v>2088227.1362876792</c:v>
                </c:pt>
                <c:pt idx="50">
                  <c:v>1805296.3686228651</c:v>
                </c:pt>
                <c:pt idx="51">
                  <c:v>1790877.9055524049</c:v>
                </c:pt>
                <c:pt idx="52">
                  <c:v>1656897.5911236987</c:v>
                </c:pt>
                <c:pt idx="53">
                  <c:v>1512307.6385038553</c:v>
                </c:pt>
                <c:pt idx="54">
                  <c:v>1444250.0961672666</c:v>
                </c:pt>
                <c:pt idx="55">
                  <c:v>1609158.7177249156</c:v>
                </c:pt>
                <c:pt idx="56">
                  <c:v>1494243.2850964726</c:v>
                </c:pt>
                <c:pt idx="57">
                  <c:v>1319359.2808125876</c:v>
                </c:pt>
                <c:pt idx="58">
                  <c:v>1547861.864070903</c:v>
                </c:pt>
                <c:pt idx="59">
                  <c:v>1801152.7309673259</c:v>
                </c:pt>
                <c:pt idx="60">
                  <c:v>1814533.393185006</c:v>
                </c:pt>
                <c:pt idx="61">
                  <c:v>2157168.1415485507</c:v>
                </c:pt>
                <c:pt idx="62">
                  <c:v>1940317.1740366688</c:v>
                </c:pt>
                <c:pt idx="63">
                  <c:v>1915595.7606082945</c:v>
                </c:pt>
                <c:pt idx="64">
                  <c:v>1632128.0894547096</c:v>
                </c:pt>
                <c:pt idx="65">
                  <c:v>1516888.2632147109</c:v>
                </c:pt>
                <c:pt idx="66">
                  <c:v>1429777.6216601755</c:v>
                </c:pt>
                <c:pt idx="67">
                  <c:v>1556450.4061338238</c:v>
                </c:pt>
                <c:pt idx="68">
                  <c:v>1441025.8746503682</c:v>
                </c:pt>
                <c:pt idx="69">
                  <c:v>1369006.1184800658</c:v>
                </c:pt>
                <c:pt idx="70">
                  <c:v>1455331.4445573608</c:v>
                </c:pt>
                <c:pt idx="71">
                  <c:v>1744074.3129370597</c:v>
                </c:pt>
                <c:pt idx="72">
                  <c:v>2001044.7063325767</c:v>
                </c:pt>
                <c:pt idx="73">
                  <c:v>2030627.6760838246</c:v>
                </c:pt>
                <c:pt idx="74">
                  <c:v>1890701.3608739597</c:v>
                </c:pt>
                <c:pt idx="75">
                  <c:v>1733415.2640563154</c:v>
                </c:pt>
                <c:pt idx="76">
                  <c:v>1386591.7231001141</c:v>
                </c:pt>
                <c:pt idx="77">
                  <c:v>1374382.538893525</c:v>
                </c:pt>
                <c:pt idx="78">
                  <c:v>1378853.3914743345</c:v>
                </c:pt>
                <c:pt idx="79">
                  <c:v>1514198.1506984306</c:v>
                </c:pt>
                <c:pt idx="80">
                  <c:v>1396220.337811165</c:v>
                </c:pt>
                <c:pt idx="81">
                  <c:v>1228342.1904887133</c:v>
                </c:pt>
                <c:pt idx="82">
                  <c:v>1497889.1238832301</c:v>
                </c:pt>
                <c:pt idx="83">
                  <c:v>1570217.4625577223</c:v>
                </c:pt>
                <c:pt idx="84">
                  <c:v>1925946.3677138779</c:v>
                </c:pt>
                <c:pt idx="85">
                  <c:v>1807682.7491487123</c:v>
                </c:pt>
                <c:pt idx="86">
                  <c:v>1816310.1045184163</c:v>
                </c:pt>
                <c:pt idx="87">
                  <c:v>1892237.4951803777</c:v>
                </c:pt>
                <c:pt idx="88">
                  <c:v>1522141.0660023787</c:v>
                </c:pt>
                <c:pt idx="89">
                  <c:v>1476473.2184916921</c:v>
                </c:pt>
                <c:pt idx="90">
                  <c:v>1424430.8655494752</c:v>
                </c:pt>
                <c:pt idx="91">
                  <c:v>1523232.234081829</c:v>
                </c:pt>
                <c:pt idx="92">
                  <c:v>1598794.0343528616</c:v>
                </c:pt>
                <c:pt idx="93">
                  <c:v>1473657.4536658973</c:v>
                </c:pt>
                <c:pt idx="94">
                  <c:v>1436206.6094827652</c:v>
                </c:pt>
                <c:pt idx="95">
                  <c:v>1633616.5586659927</c:v>
                </c:pt>
                <c:pt idx="96">
                  <c:v>1799524.4606105047</c:v>
                </c:pt>
                <c:pt idx="97">
                  <c:v>2117123.4945170772</c:v>
                </c:pt>
                <c:pt idx="98">
                  <c:v>1947059.4664157445</c:v>
                </c:pt>
                <c:pt idx="99">
                  <c:v>1936690.7190414737</c:v>
                </c:pt>
                <c:pt idx="100">
                  <c:v>1624919.835039068</c:v>
                </c:pt>
                <c:pt idx="101">
                  <c:v>1466267.0304520328</c:v>
                </c:pt>
                <c:pt idx="102">
                  <c:v>1412712.6734754823</c:v>
                </c:pt>
                <c:pt idx="103">
                  <c:v>1444409.6388814265</c:v>
                </c:pt>
                <c:pt idx="104">
                  <c:v>1462544.7829867306</c:v>
                </c:pt>
                <c:pt idx="105">
                  <c:v>1414352.145636057</c:v>
                </c:pt>
                <c:pt idx="106">
                  <c:v>1525514.7388274891</c:v>
                </c:pt>
                <c:pt idx="107">
                  <c:v>1681241.2388832276</c:v>
                </c:pt>
                <c:pt idx="108">
                  <c:v>1969210.1090475705</c:v>
                </c:pt>
                <c:pt idx="109">
                  <c:v>2016011.0997547435</c:v>
                </c:pt>
                <c:pt idx="110">
                  <c:v>1869093.6186370268</c:v>
                </c:pt>
                <c:pt idx="111">
                  <c:v>1879522.5878086896</c:v>
                </c:pt>
                <c:pt idx="112">
                  <c:v>1610104.5848642974</c:v>
                </c:pt>
                <c:pt idx="113">
                  <c:v>1495621.0421351208</c:v>
                </c:pt>
                <c:pt idx="114">
                  <c:v>1469709.229600711</c:v>
                </c:pt>
                <c:pt idx="115">
                  <c:v>1468573.4904807494</c:v>
                </c:pt>
                <c:pt idx="116">
                  <c:v>1407098.6993021865</c:v>
                </c:pt>
                <c:pt idx="117">
                  <c:v>1342177.5919558373</c:v>
                </c:pt>
                <c:pt idx="118">
                  <c:v>1469968.641195894</c:v>
                </c:pt>
                <c:pt idx="119">
                  <c:v>1779787.5767123215</c:v>
                </c:pt>
                <c:pt idx="120">
                  <c:v>1846969.6153863731</c:v>
                </c:pt>
                <c:pt idx="121">
                  <c:v>2025927.7712707536</c:v>
                </c:pt>
                <c:pt idx="122">
                  <c:v>1830483.3382952099</c:v>
                </c:pt>
                <c:pt idx="123">
                  <c:v>1784695.6444553959</c:v>
                </c:pt>
                <c:pt idx="124">
                  <c:v>1585516.8568272504</c:v>
                </c:pt>
                <c:pt idx="125">
                  <c:v>1409168.4852530304</c:v>
                </c:pt>
                <c:pt idx="126">
                  <c:v>1393527.3491164653</c:v>
                </c:pt>
                <c:pt idx="127">
                  <c:v>1475026.3815082137</c:v>
                </c:pt>
                <c:pt idx="128">
                  <c:v>1437590.333240011</c:v>
                </c:pt>
                <c:pt idx="129">
                  <c:v>1378868.5318037237</c:v>
                </c:pt>
                <c:pt idx="130">
                  <c:v>1500667.2519462293</c:v>
                </c:pt>
                <c:pt idx="131">
                  <c:v>1688134.7497704485</c:v>
                </c:pt>
                <c:pt idx="132">
                  <c:v>2010943.7630007667</c:v>
                </c:pt>
                <c:pt idx="133">
                  <c:v>1974179.1370783604</c:v>
                </c:pt>
                <c:pt idx="134">
                  <c:v>1871813.303711307</c:v>
                </c:pt>
                <c:pt idx="135">
                  <c:v>1697704.8400924527</c:v>
                </c:pt>
                <c:pt idx="136">
                  <c:v>1565970.197765951</c:v>
                </c:pt>
                <c:pt idx="137">
                  <c:v>1503331.3728091985</c:v>
                </c:pt>
                <c:pt idx="138">
                  <c:v>1500228.6521076732</c:v>
                </c:pt>
                <c:pt idx="139">
                  <c:v>1501450.4527874514</c:v>
                </c:pt>
                <c:pt idx="140">
                  <c:v>1518931.7991100256</c:v>
                </c:pt>
                <c:pt idx="141">
                  <c:v>1358177.837933603</c:v>
                </c:pt>
                <c:pt idx="142">
                  <c:v>1504552.982126961</c:v>
                </c:pt>
                <c:pt idx="143">
                  <c:v>1692021.472353979</c:v>
                </c:pt>
              </c:numCache>
            </c:numRef>
          </c:val>
          <c:smooth val="0"/>
          <c:extLst>
            <c:ext xmlns:c16="http://schemas.microsoft.com/office/drawing/2014/chart" uri="{C3380CC4-5D6E-409C-BE32-E72D297353CC}">
              <c16:uniqueId val="{00000001-B9C8-4BE6-AB55-E06A6ED1676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Normalized WN'!$D$1</c:f>
              <c:strCache>
                <c:ptCount val="1"/>
                <c:pt idx="0">
                  <c:v> GSgt50_NoCDM </c:v>
                </c:pt>
              </c:strCache>
            </c:strRef>
          </c:tx>
          <c:spPr>
            <a:ln w="28575" cap="rnd">
              <a:solidFill>
                <a:schemeClr val="accent1"/>
              </a:solidFill>
              <a:round/>
            </a:ln>
            <a:effectLst/>
          </c:spPr>
          <c:marker>
            <c:symbol val="none"/>
          </c:marker>
          <c:cat>
            <c:numRef>
              <c:f>'GS &gt;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 WN'!$D$2:$D$145</c:f>
              <c:numCache>
                <c:formatCode>_-* #,##0_-;\-* #,##0_-;_-* "-"??_-;_-@_-</c:formatCode>
                <c:ptCount val="144"/>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pt idx="120">
                  <c:v>5191252.9068947835</c:v>
                </c:pt>
                <c:pt idx="121">
                  <c:v>5721499.9924026718</c:v>
                </c:pt>
                <c:pt idx="122">
                  <c:v>5706334.0779105602</c:v>
                </c:pt>
                <c:pt idx="123">
                  <c:v>5709519.1634184485</c:v>
                </c:pt>
                <c:pt idx="124">
                  <c:v>5430698.2489263369</c:v>
                </c:pt>
                <c:pt idx="125">
                  <c:v>5108824.3344342252</c:v>
                </c:pt>
                <c:pt idx="126">
                  <c:v>4751604.4199421136</c:v>
                </c:pt>
                <c:pt idx="127">
                  <c:v>4863179.505450001</c:v>
                </c:pt>
                <c:pt idx="128">
                  <c:v>4225940.5909578893</c:v>
                </c:pt>
                <c:pt idx="129">
                  <c:v>4360697.6764657777</c:v>
                </c:pt>
              </c:numCache>
            </c:numRef>
          </c:val>
          <c:smooth val="0"/>
          <c:extLst>
            <c:ext xmlns:c16="http://schemas.microsoft.com/office/drawing/2014/chart" uri="{C3380CC4-5D6E-409C-BE32-E72D297353CC}">
              <c16:uniqueId val="{00000000-EA0F-43CC-BA94-51A04FCEDE14}"/>
            </c:ext>
          </c:extLst>
        </c:ser>
        <c:ser>
          <c:idx val="1"/>
          <c:order val="1"/>
          <c:tx>
            <c:strRef>
              <c:f>'GS &gt; 50 Normalized WN'!$P$1</c:f>
              <c:strCache>
                <c:ptCount val="1"/>
              </c:strCache>
            </c:strRef>
          </c:tx>
          <c:spPr>
            <a:ln w="28575" cap="rnd">
              <a:solidFill>
                <a:schemeClr val="accent2"/>
              </a:solidFill>
              <a:round/>
            </a:ln>
            <a:effectLst/>
          </c:spPr>
          <c:marker>
            <c:symbol val="none"/>
          </c:marker>
          <c:cat>
            <c:numRef>
              <c:f>'GS &gt;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 WN'!$P$2:$P$145</c:f>
              <c:numCache>
                <c:formatCode>_-* #,##0_-;\-* #,##0_-;_-* "-"??_-;_-@_-</c:formatCode>
                <c:ptCount val="144"/>
                <c:pt idx="0">
                  <c:v>5942626.754174497</c:v>
                </c:pt>
                <c:pt idx="1">
                  <c:v>5473402.6078986423</c:v>
                </c:pt>
                <c:pt idx="2">
                  <c:v>5016454.9769668514</c:v>
                </c:pt>
                <c:pt idx="3">
                  <c:v>5047922.7587073594</c:v>
                </c:pt>
                <c:pt idx="4">
                  <c:v>4538164.7508501541</c:v>
                </c:pt>
                <c:pt idx="5">
                  <c:v>4211866.5461751558</c:v>
                </c:pt>
                <c:pt idx="6">
                  <c:v>3992010.8486532951</c:v>
                </c:pt>
                <c:pt idx="7">
                  <c:v>4022254.3386659352</c:v>
                </c:pt>
                <c:pt idx="8">
                  <c:v>3875725.1511745257</c:v>
                </c:pt>
                <c:pt idx="9">
                  <c:v>3975223.2107664063</c:v>
                </c:pt>
                <c:pt idx="10">
                  <c:v>4366806.16934276</c:v>
                </c:pt>
                <c:pt idx="11">
                  <c:v>4839573.6104618283</c:v>
                </c:pt>
                <c:pt idx="12">
                  <c:v>5669805.4212320773</c:v>
                </c:pt>
                <c:pt idx="13">
                  <c:v>5048985.0208449392</c:v>
                </c:pt>
                <c:pt idx="14">
                  <c:v>5641984.9312298056</c:v>
                </c:pt>
                <c:pt idx="15">
                  <c:v>5161426.5047317417</c:v>
                </c:pt>
                <c:pt idx="16">
                  <c:v>4442874.7492876817</c:v>
                </c:pt>
                <c:pt idx="17">
                  <c:v>4618369.9207173614</c:v>
                </c:pt>
                <c:pt idx="18">
                  <c:v>4710445.5714866184</c:v>
                </c:pt>
                <c:pt idx="19">
                  <c:v>4807931.5621452443</c:v>
                </c:pt>
                <c:pt idx="20">
                  <c:v>4588836.5804981356</c:v>
                </c:pt>
                <c:pt idx="21">
                  <c:v>4591567.2404340319</c:v>
                </c:pt>
                <c:pt idx="22">
                  <c:v>5145083.3479613308</c:v>
                </c:pt>
                <c:pt idx="23">
                  <c:v>5383451.7971756291</c:v>
                </c:pt>
                <c:pt idx="24">
                  <c:v>5711238.365941301</c:v>
                </c:pt>
                <c:pt idx="25">
                  <c:v>5943476.4035385381</c:v>
                </c:pt>
                <c:pt idx="26">
                  <c:v>5944648.3416660689</c:v>
                </c:pt>
                <c:pt idx="27">
                  <c:v>5730472.7637050701</c:v>
                </c:pt>
                <c:pt idx="28">
                  <c:v>4905080.5624651201</c:v>
                </c:pt>
                <c:pt idx="29">
                  <c:v>4798567.6377710896</c:v>
                </c:pt>
                <c:pt idx="30">
                  <c:v>4626321.8025200581</c:v>
                </c:pt>
                <c:pt idx="31">
                  <c:v>4695768.7130957637</c:v>
                </c:pt>
                <c:pt idx="32">
                  <c:v>4902731.3170004059</c:v>
                </c:pt>
                <c:pt idx="33">
                  <c:v>4798375.4434212297</c:v>
                </c:pt>
                <c:pt idx="34">
                  <c:v>5134361.6990754837</c:v>
                </c:pt>
                <c:pt idx="35">
                  <c:v>5283971.8406872265</c:v>
                </c:pt>
                <c:pt idx="36">
                  <c:v>6199286.0937686441</c:v>
                </c:pt>
                <c:pt idx="37">
                  <c:v>5857710.0095142052</c:v>
                </c:pt>
                <c:pt idx="38">
                  <c:v>5523201.4205814898</c:v>
                </c:pt>
                <c:pt idx="39">
                  <c:v>6116966.9589556148</c:v>
                </c:pt>
                <c:pt idx="40">
                  <c:v>4828389.4192500925</c:v>
                </c:pt>
                <c:pt idx="41">
                  <c:v>4896185.2901461776</c:v>
                </c:pt>
                <c:pt idx="42">
                  <c:v>4777089.9144243998</c:v>
                </c:pt>
                <c:pt idx="43">
                  <c:v>4476210.2092801798</c:v>
                </c:pt>
                <c:pt idx="44">
                  <c:v>4774047.8163563991</c:v>
                </c:pt>
                <c:pt idx="45">
                  <c:v>4726122.0920225419</c:v>
                </c:pt>
                <c:pt idx="46">
                  <c:v>4771612.5758758308</c:v>
                </c:pt>
                <c:pt idx="47">
                  <c:v>5190280.1565568214</c:v>
                </c:pt>
                <c:pt idx="48">
                  <c:v>6044503.6370660914</c:v>
                </c:pt>
                <c:pt idx="49">
                  <c:v>6095452.7753467858</c:v>
                </c:pt>
                <c:pt idx="50">
                  <c:v>5614961.7513076197</c:v>
                </c:pt>
                <c:pt idx="51">
                  <c:v>5668236.939778531</c:v>
                </c:pt>
                <c:pt idx="52">
                  <c:v>5148791.8333233073</c:v>
                </c:pt>
                <c:pt idx="53">
                  <c:v>4720353.0075592855</c:v>
                </c:pt>
                <c:pt idx="54">
                  <c:v>4384645.3410647744</c:v>
                </c:pt>
                <c:pt idx="55">
                  <c:v>4445282.1099990904</c:v>
                </c:pt>
                <c:pt idx="56">
                  <c:v>4678889.8528450355</c:v>
                </c:pt>
                <c:pt idx="57">
                  <c:v>4022788.5798405595</c:v>
                </c:pt>
                <c:pt idx="58">
                  <c:v>4824840.9608622426</c:v>
                </c:pt>
                <c:pt idx="59">
                  <c:v>5761791.5209350707</c:v>
                </c:pt>
                <c:pt idx="60">
                  <c:v>5426251.2998178387</c:v>
                </c:pt>
                <c:pt idx="61">
                  <c:v>6267202.3988111177</c:v>
                </c:pt>
                <c:pt idx="62">
                  <c:v>5740944.5996235432</c:v>
                </c:pt>
                <c:pt idx="63">
                  <c:v>5596555.3927865075</c:v>
                </c:pt>
                <c:pt idx="64">
                  <c:v>5029493.1387230055</c:v>
                </c:pt>
                <c:pt idx="65">
                  <c:v>5029291.3022740195</c:v>
                </c:pt>
                <c:pt idx="66">
                  <c:v>4602297.1859701481</c:v>
                </c:pt>
                <c:pt idx="67">
                  <c:v>4556904.2860261975</c:v>
                </c:pt>
                <c:pt idx="68">
                  <c:v>4769367.696253499</c:v>
                </c:pt>
                <c:pt idx="69">
                  <c:v>4788205.1098662494</c:v>
                </c:pt>
                <c:pt idx="70">
                  <c:v>5068457.6411890667</c:v>
                </c:pt>
                <c:pt idx="71">
                  <c:v>5568916.2847562656</c:v>
                </c:pt>
                <c:pt idx="72">
                  <c:v>5918860.2615643293</c:v>
                </c:pt>
                <c:pt idx="73">
                  <c:v>6184160.5938813109</c:v>
                </c:pt>
                <c:pt idx="74">
                  <c:v>5678490.0760429539</c:v>
                </c:pt>
                <c:pt idx="75">
                  <c:v>5431929.9947588341</c:v>
                </c:pt>
                <c:pt idx="76">
                  <c:v>3886681.2296255594</c:v>
                </c:pt>
                <c:pt idx="77">
                  <c:v>4575591.5451952703</c:v>
                </c:pt>
                <c:pt idx="78">
                  <c:v>4424584.3617230691</c:v>
                </c:pt>
                <c:pt idx="79">
                  <c:v>4634581.1255954541</c:v>
                </c:pt>
                <c:pt idx="80">
                  <c:v>4492154.4087201934</c:v>
                </c:pt>
                <c:pt idx="81">
                  <c:v>4568418.5780520244</c:v>
                </c:pt>
                <c:pt idx="82">
                  <c:v>5192399.0761121018</c:v>
                </c:pt>
                <c:pt idx="83">
                  <c:v>5360539.4884689972</c:v>
                </c:pt>
                <c:pt idx="84">
                  <c:v>5820865.8012995236</c:v>
                </c:pt>
                <c:pt idx="85">
                  <c:v>5879846.5185423521</c:v>
                </c:pt>
                <c:pt idx="86">
                  <c:v>5771820.8428894589</c:v>
                </c:pt>
                <c:pt idx="87">
                  <c:v>5969494.5472084153</c:v>
                </c:pt>
                <c:pt idx="88">
                  <c:v>4728130.4555001957</c:v>
                </c:pt>
                <c:pt idx="89">
                  <c:v>4375434.0509146331</c:v>
                </c:pt>
                <c:pt idx="90">
                  <c:v>4401792.129544707</c:v>
                </c:pt>
                <c:pt idx="91">
                  <c:v>4386416.5926815327</c:v>
                </c:pt>
                <c:pt idx="92">
                  <c:v>4564883.7630122649</c:v>
                </c:pt>
                <c:pt idx="93">
                  <c:v>4623431.3570964718</c:v>
                </c:pt>
                <c:pt idx="94">
                  <c:v>4861338.2081368063</c:v>
                </c:pt>
                <c:pt idx="95">
                  <c:v>5135872.4040911105</c:v>
                </c:pt>
                <c:pt idx="96">
                  <c:v>5251305.8325351253</c:v>
                </c:pt>
                <c:pt idx="97">
                  <c:v>5908549.2171690911</c:v>
                </c:pt>
                <c:pt idx="98">
                  <c:v>5507007.8279631604</c:v>
                </c:pt>
                <c:pt idx="99">
                  <c:v>5709785.1486002626</c:v>
                </c:pt>
                <c:pt idx="100">
                  <c:v>4990745.4451819733</c:v>
                </c:pt>
                <c:pt idx="101">
                  <c:v>4906663.8079657983</c:v>
                </c:pt>
                <c:pt idx="102">
                  <c:v>4582204.6149600772</c:v>
                </c:pt>
                <c:pt idx="103">
                  <c:v>4384436.8165040761</c:v>
                </c:pt>
                <c:pt idx="104">
                  <c:v>4404952.8644576268</c:v>
                </c:pt>
                <c:pt idx="105">
                  <c:v>4432511.4178164434</c:v>
                </c:pt>
                <c:pt idx="106">
                  <c:v>4713911.1377080828</c:v>
                </c:pt>
                <c:pt idx="107">
                  <c:v>4822719.4759353809</c:v>
                </c:pt>
                <c:pt idx="108">
                  <c:v>5215813.2842632392</c:v>
                </c:pt>
                <c:pt idx="109">
                  <c:v>5889198.7691426966</c:v>
                </c:pt>
                <c:pt idx="110">
                  <c:v>5134150.7839132631</c:v>
                </c:pt>
                <c:pt idx="111">
                  <c:v>5616311.4445300438</c:v>
                </c:pt>
                <c:pt idx="112">
                  <c:v>4850404.7671640795</c:v>
                </c:pt>
                <c:pt idx="113">
                  <c:v>4842855.4372390313</c:v>
                </c:pt>
                <c:pt idx="114">
                  <c:v>4482989.6177818775</c:v>
                </c:pt>
                <c:pt idx="115">
                  <c:v>4211142.4794179332</c:v>
                </c:pt>
                <c:pt idx="116">
                  <c:v>4606238.5103250276</c:v>
                </c:pt>
                <c:pt idx="117">
                  <c:v>4457602.6575963078</c:v>
                </c:pt>
                <c:pt idx="118">
                  <c:v>4837438.3052083263</c:v>
                </c:pt>
                <c:pt idx="119">
                  <c:v>5532969.7644789638</c:v>
                </c:pt>
                <c:pt idx="120">
                  <c:v>5337240.2918711146</c:v>
                </c:pt>
                <c:pt idx="121">
                  <c:v>5913144.9201520719</c:v>
                </c:pt>
                <c:pt idx="122">
                  <c:v>5861331.3067806475</c:v>
                </c:pt>
                <c:pt idx="123">
                  <c:v>5824519.9192749308</c:v>
                </c:pt>
                <c:pt idx="124">
                  <c:v>5519971.156573833</c:v>
                </c:pt>
                <c:pt idx="125">
                  <c:v>5110950.7648220966</c:v>
                </c:pt>
                <c:pt idx="126">
                  <c:v>4751988.6394122057</c:v>
                </c:pt>
                <c:pt idx="127">
                  <c:v>4865422.7157079019</c:v>
                </c:pt>
                <c:pt idx="128">
                  <c:v>4250461.2615009062</c:v>
                </c:pt>
                <c:pt idx="129">
                  <c:v>4421355.1495684553</c:v>
                </c:pt>
                <c:pt idx="130">
                  <c:v>4899911.0905213766</c:v>
                </c:pt>
                <c:pt idx="131">
                  <c:v>5471143.0985540021</c:v>
                </c:pt>
                <c:pt idx="132">
                  <c:v>5690328.9471408464</c:v>
                </c:pt>
                <c:pt idx="133">
                  <c:v>5613532.5370417312</c:v>
                </c:pt>
                <c:pt idx="134">
                  <c:v>5569148.4184929905</c:v>
                </c:pt>
                <c:pt idx="135">
                  <c:v>5207961.2494211998</c:v>
                </c:pt>
                <c:pt idx="136">
                  <c:v>4934515.0768773369</c:v>
                </c:pt>
                <c:pt idx="137">
                  <c:v>4635892.369227428</c:v>
                </c:pt>
                <c:pt idx="138">
                  <c:v>4628796.9800420124</c:v>
                </c:pt>
                <c:pt idx="139">
                  <c:v>4630655.9708298212</c:v>
                </c:pt>
                <c:pt idx="140">
                  <c:v>4666182.5473273378</c:v>
                </c:pt>
                <c:pt idx="141">
                  <c:v>4597491.4781125579</c:v>
                </c:pt>
                <c:pt idx="142">
                  <c:v>4899911.0905213766</c:v>
                </c:pt>
                <c:pt idx="143">
                  <c:v>5471143.0985540021</c:v>
                </c:pt>
              </c:numCache>
            </c:numRef>
          </c:val>
          <c:smooth val="0"/>
          <c:extLst>
            <c:ext xmlns:c16="http://schemas.microsoft.com/office/drawing/2014/chart" uri="{C3380CC4-5D6E-409C-BE32-E72D297353CC}">
              <c16:uniqueId val="{00000001-EA0F-43CC-BA94-51A04FCEDE14}"/>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WN'!$C$5:$C$16</c:f>
              <c:numCache>
                <c:formatCode>#,##0</c:formatCode>
                <c:ptCount val="12"/>
                <c:pt idx="0">
                  <c:v>43480804</c:v>
                </c:pt>
                <c:pt idx="1">
                  <c:v>41684695.999999993</c:v>
                </c:pt>
                <c:pt idx="2">
                  <c:v>38772515</c:v>
                </c:pt>
                <c:pt idx="3">
                  <c:v>37483079.333000004</c:v>
                </c:pt>
                <c:pt idx="4">
                  <c:v>38878731</c:v>
                </c:pt>
                <c:pt idx="5">
                  <c:v>38802690</c:v>
                </c:pt>
                <c:pt idx="6">
                  <c:v>40126980.999999993</c:v>
                </c:pt>
                <c:pt idx="7">
                  <c:v>39104541</c:v>
                </c:pt>
                <c:pt idx="8">
                  <c:v>39671263</c:v>
                </c:pt>
                <c:pt idx="9">
                  <c:v>39128268.20000001</c:v>
                </c:pt>
              </c:numCache>
            </c:numRef>
          </c:val>
          <c:smooth val="0"/>
          <c:extLst>
            <c:ext xmlns:c16="http://schemas.microsoft.com/office/drawing/2014/chart" uri="{C3380CC4-5D6E-409C-BE32-E72D297353CC}">
              <c16:uniqueId val="{00000000-17E5-4E3F-942A-23BF240A2900}"/>
            </c:ext>
          </c:extLst>
        </c:ser>
        <c:ser>
          <c:idx val="1"/>
          <c:order val="1"/>
          <c:tx>
            <c:strRef>
              <c:f>'Normalized Annual Summary WN'!$E$3</c:f>
              <c:strCache>
                <c:ptCount val="1"/>
                <c:pt idx="0">
                  <c:v>Actual No CDM</c:v>
                </c:pt>
              </c:strCache>
            </c:strRef>
          </c:tx>
          <c:spPr>
            <a:ln w="28575" cap="rnd">
              <a:solidFill>
                <a:schemeClr val="accent2"/>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WN'!$E$5:$E$16</c:f>
              <c:numCache>
                <c:formatCode>#,##0</c:formatCode>
                <c:ptCount val="12"/>
                <c:pt idx="0">
                  <c:v>43864776.976601653</c:v>
                </c:pt>
                <c:pt idx="1">
                  <c:v>42224313.5184284</c:v>
                </c:pt>
                <c:pt idx="2">
                  <c:v>39576589.911565922</c:v>
                </c:pt>
                <c:pt idx="3">
                  <c:v>38896696.187510014</c:v>
                </c:pt>
                <c:pt idx="4">
                  <c:v>40607720.209604315</c:v>
                </c:pt>
                <c:pt idx="5">
                  <c:v>40639419.246583499</c:v>
                </c:pt>
                <c:pt idx="6">
                  <c:v>41929357.400596619</c:v>
                </c:pt>
                <c:pt idx="7">
                  <c:v>40855357.012767971</c:v>
                </c:pt>
                <c:pt idx="8">
                  <c:v>41430807.01911661</c:v>
                </c:pt>
                <c:pt idx="9">
                  <c:v>40901110.982517339</c:v>
                </c:pt>
              </c:numCache>
            </c:numRef>
          </c:val>
          <c:smooth val="0"/>
          <c:extLst>
            <c:ext xmlns:c16="http://schemas.microsoft.com/office/drawing/2014/chart" uri="{C3380CC4-5D6E-409C-BE32-E72D297353CC}">
              <c16:uniqueId val="{00000001-17E5-4E3F-942A-23BF240A2900}"/>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WN'!$G$5:$G$16</c:f>
              <c:numCache>
                <c:formatCode>#,##0</c:formatCode>
                <c:ptCount val="12"/>
                <c:pt idx="0">
                  <c:v>42983669.107363716</c:v>
                </c:pt>
                <c:pt idx="1">
                  <c:v>41751083.168878928</c:v>
                </c:pt>
                <c:pt idx="2">
                  <c:v>40073547.383073039</c:v>
                </c:pt>
                <c:pt idx="3">
                  <c:v>39263245.298147678</c:v>
                </c:pt>
                <c:pt idx="4">
                  <c:v>39976947.891526535</c:v>
                </c:pt>
                <c:pt idx="5">
                  <c:v>40089714.554076597</c:v>
                </c:pt>
                <c:pt idx="6">
                  <c:v>42175187.312122539</c:v>
                </c:pt>
                <c:pt idx="7">
                  <c:v>41598354.149981022</c:v>
                </c:pt>
                <c:pt idx="8">
                  <c:v>41365112.597472429</c:v>
                </c:pt>
                <c:pt idx="9">
                  <c:v>41649287.002649881</c:v>
                </c:pt>
                <c:pt idx="10">
                  <c:v>42339139.286595829</c:v>
                </c:pt>
                <c:pt idx="11">
                  <c:v>41212042.214663744</c:v>
                </c:pt>
              </c:numCache>
            </c:numRef>
          </c:val>
          <c:smooth val="0"/>
          <c:extLst>
            <c:ext xmlns:c16="http://schemas.microsoft.com/office/drawing/2014/chart" uri="{C3380CC4-5D6E-409C-BE32-E72D297353CC}">
              <c16:uniqueId val="{00000002-17E5-4E3F-942A-23BF240A2900}"/>
            </c:ext>
          </c:extLst>
        </c:ser>
        <c:ser>
          <c:idx val="3"/>
          <c:order val="3"/>
          <c:tx>
            <c:strRef>
              <c:f>'Normalized Annual Summary WN'!$K$3</c:f>
              <c:strCache>
                <c:ptCount val="1"/>
                <c:pt idx="0">
                  <c:v>Normalized with Additional Loads</c:v>
                </c:pt>
              </c:strCache>
            </c:strRef>
          </c:tx>
          <c:spPr>
            <a:ln w="28575" cap="rnd">
              <a:solidFill>
                <a:schemeClr val="accent4"/>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WN'!$K$5:$K$16</c:f>
              <c:numCache>
                <c:formatCode>#,##0</c:formatCode>
                <c:ptCount val="12"/>
                <c:pt idx="0">
                  <c:v>42599696.130762063</c:v>
                </c:pt>
                <c:pt idx="1">
                  <c:v>41211465.65045052</c:v>
                </c:pt>
                <c:pt idx="2">
                  <c:v>39269472.471507117</c:v>
                </c:pt>
                <c:pt idx="3">
                  <c:v>37849628.443637669</c:v>
                </c:pt>
                <c:pt idx="4">
                  <c:v>38247958.68192222</c:v>
                </c:pt>
                <c:pt idx="5">
                  <c:v>38252985.307493098</c:v>
                </c:pt>
                <c:pt idx="6">
                  <c:v>40372810.911525905</c:v>
                </c:pt>
                <c:pt idx="7">
                  <c:v>39847538.137213051</c:v>
                </c:pt>
                <c:pt idx="8">
                  <c:v>39605568.578355819</c:v>
                </c:pt>
                <c:pt idx="9">
                  <c:v>39876444.220132552</c:v>
                </c:pt>
                <c:pt idx="10">
                  <c:v>40695711.259884372</c:v>
                </c:pt>
                <c:pt idx="11">
                  <c:v>39768006.232786715</c:v>
                </c:pt>
              </c:numCache>
            </c:numRef>
          </c:val>
          <c:smooth val="0"/>
          <c:extLst>
            <c:ext xmlns:c16="http://schemas.microsoft.com/office/drawing/2014/chart" uri="{C3380CC4-5D6E-409C-BE32-E72D297353CC}">
              <c16:uniqueId val="{00000003-17E5-4E3F-942A-23BF240A2900}"/>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Service
 &lt; 50 kW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Weather!$U$121</c:f>
              <c:strCache>
                <c:ptCount val="1"/>
                <c:pt idx="0">
                  <c:v>General Service &lt; 50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Weather!$U$122:$U$241</c:f>
              <c:numCache>
                <c:formatCode>_-* #,##0_-;\-* #,##0_-;_-* "-"??_-;_-@_-</c:formatCode>
                <c:ptCount val="120"/>
                <c:pt idx="0">
                  <c:v>2956.6004563433421</c:v>
                </c:pt>
                <c:pt idx="1">
                  <c:v>3036.1171802712306</c:v>
                </c:pt>
                <c:pt idx="2">
                  <c:v>2604.7791863460398</c:v>
                </c:pt>
                <c:pt idx="3">
                  <c:v>2681.2613094485437</c:v>
                </c:pt>
                <c:pt idx="4">
                  <c:v>2226.7883685983966</c:v>
                </c:pt>
                <c:pt idx="5">
                  <c:v>2108.8978537155272</c:v>
                </c:pt>
                <c:pt idx="6">
                  <c:v>2035.9150608857944</c:v>
                </c:pt>
                <c:pt idx="7">
                  <c:v>2105.9666613007762</c:v>
                </c:pt>
                <c:pt idx="8">
                  <c:v>2028.271635155</c:v>
                </c:pt>
                <c:pt idx="9">
                  <c:v>1945.3831371744818</c:v>
                </c:pt>
                <c:pt idx="10">
                  <c:v>2146.4502808109346</c:v>
                </c:pt>
                <c:pt idx="11">
                  <c:v>2442.4396483446658</c:v>
                </c:pt>
                <c:pt idx="12">
                  <c:v>2701.9733897532319</c:v>
                </c:pt>
                <c:pt idx="13">
                  <c:v>2930.9171118239483</c:v>
                </c:pt>
                <c:pt idx="14">
                  <c:v>2765.7930728229858</c:v>
                </c:pt>
                <c:pt idx="15">
                  <c:v>2557.7561471011322</c:v>
                </c:pt>
                <c:pt idx="16">
                  <c:v>2193.6492431227434</c:v>
                </c:pt>
                <c:pt idx="17">
                  <c:v>1957.1440932653295</c:v>
                </c:pt>
                <c:pt idx="18">
                  <c:v>2006.826565098602</c:v>
                </c:pt>
                <c:pt idx="19">
                  <c:v>2167.049786373419</c:v>
                </c:pt>
                <c:pt idx="20">
                  <c:v>1998.1925134134692</c:v>
                </c:pt>
                <c:pt idx="21">
                  <c:v>1968.9129218673636</c:v>
                </c:pt>
                <c:pt idx="22">
                  <c:v>2104.4144679042233</c:v>
                </c:pt>
                <c:pt idx="23">
                  <c:v>2183.4127042460768</c:v>
                </c:pt>
                <c:pt idx="24">
                  <c:v>2554.5077844147008</c:v>
                </c:pt>
                <c:pt idx="25">
                  <c:v>2774.2198542138749</c:v>
                </c:pt>
                <c:pt idx="26">
                  <c:v>2703.9315886950467</c:v>
                </c:pt>
                <c:pt idx="27">
                  <c:v>2561.4879735057852</c:v>
                </c:pt>
                <c:pt idx="28">
                  <c:v>2312.2953167487126</c:v>
                </c:pt>
                <c:pt idx="29">
                  <c:v>2078.9731746562611</c:v>
                </c:pt>
                <c:pt idx="30">
                  <c:v>2084.8474286763853</c:v>
                </c:pt>
                <c:pt idx="31">
                  <c:v>2181.586331783798</c:v>
                </c:pt>
                <c:pt idx="32">
                  <c:v>2203.3999591216748</c:v>
                </c:pt>
                <c:pt idx="33">
                  <c:v>1876.3292873471526</c:v>
                </c:pt>
                <c:pt idx="34">
                  <c:v>2000.2175723998469</c:v>
                </c:pt>
                <c:pt idx="35">
                  <c:v>2194.6256003611174</c:v>
                </c:pt>
                <c:pt idx="36">
                  <c:v>2553.8547644234118</c:v>
                </c:pt>
                <c:pt idx="37">
                  <c:v>2583.336372454175</c:v>
                </c:pt>
                <c:pt idx="38">
                  <c:v>2387.0651920590785</c:v>
                </c:pt>
                <c:pt idx="39">
                  <c:v>2578.1957195854739</c:v>
                </c:pt>
                <c:pt idx="40">
                  <c:v>2073.8444174154256</c:v>
                </c:pt>
                <c:pt idx="41">
                  <c:v>2010.6845925813805</c:v>
                </c:pt>
                <c:pt idx="42">
                  <c:v>1923.6947265815879</c:v>
                </c:pt>
                <c:pt idx="43">
                  <c:v>1982.5660453031899</c:v>
                </c:pt>
                <c:pt idx="44">
                  <c:v>1890.8308111255405</c:v>
                </c:pt>
                <c:pt idx="45">
                  <c:v>1821.4301375531602</c:v>
                </c:pt>
                <c:pt idx="46">
                  <c:v>1908.2006824110167</c:v>
                </c:pt>
                <c:pt idx="47">
                  <c:v>2332.7282727078114</c:v>
                </c:pt>
                <c:pt idx="48">
                  <c:v>2778.91268101587</c:v>
                </c:pt>
                <c:pt idx="49">
                  <c:v>2833.4958349485032</c:v>
                </c:pt>
                <c:pt idx="50">
                  <c:v>2600.6413662688606</c:v>
                </c:pt>
                <c:pt idx="51">
                  <c:v>2635.3082531731538</c:v>
                </c:pt>
                <c:pt idx="52">
                  <c:v>2338.3480702827446</c:v>
                </c:pt>
                <c:pt idx="53">
                  <c:v>2156.6384935998185</c:v>
                </c:pt>
                <c:pt idx="54">
                  <c:v>2045.4171965591624</c:v>
                </c:pt>
                <c:pt idx="55">
                  <c:v>2259.2401239283686</c:v>
                </c:pt>
                <c:pt idx="56">
                  <c:v>2147.2221864787248</c:v>
                </c:pt>
                <c:pt idx="57">
                  <c:v>1950.2456076940246</c:v>
                </c:pt>
                <c:pt idx="58">
                  <c:v>2229.5797382044193</c:v>
                </c:pt>
                <c:pt idx="59">
                  <c:v>2481.5269202483155</c:v>
                </c:pt>
                <c:pt idx="60">
                  <c:v>2543.6989653569326</c:v>
                </c:pt>
                <c:pt idx="61">
                  <c:v>2955.9625686792479</c:v>
                </c:pt>
                <c:pt idx="62">
                  <c:v>2630.6426559705474</c:v>
                </c:pt>
                <c:pt idx="63">
                  <c:v>2564.2163170039616</c:v>
                </c:pt>
                <c:pt idx="64">
                  <c:v>2187.471102041221</c:v>
                </c:pt>
                <c:pt idx="65">
                  <c:v>2045.6885435346951</c:v>
                </c:pt>
                <c:pt idx="66">
                  <c:v>1921.4947127199966</c:v>
                </c:pt>
                <c:pt idx="67">
                  <c:v>2098.6688501518397</c:v>
                </c:pt>
                <c:pt idx="68">
                  <c:v>1940.3816187604641</c:v>
                </c:pt>
                <c:pt idx="69">
                  <c:v>1821.8196589182078</c:v>
                </c:pt>
                <c:pt idx="70">
                  <c:v>2036.567781620219</c:v>
                </c:pt>
                <c:pt idx="71">
                  <c:v>2413.7929144004447</c:v>
                </c:pt>
                <c:pt idx="72">
                  <c:v>2651.438835860105</c:v>
                </c:pt>
                <c:pt idx="73">
                  <c:v>2709.3391706059156</c:v>
                </c:pt>
                <c:pt idx="74">
                  <c:v>2552.3695104899516</c:v>
                </c:pt>
                <c:pt idx="75">
                  <c:v>2439.7084192575203</c:v>
                </c:pt>
                <c:pt idx="76">
                  <c:v>1984.5255009835644</c:v>
                </c:pt>
                <c:pt idx="77">
                  <c:v>1900.0855835338198</c:v>
                </c:pt>
                <c:pt idx="78">
                  <c:v>1920.1501895234492</c:v>
                </c:pt>
                <c:pt idx="79">
                  <c:v>2128.1502280377495</c:v>
                </c:pt>
                <c:pt idx="80">
                  <c:v>1960.7247485291598</c:v>
                </c:pt>
                <c:pt idx="81">
                  <c:v>1814.9608385132512</c:v>
                </c:pt>
                <c:pt idx="82">
                  <c:v>2071.3978468932837</c:v>
                </c:pt>
                <c:pt idx="83">
                  <c:v>2212.9006044972602</c:v>
                </c:pt>
                <c:pt idx="84">
                  <c:v>2613.312607626704</c:v>
                </c:pt>
                <c:pt idx="85">
                  <c:v>2598.4648969246741</c:v>
                </c:pt>
                <c:pt idx="86">
                  <c:v>2512.4654286025921</c:v>
                </c:pt>
                <c:pt idx="87">
                  <c:v>2620.1891253083218</c:v>
                </c:pt>
                <c:pt idx="88">
                  <c:v>2105.3513966815312</c:v>
                </c:pt>
                <c:pt idx="89">
                  <c:v>2082.9747180925247</c:v>
                </c:pt>
                <c:pt idx="90">
                  <c:v>2016.4153470573417</c:v>
                </c:pt>
                <c:pt idx="91">
                  <c:v>2159.0764475436004</c:v>
                </c:pt>
                <c:pt idx="92">
                  <c:v>2268.8190549162159</c:v>
                </c:pt>
                <c:pt idx="93">
                  <c:v>2000.9254095607182</c:v>
                </c:pt>
                <c:pt idx="94">
                  <c:v>1995.4309842756256</c:v>
                </c:pt>
                <c:pt idx="95">
                  <c:v>2352.7047263942336</c:v>
                </c:pt>
                <c:pt idx="96">
                  <c:v>2717.7819653433494</c:v>
                </c:pt>
                <c:pt idx="97">
                  <c:v>3047.7115249277176</c:v>
                </c:pt>
                <c:pt idx="98">
                  <c:v>2741.4837256748633</c:v>
                </c:pt>
                <c:pt idx="99">
                  <c:v>2697.269212080384</c:v>
                </c:pt>
                <c:pt idx="100">
                  <c:v>2222.2923605368178</c:v>
                </c:pt>
                <c:pt idx="101">
                  <c:v>2046.2021414297158</c:v>
                </c:pt>
                <c:pt idx="102">
                  <c:v>1976.2550095488116</c:v>
                </c:pt>
                <c:pt idx="103">
                  <c:v>2019.6136848288002</c:v>
                </c:pt>
                <c:pt idx="104">
                  <c:v>2041.1919796952591</c:v>
                </c:pt>
                <c:pt idx="105">
                  <c:v>1940.4532879556948</c:v>
                </c:pt>
                <c:pt idx="106">
                  <c:v>2095.6885954963304</c:v>
                </c:pt>
                <c:pt idx="107">
                  <c:v>2350.2785662975325</c:v>
                </c:pt>
                <c:pt idx="108">
                  <c:v>2653.5713397991967</c:v>
                </c:pt>
                <c:pt idx="109">
                  <c:v>2757.4570162732698</c:v>
                </c:pt>
                <c:pt idx="110">
                  <c:v>2618.4245289788546</c:v>
                </c:pt>
                <c:pt idx="111">
                  <c:v>2615.7121872017592</c:v>
                </c:pt>
                <c:pt idx="112">
                  <c:v>2210.2876564207054</c:v>
                </c:pt>
                <c:pt idx="113">
                  <c:v>2073.1358913559488</c:v>
                </c:pt>
                <c:pt idx="114">
                  <c:v>2041.005103061407</c:v>
                </c:pt>
                <c:pt idx="115">
                  <c:v>2057.5185488612269</c:v>
                </c:pt>
                <c:pt idx="116">
                  <c:v>1957.0451825038606</c:v>
                </c:pt>
                <c:pt idx="117">
                  <c:v>1875.7845153088474</c:v>
                </c:pt>
                <c:pt idx="118">
                  <c:v>2054.9071511966622</c:v>
                </c:pt>
                <c:pt idx="119">
                  <c:v>2349.7935078484534</c:v>
                </c:pt>
              </c:numCache>
            </c:numRef>
          </c:yVal>
          <c:smooth val="0"/>
          <c:extLst>
            <c:ext xmlns:c16="http://schemas.microsoft.com/office/drawing/2014/chart" uri="{C3380CC4-5D6E-409C-BE32-E72D297353CC}">
              <c16:uniqueId val="{00000000-8460-4CD2-B140-C4BF951458EE}"/>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WN'!$N$5:$N$16</c:f>
              <c:numCache>
                <c:formatCode>#,##0</c:formatCode>
                <c:ptCount val="12"/>
                <c:pt idx="0">
                  <c:v>20165300</c:v>
                </c:pt>
                <c:pt idx="1">
                  <c:v>19810828.000000004</c:v>
                </c:pt>
                <c:pt idx="2">
                  <c:v>18349612</c:v>
                </c:pt>
                <c:pt idx="3">
                  <c:v>17706302.366</c:v>
                </c:pt>
                <c:pt idx="4">
                  <c:v>17940823</c:v>
                </c:pt>
                <c:pt idx="5">
                  <c:v>17709285.999999996</c:v>
                </c:pt>
                <c:pt idx="6">
                  <c:v>16586732.999999998</c:v>
                </c:pt>
                <c:pt idx="7">
                  <c:v>17080206</c:v>
                </c:pt>
                <c:pt idx="8">
                  <c:v>17769474</c:v>
                </c:pt>
                <c:pt idx="9">
                  <c:v>17511886.100000001</c:v>
                </c:pt>
              </c:numCache>
            </c:numRef>
          </c:val>
          <c:smooth val="0"/>
          <c:extLst>
            <c:ext xmlns:c16="http://schemas.microsoft.com/office/drawing/2014/chart" uri="{C3380CC4-5D6E-409C-BE32-E72D297353CC}">
              <c16:uniqueId val="{00000000-11DC-4342-A707-129AF3CCA498}"/>
            </c:ext>
          </c:extLst>
        </c:ser>
        <c:ser>
          <c:idx val="1"/>
          <c:order val="1"/>
          <c:tx>
            <c:strRef>
              <c:f>'Normalized Annual Summary WN'!$P$3</c:f>
              <c:strCache>
                <c:ptCount val="1"/>
                <c:pt idx="0">
                  <c:v>Actual No CDM</c:v>
                </c:pt>
              </c:strCache>
            </c:strRef>
          </c:tx>
          <c:spPr>
            <a:ln w="28575" cap="rnd">
              <a:solidFill>
                <a:schemeClr val="accent2"/>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WN'!$P$5:$P$16</c:f>
              <c:numCache>
                <c:formatCode>#,##0</c:formatCode>
                <c:ptCount val="12"/>
                <c:pt idx="0">
                  <c:v>21470123.467360467</c:v>
                </c:pt>
                <c:pt idx="1">
                  <c:v>21418851.183689471</c:v>
                </c:pt>
                <c:pt idx="2">
                  <c:v>20043153.298730094</c:v>
                </c:pt>
                <c:pt idx="3">
                  <c:v>19451379.974433169</c:v>
                </c:pt>
                <c:pt idx="4">
                  <c:v>20313585.847074512</c:v>
                </c:pt>
                <c:pt idx="5">
                  <c:v>20160136.039156388</c:v>
                </c:pt>
                <c:pt idx="6">
                  <c:v>18918481.455066059</c:v>
                </c:pt>
                <c:pt idx="7">
                  <c:v>19276839.41025693</c:v>
                </c:pt>
                <c:pt idx="8">
                  <c:v>19854808.647446506</c:v>
                </c:pt>
                <c:pt idx="9">
                  <c:v>19521219.250245396</c:v>
                </c:pt>
              </c:numCache>
            </c:numRef>
          </c:val>
          <c:smooth val="0"/>
          <c:extLst>
            <c:ext xmlns:c16="http://schemas.microsoft.com/office/drawing/2014/chart" uri="{C3380CC4-5D6E-409C-BE32-E72D297353CC}">
              <c16:uniqueId val="{00000001-11DC-4342-A707-129AF3CCA498}"/>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WN'!$R$5:$R$16</c:f>
              <c:numCache>
                <c:formatCode>#,##0</c:formatCode>
                <c:ptCount val="12"/>
                <c:pt idx="0">
                  <c:v>21169040.340658661</c:v>
                </c:pt>
                <c:pt idx="1">
                  <c:v>21257143.771615416</c:v>
                </c:pt>
                <c:pt idx="2">
                  <c:v>20212968.499096651</c:v>
                </c:pt>
                <c:pt idx="3">
                  <c:v>19576633.369815964</c:v>
                </c:pt>
                <c:pt idx="4">
                  <c:v>20098044.812435851</c:v>
                </c:pt>
                <c:pt idx="5">
                  <c:v>19972296.600466792</c:v>
                </c:pt>
                <c:pt idx="6">
                  <c:v>19002483.926253911</c:v>
                </c:pt>
                <c:pt idx="7">
                  <c:v>19530728.756854273</c:v>
                </c:pt>
                <c:pt idx="8">
                  <c:v>19832360.224766314</c:v>
                </c:pt>
                <c:pt idx="9">
                  <c:v>19776878.271495149</c:v>
                </c:pt>
                <c:pt idx="10">
                  <c:v>19356576.308873102</c:v>
                </c:pt>
                <c:pt idx="11">
                  <c:v>19699305.810877729</c:v>
                </c:pt>
              </c:numCache>
            </c:numRef>
          </c:val>
          <c:smooth val="0"/>
          <c:extLst>
            <c:ext xmlns:c16="http://schemas.microsoft.com/office/drawing/2014/chart" uri="{C3380CC4-5D6E-409C-BE32-E72D297353CC}">
              <c16:uniqueId val="{00000002-11DC-4342-A707-129AF3CCA498}"/>
            </c:ext>
          </c:extLst>
        </c:ser>
        <c:ser>
          <c:idx val="3"/>
          <c:order val="3"/>
          <c:tx>
            <c:strRef>
              <c:f>'Normalized Annual Summary WN'!$V$3</c:f>
              <c:strCache>
                <c:ptCount val="1"/>
                <c:pt idx="0">
                  <c:v>Normalized with Additional Loads</c:v>
                </c:pt>
              </c:strCache>
            </c:strRef>
          </c:tx>
          <c:spPr>
            <a:ln w="28575" cap="rnd">
              <a:solidFill>
                <a:schemeClr val="accent4"/>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WN'!$V$5:$V$16</c:f>
              <c:numCache>
                <c:formatCode>#,##0</c:formatCode>
                <c:ptCount val="12"/>
                <c:pt idx="0">
                  <c:v>19864216.873298194</c:v>
                </c:pt>
                <c:pt idx="1">
                  <c:v>19649120.587925948</c:v>
                </c:pt>
                <c:pt idx="2">
                  <c:v>18519427.200366557</c:v>
                </c:pt>
                <c:pt idx="3">
                  <c:v>17831555.761382796</c:v>
                </c:pt>
                <c:pt idx="4">
                  <c:v>17725281.965361338</c:v>
                </c:pt>
                <c:pt idx="5">
                  <c:v>17521446.561310399</c:v>
                </c:pt>
                <c:pt idx="6">
                  <c:v>16670735.471187852</c:v>
                </c:pt>
                <c:pt idx="7">
                  <c:v>17334095.346597344</c:v>
                </c:pt>
                <c:pt idx="8">
                  <c:v>17747025.577319808</c:v>
                </c:pt>
                <c:pt idx="9">
                  <c:v>17767545.121249754</c:v>
                </c:pt>
                <c:pt idx="10">
                  <c:v>17653173.721049629</c:v>
                </c:pt>
                <c:pt idx="11">
                  <c:v>18400189.45355745</c:v>
                </c:pt>
              </c:numCache>
            </c:numRef>
          </c:val>
          <c:smooth val="0"/>
          <c:extLst>
            <c:ext xmlns:c16="http://schemas.microsoft.com/office/drawing/2014/chart" uri="{C3380CC4-5D6E-409C-BE32-E72D297353CC}">
              <c16:uniqueId val="{00000003-11DC-4342-A707-129AF3CCA498}"/>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min val="1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WN'!$Y$5:$Y$16</c:f>
              <c:numCache>
                <c:formatCode>#,##0</c:formatCode>
                <c:ptCount val="12"/>
                <c:pt idx="0">
                  <c:v>55514123</c:v>
                </c:pt>
                <c:pt idx="1">
                  <c:v>59448871</c:v>
                </c:pt>
                <c:pt idx="2">
                  <c:v>60749110</c:v>
                </c:pt>
                <c:pt idx="3">
                  <c:v>59958732.662860565</c:v>
                </c:pt>
                <c:pt idx="4">
                  <c:v>59526842.000000007</c:v>
                </c:pt>
                <c:pt idx="5">
                  <c:v>60254777</c:v>
                </c:pt>
                <c:pt idx="6">
                  <c:v>57599230</c:v>
                </c:pt>
                <c:pt idx="7">
                  <c:v>57309860.999999985</c:v>
                </c:pt>
                <c:pt idx="8">
                  <c:v>56933855</c:v>
                </c:pt>
                <c:pt idx="9">
                  <c:v>56007213.399999999</c:v>
                </c:pt>
              </c:numCache>
            </c:numRef>
          </c:val>
          <c:smooth val="0"/>
          <c:extLst>
            <c:ext xmlns:c16="http://schemas.microsoft.com/office/drawing/2014/chart" uri="{C3380CC4-5D6E-409C-BE32-E72D297353CC}">
              <c16:uniqueId val="{00000000-6AF0-4199-9E81-F3B24B4E860A}"/>
            </c:ext>
          </c:extLst>
        </c:ser>
        <c:ser>
          <c:idx val="1"/>
          <c:order val="1"/>
          <c:tx>
            <c:strRef>
              <c:f>'Normalized Annual Summary WN'!$P$3</c:f>
              <c:strCache>
                <c:ptCount val="1"/>
                <c:pt idx="0">
                  <c:v>Actual No CDM</c:v>
                </c:pt>
              </c:strCache>
            </c:strRef>
          </c:tx>
          <c:spPr>
            <a:ln w="28575" cap="rnd">
              <a:solidFill>
                <a:schemeClr val="accent2"/>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WN'!$AA$5:$AA$16</c:f>
              <c:numCache>
                <c:formatCode>#,##0</c:formatCode>
                <c:ptCount val="12"/>
                <c:pt idx="0">
                  <c:v>55925468.183128469</c:v>
                </c:pt>
                <c:pt idx="1">
                  <c:v>60145601.393206447</c:v>
                </c:pt>
                <c:pt idx="2">
                  <c:v>62123387.789063156</c:v>
                </c:pt>
                <c:pt idx="3">
                  <c:v>61877746.561473154</c:v>
                </c:pt>
                <c:pt idx="4">
                  <c:v>61856847.410471722</c:v>
                </c:pt>
                <c:pt idx="5">
                  <c:v>62832835.248162664</c:v>
                </c:pt>
                <c:pt idx="6">
                  <c:v>60174451.390223108</c:v>
                </c:pt>
                <c:pt idx="7">
                  <c:v>59993611.80596213</c:v>
                </c:pt>
                <c:pt idx="8">
                  <c:v>59661276.335024737</c:v>
                </c:pt>
                <c:pt idx="9">
                  <c:v>59147736.587027468</c:v>
                </c:pt>
              </c:numCache>
            </c:numRef>
          </c:val>
          <c:smooth val="0"/>
          <c:extLst>
            <c:ext xmlns:c16="http://schemas.microsoft.com/office/drawing/2014/chart" uri="{C3380CC4-5D6E-409C-BE32-E72D297353CC}">
              <c16:uniqueId val="{00000001-6AF0-4199-9E81-F3B24B4E860A}"/>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WN'!$AC$5:$AC$16</c:f>
              <c:numCache>
                <c:formatCode>#,##0</c:formatCode>
                <c:ptCount val="12"/>
                <c:pt idx="0">
                  <c:v>55302031.723837405</c:v>
                </c:pt>
                <c:pt idx="1">
                  <c:v>59810762.647744589</c:v>
                </c:pt>
                <c:pt idx="2">
                  <c:v>62475014.89088735</c:v>
                </c:pt>
                <c:pt idx="3">
                  <c:v>62137101.9567324</c:v>
                </c:pt>
                <c:pt idx="4">
                  <c:v>61410538.309928395</c:v>
                </c:pt>
                <c:pt idx="5">
                  <c:v>62443886.336097457</c:v>
                </c:pt>
                <c:pt idx="6">
                  <c:v>60348390.739740096</c:v>
                </c:pt>
                <c:pt idx="7">
                  <c:v>60519326.670917474</c:v>
                </c:pt>
                <c:pt idx="8">
                  <c:v>59614793.606797099</c:v>
                </c:pt>
                <c:pt idx="9">
                  <c:v>59677115.821060792</c:v>
                </c:pt>
                <c:pt idx="10">
                  <c:v>62227440.31473954</c:v>
                </c:pt>
                <c:pt idx="11">
                  <c:v>60545559.763588637</c:v>
                </c:pt>
              </c:numCache>
            </c:numRef>
          </c:val>
          <c:smooth val="0"/>
          <c:extLst>
            <c:ext xmlns:c16="http://schemas.microsoft.com/office/drawing/2014/chart" uri="{C3380CC4-5D6E-409C-BE32-E72D297353CC}">
              <c16:uniqueId val="{00000002-6AF0-4199-9E81-F3B24B4E860A}"/>
            </c:ext>
          </c:extLst>
        </c:ser>
        <c:ser>
          <c:idx val="3"/>
          <c:order val="3"/>
          <c:tx>
            <c:strRef>
              <c:f>'Normalized Annual Summary WN'!$V$3</c:f>
              <c:strCache>
                <c:ptCount val="1"/>
                <c:pt idx="0">
                  <c:v>Normalized with Additional Loads</c:v>
                </c:pt>
              </c:strCache>
            </c:strRef>
          </c:tx>
          <c:spPr>
            <a:ln w="28575" cap="rnd">
              <a:solidFill>
                <a:schemeClr val="accent4"/>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WN'!$AG$5:$AG$16</c:f>
              <c:numCache>
                <c:formatCode>#,##0</c:formatCode>
                <c:ptCount val="12"/>
                <c:pt idx="0">
                  <c:v>54890686.540708937</c:v>
                </c:pt>
                <c:pt idx="1">
                  <c:v>59114032.254538141</c:v>
                </c:pt>
                <c:pt idx="2">
                  <c:v>61100737.101824194</c:v>
                </c:pt>
                <c:pt idx="3">
                  <c:v>60218088.058119811</c:v>
                </c:pt>
                <c:pt idx="4">
                  <c:v>59080532.89945668</c:v>
                </c:pt>
                <c:pt idx="5">
                  <c:v>59865828.087934792</c:v>
                </c:pt>
                <c:pt idx="6">
                  <c:v>57773169.349516988</c:v>
                </c:pt>
                <c:pt idx="7">
                  <c:v>57835575.864955328</c:v>
                </c:pt>
                <c:pt idx="8">
                  <c:v>56887372.271772362</c:v>
                </c:pt>
                <c:pt idx="9">
                  <c:v>56536592.634033322</c:v>
                </c:pt>
                <c:pt idx="10">
                  <c:v>59156777.501312368</c:v>
                </c:pt>
                <c:pt idx="11">
                  <c:v>57702437.563970186</c:v>
                </c:pt>
              </c:numCache>
            </c:numRef>
          </c:val>
          <c:smooth val="0"/>
          <c:extLst>
            <c:ext xmlns:c16="http://schemas.microsoft.com/office/drawing/2014/chart" uri="{C3380CC4-5D6E-409C-BE32-E72D297353CC}">
              <c16:uniqueId val="{00000003-6AF0-4199-9E81-F3B24B4E860A}"/>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min val="45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Street Lights Consumption</a:t>
            </a:r>
            <a:r>
              <a:rPr lang="en-CA" baseline="0"/>
              <a:t> per Connection</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lineChart>
        <c:grouping val="standard"/>
        <c:varyColors val="0"/>
        <c:ser>
          <c:idx val="0"/>
          <c:order val="0"/>
          <c:tx>
            <c:strRef>
              <c:f>'Normalized Annual Summary WN'!$AL$3</c:f>
              <c:strCache>
                <c:ptCount val="1"/>
                <c:pt idx="0">
                  <c:v>Average per Device</c:v>
                </c:pt>
              </c:strCache>
            </c:strRef>
          </c:tx>
          <c:spPr>
            <a:ln w="28575" cap="rnd">
              <a:solidFill>
                <a:schemeClr val="accent1"/>
              </a:solidFill>
              <a:round/>
            </a:ln>
            <a:effectLst/>
          </c:spPr>
          <c:marker>
            <c:symbol val="none"/>
          </c:marker>
          <c:cat>
            <c:numRef>
              <c:f>'Normalized Annual Summary WN'!$AI$5:$AI$16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WN'!$AL$5:$AL$14</c:f>
              <c:numCache>
                <c:formatCode>#,##0</c:formatCode>
                <c:ptCount val="10"/>
                <c:pt idx="0">
                  <c:v>875.31515151515157</c:v>
                </c:pt>
                <c:pt idx="1">
                  <c:v>402.65333333333331</c:v>
                </c:pt>
                <c:pt idx="2">
                  <c:v>367.88363636363636</c:v>
                </c:pt>
                <c:pt idx="3">
                  <c:v>311.49878787878794</c:v>
                </c:pt>
                <c:pt idx="4">
                  <c:v>311.78428320361542</c:v>
                </c:pt>
                <c:pt idx="5">
                  <c:v>306.6953216374269</c:v>
                </c:pt>
                <c:pt idx="6">
                  <c:v>307.84619883040938</c:v>
                </c:pt>
                <c:pt idx="7">
                  <c:v>310.57777777777778</c:v>
                </c:pt>
                <c:pt idx="8">
                  <c:v>288.28771929824558</c:v>
                </c:pt>
                <c:pt idx="9">
                  <c:v>287.16982456140352</c:v>
                </c:pt>
              </c:numCache>
            </c:numRef>
          </c:val>
          <c:smooth val="0"/>
          <c:extLst>
            <c:ext xmlns:c16="http://schemas.microsoft.com/office/drawing/2014/chart" uri="{C3380CC4-5D6E-409C-BE32-E72D297353CC}">
              <c16:uniqueId val="{00000000-08A6-4A6C-A715-DB35156CD2CE}"/>
            </c:ext>
          </c:extLst>
        </c:ser>
        <c:ser>
          <c:idx val="1"/>
          <c:order val="1"/>
          <c:tx>
            <c:v>Forecast</c:v>
          </c:tx>
          <c:spPr>
            <a:ln w="28575" cap="rnd">
              <a:solidFill>
                <a:schemeClr val="accent2"/>
              </a:solidFill>
              <a:round/>
            </a:ln>
            <a:effectLst/>
          </c:spPr>
          <c:marker>
            <c:symbol val="none"/>
          </c:marker>
          <c:cat>
            <c:numRef>
              <c:f>'Normalized Annual Summary WN'!$AI$5:$AI$16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WN'!$AN$5:$AN$14,'Normalized Annual Summary WN'!$AL$15:$AL$16)</c:f>
              <c:numCache>
                <c:formatCode>General</c:formatCode>
                <c:ptCount val="12"/>
                <c:pt idx="10" formatCode="#,##0">
                  <c:v>287.16982456140352</c:v>
                </c:pt>
                <c:pt idx="11" formatCode="#,##0">
                  <c:v>287.16982456140352</c:v>
                </c:pt>
              </c:numCache>
            </c:numRef>
          </c:val>
          <c:smooth val="0"/>
          <c:extLst>
            <c:ext xmlns:c16="http://schemas.microsoft.com/office/drawing/2014/chart" uri="{C3380CC4-5D6E-409C-BE32-E72D297353CC}">
              <c16:uniqueId val="{00000001-08A6-4A6C-A715-DB35156CD2CE}"/>
            </c:ext>
          </c:extLst>
        </c:ser>
        <c:dLbls>
          <c:showLegendKey val="0"/>
          <c:showVal val="0"/>
          <c:showCatName val="0"/>
          <c:showSerName val="0"/>
          <c:showPercent val="0"/>
          <c:showBubbleSize val="0"/>
        </c:dLbls>
        <c:smooth val="0"/>
        <c:axId val="214102032"/>
        <c:axId val="214103952"/>
      </c:lineChart>
      <c:catAx>
        <c:axId val="21410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3952"/>
        <c:crosses val="autoZero"/>
        <c:auto val="1"/>
        <c:lblAlgn val="ctr"/>
        <c:lblOffset val="100"/>
        <c:noMultiLvlLbl val="0"/>
      </c:catAx>
      <c:valAx>
        <c:axId val="21410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Consumption per Connection</a:t>
                </a:r>
                <a:r>
                  <a:rPr lang="en-CA" baseline="0"/>
                  <a:t> (kWh)</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2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USL Consumption</a:t>
            </a:r>
            <a:r>
              <a:rPr lang="en-CA" baseline="0"/>
              <a:t> per Connection</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lineChart>
        <c:grouping val="standard"/>
        <c:varyColors val="0"/>
        <c:ser>
          <c:idx val="0"/>
          <c:order val="0"/>
          <c:tx>
            <c:strRef>
              <c:f>'Normalized Annual Summary WN'!$AR$3</c:f>
              <c:strCache>
                <c:ptCount val="1"/>
                <c:pt idx="0">
                  <c:v>Average per Device</c:v>
                </c:pt>
              </c:strCache>
            </c:strRef>
          </c:tx>
          <c:spPr>
            <a:ln w="28575" cap="rnd">
              <a:solidFill>
                <a:schemeClr val="accent1"/>
              </a:solidFill>
              <a:round/>
            </a:ln>
            <a:effectLst/>
          </c:spPr>
          <c:marker>
            <c:symbol val="none"/>
          </c:marker>
          <c:cat>
            <c:numRef>
              <c:f>'Normalized Annual Summary WN'!$AO$5:$AO$16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WN'!$AR$5:$AR$14</c:f>
              <c:numCache>
                <c:formatCode>#,##0</c:formatCode>
                <c:ptCount val="10"/>
                <c:pt idx="0">
                  <c:v>7035.4477611940301</c:v>
                </c:pt>
                <c:pt idx="1">
                  <c:v>7138.1739130434771</c:v>
                </c:pt>
                <c:pt idx="2">
                  <c:v>7138.1739130434771</c:v>
                </c:pt>
                <c:pt idx="3">
                  <c:v>7138.1739130434771</c:v>
                </c:pt>
                <c:pt idx="4">
                  <c:v>7138.1739130434771</c:v>
                </c:pt>
                <c:pt idx="5">
                  <c:v>7138.1739130434771</c:v>
                </c:pt>
                <c:pt idx="6">
                  <c:v>7138.1739130434771</c:v>
                </c:pt>
                <c:pt idx="7">
                  <c:v>7137.347826086957</c:v>
                </c:pt>
                <c:pt idx="8">
                  <c:v>7452.409090909091</c:v>
                </c:pt>
                <c:pt idx="9">
                  <c:v>7452.409090909091</c:v>
                </c:pt>
              </c:numCache>
            </c:numRef>
          </c:val>
          <c:smooth val="0"/>
          <c:extLst>
            <c:ext xmlns:c16="http://schemas.microsoft.com/office/drawing/2014/chart" uri="{C3380CC4-5D6E-409C-BE32-E72D297353CC}">
              <c16:uniqueId val="{00000000-639B-41D5-BBFC-294F243884A2}"/>
            </c:ext>
          </c:extLst>
        </c:ser>
        <c:ser>
          <c:idx val="1"/>
          <c:order val="1"/>
          <c:tx>
            <c:v>Forecast</c:v>
          </c:tx>
          <c:spPr>
            <a:ln w="28575" cap="rnd">
              <a:solidFill>
                <a:schemeClr val="accent2"/>
              </a:solidFill>
              <a:round/>
            </a:ln>
            <a:effectLst/>
          </c:spPr>
          <c:marker>
            <c:symbol val="none"/>
          </c:marker>
          <c:cat>
            <c:numRef>
              <c:f>'Normalized Annual Summary WN'!$AO$5:$AO$16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WN'!$AN$5:$AN$14,'Normalized Annual Summary WN'!$AR$15:$AR$16)</c:f>
              <c:numCache>
                <c:formatCode>General</c:formatCode>
                <c:ptCount val="12"/>
                <c:pt idx="10" formatCode="#,##0">
                  <c:v>7452.409090909091</c:v>
                </c:pt>
                <c:pt idx="11" formatCode="#,##0">
                  <c:v>7452.409090909091</c:v>
                </c:pt>
              </c:numCache>
            </c:numRef>
          </c:val>
          <c:smooth val="0"/>
          <c:extLst>
            <c:ext xmlns:c16="http://schemas.microsoft.com/office/drawing/2014/chart" uri="{C3380CC4-5D6E-409C-BE32-E72D297353CC}">
              <c16:uniqueId val="{00000001-639B-41D5-BBFC-294F243884A2}"/>
            </c:ext>
          </c:extLst>
        </c:ser>
        <c:dLbls>
          <c:showLegendKey val="0"/>
          <c:showVal val="0"/>
          <c:showCatName val="0"/>
          <c:showSerName val="0"/>
          <c:showPercent val="0"/>
          <c:showBubbleSize val="0"/>
        </c:dLbls>
        <c:smooth val="0"/>
        <c:axId val="214102032"/>
        <c:axId val="214103952"/>
      </c:lineChart>
      <c:catAx>
        <c:axId val="21410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3952"/>
        <c:crosses val="autoZero"/>
        <c:auto val="1"/>
        <c:lblAlgn val="ctr"/>
        <c:lblOffset val="100"/>
        <c:noMultiLvlLbl val="0"/>
      </c:catAx>
      <c:valAx>
        <c:axId val="21410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Consumption per Connection</a:t>
                </a:r>
                <a:r>
                  <a:rPr lang="en-CA" baseline="0"/>
                  <a:t> (kWh)</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2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Service
50 - 4,999 kW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Weather!$V$121</c:f>
              <c:strCache>
                <c:ptCount val="1"/>
                <c:pt idx="0">
                  <c:v>General Service 50 - 4,999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Weather!$V$122:$V$241</c:f>
              <c:numCache>
                <c:formatCode>_-* #,##0_-;\-* #,##0_-;_-* "-"??_-;_-@_-</c:formatCode>
                <c:ptCount val="120"/>
                <c:pt idx="0">
                  <c:v>82663.781636902859</c:v>
                </c:pt>
                <c:pt idx="1">
                  <c:v>83219.480024299264</c:v>
                </c:pt>
                <c:pt idx="2">
                  <c:v>77690.351514047477</c:v>
                </c:pt>
                <c:pt idx="3">
                  <c:v>79599.610124927756</c:v>
                </c:pt>
                <c:pt idx="4">
                  <c:v>66221.275415964104</c:v>
                </c:pt>
                <c:pt idx="5">
                  <c:v>61829.219669406593</c:v>
                </c:pt>
                <c:pt idx="6">
                  <c:v>58700.391605635341</c:v>
                </c:pt>
                <c:pt idx="7">
                  <c:v>59134.375387282096</c:v>
                </c:pt>
                <c:pt idx="8">
                  <c:v>57693.77794180299</c:v>
                </c:pt>
                <c:pt idx="9">
                  <c:v>58500.095240626208</c:v>
                </c:pt>
                <c:pt idx="10">
                  <c:v>66603.575863342092</c:v>
                </c:pt>
                <c:pt idx="11">
                  <c:v>69511.567207447268</c:v>
                </c:pt>
                <c:pt idx="12">
                  <c:v>81653.68955573623</c:v>
                </c:pt>
                <c:pt idx="13">
                  <c:v>75755.106657770855</c:v>
                </c:pt>
                <c:pt idx="14">
                  <c:v>82304.291184154645</c:v>
                </c:pt>
                <c:pt idx="15">
                  <c:v>75943.985605872993</c:v>
                </c:pt>
                <c:pt idx="16">
                  <c:v>68985.375718383686</c:v>
                </c:pt>
                <c:pt idx="17">
                  <c:v>67938.283416668608</c:v>
                </c:pt>
                <c:pt idx="18">
                  <c:v>63649.477729953054</c:v>
                </c:pt>
                <c:pt idx="19">
                  <c:v>64941.734484964101</c:v>
                </c:pt>
                <c:pt idx="20">
                  <c:v>67259.613549216563</c:v>
                </c:pt>
                <c:pt idx="21">
                  <c:v>71349.433002861697</c:v>
                </c:pt>
                <c:pt idx="22">
                  <c:v>76935.481102842299</c:v>
                </c:pt>
                <c:pt idx="23">
                  <c:v>72724.129471750275</c:v>
                </c:pt>
                <c:pt idx="24">
                  <c:v>90497.483531373102</c:v>
                </c:pt>
                <c:pt idx="25">
                  <c:v>94262.702748744079</c:v>
                </c:pt>
                <c:pt idx="26">
                  <c:v>93046.633568258112</c:v>
                </c:pt>
                <c:pt idx="27">
                  <c:v>90679.202142736642</c:v>
                </c:pt>
                <c:pt idx="28">
                  <c:v>76004.117404655175</c:v>
                </c:pt>
                <c:pt idx="29">
                  <c:v>72814.024635471986</c:v>
                </c:pt>
                <c:pt idx="30">
                  <c:v>73427.580683332795</c:v>
                </c:pt>
                <c:pt idx="31">
                  <c:v>75702.024239320366</c:v>
                </c:pt>
                <c:pt idx="32">
                  <c:v>81255.462281852873</c:v>
                </c:pt>
                <c:pt idx="33">
                  <c:v>77119.079711886618</c:v>
                </c:pt>
                <c:pt idx="34">
                  <c:v>79870.141997892817</c:v>
                </c:pt>
                <c:pt idx="35">
                  <c:v>87056.966825694035</c:v>
                </c:pt>
                <c:pt idx="36">
                  <c:v>112728.53895255509</c:v>
                </c:pt>
                <c:pt idx="37">
                  <c:v>107294.17310725989</c:v>
                </c:pt>
                <c:pt idx="38">
                  <c:v>104122.80525740053</c:v>
                </c:pt>
                <c:pt idx="39">
                  <c:v>116074.4166434775</c:v>
                </c:pt>
                <c:pt idx="40">
                  <c:v>92626.857296817398</c:v>
                </c:pt>
                <c:pt idx="41">
                  <c:v>94137.320151279971</c:v>
                </c:pt>
                <c:pt idx="42">
                  <c:v>83801.854297443992</c:v>
                </c:pt>
                <c:pt idx="43">
                  <c:v>78543.965665519907</c:v>
                </c:pt>
                <c:pt idx="44">
                  <c:v>83554.347767547268</c:v>
                </c:pt>
                <c:pt idx="45">
                  <c:v>86079.522970643724</c:v>
                </c:pt>
                <c:pt idx="46">
                  <c:v>89965.679677262495</c:v>
                </c:pt>
                <c:pt idx="47">
                  <c:v>100512.5323569032</c:v>
                </c:pt>
                <c:pt idx="48">
                  <c:v>86684.600562157211</c:v>
                </c:pt>
                <c:pt idx="49">
                  <c:v>87746.454957372669</c:v>
                </c:pt>
                <c:pt idx="50">
                  <c:v>83509.521042615335</c:v>
                </c:pt>
                <c:pt idx="51">
                  <c:v>85236.565614261664</c:v>
                </c:pt>
                <c:pt idx="52">
                  <c:v>75106.870973466634</c:v>
                </c:pt>
                <c:pt idx="53">
                  <c:v>68460.506136184427</c:v>
                </c:pt>
                <c:pt idx="54">
                  <c:v>61750.156642178626</c:v>
                </c:pt>
                <c:pt idx="55">
                  <c:v>66329.576929222472</c:v>
                </c:pt>
                <c:pt idx="56">
                  <c:v>69337.079929813146</c:v>
                </c:pt>
                <c:pt idx="57">
                  <c:v>59515.850605291467</c:v>
                </c:pt>
                <c:pt idx="58">
                  <c:v>73041.955493887217</c:v>
                </c:pt>
                <c:pt idx="59">
                  <c:v>84594.370731871939</c:v>
                </c:pt>
                <c:pt idx="60">
                  <c:v>83870.448034663961</c:v>
                </c:pt>
                <c:pt idx="61">
                  <c:v>92545.629840296417</c:v>
                </c:pt>
                <c:pt idx="62">
                  <c:v>83156.075199986139</c:v>
                </c:pt>
                <c:pt idx="63">
                  <c:v>83289.035608758408</c:v>
                </c:pt>
                <c:pt idx="64">
                  <c:v>73821.551271892473</c:v>
                </c:pt>
                <c:pt idx="65">
                  <c:v>72980.058098470821</c:v>
                </c:pt>
                <c:pt idx="66">
                  <c:v>65741.613807143658</c:v>
                </c:pt>
                <c:pt idx="67">
                  <c:v>65245.329569572772</c:v>
                </c:pt>
                <c:pt idx="68">
                  <c:v>70158.395687014461</c:v>
                </c:pt>
                <c:pt idx="69">
                  <c:v>69890.544360039494</c:v>
                </c:pt>
                <c:pt idx="70">
                  <c:v>76297.360393180745</c:v>
                </c:pt>
                <c:pt idx="71">
                  <c:v>80945.055207498328</c:v>
                </c:pt>
                <c:pt idx="72">
                  <c:v>81454.150133542877</c:v>
                </c:pt>
                <c:pt idx="73">
                  <c:v>80997.461727227972</c:v>
                </c:pt>
                <c:pt idx="74">
                  <c:v>75610.55170459862</c:v>
                </c:pt>
                <c:pt idx="75">
                  <c:v>78284.525549568483</c:v>
                </c:pt>
                <c:pt idx="76">
                  <c:v>54911.864064787522</c:v>
                </c:pt>
                <c:pt idx="77">
                  <c:v>65459.645456386184</c:v>
                </c:pt>
                <c:pt idx="78">
                  <c:v>63202.859175042526</c:v>
                </c:pt>
                <c:pt idx="79">
                  <c:v>66176.255933393622</c:v>
                </c:pt>
                <c:pt idx="80">
                  <c:v>62442.121110380889</c:v>
                </c:pt>
                <c:pt idx="81">
                  <c:v>65079.455902556743</c:v>
                </c:pt>
                <c:pt idx="82">
                  <c:v>70181.055530427504</c:v>
                </c:pt>
                <c:pt idx="83">
                  <c:v>73207.690900471149</c:v>
                </c:pt>
                <c:pt idx="84">
                  <c:v>77145.299890316863</c:v>
                </c:pt>
                <c:pt idx="85">
                  <c:v>80864.7413974136</c:v>
                </c:pt>
                <c:pt idx="86">
                  <c:v>75437.154402953529</c:v>
                </c:pt>
                <c:pt idx="87">
                  <c:v>80051.424348664208</c:v>
                </c:pt>
                <c:pt idx="88">
                  <c:v>63599.881586964191</c:v>
                </c:pt>
                <c:pt idx="89">
                  <c:v>62455.111448751573</c:v>
                </c:pt>
                <c:pt idx="90">
                  <c:v>65734.696904381606</c:v>
                </c:pt>
                <c:pt idx="91">
                  <c:v>63538.744672806257</c:v>
                </c:pt>
                <c:pt idx="92">
                  <c:v>66043.272843996107</c:v>
                </c:pt>
                <c:pt idx="93">
                  <c:v>64540.421306501383</c:v>
                </c:pt>
                <c:pt idx="94">
                  <c:v>70715.696984781665</c:v>
                </c:pt>
                <c:pt idx="95">
                  <c:v>77719.528474069768</c:v>
                </c:pt>
                <c:pt idx="96">
                  <c:v>82314.489351972996</c:v>
                </c:pt>
                <c:pt idx="97">
                  <c:v>89537.980078521519</c:v>
                </c:pt>
                <c:pt idx="98">
                  <c:v>81751.787558521217</c:v>
                </c:pt>
                <c:pt idx="99">
                  <c:v>84468.848774190526</c:v>
                </c:pt>
                <c:pt idx="100">
                  <c:v>72094.665071590047</c:v>
                </c:pt>
                <c:pt idx="101">
                  <c:v>71014.064454613763</c:v>
                </c:pt>
                <c:pt idx="102">
                  <c:v>65469.225823885026</c:v>
                </c:pt>
                <c:pt idx="103">
                  <c:v>64465.262487249478</c:v>
                </c:pt>
                <c:pt idx="104">
                  <c:v>64684.549361972669</c:v>
                </c:pt>
                <c:pt idx="105">
                  <c:v>64304.926303485008</c:v>
                </c:pt>
                <c:pt idx="106">
                  <c:v>69389.898245948367</c:v>
                </c:pt>
                <c:pt idx="107">
                  <c:v>71956.408837594994</c:v>
                </c:pt>
                <c:pt idx="108">
                  <c:v>75871.701685278706</c:v>
                </c:pt>
                <c:pt idx="109">
                  <c:v>86610.613151839061</c:v>
                </c:pt>
                <c:pt idx="110">
                  <c:v>77047.992882302322</c:v>
                </c:pt>
                <c:pt idx="111">
                  <c:v>82230.327950323714</c:v>
                </c:pt>
                <c:pt idx="112">
                  <c:v>70356.302841918965</c:v>
                </c:pt>
                <c:pt idx="113">
                  <c:v>70097.386947504274</c:v>
                </c:pt>
                <c:pt idx="114">
                  <c:v>64037.219975882646</c:v>
                </c:pt>
                <c:pt idx="115">
                  <c:v>61045.897657887472</c:v>
                </c:pt>
                <c:pt idx="116">
                  <c:v>66463.935287693399</c:v>
                </c:pt>
                <c:pt idx="117">
                  <c:v>63484.243126895584</c:v>
                </c:pt>
                <c:pt idx="118">
                  <c:v>67225.320460457908</c:v>
                </c:pt>
                <c:pt idx="119">
                  <c:v>76024.163042621396</c:v>
                </c:pt>
              </c:numCache>
            </c:numRef>
          </c:yVal>
          <c:smooth val="0"/>
          <c:extLst>
            <c:ext xmlns:c16="http://schemas.microsoft.com/office/drawing/2014/chart" uri="{C3380CC4-5D6E-409C-BE32-E72D297353CC}">
              <c16:uniqueId val="{00000000-4639-4EF9-9608-8368A4E9211D}"/>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kWh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manualLayout>
          <c:layoutTarget val="inner"/>
          <c:xMode val="edge"/>
          <c:yMode val="edge"/>
          <c:x val="0.10984237359940396"/>
          <c:y val="0.16955428571428571"/>
          <c:w val="0.85176252319109458"/>
          <c:h val="0.5232529133858268"/>
        </c:manualLayout>
      </c:layout>
      <c:scatterChart>
        <c:scatterStyle val="lineMarker"/>
        <c:varyColors val="0"/>
        <c:ser>
          <c:idx val="0"/>
          <c:order val="0"/>
          <c:tx>
            <c:strRef>
              <c:f>Weather!$T$121</c:f>
              <c:strCache>
                <c:ptCount val="1"/>
                <c:pt idx="0">
                  <c:v>Residential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(Weather!$T$122:$T$195,Weather!$T$218:$T$241)</c:f>
              <c:numCache>
                <c:formatCode>_-* #,##0_-;\-* #,##0_-;_-* "-"??_-;_-@_-</c:formatCode>
                <c:ptCount val="98"/>
                <c:pt idx="0">
                  <c:v>984.46117037495753</c:v>
                </c:pt>
                <c:pt idx="1">
                  <c:v>999.29767732340088</c:v>
                </c:pt>
                <c:pt idx="2">
                  <c:v>800.10930475738928</c:v>
                </c:pt>
                <c:pt idx="3">
                  <c:v>815.97631574666377</c:v>
                </c:pt>
                <c:pt idx="4">
                  <c:v>633.457190378679</c:v>
                </c:pt>
                <c:pt idx="5">
                  <c:v>553.76211958355213</c:v>
                </c:pt>
                <c:pt idx="6">
                  <c:v>532.77854432885704</c:v>
                </c:pt>
                <c:pt idx="7">
                  <c:v>549.72896741177249</c:v>
                </c:pt>
                <c:pt idx="8">
                  <c:v>548.56680786552488</c:v>
                </c:pt>
                <c:pt idx="9">
                  <c:v>545.14284688262387</c:v>
                </c:pt>
                <c:pt idx="10">
                  <c:v>620.98177705053661</c:v>
                </c:pt>
                <c:pt idx="11">
                  <c:v>747.22879030798788</c:v>
                </c:pt>
                <c:pt idx="12">
                  <c:v>871.13601926232525</c:v>
                </c:pt>
                <c:pt idx="13">
                  <c:v>953.95970635541448</c:v>
                </c:pt>
                <c:pt idx="14">
                  <c:v>886.47886965348232</c:v>
                </c:pt>
                <c:pt idx="15">
                  <c:v>754.18385808087567</c:v>
                </c:pt>
                <c:pt idx="16">
                  <c:v>620.71437607392284</c:v>
                </c:pt>
                <c:pt idx="17">
                  <c:v>542.22348791076934</c:v>
                </c:pt>
                <c:pt idx="18">
                  <c:v>512.57873732656685</c:v>
                </c:pt>
                <c:pt idx="19">
                  <c:v>577.54326106785641</c:v>
                </c:pt>
                <c:pt idx="20">
                  <c:v>556.52920127061282</c:v>
                </c:pt>
                <c:pt idx="21">
                  <c:v>541.95859223424941</c:v>
                </c:pt>
                <c:pt idx="22">
                  <c:v>610.1573295134948</c:v>
                </c:pt>
                <c:pt idx="23">
                  <c:v>640.03768709973701</c:v>
                </c:pt>
                <c:pt idx="24">
                  <c:v>764.58331093096626</c:v>
                </c:pt>
                <c:pt idx="25">
                  <c:v>841.25380488898975</c:v>
                </c:pt>
                <c:pt idx="26">
                  <c:v>781.94003428153849</c:v>
                </c:pt>
                <c:pt idx="27">
                  <c:v>699.25587083293567</c:v>
                </c:pt>
                <c:pt idx="28">
                  <c:v>609.46721149837015</c:v>
                </c:pt>
                <c:pt idx="29">
                  <c:v>524.87924971695998</c:v>
                </c:pt>
                <c:pt idx="30">
                  <c:v>528.54611548623984</c:v>
                </c:pt>
                <c:pt idx="31">
                  <c:v>560.22194190166488</c:v>
                </c:pt>
                <c:pt idx="32">
                  <c:v>581.79940246997103</c:v>
                </c:pt>
                <c:pt idx="33">
                  <c:v>504.12977276368071</c:v>
                </c:pt>
                <c:pt idx="34">
                  <c:v>580.33493210637505</c:v>
                </c:pt>
                <c:pt idx="35">
                  <c:v>623.42340839477049</c:v>
                </c:pt>
                <c:pt idx="36">
                  <c:v>824.16796359608816</c:v>
                </c:pt>
                <c:pt idx="37">
                  <c:v>797.29478839532317</c:v>
                </c:pt>
                <c:pt idx="38">
                  <c:v>698.43780960541631</c:v>
                </c:pt>
                <c:pt idx="39">
                  <c:v>729.49643463103257</c:v>
                </c:pt>
                <c:pt idx="40">
                  <c:v>576.69361607417409</c:v>
                </c:pt>
                <c:pt idx="41">
                  <c:v>536.87133551980526</c:v>
                </c:pt>
                <c:pt idx="42">
                  <c:v>497.84828307210933</c:v>
                </c:pt>
                <c:pt idx="43">
                  <c:v>539.58873184076401</c:v>
                </c:pt>
                <c:pt idx="44">
                  <c:v>515.77133491763482</c:v>
                </c:pt>
                <c:pt idx="45">
                  <c:v>510.57131476454816</c:v>
                </c:pt>
                <c:pt idx="46">
                  <c:v>558.2574039868208</c:v>
                </c:pt>
                <c:pt idx="47">
                  <c:v>694.10038274775309</c:v>
                </c:pt>
                <c:pt idx="48">
                  <c:v>877.22969311952761</c:v>
                </c:pt>
                <c:pt idx="49">
                  <c:v>874.13665164953704</c:v>
                </c:pt>
                <c:pt idx="50">
                  <c:v>736.1635051855335</c:v>
                </c:pt>
                <c:pt idx="51">
                  <c:v>690.73392196718942</c:v>
                </c:pt>
                <c:pt idx="52">
                  <c:v>615.06926396432846</c:v>
                </c:pt>
                <c:pt idx="53">
                  <c:v>529.3651894556499</c:v>
                </c:pt>
                <c:pt idx="54">
                  <c:v>516.2566649347483</c:v>
                </c:pt>
                <c:pt idx="55">
                  <c:v>609.22724533456449</c:v>
                </c:pt>
                <c:pt idx="56">
                  <c:v>558.37008519285848</c:v>
                </c:pt>
                <c:pt idx="57">
                  <c:v>528.90915607533577</c:v>
                </c:pt>
                <c:pt idx="58">
                  <c:v>631.96242057344114</c:v>
                </c:pt>
                <c:pt idx="59">
                  <c:v>702.92492003898224</c:v>
                </c:pt>
                <c:pt idx="60">
                  <c:v>823.23032885029613</c:v>
                </c:pt>
                <c:pt idx="61">
                  <c:v>936.12168684080086</c:v>
                </c:pt>
                <c:pt idx="62">
                  <c:v>781.61220707876373</c:v>
                </c:pt>
                <c:pt idx="63">
                  <c:v>731.17182149478595</c:v>
                </c:pt>
                <c:pt idx="64">
                  <c:v>613.05612431218447</c:v>
                </c:pt>
                <c:pt idx="65">
                  <c:v>552.21934577266336</c:v>
                </c:pt>
                <c:pt idx="66">
                  <c:v>520.49733424716658</c:v>
                </c:pt>
                <c:pt idx="67">
                  <c:v>617.33742940092861</c:v>
                </c:pt>
                <c:pt idx="68">
                  <c:v>553.45448073933426</c:v>
                </c:pt>
                <c:pt idx="69">
                  <c:v>528.23482265276027</c:v>
                </c:pt>
                <c:pt idx="70">
                  <c:v>592.7035174925004</c:v>
                </c:pt>
                <c:pt idx="71">
                  <c:v>713.0546097094666</c:v>
                </c:pt>
                <c:pt idx="72">
                  <c:v>838.50367647940368</c:v>
                </c:pt>
                <c:pt idx="73">
                  <c:v>801.77882940549694</c:v>
                </c:pt>
                <c:pt idx="74">
                  <c:v>845.330521634359</c:v>
                </c:pt>
                <c:pt idx="75">
                  <c:v>974.8796499736294</c:v>
                </c:pt>
                <c:pt idx="76">
                  <c:v>816.82544680418994</c:v>
                </c:pt>
                <c:pt idx="77">
                  <c:v>738.37853320541558</c:v>
                </c:pt>
                <c:pt idx="78">
                  <c:v>614.02429882495971</c:v>
                </c:pt>
                <c:pt idx="79">
                  <c:v>551.96732649491048</c:v>
                </c:pt>
                <c:pt idx="80">
                  <c:v>547.09191487937073</c:v>
                </c:pt>
                <c:pt idx="81">
                  <c:v>578.67587423274051</c:v>
                </c:pt>
                <c:pt idx="82">
                  <c:v>575.59348322784797</c:v>
                </c:pt>
                <c:pt idx="83">
                  <c:v>529.95671483510102</c:v>
                </c:pt>
                <c:pt idx="84">
                  <c:v>585.40556317394487</c:v>
                </c:pt>
                <c:pt idx="85">
                  <c:v>668.90468951832679</c:v>
                </c:pt>
                <c:pt idx="86">
                  <c:v>811.10025274470092</c:v>
                </c:pt>
                <c:pt idx="87">
                  <c:v>815.83107774955488</c:v>
                </c:pt>
                <c:pt idx="88">
                  <c:v>763.34611422175931</c:v>
                </c:pt>
                <c:pt idx="89">
                  <c:v>730.31756946494386</c:v>
                </c:pt>
                <c:pt idx="90">
                  <c:v>619.95341048248747</c:v>
                </c:pt>
                <c:pt idx="91">
                  <c:v>564.18181214073638</c:v>
                </c:pt>
                <c:pt idx="92">
                  <c:v>586.30151099711884</c:v>
                </c:pt>
                <c:pt idx="93">
                  <c:v>605.05162053164213</c:v>
                </c:pt>
                <c:pt idx="94">
                  <c:v>551.98150543701252</c:v>
                </c:pt>
                <c:pt idx="95">
                  <c:v>537.91715729037412</c:v>
                </c:pt>
                <c:pt idx="96">
                  <c:v>601.02970299128742</c:v>
                </c:pt>
                <c:pt idx="97">
                  <c:v>688.58901992215908</c:v>
                </c:pt>
              </c:numCache>
            </c:numRef>
          </c:yVal>
          <c:smooth val="0"/>
          <c:extLst>
            <c:ext xmlns:c16="http://schemas.microsoft.com/office/drawing/2014/chart" uri="{C3380CC4-5D6E-409C-BE32-E72D297353CC}">
              <c16:uniqueId val="{00000000-5C52-4675-BC1A-2900FDE39F70}"/>
            </c:ext>
          </c:extLst>
        </c:ser>
        <c:ser>
          <c:idx val="1"/>
          <c:order val="1"/>
          <c:tx>
            <c:v>Residential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Weather!$T$196:$T$217</c:f>
              <c:numCache>
                <c:formatCode>_-* #,##0_-;\-* #,##0_-;_-* "-"??_-;_-@_-</c:formatCode>
                <c:ptCount val="22"/>
                <c:pt idx="0">
                  <c:v>745.49560542890674</c:v>
                </c:pt>
                <c:pt idx="1">
                  <c:v>715.28268035382916</c:v>
                </c:pt>
                <c:pt idx="2">
                  <c:v>646.03139847498505</c:v>
                </c:pt>
                <c:pt idx="3">
                  <c:v>613.21064510738438</c:v>
                </c:pt>
                <c:pt idx="4">
                  <c:v>607.14894877054962</c:v>
                </c:pt>
                <c:pt idx="5">
                  <c:v>711.60483401823171</c:v>
                </c:pt>
                <c:pt idx="6">
                  <c:v>611.93642403582339</c:v>
                </c:pt>
                <c:pt idx="7">
                  <c:v>529.13505918423846</c:v>
                </c:pt>
                <c:pt idx="8">
                  <c:v>631.57676519469692</c:v>
                </c:pt>
                <c:pt idx="9">
                  <c:v>681.47314073481766</c:v>
                </c:pt>
                <c:pt idx="10">
                  <c:v>825.39983686444305</c:v>
                </c:pt>
                <c:pt idx="11">
                  <c:v>817.252356472109</c:v>
                </c:pt>
                <c:pt idx="12">
                  <c:v>784.01484655532158</c:v>
                </c:pt>
                <c:pt idx="13">
                  <c:v>735.43493328376587</c:v>
                </c:pt>
                <c:pt idx="14">
                  <c:v>598.4697908084346</c:v>
                </c:pt>
                <c:pt idx="15">
                  <c:v>574.4147093979974</c:v>
                </c:pt>
                <c:pt idx="16">
                  <c:v>564.82146919870718</c:v>
                </c:pt>
                <c:pt idx="17">
                  <c:v>597.72746568832383</c:v>
                </c:pt>
                <c:pt idx="18">
                  <c:v>642.59978946569743</c:v>
                </c:pt>
                <c:pt idx="19">
                  <c:v>522.86648567103589</c:v>
                </c:pt>
                <c:pt idx="20">
                  <c:v>570.02235140849075</c:v>
                </c:pt>
                <c:pt idx="21">
                  <c:v>676.15550747502493</c:v>
                </c:pt>
              </c:numCache>
            </c:numRef>
          </c:yVal>
          <c:smooth val="0"/>
          <c:extLst>
            <c:ext xmlns:c16="http://schemas.microsoft.com/office/drawing/2014/chart" uri="{C3380CC4-5D6E-409C-BE32-E72D297353CC}">
              <c16:uniqueId val="{00000001-5C52-4675-BC1A-2900FDE39F70}"/>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General Service &lt; 50 kW </a:t>
            </a:r>
            <a:r>
              <a:rPr lang="en-CA" sz="1400" b="0" i="0" u="none" strike="noStrike" kern="1200" spc="0" baseline="0">
                <a:solidFill>
                  <a:sysClr val="windowText" lastClr="000000">
                    <a:lumMod val="65000"/>
                    <a:lumOff val="35000"/>
                  </a:sysClr>
                </a:solidFill>
              </a:rPr>
              <a:t>kWh vs. Tempuratures (2014-2023)</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8467415599023"/>
          <c:y val="0.16955428571428571"/>
          <c:w val="0.83692022263450849"/>
          <c:h val="0.5232529133858268"/>
        </c:manualLayout>
      </c:layout>
      <c:scatterChart>
        <c:scatterStyle val="lineMarker"/>
        <c:varyColors val="0"/>
        <c:ser>
          <c:idx val="0"/>
          <c:order val="0"/>
          <c:tx>
            <c:strRef>
              <c:f>Weather!$U$121</c:f>
              <c:strCache>
                <c:ptCount val="1"/>
                <c:pt idx="0">
                  <c:v>General Service &lt; 50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(Weather!$U$122:$U$195,Weather!$U$218:$U$241)</c:f>
              <c:numCache>
                <c:formatCode>_-* #,##0_-;\-* #,##0_-;_-* "-"??_-;_-@_-</c:formatCode>
                <c:ptCount val="98"/>
                <c:pt idx="0">
                  <c:v>2956.6004563433421</c:v>
                </c:pt>
                <c:pt idx="1">
                  <c:v>3036.1171802712306</c:v>
                </c:pt>
                <c:pt idx="2">
                  <c:v>2604.7791863460398</c:v>
                </c:pt>
                <c:pt idx="3">
                  <c:v>2681.2613094485437</c:v>
                </c:pt>
                <c:pt idx="4">
                  <c:v>2226.7883685983966</c:v>
                </c:pt>
                <c:pt idx="5">
                  <c:v>2108.8978537155272</c:v>
                </c:pt>
                <c:pt idx="6">
                  <c:v>2035.9150608857944</c:v>
                </c:pt>
                <c:pt idx="7">
                  <c:v>2105.9666613007762</c:v>
                </c:pt>
                <c:pt idx="8">
                  <c:v>2028.271635155</c:v>
                </c:pt>
                <c:pt idx="9">
                  <c:v>1945.3831371744818</c:v>
                </c:pt>
                <c:pt idx="10">
                  <c:v>2146.4502808109346</c:v>
                </c:pt>
                <c:pt idx="11">
                  <c:v>2442.4396483446658</c:v>
                </c:pt>
                <c:pt idx="12">
                  <c:v>2701.9733897532319</c:v>
                </c:pt>
                <c:pt idx="13">
                  <c:v>2930.9171118239483</c:v>
                </c:pt>
                <c:pt idx="14">
                  <c:v>2765.7930728229858</c:v>
                </c:pt>
                <c:pt idx="15">
                  <c:v>2557.7561471011322</c:v>
                </c:pt>
                <c:pt idx="16">
                  <c:v>2193.6492431227434</c:v>
                </c:pt>
                <c:pt idx="17">
                  <c:v>1957.1440932653295</c:v>
                </c:pt>
                <c:pt idx="18">
                  <c:v>2006.826565098602</c:v>
                </c:pt>
                <c:pt idx="19">
                  <c:v>2167.049786373419</c:v>
                </c:pt>
                <c:pt idx="20">
                  <c:v>1998.1925134134692</c:v>
                </c:pt>
                <c:pt idx="21">
                  <c:v>1968.9129218673636</c:v>
                </c:pt>
                <c:pt idx="22">
                  <c:v>2104.4144679042233</c:v>
                </c:pt>
                <c:pt idx="23">
                  <c:v>2183.4127042460768</c:v>
                </c:pt>
                <c:pt idx="24">
                  <c:v>2554.5077844147008</c:v>
                </c:pt>
                <c:pt idx="25">
                  <c:v>2774.2198542138749</c:v>
                </c:pt>
                <c:pt idx="26">
                  <c:v>2703.9315886950467</c:v>
                </c:pt>
                <c:pt idx="27">
                  <c:v>2561.4879735057852</c:v>
                </c:pt>
                <c:pt idx="28">
                  <c:v>2312.2953167487126</c:v>
                </c:pt>
                <c:pt idx="29">
                  <c:v>2078.9731746562611</c:v>
                </c:pt>
                <c:pt idx="30">
                  <c:v>2084.8474286763853</c:v>
                </c:pt>
                <c:pt idx="31">
                  <c:v>2181.586331783798</c:v>
                </c:pt>
                <c:pt idx="32">
                  <c:v>2203.3999591216748</c:v>
                </c:pt>
                <c:pt idx="33">
                  <c:v>1876.3292873471526</c:v>
                </c:pt>
                <c:pt idx="34">
                  <c:v>2000.2175723998469</c:v>
                </c:pt>
                <c:pt idx="35">
                  <c:v>2194.6256003611174</c:v>
                </c:pt>
                <c:pt idx="36">
                  <c:v>2553.8547644234118</c:v>
                </c:pt>
                <c:pt idx="37">
                  <c:v>2583.336372454175</c:v>
                </c:pt>
                <c:pt idx="38">
                  <c:v>2387.0651920590785</c:v>
                </c:pt>
                <c:pt idx="39">
                  <c:v>2578.1957195854739</c:v>
                </c:pt>
                <c:pt idx="40">
                  <c:v>2073.8444174154256</c:v>
                </c:pt>
                <c:pt idx="41">
                  <c:v>2010.6845925813805</c:v>
                </c:pt>
                <c:pt idx="42">
                  <c:v>1923.6947265815879</c:v>
                </c:pt>
                <c:pt idx="43">
                  <c:v>1982.5660453031899</c:v>
                </c:pt>
                <c:pt idx="44">
                  <c:v>1890.8308111255405</c:v>
                </c:pt>
                <c:pt idx="45">
                  <c:v>1821.4301375531602</c:v>
                </c:pt>
                <c:pt idx="46">
                  <c:v>1908.2006824110167</c:v>
                </c:pt>
                <c:pt idx="47">
                  <c:v>2332.7282727078114</c:v>
                </c:pt>
                <c:pt idx="48">
                  <c:v>2778.91268101587</c:v>
                </c:pt>
                <c:pt idx="49">
                  <c:v>2833.4958349485032</c:v>
                </c:pt>
                <c:pt idx="50">
                  <c:v>2600.6413662688606</c:v>
                </c:pt>
                <c:pt idx="51">
                  <c:v>2635.3082531731538</c:v>
                </c:pt>
                <c:pt idx="52">
                  <c:v>2338.3480702827446</c:v>
                </c:pt>
                <c:pt idx="53">
                  <c:v>2156.6384935998185</c:v>
                </c:pt>
                <c:pt idx="54">
                  <c:v>2045.4171965591624</c:v>
                </c:pt>
                <c:pt idx="55">
                  <c:v>2259.2401239283686</c:v>
                </c:pt>
                <c:pt idx="56">
                  <c:v>2147.2221864787248</c:v>
                </c:pt>
                <c:pt idx="57">
                  <c:v>1950.2456076940246</c:v>
                </c:pt>
                <c:pt idx="58">
                  <c:v>2229.5797382044193</c:v>
                </c:pt>
                <c:pt idx="59">
                  <c:v>2481.5269202483155</c:v>
                </c:pt>
                <c:pt idx="60">
                  <c:v>2543.6989653569326</c:v>
                </c:pt>
                <c:pt idx="61">
                  <c:v>2955.9625686792479</c:v>
                </c:pt>
                <c:pt idx="62">
                  <c:v>2630.6426559705474</c:v>
                </c:pt>
                <c:pt idx="63">
                  <c:v>2564.2163170039616</c:v>
                </c:pt>
                <c:pt idx="64">
                  <c:v>2187.471102041221</c:v>
                </c:pt>
                <c:pt idx="65">
                  <c:v>2045.6885435346951</c:v>
                </c:pt>
                <c:pt idx="66">
                  <c:v>1921.4947127199966</c:v>
                </c:pt>
                <c:pt idx="67">
                  <c:v>2098.6688501518397</c:v>
                </c:pt>
                <c:pt idx="68">
                  <c:v>1940.3816187604641</c:v>
                </c:pt>
                <c:pt idx="69">
                  <c:v>1821.8196589182078</c:v>
                </c:pt>
                <c:pt idx="70">
                  <c:v>2036.567781620219</c:v>
                </c:pt>
                <c:pt idx="71">
                  <c:v>2413.7929144004447</c:v>
                </c:pt>
                <c:pt idx="72">
                  <c:v>2651.438835860105</c:v>
                </c:pt>
                <c:pt idx="73">
                  <c:v>2709.3391706059156</c:v>
                </c:pt>
                <c:pt idx="74">
                  <c:v>2717.7819653433494</c:v>
                </c:pt>
                <c:pt idx="75">
                  <c:v>3047.7115249277176</c:v>
                </c:pt>
                <c:pt idx="76">
                  <c:v>2741.4837256748633</c:v>
                </c:pt>
                <c:pt idx="77">
                  <c:v>2697.269212080384</c:v>
                </c:pt>
                <c:pt idx="78">
                  <c:v>2222.2923605368178</c:v>
                </c:pt>
                <c:pt idx="79">
                  <c:v>2046.2021414297158</c:v>
                </c:pt>
                <c:pt idx="80">
                  <c:v>1976.2550095488116</c:v>
                </c:pt>
                <c:pt idx="81">
                  <c:v>2019.6136848288002</c:v>
                </c:pt>
                <c:pt idx="82">
                  <c:v>2041.1919796952591</c:v>
                </c:pt>
                <c:pt idx="83">
                  <c:v>1940.4532879556948</c:v>
                </c:pt>
                <c:pt idx="84">
                  <c:v>2095.6885954963304</c:v>
                </c:pt>
                <c:pt idx="85">
                  <c:v>2350.2785662975325</c:v>
                </c:pt>
                <c:pt idx="86">
                  <c:v>2653.5713397991967</c:v>
                </c:pt>
                <c:pt idx="87">
                  <c:v>2757.4570162732698</c:v>
                </c:pt>
                <c:pt idx="88">
                  <c:v>2618.4245289788546</c:v>
                </c:pt>
                <c:pt idx="89">
                  <c:v>2615.7121872017592</c:v>
                </c:pt>
                <c:pt idx="90">
                  <c:v>2210.2876564207054</c:v>
                </c:pt>
                <c:pt idx="91">
                  <c:v>2073.1358913559488</c:v>
                </c:pt>
                <c:pt idx="92">
                  <c:v>2041.005103061407</c:v>
                </c:pt>
                <c:pt idx="93">
                  <c:v>2057.5185488612269</c:v>
                </c:pt>
                <c:pt idx="94">
                  <c:v>1957.0451825038606</c:v>
                </c:pt>
                <c:pt idx="95">
                  <c:v>1875.7845153088474</c:v>
                </c:pt>
                <c:pt idx="96">
                  <c:v>2054.9071511966622</c:v>
                </c:pt>
                <c:pt idx="97">
                  <c:v>2349.7935078484534</c:v>
                </c:pt>
              </c:numCache>
            </c:numRef>
          </c:yVal>
          <c:smooth val="0"/>
          <c:extLst>
            <c:ext xmlns:c16="http://schemas.microsoft.com/office/drawing/2014/chart" uri="{C3380CC4-5D6E-409C-BE32-E72D297353CC}">
              <c16:uniqueId val="{00000000-2178-4AB5-A17F-45932A887EEC}"/>
            </c:ext>
          </c:extLst>
        </c:ser>
        <c:ser>
          <c:idx val="1"/>
          <c:order val="1"/>
          <c:tx>
            <c:v>GS &lt; 50 kW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Weather!$U$196:$U$217</c:f>
              <c:numCache>
                <c:formatCode>_-* #,##0_-;\-* #,##0_-;_-* "-"??_-;_-@_-</c:formatCode>
                <c:ptCount val="22"/>
                <c:pt idx="0">
                  <c:v>2552.3695104899516</c:v>
                </c:pt>
                <c:pt idx="1">
                  <c:v>2439.7084192575203</c:v>
                </c:pt>
                <c:pt idx="2">
                  <c:v>1984.5255009835644</c:v>
                </c:pt>
                <c:pt idx="3">
                  <c:v>1900.0855835338198</c:v>
                </c:pt>
                <c:pt idx="4">
                  <c:v>1920.1501895234492</c:v>
                </c:pt>
                <c:pt idx="5">
                  <c:v>2128.1502280377495</c:v>
                </c:pt>
                <c:pt idx="6">
                  <c:v>1960.7247485291598</c:v>
                </c:pt>
                <c:pt idx="7">
                  <c:v>1814.9608385132512</c:v>
                </c:pt>
                <c:pt idx="8">
                  <c:v>2071.3978468932837</c:v>
                </c:pt>
                <c:pt idx="9">
                  <c:v>2212.9006044972602</c:v>
                </c:pt>
                <c:pt idx="10">
                  <c:v>2613.312607626704</c:v>
                </c:pt>
                <c:pt idx="11">
                  <c:v>2598.4648969246741</c:v>
                </c:pt>
                <c:pt idx="12">
                  <c:v>2512.4654286025921</c:v>
                </c:pt>
                <c:pt idx="13">
                  <c:v>2620.1891253083218</c:v>
                </c:pt>
                <c:pt idx="14">
                  <c:v>2105.3513966815312</c:v>
                </c:pt>
                <c:pt idx="15">
                  <c:v>2082.9747180925247</c:v>
                </c:pt>
                <c:pt idx="16">
                  <c:v>2016.4153470573417</c:v>
                </c:pt>
                <c:pt idx="17">
                  <c:v>2159.0764475436004</c:v>
                </c:pt>
                <c:pt idx="18">
                  <c:v>2268.8190549162159</c:v>
                </c:pt>
                <c:pt idx="19">
                  <c:v>2000.9254095607182</c:v>
                </c:pt>
                <c:pt idx="20">
                  <c:v>1995.4309842756256</c:v>
                </c:pt>
                <c:pt idx="21">
                  <c:v>2352.7047263942336</c:v>
                </c:pt>
              </c:numCache>
            </c:numRef>
          </c:yVal>
          <c:smooth val="0"/>
          <c:extLst>
            <c:ext xmlns:c16="http://schemas.microsoft.com/office/drawing/2014/chart" uri="{C3380CC4-5D6E-409C-BE32-E72D297353CC}">
              <c16:uniqueId val="{00000001-2178-4AB5-A17F-45932A887EEC}"/>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General Service &gt; 50 kW </a:t>
            </a:r>
            <a:r>
              <a:rPr lang="en-CA" sz="1400" b="0" i="0" u="none" strike="noStrike" kern="1200" spc="0" baseline="0">
                <a:solidFill>
                  <a:sysClr val="windowText" lastClr="000000">
                    <a:lumMod val="65000"/>
                    <a:lumOff val="35000"/>
                  </a:sysClr>
                </a:solidFill>
              </a:rPr>
              <a:t>kWh vs. Tempuratures (2014-2023)</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35660964457366"/>
          <c:y val="0.16955428571428571"/>
          <c:w val="0.83692022263450849"/>
          <c:h val="0.5232529133858268"/>
        </c:manualLayout>
      </c:layout>
      <c:scatterChart>
        <c:scatterStyle val="lineMarker"/>
        <c:varyColors val="0"/>
        <c:ser>
          <c:idx val="0"/>
          <c:order val="0"/>
          <c:tx>
            <c:strRef>
              <c:f>Weather!$V$121</c:f>
              <c:strCache>
                <c:ptCount val="1"/>
                <c:pt idx="0">
                  <c:v>General Service 50 - 4,999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(Weather!$V$122:$V$195,Weather!$V$218:$V$241)</c:f>
              <c:numCache>
                <c:formatCode>_-* #,##0_-;\-* #,##0_-;_-* "-"??_-;_-@_-</c:formatCode>
                <c:ptCount val="98"/>
                <c:pt idx="0">
                  <c:v>82663.781636902859</c:v>
                </c:pt>
                <c:pt idx="1">
                  <c:v>83219.480024299264</c:v>
                </c:pt>
                <c:pt idx="2">
                  <c:v>77690.351514047477</c:v>
                </c:pt>
                <c:pt idx="3">
                  <c:v>79599.610124927756</c:v>
                </c:pt>
                <c:pt idx="4">
                  <c:v>66221.275415964104</c:v>
                </c:pt>
                <c:pt idx="5">
                  <c:v>61829.219669406593</c:v>
                </c:pt>
                <c:pt idx="6">
                  <c:v>58700.391605635341</c:v>
                </c:pt>
                <c:pt idx="7">
                  <c:v>59134.375387282096</c:v>
                </c:pt>
                <c:pt idx="8">
                  <c:v>57693.77794180299</c:v>
                </c:pt>
                <c:pt idx="9">
                  <c:v>58500.095240626208</c:v>
                </c:pt>
                <c:pt idx="10">
                  <c:v>66603.575863342092</c:v>
                </c:pt>
                <c:pt idx="11">
                  <c:v>69511.567207447268</c:v>
                </c:pt>
                <c:pt idx="12">
                  <c:v>81653.68955573623</c:v>
                </c:pt>
                <c:pt idx="13">
                  <c:v>75755.106657770855</c:v>
                </c:pt>
                <c:pt idx="14">
                  <c:v>82304.291184154645</c:v>
                </c:pt>
                <c:pt idx="15">
                  <c:v>75943.985605872993</c:v>
                </c:pt>
                <c:pt idx="16">
                  <c:v>68985.375718383686</c:v>
                </c:pt>
                <c:pt idx="17">
                  <c:v>67938.283416668608</c:v>
                </c:pt>
                <c:pt idx="18">
                  <c:v>63649.477729953054</c:v>
                </c:pt>
                <c:pt idx="19">
                  <c:v>64941.734484964101</c:v>
                </c:pt>
                <c:pt idx="20">
                  <c:v>67259.613549216563</c:v>
                </c:pt>
                <c:pt idx="21">
                  <c:v>71349.433002861697</c:v>
                </c:pt>
                <c:pt idx="22">
                  <c:v>76935.481102842299</c:v>
                </c:pt>
                <c:pt idx="23">
                  <c:v>72724.129471750275</c:v>
                </c:pt>
                <c:pt idx="24">
                  <c:v>90497.483531373102</c:v>
                </c:pt>
                <c:pt idx="25">
                  <c:v>94262.702748744079</c:v>
                </c:pt>
                <c:pt idx="26">
                  <c:v>93046.633568258112</c:v>
                </c:pt>
                <c:pt idx="27">
                  <c:v>90679.202142736642</c:v>
                </c:pt>
                <c:pt idx="28">
                  <c:v>76004.117404655175</c:v>
                </c:pt>
                <c:pt idx="29">
                  <c:v>72814.024635471986</c:v>
                </c:pt>
                <c:pt idx="30">
                  <c:v>73427.580683332795</c:v>
                </c:pt>
                <c:pt idx="31">
                  <c:v>75702.024239320366</c:v>
                </c:pt>
                <c:pt idx="32">
                  <c:v>81255.462281852873</c:v>
                </c:pt>
                <c:pt idx="33">
                  <c:v>77119.079711886618</c:v>
                </c:pt>
                <c:pt idx="34">
                  <c:v>79870.141997892817</c:v>
                </c:pt>
                <c:pt idx="35">
                  <c:v>87056.966825694035</c:v>
                </c:pt>
                <c:pt idx="36">
                  <c:v>112728.53895255509</c:v>
                </c:pt>
                <c:pt idx="37">
                  <c:v>107294.17310725989</c:v>
                </c:pt>
                <c:pt idx="38">
                  <c:v>104122.80525740053</c:v>
                </c:pt>
                <c:pt idx="39">
                  <c:v>116074.4166434775</c:v>
                </c:pt>
                <c:pt idx="40">
                  <c:v>92626.857296817398</c:v>
                </c:pt>
                <c:pt idx="41">
                  <c:v>94137.320151279971</c:v>
                </c:pt>
                <c:pt idx="42">
                  <c:v>83801.854297443992</c:v>
                </c:pt>
                <c:pt idx="43">
                  <c:v>78543.965665519907</c:v>
                </c:pt>
                <c:pt idx="44">
                  <c:v>83554.347767547268</c:v>
                </c:pt>
                <c:pt idx="45">
                  <c:v>86079.522970643724</c:v>
                </c:pt>
                <c:pt idx="46">
                  <c:v>89965.679677262495</c:v>
                </c:pt>
                <c:pt idx="47">
                  <c:v>100512.5323569032</c:v>
                </c:pt>
                <c:pt idx="48">
                  <c:v>86684.600562157211</c:v>
                </c:pt>
                <c:pt idx="49">
                  <c:v>87746.454957372669</c:v>
                </c:pt>
                <c:pt idx="50">
                  <c:v>83509.521042615335</c:v>
                </c:pt>
                <c:pt idx="51">
                  <c:v>85236.565614261664</c:v>
                </c:pt>
                <c:pt idx="52">
                  <c:v>75106.870973466634</c:v>
                </c:pt>
                <c:pt idx="53">
                  <c:v>68460.506136184427</c:v>
                </c:pt>
                <c:pt idx="54">
                  <c:v>61750.156642178626</c:v>
                </c:pt>
                <c:pt idx="55">
                  <c:v>66329.576929222472</c:v>
                </c:pt>
                <c:pt idx="56">
                  <c:v>69337.079929813146</c:v>
                </c:pt>
                <c:pt idx="57">
                  <c:v>59515.850605291467</c:v>
                </c:pt>
                <c:pt idx="58">
                  <c:v>73041.955493887217</c:v>
                </c:pt>
                <c:pt idx="59">
                  <c:v>84594.370731871939</c:v>
                </c:pt>
                <c:pt idx="60">
                  <c:v>83870.448034663961</c:v>
                </c:pt>
                <c:pt idx="61">
                  <c:v>92545.629840296417</c:v>
                </c:pt>
                <c:pt idx="62">
                  <c:v>83156.075199986139</c:v>
                </c:pt>
                <c:pt idx="63">
                  <c:v>83289.035608758408</c:v>
                </c:pt>
                <c:pt idx="64">
                  <c:v>73821.551271892473</c:v>
                </c:pt>
                <c:pt idx="65">
                  <c:v>72980.058098470821</c:v>
                </c:pt>
                <c:pt idx="66">
                  <c:v>65741.613807143658</c:v>
                </c:pt>
                <c:pt idx="67">
                  <c:v>65245.329569572772</c:v>
                </c:pt>
                <c:pt idx="68">
                  <c:v>70158.395687014461</c:v>
                </c:pt>
                <c:pt idx="69">
                  <c:v>69890.544360039494</c:v>
                </c:pt>
                <c:pt idx="70">
                  <c:v>76297.360393180745</c:v>
                </c:pt>
                <c:pt idx="71">
                  <c:v>80945.055207498328</c:v>
                </c:pt>
                <c:pt idx="72">
                  <c:v>81454.150133542877</c:v>
                </c:pt>
                <c:pt idx="73">
                  <c:v>80997.461727227972</c:v>
                </c:pt>
                <c:pt idx="74">
                  <c:v>82314.489351972996</c:v>
                </c:pt>
                <c:pt idx="75">
                  <c:v>89537.980078521519</c:v>
                </c:pt>
                <c:pt idx="76">
                  <c:v>81751.787558521217</c:v>
                </c:pt>
                <c:pt idx="77">
                  <c:v>84468.848774190526</c:v>
                </c:pt>
                <c:pt idx="78">
                  <c:v>72094.665071590047</c:v>
                </c:pt>
                <c:pt idx="79">
                  <c:v>71014.064454613763</c:v>
                </c:pt>
                <c:pt idx="80">
                  <c:v>65469.225823885026</c:v>
                </c:pt>
                <c:pt idx="81">
                  <c:v>64465.262487249478</c:v>
                </c:pt>
                <c:pt idx="82">
                  <c:v>64684.549361972669</c:v>
                </c:pt>
                <c:pt idx="83">
                  <c:v>64304.926303485008</c:v>
                </c:pt>
                <c:pt idx="84">
                  <c:v>69389.898245948367</c:v>
                </c:pt>
                <c:pt idx="85">
                  <c:v>71956.408837594994</c:v>
                </c:pt>
                <c:pt idx="86">
                  <c:v>75871.701685278706</c:v>
                </c:pt>
                <c:pt idx="87">
                  <c:v>86610.613151839061</c:v>
                </c:pt>
                <c:pt idx="88">
                  <c:v>77047.992882302322</c:v>
                </c:pt>
                <c:pt idx="89">
                  <c:v>82230.327950323714</c:v>
                </c:pt>
                <c:pt idx="90">
                  <c:v>70356.302841918965</c:v>
                </c:pt>
                <c:pt idx="91">
                  <c:v>70097.386947504274</c:v>
                </c:pt>
                <c:pt idx="92">
                  <c:v>64037.219975882646</c:v>
                </c:pt>
                <c:pt idx="93">
                  <c:v>61045.897657887472</c:v>
                </c:pt>
                <c:pt idx="94">
                  <c:v>66463.935287693399</c:v>
                </c:pt>
                <c:pt idx="95">
                  <c:v>63484.243126895584</c:v>
                </c:pt>
                <c:pt idx="96">
                  <c:v>67225.320460457908</c:v>
                </c:pt>
                <c:pt idx="97">
                  <c:v>76024.163042621396</c:v>
                </c:pt>
              </c:numCache>
            </c:numRef>
          </c:yVal>
          <c:smooth val="0"/>
          <c:extLst>
            <c:ext xmlns:c16="http://schemas.microsoft.com/office/drawing/2014/chart" uri="{C3380CC4-5D6E-409C-BE32-E72D297353CC}">
              <c16:uniqueId val="{00000000-5F50-4F60-8A15-6468AC71DBAF}"/>
            </c:ext>
          </c:extLst>
        </c:ser>
        <c:ser>
          <c:idx val="1"/>
          <c:order val="1"/>
          <c:tx>
            <c:v>GS &gt; 50 kW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Weather!$V$196:$V$217</c:f>
              <c:numCache>
                <c:formatCode>_-* #,##0_-;\-* #,##0_-;_-* "-"??_-;_-@_-</c:formatCode>
                <c:ptCount val="22"/>
                <c:pt idx="0">
                  <c:v>75610.55170459862</c:v>
                </c:pt>
                <c:pt idx="1">
                  <c:v>78284.525549568483</c:v>
                </c:pt>
                <c:pt idx="2">
                  <c:v>54911.864064787522</c:v>
                </c:pt>
                <c:pt idx="3">
                  <c:v>65459.645456386184</c:v>
                </c:pt>
                <c:pt idx="4">
                  <c:v>63202.859175042526</c:v>
                </c:pt>
                <c:pt idx="5">
                  <c:v>66176.255933393622</c:v>
                </c:pt>
                <c:pt idx="6">
                  <c:v>62442.121110380889</c:v>
                </c:pt>
                <c:pt idx="7">
                  <c:v>65079.455902556743</c:v>
                </c:pt>
                <c:pt idx="8">
                  <c:v>70181.055530427504</c:v>
                </c:pt>
                <c:pt idx="9">
                  <c:v>73207.690900471149</c:v>
                </c:pt>
                <c:pt idx="10">
                  <c:v>77145.299890316863</c:v>
                </c:pt>
                <c:pt idx="11">
                  <c:v>80864.7413974136</c:v>
                </c:pt>
                <c:pt idx="12">
                  <c:v>75437.154402953529</c:v>
                </c:pt>
                <c:pt idx="13">
                  <c:v>80051.424348664208</c:v>
                </c:pt>
                <c:pt idx="14">
                  <c:v>63599.881586964191</c:v>
                </c:pt>
                <c:pt idx="15">
                  <c:v>62455.111448751573</c:v>
                </c:pt>
                <c:pt idx="16">
                  <c:v>65734.696904381606</c:v>
                </c:pt>
                <c:pt idx="17">
                  <c:v>63538.744672806257</c:v>
                </c:pt>
                <c:pt idx="18">
                  <c:v>66043.272843996107</c:v>
                </c:pt>
                <c:pt idx="19">
                  <c:v>64540.421306501383</c:v>
                </c:pt>
                <c:pt idx="20">
                  <c:v>70715.696984781665</c:v>
                </c:pt>
                <c:pt idx="21">
                  <c:v>77719.528474069768</c:v>
                </c:pt>
              </c:numCache>
            </c:numRef>
          </c:yVal>
          <c:smooth val="0"/>
          <c:extLst>
            <c:ext xmlns:c16="http://schemas.microsoft.com/office/drawing/2014/chart" uri="{C3380CC4-5D6E-409C-BE32-E72D297353CC}">
              <c16:uniqueId val="{00000001-5F50-4F60-8A15-6468AC71DBAF}"/>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Predicted'!$D$1</c:f>
              <c:strCache>
                <c:ptCount val="1"/>
                <c:pt idx="0">
                  <c:v> Res_NoCDM </c:v>
                </c:pt>
              </c:strCache>
            </c:strRef>
          </c:tx>
          <c:spPr>
            <a:ln w="28575" cap="rnd">
              <a:solidFill>
                <a:schemeClr val="accent1"/>
              </a:solidFill>
              <a:round/>
            </a:ln>
            <a:effectLst/>
          </c:spPr>
          <c:marker>
            <c:symbol val="none"/>
          </c:marker>
          <c:cat>
            <c:numRef>
              <c:f>'Res Predicted'!$A$2:$A$131</c:f>
              <c:numCache>
                <c:formatCode>m/d/yyyy</c:formatCode>
                <c:ptCount val="13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numCache>
            </c:numRef>
          </c:cat>
          <c:val>
            <c:numRef>
              <c:f>'Res Predicted'!$D$2:$D$131</c:f>
              <c:numCache>
                <c:formatCode>_-* #,##0_-;\-* #,##0_-;_-* "-"??_-;_-@_-</c:formatCode>
                <c:ptCount val="130"/>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4536154.7431210773</c:v>
                </c:pt>
                <c:pt idx="49">
                  <c:v>4527153.7188929524</c:v>
                </c:pt>
                <c:pt idx="50">
                  <c:v>3823633.2459336612</c:v>
                </c:pt>
                <c:pt idx="51">
                  <c:v>3577310.9818680743</c:v>
                </c:pt>
                <c:pt idx="52">
                  <c:v>3186058.7873352217</c:v>
                </c:pt>
                <c:pt idx="53">
                  <c:v>2724113.2649387745</c:v>
                </c:pt>
                <c:pt idx="54">
                  <c:v>2667498.1877178443</c:v>
                </c:pt>
                <c:pt idx="55">
                  <c:v>3163717.0850223936</c:v>
                </c:pt>
                <c:pt idx="56">
                  <c:v>2861088.3165282067</c:v>
                </c:pt>
                <c:pt idx="57">
                  <c:v>2699552.3326085135</c:v>
                </c:pt>
                <c:pt idx="58">
                  <c:v>3237543.4805977391</c:v>
                </c:pt>
                <c:pt idx="59">
                  <c:v>3603896.0650398619</c:v>
                </c:pt>
                <c:pt idx="60">
                  <c:v>4201767.5984519115</c:v>
                </c:pt>
                <c:pt idx="61">
                  <c:v>4731159.0052934075</c:v>
                </c:pt>
                <c:pt idx="62">
                  <c:v>3958865.8288539383</c:v>
                </c:pt>
                <c:pt idx="63">
                  <c:v>3717277.5404794915</c:v>
                </c:pt>
                <c:pt idx="64">
                  <c:v>3119229.5605003946</c:v>
                </c:pt>
                <c:pt idx="65">
                  <c:v>2814109.7860574927</c:v>
                </c:pt>
                <c:pt idx="66">
                  <c:v>2659220.8806687742</c:v>
                </c:pt>
                <c:pt idx="67">
                  <c:v>3150272.9022329389</c:v>
                </c:pt>
                <c:pt idx="68">
                  <c:v>2819850.5793669079</c:v>
                </c:pt>
                <c:pt idx="69">
                  <c:v>2715126.9884351878</c:v>
                </c:pt>
                <c:pt idx="70">
                  <c:v>3069611.5170936594</c:v>
                </c:pt>
                <c:pt idx="71">
                  <c:v>3682927.0591493947</c:v>
                </c:pt>
                <c:pt idx="72">
                  <c:v>4335064.0073985169</c:v>
                </c:pt>
                <c:pt idx="73">
                  <c:v>4140385.8750499859</c:v>
                </c:pt>
                <c:pt idx="74">
                  <c:v>3848248.3152240166</c:v>
                </c:pt>
                <c:pt idx="75">
                  <c:v>3687997.4999043434</c:v>
                </c:pt>
                <c:pt idx="76">
                  <c:v>3326415.6707476983</c:v>
                </c:pt>
                <c:pt idx="77">
                  <c:v>3154968.7690774924</c:v>
                </c:pt>
                <c:pt idx="78">
                  <c:v>3122567.0435269368</c:v>
                </c:pt>
                <c:pt idx="79">
                  <c:v>3663341.6855258569</c:v>
                </c:pt>
                <c:pt idx="80">
                  <c:v>3155144.2023287057</c:v>
                </c:pt>
                <c:pt idx="81">
                  <c:v>2719754.2042069854</c:v>
                </c:pt>
                <c:pt idx="82">
                  <c:v>3265883.4528217777</c:v>
                </c:pt>
                <c:pt idx="83">
                  <c:v>3509586.6747843111</c:v>
                </c:pt>
                <c:pt idx="84">
                  <c:v>4263190.1574048484</c:v>
                </c:pt>
                <c:pt idx="85">
                  <c:v>4226829.1876737475</c:v>
                </c:pt>
                <c:pt idx="86">
                  <c:v>4039244.4894530168</c:v>
                </c:pt>
                <c:pt idx="87">
                  <c:v>3794108.820810948</c:v>
                </c:pt>
                <c:pt idx="88">
                  <c:v>3101868.9257601164</c:v>
                </c:pt>
                <c:pt idx="89">
                  <c:v>2965128.7299124626</c:v>
                </c:pt>
                <c:pt idx="90">
                  <c:v>2919562.1742881173</c:v>
                </c:pt>
                <c:pt idx="91">
                  <c:v>3078894.175760556</c:v>
                </c:pt>
                <c:pt idx="92">
                  <c:v>3326739.1100639156</c:v>
                </c:pt>
                <c:pt idx="93">
                  <c:v>2700605.3984909002</c:v>
                </c:pt>
                <c:pt idx="94">
                  <c:v>2951575.7355931653</c:v>
                </c:pt>
                <c:pt idx="95">
                  <c:v>3487610.1075561787</c:v>
                </c:pt>
                <c:pt idx="96">
                  <c:v>4371204.1273712702</c:v>
                </c:pt>
                <c:pt idx="97">
                  <c:v>5039152.9107136903</c:v>
                </c:pt>
                <c:pt idx="98">
                  <c:v>4211552.0037224032</c:v>
                </c:pt>
                <c:pt idx="99">
                  <c:v>3799695.9318750687</c:v>
                </c:pt>
                <c:pt idx="100">
                  <c:v>3175119.6492238664</c:v>
                </c:pt>
                <c:pt idx="101">
                  <c:v>2854775.0126316771</c:v>
                </c:pt>
                <c:pt idx="102">
                  <c:v>2826823.9241817086</c:v>
                </c:pt>
                <c:pt idx="103">
                  <c:v>2984810.1592924753</c:v>
                </c:pt>
                <c:pt idx="104">
                  <c:v>2963730.8451401889</c:v>
                </c:pt>
                <c:pt idx="105">
                  <c:v>2727687.2112562652</c:v>
                </c:pt>
                <c:pt idx="106">
                  <c:v>3025375.9504829473</c:v>
                </c:pt>
                <c:pt idx="107">
                  <c:v>3450879.2932250476</c:v>
                </c:pt>
                <c:pt idx="108">
                  <c:v>4207177.010986764</c:v>
                </c:pt>
                <c:pt idx="109">
                  <c:v>4233347.46244244</c:v>
                </c:pt>
                <c:pt idx="110">
                  <c:v>3958712.948354044</c:v>
                </c:pt>
                <c:pt idx="111">
                  <c:v>3784505.644967339</c:v>
                </c:pt>
                <c:pt idx="112">
                  <c:v>3224377.6879194174</c:v>
                </c:pt>
                <c:pt idx="113">
                  <c:v>2928667.7868225626</c:v>
                </c:pt>
                <c:pt idx="114">
                  <c:v>3049940.460207012</c:v>
                </c:pt>
                <c:pt idx="115">
                  <c:v>3144453.271902944</c:v>
                </c:pt>
                <c:pt idx="116">
                  <c:v>2865887.9762289687</c:v>
                </c:pt>
                <c:pt idx="117">
                  <c:v>2795555.4664380746</c:v>
                </c:pt>
                <c:pt idx="118">
                  <c:v>3136774.019911529</c:v>
                </c:pt>
                <c:pt idx="119">
                  <c:v>3571711.2463362389</c:v>
                </c:pt>
                <c:pt idx="120">
                  <c:v>4005895.2953150608</c:v>
                </c:pt>
                <c:pt idx="121">
                  <c:v>4302730.3482179875</c:v>
                </c:pt>
                <c:pt idx="122">
                  <c:v>3768112.4011209141</c:v>
                </c:pt>
                <c:pt idx="123">
                  <c:v>3682543.4540238408</c:v>
                </c:pt>
                <c:pt idx="124">
                  <c:v>3154863.5069267675</c:v>
                </c:pt>
                <c:pt idx="125">
                  <c:v>2833887.5598296942</c:v>
                </c:pt>
                <c:pt idx="126">
                  <c:v>3089982.6127326209</c:v>
                </c:pt>
                <c:pt idx="127">
                  <c:v>3416128.6656355476</c:v>
                </c:pt>
                <c:pt idx="128">
                  <c:v>3265561.7185384743</c:v>
                </c:pt>
                <c:pt idx="129">
                  <c:v>2994047.771441401</c:v>
                </c:pt>
              </c:numCache>
            </c:numRef>
          </c:val>
          <c:smooth val="0"/>
          <c:extLst>
            <c:ext xmlns:c16="http://schemas.microsoft.com/office/drawing/2014/chart" uri="{C3380CC4-5D6E-409C-BE32-E72D297353CC}">
              <c16:uniqueId val="{00000000-87EB-4212-AC11-B5A788A1A8C8}"/>
            </c:ext>
          </c:extLst>
        </c:ser>
        <c:ser>
          <c:idx val="1"/>
          <c:order val="1"/>
          <c:tx>
            <c:strRef>
              <c:f>'Res Predicted'!$M$1</c:f>
              <c:strCache>
                <c:ptCount val="1"/>
                <c:pt idx="0">
                  <c:v>Predicted</c:v>
                </c:pt>
              </c:strCache>
            </c:strRef>
          </c:tx>
          <c:spPr>
            <a:ln w="28575" cap="rnd">
              <a:solidFill>
                <a:schemeClr val="accent2"/>
              </a:solidFill>
              <a:round/>
            </a:ln>
            <a:effectLst/>
          </c:spPr>
          <c:marker>
            <c:symbol val="none"/>
          </c:marker>
          <c:cat>
            <c:numRef>
              <c:f>'Res Predicted'!$A$2:$A$131</c:f>
              <c:numCache>
                <c:formatCode>m/d/yyyy</c:formatCode>
                <c:ptCount val="13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numCache>
            </c:numRef>
          </c:cat>
          <c:val>
            <c:numRef>
              <c:f>'Res Predicted'!$M$2:$M$131</c:f>
              <c:numCache>
                <c:formatCode>_-* #,##0_-;\-* #,##0_-;_-* "-"??_-;_-@_-</c:formatCode>
                <c:ptCount val="130"/>
                <c:pt idx="0">
                  <c:v>4741024.8996085376</c:v>
                </c:pt>
                <c:pt idx="1">
                  <c:v>4412845.6539894678</c:v>
                </c:pt>
                <c:pt idx="2">
                  <c:v>4352189.3857932491</c:v>
                </c:pt>
                <c:pt idx="3">
                  <c:v>3640541.41853145</c:v>
                </c:pt>
                <c:pt idx="4">
                  <c:v>3138793.7047922974</c:v>
                </c:pt>
                <c:pt idx="5">
                  <c:v>2993597.51664689</c:v>
                </c:pt>
                <c:pt idx="6">
                  <c:v>2993597.51664689</c:v>
                </c:pt>
                <c:pt idx="7">
                  <c:v>2995189.464090311</c:v>
                </c:pt>
                <c:pt idx="8">
                  <c:v>3114041.8130099718</c:v>
                </c:pt>
                <c:pt idx="9">
                  <c:v>2731612.8652043529</c:v>
                </c:pt>
                <c:pt idx="10">
                  <c:v>3384382.2453584047</c:v>
                </c:pt>
                <c:pt idx="11">
                  <c:v>3595333.6002298505</c:v>
                </c:pt>
                <c:pt idx="12">
                  <c:v>4674759.7537162313</c:v>
                </c:pt>
                <c:pt idx="13">
                  <c:v>4744675.4014379289</c:v>
                </c:pt>
                <c:pt idx="14">
                  <c:v>4137666.9867078224</c:v>
                </c:pt>
                <c:pt idx="15">
                  <c:v>3578797.1303239507</c:v>
                </c:pt>
                <c:pt idx="16">
                  <c:v>3539111.5918986774</c:v>
                </c:pt>
                <c:pt idx="17">
                  <c:v>3006194.2766157449</c:v>
                </c:pt>
                <c:pt idx="18">
                  <c:v>2993597.51664689</c:v>
                </c:pt>
                <c:pt idx="19">
                  <c:v>2993597.51664689</c:v>
                </c:pt>
                <c:pt idx="20">
                  <c:v>3025519.8069736864</c:v>
                </c:pt>
                <c:pt idx="21">
                  <c:v>2792897.6393328179</c:v>
                </c:pt>
                <c:pt idx="22">
                  <c:v>2951183.3984773858</c:v>
                </c:pt>
                <c:pt idx="23">
                  <c:v>3247271.5454351869</c:v>
                </c:pt>
                <c:pt idx="24">
                  <c:v>4352524.1745628836</c:v>
                </c:pt>
                <c:pt idx="25">
                  <c:v>4378913.2486458458</c:v>
                </c:pt>
                <c:pt idx="26">
                  <c:v>3968463.4838436465</c:v>
                </c:pt>
                <c:pt idx="27">
                  <c:v>3678056.1080385451</c:v>
                </c:pt>
                <c:pt idx="28">
                  <c:v>3130739.2245272398</c:v>
                </c:pt>
                <c:pt idx="29">
                  <c:v>3014284.9524834254</c:v>
                </c:pt>
                <c:pt idx="30">
                  <c:v>2993597.51664689</c:v>
                </c:pt>
                <c:pt idx="31">
                  <c:v>2993597.51664689</c:v>
                </c:pt>
                <c:pt idx="32">
                  <c:v>3008248.1616831259</c:v>
                </c:pt>
                <c:pt idx="33">
                  <c:v>2703663.6114209262</c:v>
                </c:pt>
                <c:pt idx="34">
                  <c:v>2897285.732311266</c:v>
                </c:pt>
                <c:pt idx="35">
                  <c:v>3595711.0123459441</c:v>
                </c:pt>
                <c:pt idx="36">
                  <c:v>4176879.4418570232</c:v>
                </c:pt>
                <c:pt idx="37">
                  <c:v>4144031.7342125736</c:v>
                </c:pt>
                <c:pt idx="38">
                  <c:v>4078726.5188395078</c:v>
                </c:pt>
                <c:pt idx="39">
                  <c:v>3460274.5454073763</c:v>
                </c:pt>
                <c:pt idx="40">
                  <c:v>3171759.3771800403</c:v>
                </c:pt>
                <c:pt idx="41">
                  <c:v>3002692.107487028</c:v>
                </c:pt>
                <c:pt idx="42">
                  <c:v>2993597.51664689</c:v>
                </c:pt>
                <c:pt idx="43">
                  <c:v>2997892.6223729518</c:v>
                </c:pt>
                <c:pt idx="44">
                  <c:v>3030795.4965129648</c:v>
                </c:pt>
                <c:pt idx="45">
                  <c:v>2617684.5110666486</c:v>
                </c:pt>
                <c:pt idx="46">
                  <c:v>3277390.7676758128</c:v>
                </c:pt>
                <c:pt idx="47">
                  <c:v>3893768.4647672581</c:v>
                </c:pt>
                <c:pt idx="48">
                  <c:v>4527509.8067344688</c:v>
                </c:pt>
                <c:pt idx="49">
                  <c:v>4328004.1159908902</c:v>
                </c:pt>
                <c:pt idx="50">
                  <c:v>4175366.3036929788</c:v>
                </c:pt>
                <c:pt idx="51">
                  <c:v>3755580.7961619729</c:v>
                </c:pt>
                <c:pt idx="52">
                  <c:v>3129739.2262014868</c:v>
                </c:pt>
                <c:pt idx="53">
                  <c:v>3009004.7307651476</c:v>
                </c:pt>
                <c:pt idx="54">
                  <c:v>2993597.51664689</c:v>
                </c:pt>
                <c:pt idx="55">
                  <c:v>2995071.2501712451</c:v>
                </c:pt>
                <c:pt idx="56">
                  <c:v>3097901.5979027166</c:v>
                </c:pt>
                <c:pt idx="57">
                  <c:v>2930235.9467508551</c:v>
                </c:pt>
                <c:pt idx="58">
                  <c:v>3355798.1197282658</c:v>
                </c:pt>
                <c:pt idx="59">
                  <c:v>3545005.1219946039</c:v>
                </c:pt>
                <c:pt idx="60">
                  <c:v>4767277.9922683919</c:v>
                </c:pt>
                <c:pt idx="61">
                  <c:v>4422480.6801083703</c:v>
                </c:pt>
                <c:pt idx="62">
                  <c:v>4080870.9753683684</c:v>
                </c:pt>
                <c:pt idx="63">
                  <c:v>3552008.5466025276</c:v>
                </c:pt>
                <c:pt idx="64">
                  <c:v>3174819.4545749393</c:v>
                </c:pt>
                <c:pt idx="65">
                  <c:v>3013118.5751486416</c:v>
                </c:pt>
                <c:pt idx="66">
                  <c:v>2993597.51664689</c:v>
                </c:pt>
                <c:pt idx="67">
                  <c:v>3011280.8206928051</c:v>
                </c:pt>
                <c:pt idx="68">
                  <c:v>3048961.0354094272</c:v>
                </c:pt>
                <c:pt idx="69">
                  <c:v>2677297.509857533</c:v>
                </c:pt>
                <c:pt idx="70">
                  <c:v>3324353.2172567328</c:v>
                </c:pt>
                <c:pt idx="71">
                  <c:v>3695680.5832360205</c:v>
                </c:pt>
                <c:pt idx="72">
                  <c:v>4302745.7419504728</c:v>
                </c:pt>
                <c:pt idx="73">
                  <c:v>4231328.7729787845</c:v>
                </c:pt>
                <c:pt idx="74">
                  <c:v>3967617.162326538</c:v>
                </c:pt>
                <c:pt idx="75">
                  <c:v>3642710.1462378362</c:v>
                </c:pt>
                <c:pt idx="76">
                  <c:v>3283079.7616555057</c:v>
                </c:pt>
                <c:pt idx="77">
                  <c:v>3013473.2169058393</c:v>
                </c:pt>
                <c:pt idx="78">
                  <c:v>2993597.51664689</c:v>
                </c:pt>
                <c:pt idx="79">
                  <c:v>2993597.51664689</c:v>
                </c:pt>
                <c:pt idx="80">
                  <c:v>3052176.4540080205</c:v>
                </c:pt>
                <c:pt idx="81">
                  <c:v>2893463.4822614677</c:v>
                </c:pt>
                <c:pt idx="82">
                  <c:v>3057315.8550147656</c:v>
                </c:pt>
                <c:pt idx="83">
                  <c:v>3535106.6765048183</c:v>
                </c:pt>
                <c:pt idx="84">
                  <c:v>4226931.2151895324</c:v>
                </c:pt>
                <c:pt idx="85">
                  <c:v>4418776.6439776383</c:v>
                </c:pt>
                <c:pt idx="86">
                  <c:v>3924193.2493896582</c:v>
                </c:pt>
                <c:pt idx="87">
                  <c:v>3397179.8363379282</c:v>
                </c:pt>
                <c:pt idx="88">
                  <c:v>3157702.0790941948</c:v>
                </c:pt>
                <c:pt idx="89">
                  <c:v>2999114.1662032995</c:v>
                </c:pt>
                <c:pt idx="90">
                  <c:v>2997578.4985198523</c:v>
                </c:pt>
                <c:pt idx="91">
                  <c:v>2993597.51664689</c:v>
                </c:pt>
                <c:pt idx="92">
                  <c:v>3035815.6476092977</c:v>
                </c:pt>
                <c:pt idx="93">
                  <c:v>2578431.2688787389</c:v>
                </c:pt>
                <c:pt idx="94">
                  <c:v>3080651.282638377</c:v>
                </c:pt>
                <c:pt idx="95">
                  <c:v>3659073.6729652756</c:v>
                </c:pt>
                <c:pt idx="96">
                  <c:v>4867193.562706409</c:v>
                </c:pt>
                <c:pt idx="97">
                  <c:v>4513773.3493390083</c:v>
                </c:pt>
                <c:pt idx="98">
                  <c:v>4043471.0937271677</c:v>
                </c:pt>
                <c:pt idx="99">
                  <c:v>3503698.458344256</c:v>
                </c:pt>
                <c:pt idx="100">
                  <c:v>3063619.5613736012</c:v>
                </c:pt>
                <c:pt idx="101">
                  <c:v>2994708.7274861094</c:v>
                </c:pt>
                <c:pt idx="102">
                  <c:v>2995046.7401070814</c:v>
                </c:pt>
                <c:pt idx="103">
                  <c:v>2995638.6769827614</c:v>
                </c:pt>
                <c:pt idx="104">
                  <c:v>3037927.7362966086</c:v>
                </c:pt>
                <c:pt idx="105">
                  <c:v>2643196.7346709855</c:v>
                </c:pt>
                <c:pt idx="106">
                  <c:v>3063526.026229695</c:v>
                </c:pt>
                <c:pt idx="107">
                  <c:v>3555935.9690442323</c:v>
                </c:pt>
                <c:pt idx="108">
                  <c:v>4307277.275514666</c:v>
                </c:pt>
                <c:pt idx="109">
                  <c:v>4263924.2909292262</c:v>
                </c:pt>
                <c:pt idx="110">
                  <c:v>4125022.9360267743</c:v>
                </c:pt>
                <c:pt idx="111">
                  <c:v>3540053.1789209945</c:v>
                </c:pt>
                <c:pt idx="112">
                  <c:v>3094898.9643584425</c:v>
                </c:pt>
                <c:pt idx="113">
                  <c:v>2995496.8202798823</c:v>
                </c:pt>
                <c:pt idx="114">
                  <c:v>2993597.51664689</c:v>
                </c:pt>
                <c:pt idx="115">
                  <c:v>2998215.7404183983</c:v>
                </c:pt>
                <c:pt idx="116">
                  <c:v>3018390.9159389813</c:v>
                </c:pt>
                <c:pt idx="117">
                  <c:v>2708308.9612924918</c:v>
                </c:pt>
                <c:pt idx="118">
                  <c:v>3159027.1109790797</c:v>
                </c:pt>
                <c:pt idx="119">
                  <c:v>3259652.4832253573</c:v>
                </c:pt>
                <c:pt idx="120">
                  <c:v>4288087.2159862993</c:v>
                </c:pt>
                <c:pt idx="121">
                  <c:v>4115022.0384737975</c:v>
                </c:pt>
                <c:pt idx="122">
                  <c:v>3866299.9527591099</c:v>
                </c:pt>
                <c:pt idx="123">
                  <c:v>3412358.5035459916</c:v>
                </c:pt>
                <c:pt idx="124">
                  <c:v>3062256.160840374</c:v>
                </c:pt>
                <c:pt idx="125">
                  <c:v>3001163.2074671085</c:v>
                </c:pt>
                <c:pt idx="126">
                  <c:v>2993597.51664689</c:v>
                </c:pt>
                <c:pt idx="127">
                  <c:v>2993597.51664689</c:v>
                </c:pt>
                <c:pt idx="128">
                  <c:v>3012322.6014269311</c:v>
                </c:pt>
                <c:pt idx="129">
                  <c:v>2641951.5480568246</c:v>
                </c:pt>
              </c:numCache>
            </c:numRef>
          </c:val>
          <c:smooth val="0"/>
          <c:extLst>
            <c:ext xmlns:c16="http://schemas.microsoft.com/office/drawing/2014/chart" uri="{C3380CC4-5D6E-409C-BE32-E72D297353CC}">
              <c16:uniqueId val="{00000001-87EB-4212-AC11-B5A788A1A8C8}"/>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Predicted'!$D$1</c:f>
              <c:strCache>
                <c:ptCount val="1"/>
                <c:pt idx="0">
                  <c:v>GSlt50_NoCDM</c:v>
                </c:pt>
              </c:strCache>
            </c:strRef>
          </c:tx>
          <c:spPr>
            <a:ln w="28575" cap="rnd">
              <a:solidFill>
                <a:schemeClr val="accent1"/>
              </a:solidFill>
              <a:round/>
            </a:ln>
            <a:effectLst/>
          </c:spPr>
          <c:marker>
            <c:symbol val="none"/>
          </c:marker>
          <c:cat>
            <c:numRef>
              <c:f>'GS &lt; 50 Predicted'!$A$2:$A$131</c:f>
              <c:numCache>
                <c:formatCode>m/d/yyyy</c:formatCode>
                <c:ptCount val="13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numCache>
            </c:numRef>
          </c:cat>
          <c:val>
            <c:numRef>
              <c:f>'GS &lt; 50 Predicted'!$D$2:$D$131</c:f>
              <c:numCache>
                <c:formatCode>_-* #,##0_-;\-* #,##0_-;_-* "-"??_-;_-@_-</c:formatCode>
                <c:ptCount val="130"/>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2039721.9078656486</c:v>
                </c:pt>
                <c:pt idx="49">
                  <c:v>2068451.9595124074</c:v>
                </c:pt>
                <c:pt idx="50">
                  <c:v>1836052.8045858156</c:v>
                </c:pt>
                <c:pt idx="51">
                  <c:v>1852621.7019807273</c:v>
                </c:pt>
                <c:pt idx="52">
                  <c:v>1636843.6491979214</c:v>
                </c:pt>
                <c:pt idx="53">
                  <c:v>1513960.2225070726</c:v>
                </c:pt>
                <c:pt idx="54">
                  <c:v>1444064.5407707687</c:v>
                </c:pt>
                <c:pt idx="55">
                  <c:v>1608578.9682369984</c:v>
                </c:pt>
                <c:pt idx="56">
                  <c:v>1511644.4192810222</c:v>
                </c:pt>
                <c:pt idx="57">
                  <c:v>1388574.8726781455</c:v>
                </c:pt>
                <c:pt idx="58">
                  <c:v>1616445.3101982041</c:v>
                </c:pt>
                <c:pt idx="59">
                  <c:v>1796625.4902597803</c:v>
                </c:pt>
                <c:pt idx="60">
                  <c:v>1907774.2240176995</c:v>
                </c:pt>
                <c:pt idx="61">
                  <c:v>2169676.5254105679</c:v>
                </c:pt>
                <c:pt idx="62">
                  <c:v>1938783.6374502934</c:v>
                </c:pt>
                <c:pt idx="63">
                  <c:v>1907776.9398509474</c:v>
                </c:pt>
                <c:pt idx="64">
                  <c:v>1627478.4999186685</c:v>
                </c:pt>
                <c:pt idx="65">
                  <c:v>1519946.5878462784</c:v>
                </c:pt>
                <c:pt idx="66">
                  <c:v>1429592.0662636776</c:v>
                </c:pt>
                <c:pt idx="67">
                  <c:v>1561409.6245129688</c:v>
                </c:pt>
                <c:pt idx="68">
                  <c:v>1441703.5427390249</c:v>
                </c:pt>
                <c:pt idx="69">
                  <c:v>1351790.1869173101</c:v>
                </c:pt>
                <c:pt idx="70">
                  <c:v>1513169.8617438227</c:v>
                </c:pt>
                <c:pt idx="71">
                  <c:v>1791034.3424851298</c:v>
                </c:pt>
                <c:pt idx="72">
                  <c:v>1935550.3501778767</c:v>
                </c:pt>
                <c:pt idx="73">
                  <c:v>1977817.5945423183</c:v>
                </c:pt>
                <c:pt idx="74">
                  <c:v>1850467.8951052148</c:v>
                </c:pt>
                <c:pt idx="75">
                  <c:v>1756590.0618654145</c:v>
                </c:pt>
                <c:pt idx="76">
                  <c:v>1418935.7332032486</c:v>
                </c:pt>
                <c:pt idx="77">
                  <c:v>1377562.0480620193</c:v>
                </c:pt>
                <c:pt idx="78">
                  <c:v>1378667.8360778366</c:v>
                </c:pt>
                <c:pt idx="79">
                  <c:v>1513114.8121348398</c:v>
                </c:pt>
                <c:pt idx="80">
                  <c:v>1397996.7457012909</c:v>
                </c:pt>
                <c:pt idx="81">
                  <c:v>1284992.2736673818</c:v>
                </c:pt>
                <c:pt idx="82">
                  <c:v>1464478.2777535517</c:v>
                </c:pt>
                <c:pt idx="83">
                  <c:v>1562307.8267750656</c:v>
                </c:pt>
                <c:pt idx="84">
                  <c:v>1834545.4505539462</c:v>
                </c:pt>
                <c:pt idx="85">
                  <c:v>1818925.427847272</c:v>
                </c:pt>
                <c:pt idx="86">
                  <c:v>1761238.2654504171</c:v>
                </c:pt>
                <c:pt idx="87">
                  <c:v>1831512.198590517</c:v>
                </c:pt>
                <c:pt idx="88">
                  <c:v>1511642.3028173393</c:v>
                </c:pt>
                <c:pt idx="89">
                  <c:v>1474746.1004095075</c:v>
                </c:pt>
                <c:pt idx="90">
                  <c:v>1425605.6503695406</c:v>
                </c:pt>
                <c:pt idx="91">
                  <c:v>1522148.8955182382</c:v>
                </c:pt>
                <c:pt idx="92">
                  <c:v>1594979.7956060998</c:v>
                </c:pt>
                <c:pt idx="93">
                  <c:v>1422657.9661976707</c:v>
                </c:pt>
                <c:pt idx="94">
                  <c:v>1410769.7058828673</c:v>
                </c:pt>
                <c:pt idx="95">
                  <c:v>1668067.6510135117</c:v>
                </c:pt>
                <c:pt idx="96">
                  <c:v>1926907.4134284349</c:v>
                </c:pt>
                <c:pt idx="97">
                  <c:v>2160827.4711737516</c:v>
                </c:pt>
                <c:pt idx="98">
                  <c:v>1932746.0266007786</c:v>
                </c:pt>
                <c:pt idx="99">
                  <c:v>1912363.8713649923</c:v>
                </c:pt>
                <c:pt idx="100">
                  <c:v>1582272.1607022141</c:v>
                </c:pt>
                <c:pt idx="101">
                  <c:v>1463034.5311222468</c:v>
                </c:pt>
                <c:pt idx="102">
                  <c:v>1413022.3318274003</c:v>
                </c:pt>
                <c:pt idx="103">
                  <c:v>1444023.7846525921</c:v>
                </c:pt>
                <c:pt idx="104">
                  <c:v>1459452.2654821102</c:v>
                </c:pt>
                <c:pt idx="105">
                  <c:v>1385483.647600366</c:v>
                </c:pt>
                <c:pt idx="106">
                  <c:v>1494225.9685888838</c:v>
                </c:pt>
                <c:pt idx="107">
                  <c:v>1680449.1749027357</c:v>
                </c:pt>
                <c:pt idx="108">
                  <c:v>1905264.2219758234</c:v>
                </c:pt>
                <c:pt idx="109">
                  <c:v>1974339.2236516613</c:v>
                </c:pt>
                <c:pt idx="110">
                  <c:v>1882647.2363357965</c:v>
                </c:pt>
                <c:pt idx="111">
                  <c:v>1867618.501662056</c:v>
                </c:pt>
                <c:pt idx="112">
                  <c:v>1578145.3866843837</c:v>
                </c:pt>
                <c:pt idx="113">
                  <c:v>1492657.8417762832</c:v>
                </c:pt>
                <c:pt idx="114">
                  <c:v>1469523.6742042131</c:v>
                </c:pt>
                <c:pt idx="115">
                  <c:v>1469068.243886916</c:v>
                </c:pt>
                <c:pt idx="116">
                  <c:v>1397330.2603077565</c:v>
                </c:pt>
                <c:pt idx="117">
                  <c:v>1335558.5748998993</c:v>
                </c:pt>
                <c:pt idx="118">
                  <c:v>1471313.5202568101</c:v>
                </c:pt>
                <c:pt idx="119">
                  <c:v>1677752.5646037958</c:v>
                </c:pt>
                <c:pt idx="120">
                  <c:v>1776466.2983720335</c:v>
                </c:pt>
                <c:pt idx="121">
                  <c:v>1933374.5475966891</c:v>
                </c:pt>
                <c:pt idx="122">
                  <c:v>1755628.7968213446</c:v>
                </c:pt>
                <c:pt idx="123">
                  <c:v>1729157.0460460004</c:v>
                </c:pt>
                <c:pt idx="124">
                  <c:v>1542403.295270656</c:v>
                </c:pt>
                <c:pt idx="125">
                  <c:v>1408141.5444953116</c:v>
                </c:pt>
                <c:pt idx="126">
                  <c:v>1393341.7937199674</c:v>
                </c:pt>
                <c:pt idx="127">
                  <c:v>1473943.0429446229</c:v>
                </c:pt>
                <c:pt idx="128">
                  <c:v>1425748.2921692787</c:v>
                </c:pt>
                <c:pt idx="129">
                  <c:v>1349574.5413939343</c:v>
                </c:pt>
              </c:numCache>
            </c:numRef>
          </c:val>
          <c:smooth val="0"/>
          <c:extLst>
            <c:ext xmlns:c16="http://schemas.microsoft.com/office/drawing/2014/chart" uri="{C3380CC4-5D6E-409C-BE32-E72D297353CC}">
              <c16:uniqueId val="{00000000-332E-425A-B591-8488CF27CF5A}"/>
            </c:ext>
          </c:extLst>
        </c:ser>
        <c:ser>
          <c:idx val="1"/>
          <c:order val="1"/>
          <c:tx>
            <c:strRef>
              <c:f>'GS &lt; 50 Predicted'!$O$1</c:f>
              <c:strCache>
                <c:ptCount val="1"/>
                <c:pt idx="0">
                  <c:v>Predicted</c:v>
                </c:pt>
              </c:strCache>
            </c:strRef>
          </c:tx>
          <c:spPr>
            <a:ln w="28575" cap="rnd">
              <a:solidFill>
                <a:schemeClr val="accent2"/>
              </a:solidFill>
              <a:round/>
            </a:ln>
            <a:effectLst/>
          </c:spPr>
          <c:marker>
            <c:symbol val="none"/>
          </c:marker>
          <c:cat>
            <c:numRef>
              <c:f>'GS &lt; 50 Predicted'!$A$2:$A$131</c:f>
              <c:numCache>
                <c:formatCode>m/d/yyyy</c:formatCode>
                <c:ptCount val="13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numCache>
            </c:numRef>
          </c:cat>
          <c:val>
            <c:numRef>
              <c:f>'GS &lt; 50 Predicted'!$O$2:$O$131</c:f>
              <c:numCache>
                <c:formatCode>_-* #,##0_-;\-* #,##0_-;_-* "-"??_-;_-@_-</c:formatCode>
                <c:ptCount val="130"/>
                <c:pt idx="0">
                  <c:v>2185445.8131686118</c:v>
                </c:pt>
                <c:pt idx="1">
                  <c:v>2059150.2107220888</c:v>
                </c:pt>
                <c:pt idx="2">
                  <c:v>2052576.9371098075</c:v>
                </c:pt>
                <c:pt idx="3">
                  <c:v>1800553.9298174996</c:v>
                </c:pt>
                <c:pt idx="4">
                  <c:v>1616717.4894367179</c:v>
                </c:pt>
                <c:pt idx="5">
                  <c:v>1575948.5169805065</c:v>
                </c:pt>
                <c:pt idx="6">
                  <c:v>1570640.9308388692</c:v>
                </c:pt>
                <c:pt idx="7">
                  <c:v>1555262.1563352731</c:v>
                </c:pt>
                <c:pt idx="8">
                  <c:v>1604721.1365692918</c:v>
                </c:pt>
                <c:pt idx="9">
                  <c:v>1423839.9386164299</c:v>
                </c:pt>
                <c:pt idx="10">
                  <c:v>1646897.5832632422</c:v>
                </c:pt>
                <c:pt idx="11">
                  <c:v>1770130.4901089277</c:v>
                </c:pt>
                <c:pt idx="12">
                  <c:v>2173417.5407464579</c:v>
                </c:pt>
                <c:pt idx="13">
                  <c:v>2200846.7881851061</c:v>
                </c:pt>
                <c:pt idx="14">
                  <c:v>1996964.5011586777</c:v>
                </c:pt>
                <c:pt idx="15">
                  <c:v>1823685.1906568706</c:v>
                </c:pt>
                <c:pt idx="16">
                  <c:v>1795970.6932353545</c:v>
                </c:pt>
                <c:pt idx="17">
                  <c:v>1613867.6645815591</c:v>
                </c:pt>
                <c:pt idx="18">
                  <c:v>1609563.2292108759</c:v>
                </c:pt>
                <c:pt idx="19">
                  <c:v>1609563.2292108759</c:v>
                </c:pt>
                <c:pt idx="20">
                  <c:v>1618702.1908433731</c:v>
                </c:pt>
                <c:pt idx="21">
                  <c:v>1485473.0356141918</c:v>
                </c:pt>
                <c:pt idx="22">
                  <c:v>1536022.4279038119</c:v>
                </c:pt>
                <c:pt idx="23">
                  <c:v>1690116.5998455163</c:v>
                </c:pt>
                <c:pt idx="24">
                  <c:v>1981923.5224660058</c:v>
                </c:pt>
                <c:pt idx="25">
                  <c:v>1987402.5349231327</c:v>
                </c:pt>
                <c:pt idx="26">
                  <c:v>1847147.8591278158</c:v>
                </c:pt>
                <c:pt idx="27">
                  <c:v>1735528.4672662301</c:v>
                </c:pt>
                <c:pt idx="28">
                  <c:v>1553812.5522708285</c:v>
                </c:pt>
                <c:pt idx="29">
                  <c:v>1524634.1674098908</c:v>
                </c:pt>
                <c:pt idx="30">
                  <c:v>1508719.0925197676</c:v>
                </c:pt>
                <c:pt idx="31">
                  <c:v>1496334.7248559473</c:v>
                </c:pt>
                <c:pt idx="32">
                  <c:v>1503110.1881064228</c:v>
                </c:pt>
                <c:pt idx="33">
                  <c:v>1391289.8668764746</c:v>
                </c:pt>
                <c:pt idx="34">
                  <c:v>1494605.5313335592</c:v>
                </c:pt>
                <c:pt idx="35">
                  <c:v>1756105.892454539</c:v>
                </c:pt>
                <c:pt idx="36">
                  <c:v>1969672.2846276383</c:v>
                </c:pt>
                <c:pt idx="37">
                  <c:v>1940755.9497130532</c:v>
                </c:pt>
                <c:pt idx="38">
                  <c:v>1921978.9133613855</c:v>
                </c:pt>
                <c:pt idx="39">
                  <c:v>1701801.8833869144</c:v>
                </c:pt>
                <c:pt idx="40">
                  <c:v>1601444.2495375169</c:v>
                </c:pt>
                <c:pt idx="41">
                  <c:v>1557825.8825387014</c:v>
                </c:pt>
                <c:pt idx="42">
                  <c:v>1561794.9539361405</c:v>
                </c:pt>
                <c:pt idx="43">
                  <c:v>1545570.6795223514</c:v>
                </c:pt>
                <c:pt idx="44">
                  <c:v>1558583.106939991</c:v>
                </c:pt>
                <c:pt idx="45">
                  <c:v>1391986.2937046299</c:v>
                </c:pt>
                <c:pt idx="46">
                  <c:v>1615645.141108931</c:v>
                </c:pt>
                <c:pt idx="47">
                  <c:v>1845570.6545566365</c:v>
                </c:pt>
                <c:pt idx="48">
                  <c:v>2054102.1821813553</c:v>
                </c:pt>
                <c:pt idx="49">
                  <c:v>1978852.3661635965</c:v>
                </c:pt>
                <c:pt idx="50">
                  <c:v>1884233.8523372209</c:v>
                </c:pt>
                <c:pt idx="51">
                  <c:v>1735481.4763302333</c:v>
                </c:pt>
                <c:pt idx="52">
                  <c:v>1516317.7401275986</c:v>
                </c:pt>
                <c:pt idx="53">
                  <c:v>1478599.9797908927</c:v>
                </c:pt>
                <c:pt idx="54">
                  <c:v>1480411.9664310354</c:v>
                </c:pt>
                <c:pt idx="55">
                  <c:v>1491530.7277899834</c:v>
                </c:pt>
                <c:pt idx="56">
                  <c:v>1512515.2944749587</c:v>
                </c:pt>
                <c:pt idx="57">
                  <c:v>1417405.1709840612</c:v>
                </c:pt>
                <c:pt idx="58">
                  <c:v>1585823.4435511185</c:v>
                </c:pt>
                <c:pt idx="59">
                  <c:v>1698087.7029111697</c:v>
                </c:pt>
                <c:pt idx="60">
                  <c:v>2164340.4287430104</c:v>
                </c:pt>
                <c:pt idx="61">
                  <c:v>2018212.7083230682</c:v>
                </c:pt>
                <c:pt idx="62">
                  <c:v>1906788.9365848135</c:v>
                </c:pt>
                <c:pt idx="63">
                  <c:v>1738455.8697469402</c:v>
                </c:pt>
                <c:pt idx="64">
                  <c:v>1609566.6892613485</c:v>
                </c:pt>
                <c:pt idx="65">
                  <c:v>1552542.7310216194</c:v>
                </c:pt>
                <c:pt idx="66">
                  <c:v>1547641.3908917743</c:v>
                </c:pt>
                <c:pt idx="67">
                  <c:v>1553683.9478345101</c:v>
                </c:pt>
                <c:pt idx="68">
                  <c:v>1564790.4482203505</c:v>
                </c:pt>
                <c:pt idx="69">
                  <c:v>1384049.5089721205</c:v>
                </c:pt>
                <c:pt idx="70">
                  <c:v>1606923.931460103</c:v>
                </c:pt>
                <c:pt idx="71">
                  <c:v>1781420.4900166092</c:v>
                </c:pt>
                <c:pt idx="72">
                  <c:v>1970221.3341447017</c:v>
                </c:pt>
                <c:pt idx="73">
                  <c:v>1945817.4613973619</c:v>
                </c:pt>
                <c:pt idx="74">
                  <c:v>1846858.6628358949</c:v>
                </c:pt>
                <c:pt idx="75">
                  <c:v>1726988.7991802881</c:v>
                </c:pt>
                <c:pt idx="76">
                  <c:v>1595253.6228646967</c:v>
                </c:pt>
                <c:pt idx="77">
                  <c:v>1520818.3987087223</c:v>
                </c:pt>
                <c:pt idx="78">
                  <c:v>1501642.3109975846</c:v>
                </c:pt>
                <c:pt idx="79">
                  <c:v>1489257.9433337643</c:v>
                </c:pt>
                <c:pt idx="80">
                  <c:v>1512813.3266054471</c:v>
                </c:pt>
                <c:pt idx="81">
                  <c:v>1397762.8807749886</c:v>
                </c:pt>
                <c:pt idx="82">
                  <c:v>1451983.6344443152</c:v>
                </c:pt>
                <c:pt idx="83">
                  <c:v>1662859.7909862346</c:v>
                </c:pt>
                <c:pt idx="84">
                  <c:v>1894777.3024841889</c:v>
                </c:pt>
                <c:pt idx="85">
                  <c:v>1956794.3602210549</c:v>
                </c:pt>
                <c:pt idx="86">
                  <c:v>1789559.6004035424</c:v>
                </c:pt>
                <c:pt idx="87">
                  <c:v>1605935.6017898673</c:v>
                </c:pt>
                <c:pt idx="88">
                  <c:v>1557718.4357181604</c:v>
                </c:pt>
                <c:pt idx="89">
                  <c:v>1485835.4499887656</c:v>
                </c:pt>
                <c:pt idx="90">
                  <c:v>1483541.5020281447</c:v>
                </c:pt>
                <c:pt idx="91">
                  <c:v>1478642.7710504897</c:v>
                </c:pt>
                <c:pt idx="92">
                  <c:v>1489530.7261631014</c:v>
                </c:pt>
                <c:pt idx="93">
                  <c:v>1295420.8962697308</c:v>
                </c:pt>
                <c:pt idx="94">
                  <c:v>1459957.576974096</c:v>
                </c:pt>
                <c:pt idx="95">
                  <c:v>1710528.1052580478</c:v>
                </c:pt>
                <c:pt idx="96">
                  <c:v>2125945.5401258711</c:v>
                </c:pt>
                <c:pt idx="97">
                  <c:v>2005178.4166040814</c:v>
                </c:pt>
                <c:pt idx="98">
                  <c:v>1837394.7811787587</c:v>
                </c:pt>
                <c:pt idx="99">
                  <c:v>1660026.0045087044</c:v>
                </c:pt>
                <c:pt idx="100">
                  <c:v>1514954.3522830713</c:v>
                </c:pt>
                <c:pt idx="101">
                  <c:v>1496714.4364049844</c:v>
                </c:pt>
                <c:pt idx="102">
                  <c:v>1496829.9386043632</c:v>
                </c:pt>
                <c:pt idx="103">
                  <c:v>1497032.2091907035</c:v>
                </c:pt>
                <c:pt idx="104">
                  <c:v>1511482.7919717922</c:v>
                </c:pt>
                <c:pt idx="105">
                  <c:v>1322859.4718439039</c:v>
                </c:pt>
                <c:pt idx="106">
                  <c:v>1464720.8826186629</c:v>
                </c:pt>
                <c:pt idx="107">
                  <c:v>1685900.1212133113</c:v>
                </c:pt>
                <c:pt idx="108">
                  <c:v>1950539.4586611057</c:v>
                </c:pt>
                <c:pt idx="109">
                  <c:v>1932186.9315081453</c:v>
                </c:pt>
                <c:pt idx="110">
                  <c:v>1890030.5740201348</c:v>
                </c:pt>
                <c:pt idx="111">
                  <c:v>1681294.7429412808</c:v>
                </c:pt>
                <c:pt idx="112">
                  <c:v>1529181.2192011031</c:v>
                </c:pt>
                <c:pt idx="113">
                  <c:v>1505829.7122786618</c:v>
                </c:pt>
                <c:pt idx="114">
                  <c:v>1505180.7017586762</c:v>
                </c:pt>
                <c:pt idx="115">
                  <c:v>1496143.621445159</c:v>
                </c:pt>
                <c:pt idx="116">
                  <c:v>1503037.6751014369</c:v>
                </c:pt>
                <c:pt idx="117">
                  <c:v>1341570.5620625652</c:v>
                </c:pt>
                <c:pt idx="118">
                  <c:v>1502662.1180598214</c:v>
                </c:pt>
                <c:pt idx="119">
                  <c:v>1582887.977704732</c:v>
                </c:pt>
                <c:pt idx="120">
                  <c:v>1929828.4656741472</c:v>
                </c:pt>
                <c:pt idx="121">
                  <c:v>1872459.6070344343</c:v>
                </c:pt>
                <c:pt idx="122">
                  <c:v>1792776.437944771</c:v>
                </c:pt>
                <c:pt idx="123">
                  <c:v>1635891.0352979735</c:v>
                </c:pt>
                <c:pt idx="124">
                  <c:v>1523334.4419660596</c:v>
                </c:pt>
                <c:pt idx="125">
                  <c:v>1504227.5811186889</c:v>
                </c:pt>
                <c:pt idx="126">
                  <c:v>1498103.920236493</c:v>
                </c:pt>
                <c:pt idx="127">
                  <c:v>1498103.920236493</c:v>
                </c:pt>
                <c:pt idx="128">
                  <c:v>1506271.6591667719</c:v>
                </c:pt>
                <c:pt idx="129">
                  <c:v>1324203.1748503512</c:v>
                </c:pt>
              </c:numCache>
            </c:numRef>
          </c:val>
          <c:smooth val="0"/>
          <c:extLst>
            <c:ext xmlns:c16="http://schemas.microsoft.com/office/drawing/2014/chart" uri="{C3380CC4-5D6E-409C-BE32-E72D297353CC}">
              <c16:uniqueId val="{00000001-332E-425A-B591-8488CF27CF5A}"/>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Predicted'!$D$1</c:f>
              <c:strCache>
                <c:ptCount val="1"/>
                <c:pt idx="0">
                  <c:v> GSgt50_NoCDM </c:v>
                </c:pt>
              </c:strCache>
            </c:strRef>
          </c:tx>
          <c:spPr>
            <a:ln w="28575" cap="rnd">
              <a:solidFill>
                <a:schemeClr val="accent1"/>
              </a:solidFill>
              <a:round/>
            </a:ln>
            <a:effectLst/>
          </c:spPr>
          <c:marker>
            <c:symbol val="none"/>
          </c:marker>
          <c:cat>
            <c:numRef>
              <c:f>'GS &gt; 50 Predicted'!$A$2:$A$131</c:f>
              <c:numCache>
                <c:formatCode>m/d/yyyy</c:formatCode>
                <c:ptCount val="13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numCache>
            </c:numRef>
          </c:cat>
          <c:val>
            <c:numRef>
              <c:f>'GS &gt; 50 Predicted'!$D$2:$D$131</c:f>
              <c:numCache>
                <c:formatCode>_-* #,##0_-;\-* #,##0_-;_-* "-"??_-;_-@_-</c:formatCode>
                <c:ptCount val="130"/>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pt idx="120">
                  <c:v>5191252.9068947835</c:v>
                </c:pt>
                <c:pt idx="121">
                  <c:v>5721499.9924026718</c:v>
                </c:pt>
                <c:pt idx="122">
                  <c:v>5706334.0779105602</c:v>
                </c:pt>
                <c:pt idx="123">
                  <c:v>5709519.1634184485</c:v>
                </c:pt>
                <c:pt idx="124">
                  <c:v>5430698.2489263369</c:v>
                </c:pt>
                <c:pt idx="125">
                  <c:v>5108824.3344342252</c:v>
                </c:pt>
                <c:pt idx="126">
                  <c:v>4751604.4199421136</c:v>
                </c:pt>
                <c:pt idx="127">
                  <c:v>4863179.505450001</c:v>
                </c:pt>
                <c:pt idx="128">
                  <c:v>4225940.5909578893</c:v>
                </c:pt>
                <c:pt idx="129">
                  <c:v>4360697.6764657777</c:v>
                </c:pt>
              </c:numCache>
            </c:numRef>
          </c:val>
          <c:smooth val="0"/>
          <c:extLst>
            <c:ext xmlns:c16="http://schemas.microsoft.com/office/drawing/2014/chart" uri="{C3380CC4-5D6E-409C-BE32-E72D297353CC}">
              <c16:uniqueId val="{00000000-2209-427E-A9B1-D58332782A7B}"/>
            </c:ext>
          </c:extLst>
        </c:ser>
        <c:ser>
          <c:idx val="1"/>
          <c:order val="1"/>
          <c:tx>
            <c:strRef>
              <c:f>'GS &gt; 50 Predicted'!$O$1</c:f>
              <c:strCache>
                <c:ptCount val="1"/>
                <c:pt idx="0">
                  <c:v>Predicted</c:v>
                </c:pt>
              </c:strCache>
            </c:strRef>
          </c:tx>
          <c:spPr>
            <a:ln w="28575" cap="rnd">
              <a:solidFill>
                <a:schemeClr val="accent2"/>
              </a:solidFill>
              <a:round/>
            </a:ln>
            <a:effectLst/>
          </c:spPr>
          <c:marker>
            <c:symbol val="none"/>
          </c:marker>
          <c:cat>
            <c:numRef>
              <c:f>'GS &gt; 50 Predicted'!$A$2:$A$131</c:f>
              <c:numCache>
                <c:formatCode>m/d/yyyy</c:formatCode>
                <c:ptCount val="13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numCache>
            </c:numRef>
          </c:cat>
          <c:val>
            <c:numRef>
              <c:f>'GS &gt; 50 Predicted'!$O$2:$O$131</c:f>
              <c:numCache>
                <c:formatCode>_-* #,##0_-;\-* #,##0_-;_-* "-"??_-;_-@_-</c:formatCode>
                <c:ptCount val="130"/>
                <c:pt idx="0">
                  <c:v>5864822.0340971611</c:v>
                </c:pt>
                <c:pt idx="1">
                  <c:v>5632615.61074684</c:v>
                </c:pt>
                <c:pt idx="2">
                  <c:v>5757946.9929673197</c:v>
                </c:pt>
                <c:pt idx="3">
                  <c:v>5254413.5387092168</c:v>
                </c:pt>
                <c:pt idx="4">
                  <c:v>4899397.0543127423</c:v>
                </c:pt>
                <c:pt idx="5">
                  <c:v>4628412.7605719203</c:v>
                </c:pt>
                <c:pt idx="6">
                  <c:v>4628412.7605719203</c:v>
                </c:pt>
                <c:pt idx="7">
                  <c:v>4629539.1584990686</c:v>
                </c:pt>
                <c:pt idx="8">
                  <c:v>4713634.2961954158</c:v>
                </c:pt>
                <c:pt idx="9">
                  <c:v>4600274.7437087335</c:v>
                </c:pt>
                <c:pt idx="10">
                  <c:v>5062148.0798858777</c:v>
                </c:pt>
                <c:pt idx="11">
                  <c:v>5497379.1926134815</c:v>
                </c:pt>
                <c:pt idx="12">
                  <c:v>5817935.4843660416</c:v>
                </c:pt>
                <c:pt idx="13">
                  <c:v>5867404.9822407514</c:v>
                </c:pt>
                <c:pt idx="14">
                  <c:v>5606159.5789698558</c:v>
                </c:pt>
                <c:pt idx="15">
                  <c:v>5210725.7658888204</c:v>
                </c:pt>
                <c:pt idx="16">
                  <c:v>5182645.8764397455</c:v>
                </c:pt>
                <c:pt idx="17">
                  <c:v>4637325.7208435321</c:v>
                </c:pt>
                <c:pt idx="18">
                  <c:v>4628412.7605719203</c:v>
                </c:pt>
                <c:pt idx="19">
                  <c:v>4628412.7605719203</c:v>
                </c:pt>
                <c:pt idx="20">
                  <c:v>4650999.6881759288</c:v>
                </c:pt>
                <c:pt idx="21">
                  <c:v>4643637.3828645358</c:v>
                </c:pt>
                <c:pt idx="22">
                  <c:v>4755634.0142447948</c:v>
                </c:pt>
                <c:pt idx="23">
                  <c:v>5251104.4938726425</c:v>
                </c:pt>
                <c:pt idx="24">
                  <c:v>5589934.5601446778</c:v>
                </c:pt>
                <c:pt idx="25">
                  <c:v>5608606.4066740703</c:v>
                </c:pt>
                <c:pt idx="26">
                  <c:v>5486437.9916271828</c:v>
                </c:pt>
                <c:pt idx="27">
                  <c:v>5280957.4228512738</c:v>
                </c:pt>
                <c:pt idx="28">
                  <c:v>4893698.028310148</c:v>
                </c:pt>
                <c:pt idx="29">
                  <c:v>4643050.3573974883</c:v>
                </c:pt>
                <c:pt idx="30">
                  <c:v>4628412.7605719203</c:v>
                </c:pt>
                <c:pt idx="31">
                  <c:v>4628412.7605719203</c:v>
                </c:pt>
                <c:pt idx="32">
                  <c:v>4638778.967238104</c:v>
                </c:pt>
                <c:pt idx="33">
                  <c:v>4580498.9768282976</c:v>
                </c:pt>
                <c:pt idx="34">
                  <c:v>4717498.1953152474</c:v>
                </c:pt>
                <c:pt idx="35">
                  <c:v>5497646.2342341114</c:v>
                </c:pt>
                <c:pt idx="36">
                  <c:v>5465655.4178576218</c:v>
                </c:pt>
                <c:pt idx="37">
                  <c:v>5442413.7022123002</c:v>
                </c:pt>
                <c:pt idx="38">
                  <c:v>5564455.676553729</c:v>
                </c:pt>
                <c:pt idx="39">
                  <c:v>5126863.9559264146</c:v>
                </c:pt>
                <c:pt idx="40">
                  <c:v>4922722.2370617501</c:v>
                </c:pt>
                <c:pt idx="41">
                  <c:v>4634847.7269478086</c:v>
                </c:pt>
                <c:pt idx="42">
                  <c:v>4628412.7605719203</c:v>
                </c:pt>
                <c:pt idx="43">
                  <c:v>4631451.8044842761</c:v>
                </c:pt>
                <c:pt idx="44">
                  <c:v>4654732.5537211327</c:v>
                </c:pt>
                <c:pt idx="45">
                  <c:v>4519663.6265047761</c:v>
                </c:pt>
                <c:pt idx="46">
                  <c:v>4986445.2172177192</c:v>
                </c:pt>
                <c:pt idx="47">
                  <c:v>5708539.6892699534</c:v>
                </c:pt>
                <c:pt idx="48">
                  <c:v>5713747.3494257601</c:v>
                </c:pt>
                <c:pt idx="49">
                  <c:v>5572585.1537536597</c:v>
                </c:pt>
                <c:pt idx="50">
                  <c:v>5632834.0980832139</c:v>
                </c:pt>
                <c:pt idx="51">
                  <c:v>5335810.7714124611</c:v>
                </c:pt>
                <c:pt idx="52">
                  <c:v>4892990.4697497608</c:v>
                </c:pt>
                <c:pt idx="53">
                  <c:v>4639314.2850648677</c:v>
                </c:pt>
                <c:pt idx="54">
                  <c:v>4628412.7605719203</c:v>
                </c:pt>
                <c:pt idx="55">
                  <c:v>4629455.5150886374</c:v>
                </c:pt>
                <c:pt idx="56">
                  <c:v>4702214.1297095958</c:v>
                </c:pt>
                <c:pt idx="57">
                  <c:v>4740812.4406424006</c:v>
                </c:pt>
                <c:pt idx="58">
                  <c:v>5041923.1032434637</c:v>
                </c:pt>
                <c:pt idx="59">
                  <c:v>5461768.7873862237</c:v>
                </c:pt>
                <c:pt idx="60">
                  <c:v>5883397.6656454932</c:v>
                </c:pt>
                <c:pt idx="61">
                  <c:v>5639432.9673707699</c:v>
                </c:pt>
                <c:pt idx="62">
                  <c:v>5565973.0076684915</c:v>
                </c:pt>
                <c:pt idx="63">
                  <c:v>5191771.242421506</c:v>
                </c:pt>
                <c:pt idx="64">
                  <c:v>4924887.4246430192</c:v>
                </c:pt>
                <c:pt idx="65">
                  <c:v>4642225.0757478951</c:v>
                </c:pt>
                <c:pt idx="66">
                  <c:v>4628412.7605719203</c:v>
                </c:pt>
                <c:pt idx="67">
                  <c:v>4640924.7546737175</c:v>
                </c:pt>
                <c:pt idx="68">
                  <c:v>4667585.7577908225</c:v>
                </c:pt>
                <c:pt idx="69">
                  <c:v>4561843.3847289933</c:v>
                </c:pt>
                <c:pt idx="70">
                  <c:v>5019673.9560686005</c:v>
                </c:pt>
                <c:pt idx="71">
                  <c:v>5568380.6783226198</c:v>
                </c:pt>
                <c:pt idx="72">
                  <c:v>5554713.3450580612</c:v>
                </c:pt>
                <c:pt idx="73">
                  <c:v>5504181.5727025177</c:v>
                </c:pt>
                <c:pt idx="74">
                  <c:v>5485839.1685903342</c:v>
                </c:pt>
                <c:pt idx="75">
                  <c:v>5255948.0431321599</c:v>
                </c:pt>
                <c:pt idx="76">
                  <c:v>5001488.0599164795</c:v>
                </c:pt>
                <c:pt idx="77">
                  <c:v>4642476.0059791906</c:v>
                </c:pt>
                <c:pt idx="78">
                  <c:v>4628412.7605719203</c:v>
                </c:pt>
                <c:pt idx="79">
                  <c:v>4628412.7605719203</c:v>
                </c:pt>
                <c:pt idx="80">
                  <c:v>4669860.8585545681</c:v>
                </c:pt>
                <c:pt idx="81">
                  <c:v>4714793.7250446184</c:v>
                </c:pt>
                <c:pt idx="82">
                  <c:v>4830729.068130482</c:v>
                </c:pt>
                <c:pt idx="83">
                  <c:v>5454765.0458193989</c:v>
                </c:pt>
                <c:pt idx="84">
                  <c:v>5501070.0378344543</c:v>
                </c:pt>
                <c:pt idx="85">
                  <c:v>5636812.1405105721</c:v>
                </c:pt>
                <c:pt idx="86">
                  <c:v>5455114.1558250468</c:v>
                </c:pt>
                <c:pt idx="87">
                  <c:v>5082220.6796652712</c:v>
                </c:pt>
                <c:pt idx="88">
                  <c:v>4912775.8588124914</c:v>
                </c:pt>
                <c:pt idx="89">
                  <c:v>4632316.1197254052</c:v>
                </c:pt>
                <c:pt idx="90">
                  <c:v>4631229.5430908734</c:v>
                </c:pt>
                <c:pt idx="91">
                  <c:v>4628412.7605719203</c:v>
                </c:pt>
                <c:pt idx="92">
                  <c:v>4658284.6105508041</c:v>
                </c:pt>
                <c:pt idx="93">
                  <c:v>4491889.6124711819</c:v>
                </c:pt>
                <c:pt idx="94">
                  <c:v>4847240.2773497235</c:v>
                </c:pt>
                <c:pt idx="95">
                  <c:v>5542479.1022255663</c:v>
                </c:pt>
                <c:pt idx="96">
                  <c:v>5954093.9011879116</c:v>
                </c:pt>
                <c:pt idx="97">
                  <c:v>5704027.9851335827</c:v>
                </c:pt>
                <c:pt idx="98">
                  <c:v>5539510.3569507524</c:v>
                </c:pt>
                <c:pt idx="99">
                  <c:v>5157588.9686917029</c:v>
                </c:pt>
                <c:pt idx="100">
                  <c:v>4846206.8565634871</c:v>
                </c:pt>
                <c:pt idx="101">
                  <c:v>4629199.0086299796</c:v>
                </c:pt>
                <c:pt idx="102">
                  <c:v>4629438.1727538873</c:v>
                </c:pt>
                <c:pt idx="103">
                  <c:v>4629857.0034587095</c:v>
                </c:pt>
                <c:pt idx="104">
                  <c:v>4659779.0394838527</c:v>
                </c:pt>
                <c:pt idx="105">
                  <c:v>4537715.0489330944</c:v>
                </c:pt>
                <c:pt idx="106">
                  <c:v>4835123.1352918344</c:v>
                </c:pt>
                <c:pt idx="107">
                  <c:v>5469503.014737485</c:v>
                </c:pt>
                <c:pt idx="108">
                  <c:v>5557919.6757912803</c:v>
                </c:pt>
                <c:pt idx="109">
                  <c:v>5527244.8490722515</c:v>
                </c:pt>
                <c:pt idx="110">
                  <c:v>5597213.1576939831</c:v>
                </c:pt>
                <c:pt idx="111">
                  <c:v>5183312.1055131685</c:v>
                </c:pt>
                <c:pt idx="112">
                  <c:v>4868338.9029637473</c:v>
                </c:pt>
                <c:pt idx="113">
                  <c:v>4629756.6313661914</c:v>
                </c:pt>
                <c:pt idx="114">
                  <c:v>4628412.7605719203</c:v>
                </c:pt>
                <c:pt idx="115">
                  <c:v>4631680.4298061235</c:v>
                </c:pt>
                <c:pt idx="116">
                  <c:v>4645955.5718531543</c:v>
                </c:pt>
                <c:pt idx="117">
                  <c:v>4583785.839398941</c:v>
                </c:pt>
                <c:pt idx="118">
                  <c:v>4902695.8584660199</c:v>
                </c:pt>
                <c:pt idx="119">
                  <c:v>5259864.747058535</c:v>
                </c:pt>
                <c:pt idx="120">
                  <c:v>5544341.5621645153</c:v>
                </c:pt>
                <c:pt idx="121">
                  <c:v>5421887.6092923312</c:v>
                </c:pt>
                <c:pt idx="122">
                  <c:v>5414151.1896229032</c:v>
                </c:pt>
                <c:pt idx="123">
                  <c:v>5092960.4935647165</c:v>
                </c:pt>
                <c:pt idx="124">
                  <c:v>4845242.1692298409</c:v>
                </c:pt>
                <c:pt idx="125">
                  <c:v>4633765.9388395566</c:v>
                </c:pt>
                <c:pt idx="126">
                  <c:v>4628412.7605719203</c:v>
                </c:pt>
                <c:pt idx="127">
                  <c:v>4628412.7605719203</c:v>
                </c:pt>
                <c:pt idx="128">
                  <c:v>4641661.8767843209</c:v>
                </c:pt>
                <c:pt idx="129">
                  <c:v>4536834.0050098794</c:v>
                </c:pt>
              </c:numCache>
            </c:numRef>
          </c:val>
          <c:smooth val="0"/>
          <c:extLst>
            <c:ext xmlns:c16="http://schemas.microsoft.com/office/drawing/2014/chart" uri="{C3380CC4-5D6E-409C-BE32-E72D297353CC}">
              <c16:uniqueId val="{00000001-2209-427E-A9B1-D58332782A7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chart" Target="../charts/chart23.xml"/><Relationship Id="rId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23</xdr:col>
      <xdr:colOff>247650</xdr:colOff>
      <xdr:row>113</xdr:row>
      <xdr:rowOff>122237</xdr:rowOff>
    </xdr:from>
    <xdr:to>
      <xdr:col>33</xdr:col>
      <xdr:colOff>57150</xdr:colOff>
      <xdr:row>128</xdr:row>
      <xdr:rowOff>144462</xdr:rowOff>
    </xdr:to>
    <xdr:graphicFrame macro="">
      <xdr:nvGraphicFramePr>
        <xdr:cNvPr id="2" name="Chart 1">
          <a:extLst>
            <a:ext uri="{FF2B5EF4-FFF2-40B4-BE49-F238E27FC236}">
              <a16:creationId xmlns:a16="http://schemas.microsoft.com/office/drawing/2014/main" id="{5B6F6E94-50AB-5AE2-AB34-8CA63AB38F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333375</xdr:colOff>
      <xdr:row>130</xdr:row>
      <xdr:rowOff>19050</xdr:rowOff>
    </xdr:from>
    <xdr:to>
      <xdr:col>33</xdr:col>
      <xdr:colOff>142875</xdr:colOff>
      <xdr:row>145</xdr:row>
      <xdr:rowOff>34925</xdr:rowOff>
    </xdr:to>
    <xdr:graphicFrame macro="">
      <xdr:nvGraphicFramePr>
        <xdr:cNvPr id="3" name="Chart 2">
          <a:extLst>
            <a:ext uri="{FF2B5EF4-FFF2-40B4-BE49-F238E27FC236}">
              <a16:creationId xmlns:a16="http://schemas.microsoft.com/office/drawing/2014/main" id="{CFEBADE2-B23E-408D-B6A6-01ACC0F1A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409575</xdr:colOff>
      <xdr:row>146</xdr:row>
      <xdr:rowOff>104775</xdr:rowOff>
    </xdr:from>
    <xdr:to>
      <xdr:col>33</xdr:col>
      <xdr:colOff>219075</xdr:colOff>
      <xdr:row>161</xdr:row>
      <xdr:rowOff>120650</xdr:rowOff>
    </xdr:to>
    <xdr:graphicFrame macro="">
      <xdr:nvGraphicFramePr>
        <xdr:cNvPr id="4" name="Chart 3">
          <a:extLst>
            <a:ext uri="{FF2B5EF4-FFF2-40B4-BE49-F238E27FC236}">
              <a16:creationId xmlns:a16="http://schemas.microsoft.com/office/drawing/2014/main" id="{D687A477-8534-43C0-B90D-5006EF9D4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0</xdr:colOff>
      <xdr:row>114</xdr:row>
      <xdr:rowOff>0</xdr:rowOff>
    </xdr:from>
    <xdr:to>
      <xdr:col>45</xdr:col>
      <xdr:colOff>101600</xdr:colOff>
      <xdr:row>129</xdr:row>
      <xdr:rowOff>15875</xdr:rowOff>
    </xdr:to>
    <xdr:graphicFrame macro="">
      <xdr:nvGraphicFramePr>
        <xdr:cNvPr id="5" name="Chart 4">
          <a:extLst>
            <a:ext uri="{FF2B5EF4-FFF2-40B4-BE49-F238E27FC236}">
              <a16:creationId xmlns:a16="http://schemas.microsoft.com/office/drawing/2014/main" id="{6C34405A-80E6-4B6E-AE6D-5CC5CDC98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584200</xdr:colOff>
      <xdr:row>130</xdr:row>
      <xdr:rowOff>57150</xdr:rowOff>
    </xdr:from>
    <xdr:to>
      <xdr:col>45</xdr:col>
      <xdr:colOff>69850</xdr:colOff>
      <xdr:row>145</xdr:row>
      <xdr:rowOff>73025</xdr:rowOff>
    </xdr:to>
    <xdr:graphicFrame macro="">
      <xdr:nvGraphicFramePr>
        <xdr:cNvPr id="7" name="Chart 6">
          <a:extLst>
            <a:ext uri="{FF2B5EF4-FFF2-40B4-BE49-F238E27FC236}">
              <a16:creationId xmlns:a16="http://schemas.microsoft.com/office/drawing/2014/main" id="{B4645DF9-A8C9-4C1E-A18A-D276C5EBD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34</xdr:col>
      <xdr:colOff>31750</xdr:colOff>
      <xdr:row>146</xdr:row>
      <xdr:rowOff>114300</xdr:rowOff>
    </xdr:from>
    <xdr:to>
      <xdr:col>45</xdr:col>
      <xdr:colOff>133350</xdr:colOff>
      <xdr:row>161</xdr:row>
      <xdr:rowOff>130175</xdr:rowOff>
    </xdr:to>
    <xdr:graphicFrame macro="">
      <xdr:nvGraphicFramePr>
        <xdr:cNvPr id="9" name="Chart 8">
          <a:extLst>
            <a:ext uri="{FF2B5EF4-FFF2-40B4-BE49-F238E27FC236}">
              <a16:creationId xmlns:a16="http://schemas.microsoft.com/office/drawing/2014/main" id="{9D121739-C8D8-486C-9C60-9A089A19C1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22</xdr:row>
      <xdr:rowOff>0</xdr:rowOff>
    </xdr:from>
    <xdr:to>
      <xdr:col>28</xdr:col>
      <xdr:colOff>520700</xdr:colOff>
      <xdr:row>37</xdr:row>
      <xdr:rowOff>19050</xdr:rowOff>
    </xdr:to>
    <xdr:graphicFrame macro="">
      <xdr:nvGraphicFramePr>
        <xdr:cNvPr id="2" name="Chart 1">
          <a:extLst>
            <a:ext uri="{FF2B5EF4-FFF2-40B4-BE49-F238E27FC236}">
              <a16:creationId xmlns:a16="http://schemas.microsoft.com/office/drawing/2014/main" id="{935AC3B9-6F6A-460F-911A-2A73B280D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38100</xdr:colOff>
      <xdr:row>24</xdr:row>
      <xdr:rowOff>95250</xdr:rowOff>
    </xdr:from>
    <xdr:to>
      <xdr:col>26</xdr:col>
      <xdr:colOff>558800</xdr:colOff>
      <xdr:row>39</xdr:row>
      <xdr:rowOff>114300</xdr:rowOff>
    </xdr:to>
    <xdr:graphicFrame macro="">
      <xdr:nvGraphicFramePr>
        <xdr:cNvPr id="2" name="Chart 1">
          <a:extLst>
            <a:ext uri="{FF2B5EF4-FFF2-40B4-BE49-F238E27FC236}">
              <a16:creationId xmlns:a16="http://schemas.microsoft.com/office/drawing/2014/main" id="{43F372A1-C4E1-4541-97DD-89D7CB355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403224</xdr:colOff>
      <xdr:row>17</xdr:row>
      <xdr:rowOff>111125</xdr:rowOff>
    </xdr:from>
    <xdr:to>
      <xdr:col>10</xdr:col>
      <xdr:colOff>215899</xdr:colOff>
      <xdr:row>32</xdr:row>
      <xdr:rowOff>92075</xdr:rowOff>
    </xdr:to>
    <xdr:graphicFrame macro="">
      <xdr:nvGraphicFramePr>
        <xdr:cNvPr id="2" name="Chart 1">
          <a:extLst>
            <a:ext uri="{FF2B5EF4-FFF2-40B4-BE49-F238E27FC236}">
              <a16:creationId xmlns:a16="http://schemas.microsoft.com/office/drawing/2014/main" id="{91ED4136-7B00-1883-C2E4-912EB75130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20</xdr:col>
      <xdr:colOff>187325</xdr:colOff>
      <xdr:row>32</xdr:row>
      <xdr:rowOff>165100</xdr:rowOff>
    </xdr:to>
    <xdr:graphicFrame macro="">
      <xdr:nvGraphicFramePr>
        <xdr:cNvPr id="3" name="Chart 2">
          <a:extLst>
            <a:ext uri="{FF2B5EF4-FFF2-40B4-BE49-F238E27FC236}">
              <a16:creationId xmlns:a16="http://schemas.microsoft.com/office/drawing/2014/main" id="{DFB5199E-D25A-4A44-9BA9-69C4F8DC2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508000</xdr:colOff>
      <xdr:row>17</xdr:row>
      <xdr:rowOff>107950</xdr:rowOff>
    </xdr:from>
    <xdr:to>
      <xdr:col>32</xdr:col>
      <xdr:colOff>733425</xdr:colOff>
      <xdr:row>32</xdr:row>
      <xdr:rowOff>88900</xdr:rowOff>
    </xdr:to>
    <xdr:graphicFrame macro="">
      <xdr:nvGraphicFramePr>
        <xdr:cNvPr id="4" name="Chart 3">
          <a:extLst>
            <a:ext uri="{FF2B5EF4-FFF2-40B4-BE49-F238E27FC236}">
              <a16:creationId xmlns:a16="http://schemas.microsoft.com/office/drawing/2014/main" id="{F3860A2B-B979-40B9-887A-69831CCA4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434975</xdr:colOff>
      <xdr:row>17</xdr:row>
      <xdr:rowOff>114299</xdr:rowOff>
    </xdr:from>
    <xdr:to>
      <xdr:col>40</xdr:col>
      <xdr:colOff>57150</xdr:colOff>
      <xdr:row>32</xdr:row>
      <xdr:rowOff>53974</xdr:rowOff>
    </xdr:to>
    <xdr:graphicFrame macro="">
      <xdr:nvGraphicFramePr>
        <xdr:cNvPr id="5" name="Chart 4">
          <a:extLst>
            <a:ext uri="{FF2B5EF4-FFF2-40B4-BE49-F238E27FC236}">
              <a16:creationId xmlns:a16="http://schemas.microsoft.com/office/drawing/2014/main" id="{CDA2D754-F248-7090-0E2B-2BD8DEEA0D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342900</xdr:colOff>
      <xdr:row>17</xdr:row>
      <xdr:rowOff>171450</xdr:rowOff>
    </xdr:from>
    <xdr:to>
      <xdr:col>46</xdr:col>
      <xdr:colOff>587375</xdr:colOff>
      <xdr:row>32</xdr:row>
      <xdr:rowOff>111125</xdr:rowOff>
    </xdr:to>
    <xdr:graphicFrame macro="">
      <xdr:nvGraphicFramePr>
        <xdr:cNvPr id="6" name="Chart 5">
          <a:extLst>
            <a:ext uri="{FF2B5EF4-FFF2-40B4-BE49-F238E27FC236}">
              <a16:creationId xmlns:a16="http://schemas.microsoft.com/office/drawing/2014/main" id="{1DF1F1D3-11A8-40EA-9A84-35A7C6E9D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396875</xdr:colOff>
      <xdr:row>21</xdr:row>
      <xdr:rowOff>26987</xdr:rowOff>
    </xdr:from>
    <xdr:to>
      <xdr:col>25</xdr:col>
      <xdr:colOff>266700</xdr:colOff>
      <xdr:row>36</xdr:row>
      <xdr:rowOff>46037</xdr:rowOff>
    </xdr:to>
    <xdr:graphicFrame macro="">
      <xdr:nvGraphicFramePr>
        <xdr:cNvPr id="2" name="Chart 1">
          <a:extLst>
            <a:ext uri="{FF2B5EF4-FFF2-40B4-BE49-F238E27FC236}">
              <a16:creationId xmlns:a16="http://schemas.microsoft.com/office/drawing/2014/main" id="{051BB47F-B029-92BE-9881-8EE3D2C590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136525</xdr:colOff>
      <xdr:row>37</xdr:row>
      <xdr:rowOff>19050</xdr:rowOff>
    </xdr:to>
    <xdr:graphicFrame macro="">
      <xdr:nvGraphicFramePr>
        <xdr:cNvPr id="2" name="Chart 1">
          <a:extLst>
            <a:ext uri="{FF2B5EF4-FFF2-40B4-BE49-F238E27FC236}">
              <a16:creationId xmlns:a16="http://schemas.microsoft.com/office/drawing/2014/main" id="{10A75D10-D3B9-45F1-99A3-CE8DBC7C0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520700</xdr:colOff>
      <xdr:row>37</xdr:row>
      <xdr:rowOff>19050</xdr:rowOff>
    </xdr:to>
    <xdr:graphicFrame macro="">
      <xdr:nvGraphicFramePr>
        <xdr:cNvPr id="2" name="Chart 1">
          <a:extLst>
            <a:ext uri="{FF2B5EF4-FFF2-40B4-BE49-F238E27FC236}">
              <a16:creationId xmlns:a16="http://schemas.microsoft.com/office/drawing/2014/main" id="{87503852-F1F5-486D-AEDF-7BFB892A4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57151</xdr:colOff>
      <xdr:row>19</xdr:row>
      <xdr:rowOff>19050</xdr:rowOff>
    </xdr:from>
    <xdr:to>
      <xdr:col>5</xdr:col>
      <xdr:colOff>1162050</xdr:colOff>
      <xdr:row>38</xdr:row>
      <xdr:rowOff>66674</xdr:rowOff>
    </xdr:to>
    <xdr:graphicFrame macro="">
      <xdr:nvGraphicFramePr>
        <xdr:cNvPr id="2" name="Chart 1">
          <a:extLst>
            <a:ext uri="{FF2B5EF4-FFF2-40B4-BE49-F238E27FC236}">
              <a16:creationId xmlns:a16="http://schemas.microsoft.com/office/drawing/2014/main" id="{88F7F7F0-73C0-45D8-80ED-11B4FF4116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390525</xdr:colOff>
      <xdr:row>18</xdr:row>
      <xdr:rowOff>104775</xdr:rowOff>
    </xdr:from>
    <xdr:to>
      <xdr:col>11</xdr:col>
      <xdr:colOff>1019174</xdr:colOff>
      <xdr:row>37</xdr:row>
      <xdr:rowOff>152399</xdr:rowOff>
    </xdr:to>
    <xdr:graphicFrame macro="">
      <xdr:nvGraphicFramePr>
        <xdr:cNvPr id="5" name="Chart 4">
          <a:extLst>
            <a:ext uri="{FF2B5EF4-FFF2-40B4-BE49-F238E27FC236}">
              <a16:creationId xmlns:a16="http://schemas.microsoft.com/office/drawing/2014/main" id="{5B67BCEA-CCC1-4507-B870-1A862489A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352425</xdr:colOff>
      <xdr:row>18</xdr:row>
      <xdr:rowOff>114300</xdr:rowOff>
    </xdr:from>
    <xdr:to>
      <xdr:col>17</xdr:col>
      <xdr:colOff>974724</xdr:colOff>
      <xdr:row>37</xdr:row>
      <xdr:rowOff>161924</xdr:rowOff>
    </xdr:to>
    <xdr:graphicFrame macro="">
      <xdr:nvGraphicFramePr>
        <xdr:cNvPr id="6" name="Chart 5">
          <a:extLst>
            <a:ext uri="{FF2B5EF4-FFF2-40B4-BE49-F238E27FC236}">
              <a16:creationId xmlns:a16="http://schemas.microsoft.com/office/drawing/2014/main" id="{F3B848B6-7F89-475B-9A86-C4135065A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819150</xdr:colOff>
      <xdr:row>21</xdr:row>
      <xdr:rowOff>66675</xdr:rowOff>
    </xdr:from>
    <xdr:to>
      <xdr:col>23</xdr:col>
      <xdr:colOff>171450</xdr:colOff>
      <xdr:row>36</xdr:row>
      <xdr:rowOff>85725</xdr:rowOff>
    </xdr:to>
    <xdr:graphicFrame macro="">
      <xdr:nvGraphicFramePr>
        <xdr:cNvPr id="2" name="Chart 1">
          <a:extLst>
            <a:ext uri="{FF2B5EF4-FFF2-40B4-BE49-F238E27FC236}">
              <a16:creationId xmlns:a16="http://schemas.microsoft.com/office/drawing/2014/main" id="{3A08D10C-4DDF-4B1A-8226-33ADE1D79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520700</xdr:colOff>
      <xdr:row>37</xdr:row>
      <xdr:rowOff>19050</xdr:rowOff>
    </xdr:to>
    <xdr:graphicFrame macro="">
      <xdr:nvGraphicFramePr>
        <xdr:cNvPr id="2" name="Chart 1">
          <a:extLst>
            <a:ext uri="{FF2B5EF4-FFF2-40B4-BE49-F238E27FC236}">
              <a16:creationId xmlns:a16="http://schemas.microsoft.com/office/drawing/2014/main" id="{6830875A-784A-4784-A09C-6CAF64AEC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38100</xdr:colOff>
      <xdr:row>24</xdr:row>
      <xdr:rowOff>95250</xdr:rowOff>
    </xdr:from>
    <xdr:to>
      <xdr:col>25</xdr:col>
      <xdr:colOff>558800</xdr:colOff>
      <xdr:row>39</xdr:row>
      <xdr:rowOff>114300</xdr:rowOff>
    </xdr:to>
    <xdr:graphicFrame macro="">
      <xdr:nvGraphicFramePr>
        <xdr:cNvPr id="2" name="Chart 1">
          <a:extLst>
            <a:ext uri="{FF2B5EF4-FFF2-40B4-BE49-F238E27FC236}">
              <a16:creationId xmlns:a16="http://schemas.microsoft.com/office/drawing/2014/main" id="{F3B6C7CC-28B8-4554-B8F1-48ACD3C27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819150</xdr:colOff>
      <xdr:row>21</xdr:row>
      <xdr:rowOff>66675</xdr:rowOff>
    </xdr:from>
    <xdr:to>
      <xdr:col>24</xdr:col>
      <xdr:colOff>171450</xdr:colOff>
      <xdr:row>36</xdr:row>
      <xdr:rowOff>85725</xdr:rowOff>
    </xdr:to>
    <xdr:graphicFrame macro="">
      <xdr:nvGraphicFramePr>
        <xdr:cNvPr id="2" name="Chart 1">
          <a:extLst>
            <a:ext uri="{FF2B5EF4-FFF2-40B4-BE49-F238E27FC236}">
              <a16:creationId xmlns:a16="http://schemas.microsoft.com/office/drawing/2014/main" id="{1B0FF54D-D3C2-44F0-B026-D044A1F97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B42E-8F57-4BCC-BED9-D94148A0E0A6}">
  <sheetPr codeName="Sheet22">
    <tabColor rgb="FFFF0000"/>
  </sheetPr>
  <dimension ref="B2:M51"/>
  <sheetViews>
    <sheetView workbookViewId="0">
      <selection activeCell="L9" sqref="L9"/>
    </sheetView>
  </sheetViews>
  <sheetFormatPr defaultRowHeight="12.5" x14ac:dyDescent="0.25"/>
  <cols>
    <col min="1" max="1" width="8.7265625" style="405"/>
    <col min="2" max="2" width="12.81640625" style="405" customWidth="1"/>
    <col min="3" max="3" width="12.453125" style="405" customWidth="1"/>
    <col min="4" max="4" width="11.1796875" style="405" customWidth="1"/>
    <col min="5" max="5" width="12.08984375" style="405" customWidth="1"/>
    <col min="6" max="9" width="11.1796875" style="405" customWidth="1"/>
    <col min="10" max="10" width="13.08984375" style="405" customWidth="1"/>
    <col min="11" max="11" width="12.54296875" style="405" customWidth="1"/>
    <col min="12" max="12" width="12.7265625" style="405" customWidth="1"/>
    <col min="13" max="15" width="13" style="405" bestFit="1" customWidth="1"/>
    <col min="16" max="16384" width="8.7265625" style="405"/>
  </cols>
  <sheetData>
    <row r="2" spans="2:13" ht="13.5" thickBot="1" x14ac:dyDescent="0.35">
      <c r="B2" s="209" t="s">
        <v>485</v>
      </c>
    </row>
    <row r="3" spans="2:13" ht="26" x14ac:dyDescent="0.25">
      <c r="B3" s="413">
        <v>2025</v>
      </c>
      <c r="C3" s="414" t="s">
        <v>117</v>
      </c>
      <c r="D3" s="414" t="s">
        <v>118</v>
      </c>
      <c r="E3" s="415" t="s">
        <v>120</v>
      </c>
    </row>
    <row r="4" spans="2:13" ht="13" x14ac:dyDescent="0.25">
      <c r="B4" s="416" t="s">
        <v>100</v>
      </c>
      <c r="C4" s="406">
        <f ca="1">E24</f>
        <v>39585261.006463379</v>
      </c>
      <c r="D4" s="406"/>
      <c r="E4" s="417">
        <f ca="1">K45</f>
        <v>5181.9975292897507</v>
      </c>
      <c r="G4" s="407"/>
    </row>
    <row r="5" spans="2:13" ht="13" x14ac:dyDescent="0.25">
      <c r="B5" s="416" t="s">
        <v>102</v>
      </c>
      <c r="C5" s="406">
        <f ca="1">E25</f>
        <v>18203251.767101672</v>
      </c>
      <c r="D5" s="406"/>
      <c r="E5" s="417">
        <f ca="1">K46</f>
        <v>717.00480232140092</v>
      </c>
      <c r="G5" s="407"/>
    </row>
    <row r="6" spans="2:13" ht="13" x14ac:dyDescent="0.25">
      <c r="B6" s="416" t="s">
        <v>103</v>
      </c>
      <c r="C6" s="406">
        <f ca="1">E26</f>
        <v>56644689.019413978</v>
      </c>
      <c r="D6" s="406">
        <f ca="1">E39</f>
        <v>156329.87909142414</v>
      </c>
      <c r="E6" s="417">
        <f ca="1">K47</f>
        <v>70.996992952874038</v>
      </c>
      <c r="G6" s="407"/>
      <c r="H6" s="408"/>
    </row>
    <row r="7" spans="2:13" ht="13" x14ac:dyDescent="0.25">
      <c r="B7" s="416" t="s">
        <v>108</v>
      </c>
      <c r="C7" s="406">
        <f ca="1">E27</f>
        <v>491060.4</v>
      </c>
      <c r="D7" s="406">
        <f ca="1">E40</f>
        <v>1467.9586831868749</v>
      </c>
      <c r="E7" s="417">
        <f ca="1">K48</f>
        <v>1710</v>
      </c>
      <c r="G7" s="409"/>
      <c r="H7" s="410"/>
      <c r="J7" s="411"/>
      <c r="K7" s="411"/>
    </row>
    <row r="8" spans="2:13" ht="13" x14ac:dyDescent="0.25">
      <c r="B8" s="416" t="s">
        <v>105</v>
      </c>
      <c r="C8" s="406">
        <f ca="1">E28</f>
        <v>163953</v>
      </c>
      <c r="D8" s="406"/>
      <c r="E8" s="417">
        <f ca="1">K49</f>
        <v>22</v>
      </c>
      <c r="G8" s="407"/>
    </row>
    <row r="9" spans="2:13" ht="13.5" thickBot="1" x14ac:dyDescent="0.3">
      <c r="B9" s="418" t="s">
        <v>121</v>
      </c>
      <c r="C9" s="419">
        <f ca="1">SUM(C4:C8)</f>
        <v>115088215.19297904</v>
      </c>
      <c r="D9" s="419">
        <f ca="1">SUM(D4:D8)</f>
        <v>157797.83777461102</v>
      </c>
      <c r="E9" s="420">
        <f ca="1">SUM(E4:E8)</f>
        <v>7701.9993245640262</v>
      </c>
    </row>
    <row r="13" spans="2:13" s="31" customFormat="1" ht="13.5" thickBot="1" x14ac:dyDescent="0.35">
      <c r="B13" s="209" t="s">
        <v>112</v>
      </c>
      <c r="C13" s="209"/>
    </row>
    <row r="14" spans="2:13" s="31" customFormat="1" ht="13" x14ac:dyDescent="0.3">
      <c r="B14" s="330" t="s">
        <v>117</v>
      </c>
      <c r="C14" s="331" t="s">
        <v>247</v>
      </c>
      <c r="D14" s="331" t="s">
        <v>248</v>
      </c>
      <c r="E14" s="331" t="s">
        <v>249</v>
      </c>
      <c r="F14" s="331" t="s">
        <v>250</v>
      </c>
      <c r="G14" s="331" t="s">
        <v>251</v>
      </c>
      <c r="H14" s="331" t="s">
        <v>252</v>
      </c>
      <c r="I14" s="331" t="s">
        <v>253</v>
      </c>
      <c r="J14" s="332" t="s">
        <v>254</v>
      </c>
      <c r="K14" s="331" t="s">
        <v>166</v>
      </c>
      <c r="L14" s="333" t="s">
        <v>167</v>
      </c>
    </row>
    <row r="15" spans="2:13" s="31" customFormat="1" ht="13" x14ac:dyDescent="0.3">
      <c r="B15" s="202" t="s">
        <v>100</v>
      </c>
      <c r="C15" s="32">
        <f ca="1">OFFSET('Normalized Annual Summary'!$C$8,COLUMN()-COLUMN($C$15),0)</f>
        <v>37483079.333000004</v>
      </c>
      <c r="D15" s="32">
        <f ca="1">OFFSET('Normalized Annual Summary'!$C$8,COLUMN()-COLUMN($C$15),0)</f>
        <v>38878731</v>
      </c>
      <c r="E15" s="32">
        <f ca="1">OFFSET('Normalized Annual Summary'!$C$8,COLUMN()-COLUMN($C$15),0)</f>
        <v>38802690</v>
      </c>
      <c r="F15" s="32">
        <f ca="1">OFFSET('Normalized Annual Summary'!$C$8,COLUMN()-COLUMN($C$15),0)</f>
        <v>40126980.999999993</v>
      </c>
      <c r="G15" s="32">
        <f ca="1">OFFSET('Normalized Annual Summary'!$C$8,COLUMN()-COLUMN($C$15),0)</f>
        <v>39104541</v>
      </c>
      <c r="H15" s="32">
        <f ca="1">OFFSET('Normalized Annual Summary'!$C$8,COLUMN()-COLUMN($C$15),0)</f>
        <v>39671263</v>
      </c>
      <c r="I15" s="32">
        <f ca="1">OFFSET('Normalized Annual Summary'!$C$8,COLUMN()-COLUMN($C$15),0)</f>
        <v>39128268.20000001</v>
      </c>
      <c r="J15" s="213">
        <f ca="1">'Normalized Annual Summary WN'!K14</f>
        <v>39876444.220132552</v>
      </c>
      <c r="K15" s="213">
        <f ca="1">OFFSET('Normalized Annual Summary'!$K$14,COLUMN()-COLUMN($J$15),0)</f>
        <v>39568614.187952287</v>
      </c>
      <c r="L15" s="205">
        <f ca="1">OFFSET('Normalized Annual Summary'!$K$14,COLUMN()-COLUMN($J$15),0)</f>
        <v>39768006.232786715</v>
      </c>
      <c r="M15" s="32"/>
    </row>
    <row r="16" spans="2:13" s="31" customFormat="1" ht="13" x14ac:dyDescent="0.3">
      <c r="B16" s="204" t="s">
        <v>102</v>
      </c>
      <c r="C16" s="32">
        <f ca="1">OFFSET('Normalized Annual Summary'!$N$8,COLUMN()-COLUMN($C$15),0)</f>
        <v>17706302.366</v>
      </c>
      <c r="D16" s="32">
        <f ca="1">OFFSET('Normalized Annual Summary'!$N$8,COLUMN()-COLUMN($C$15),0)</f>
        <v>17940823</v>
      </c>
      <c r="E16" s="32">
        <f ca="1">OFFSET('Normalized Annual Summary'!$N$8,COLUMN()-COLUMN($C$15),0)</f>
        <v>17709285.999999996</v>
      </c>
      <c r="F16" s="32">
        <f ca="1">OFFSET('Normalized Annual Summary'!$N$8,COLUMN()-COLUMN($C$15),0)</f>
        <v>16586732.999999998</v>
      </c>
      <c r="G16" s="32">
        <f ca="1">OFFSET('Normalized Annual Summary'!$N$8,COLUMN()-COLUMN($C$15),0)</f>
        <v>17080206</v>
      </c>
      <c r="H16" s="32">
        <f ca="1">OFFSET('Normalized Annual Summary'!$N$8,COLUMN()-COLUMN($C$15),0)</f>
        <v>17769474</v>
      </c>
      <c r="I16" s="32">
        <f ca="1">OFFSET('Normalized Annual Summary'!$N$8,COLUMN()-COLUMN($C$15),0)</f>
        <v>17511886.100000001</v>
      </c>
      <c r="J16" s="213">
        <f ca="1">'Normalized Annual Summary WN'!V14</f>
        <v>17767545.121249754</v>
      </c>
      <c r="K16" s="213">
        <f ca="1">OFFSET('Normalized Annual Summary'!$V$14,COLUMN()-COLUMN($J$15),0)</f>
        <v>17950594.765745975</v>
      </c>
      <c r="L16" s="205">
        <f ca="1">OFFSET('Normalized Annual Summary'!$V$14,COLUMN()-COLUMN($J$15),0)</f>
        <v>18400189.45355745</v>
      </c>
    </row>
    <row r="17" spans="2:12" s="31" customFormat="1" ht="13" x14ac:dyDescent="0.3">
      <c r="B17" s="204" t="s">
        <v>103</v>
      </c>
      <c r="C17" s="32">
        <f ca="1">OFFSET('Normalized Annual Summary'!$Y$8,COLUMN()-COLUMN($C$15),0)</f>
        <v>59958732.662860565</v>
      </c>
      <c r="D17" s="32">
        <f ca="1">OFFSET('Normalized Annual Summary'!$Y$8,COLUMN()-COLUMN($C$15),0)</f>
        <v>59526842.000000007</v>
      </c>
      <c r="E17" s="32">
        <f ca="1">OFFSET('Normalized Annual Summary'!$Y$8,COLUMN()-COLUMN($C$15),0)</f>
        <v>60254777</v>
      </c>
      <c r="F17" s="32">
        <f ca="1">OFFSET('Normalized Annual Summary'!$Y$8,COLUMN()-COLUMN($C$15),0)</f>
        <v>57599230</v>
      </c>
      <c r="G17" s="32">
        <f ca="1">OFFSET('Normalized Annual Summary'!$Y$8,COLUMN()-COLUMN($C$15),0)</f>
        <v>57309860.999999985</v>
      </c>
      <c r="H17" s="32">
        <f ca="1">OFFSET('Normalized Annual Summary'!$Y$8,COLUMN()-COLUMN($C$15),0)</f>
        <v>56933855</v>
      </c>
      <c r="I17" s="32">
        <f ca="1">OFFSET('Normalized Annual Summary'!$Y$8,COLUMN()-COLUMN($C$15),0)</f>
        <v>56007213.399999999</v>
      </c>
      <c r="J17" s="213">
        <f ca="1">'Normalized Annual Summary WN'!AG14</f>
        <v>56536592.634033322</v>
      </c>
      <c r="K17" s="213">
        <f ca="1">OFFSET('Normalized Annual Summary'!$AG$14,COLUMN()-COLUMN($J$15),0)</f>
        <v>57474896.950161465</v>
      </c>
      <c r="L17" s="205">
        <f ca="1">OFFSET('Normalized Annual Summary'!$AG$14,COLUMN()-COLUMN($J$15),0)</f>
        <v>57702437.563970186</v>
      </c>
    </row>
    <row r="18" spans="2:12" s="31" customFormat="1" ht="13" x14ac:dyDescent="0.3">
      <c r="B18" s="204" t="s">
        <v>108</v>
      </c>
      <c r="C18" s="32">
        <f ca="1">OFFSET('Normalized Annual Summary'!$AJ$8,COLUMN()-COLUMN($C$15),0)</f>
        <v>513973.00000000006</v>
      </c>
      <c r="D18" s="32">
        <f ca="1">OFFSET('Normalized Annual Summary'!$AJ$8,COLUMN()-COLUMN($C$15),0)</f>
        <v>517432.00000000006</v>
      </c>
      <c r="E18" s="32">
        <f ca="1">OFFSET('Normalized Annual Summary'!$AJ$8,COLUMN()-COLUMN($C$15),0)</f>
        <v>524449</v>
      </c>
      <c r="F18" s="32">
        <f ca="1">OFFSET('Normalized Annual Summary'!$AJ$8,COLUMN()-COLUMN($C$15),0)</f>
        <v>526417</v>
      </c>
      <c r="G18" s="32">
        <f ca="1">OFFSET('Normalized Annual Summary'!$AJ$8,COLUMN()-COLUMN($C$15),0)</f>
        <v>531088</v>
      </c>
      <c r="H18" s="32">
        <f ca="1">OFFSET('Normalized Annual Summary'!$AJ$8,COLUMN()-COLUMN($C$15),0)</f>
        <v>492971.99999999994</v>
      </c>
      <c r="I18" s="32">
        <f ca="1">OFFSET('Normalized Annual Summary'!$AJ$8,COLUMN()-COLUMN($C$15),0)</f>
        <v>491060.4</v>
      </c>
      <c r="J18" s="213">
        <f ca="1">OFFSET('Normalized Annual Summary'!$AM$14,COLUMN()-COLUMN($J$15),0)</f>
        <v>491060.4</v>
      </c>
      <c r="K18" s="213">
        <f ca="1">OFFSET('Normalized Annual Summary'!$AM$14,COLUMN()-COLUMN($J$15),0)</f>
        <v>491060.4</v>
      </c>
      <c r="L18" s="205">
        <f ca="1">OFFSET('Normalized Annual Summary'!$AM$14,COLUMN()-COLUMN($J$15),0)</f>
        <v>491060.4</v>
      </c>
    </row>
    <row r="19" spans="2:12" s="31" customFormat="1" ht="13" x14ac:dyDescent="0.3">
      <c r="B19" s="204" t="s">
        <v>105</v>
      </c>
      <c r="C19" s="32">
        <f ca="1">OFFSET('Normalized Annual Summary'!$AP$8,COLUMN()-COLUMN($C$15),0)</f>
        <v>164177.99999999997</v>
      </c>
      <c r="D19" s="32">
        <f ca="1">OFFSET('Normalized Annual Summary'!$AP$8,COLUMN()-COLUMN($C$15),0)</f>
        <v>164177.99999999997</v>
      </c>
      <c r="E19" s="32">
        <f ca="1">OFFSET('Normalized Annual Summary'!$AP$8,COLUMN()-COLUMN($C$15),0)</f>
        <v>164177.99999999997</v>
      </c>
      <c r="F19" s="32">
        <f ca="1">OFFSET('Normalized Annual Summary'!$AP$8,COLUMN()-COLUMN($C$15),0)</f>
        <v>164177.99999999997</v>
      </c>
      <c r="G19" s="32">
        <f ca="1">OFFSET('Normalized Annual Summary'!$AP$8,COLUMN()-COLUMN($C$15),0)</f>
        <v>164159</v>
      </c>
      <c r="H19" s="32">
        <f ca="1">OFFSET('Normalized Annual Summary'!$AP$8,COLUMN()-COLUMN($C$15),0)</f>
        <v>163953</v>
      </c>
      <c r="I19" s="32">
        <f ca="1">OFFSET('Normalized Annual Summary'!$AP$8,COLUMN()-COLUMN($C$15),0)</f>
        <v>163953</v>
      </c>
      <c r="J19" s="213">
        <f ca="1">OFFSET('Normalized Annual Summary'!$AS$14,COLUMN()-COLUMN($J$15),0)</f>
        <v>163953</v>
      </c>
      <c r="K19" s="213">
        <f ca="1">OFFSET('Normalized Annual Summary'!$AS$14,COLUMN()-COLUMN($J$15),0)</f>
        <v>163953</v>
      </c>
      <c r="L19" s="205">
        <f ca="1">OFFSET('Normalized Annual Summary'!$AS$14,COLUMN()-COLUMN($J$15),0)</f>
        <v>163953</v>
      </c>
    </row>
    <row r="20" spans="2:12" s="31" customFormat="1" ht="13.5" thickBot="1" x14ac:dyDescent="0.35">
      <c r="B20" s="334" t="s">
        <v>121</v>
      </c>
      <c r="C20" s="335">
        <f t="shared" ref="C20:L20" ca="1" si="0">SUM(C15:C19)</f>
        <v>115826265.36186057</v>
      </c>
      <c r="D20" s="335">
        <f t="shared" ca="1" si="0"/>
        <v>117028006</v>
      </c>
      <c r="E20" s="335">
        <f t="shared" ca="1" si="0"/>
        <v>117455380</v>
      </c>
      <c r="F20" s="335">
        <f t="shared" ca="1" si="0"/>
        <v>115003539</v>
      </c>
      <c r="G20" s="335">
        <f t="shared" ca="1" si="0"/>
        <v>114189854.99999999</v>
      </c>
      <c r="H20" s="335">
        <f t="shared" ca="1" si="0"/>
        <v>115031517</v>
      </c>
      <c r="I20" s="335">
        <f t="shared" ca="1" si="0"/>
        <v>113302381.10000002</v>
      </c>
      <c r="J20" s="336">
        <f t="shared" ca="1" si="0"/>
        <v>114835595.37541564</v>
      </c>
      <c r="K20" s="335">
        <f t="shared" ca="1" si="0"/>
        <v>115649119.30385974</v>
      </c>
      <c r="L20" s="337">
        <f t="shared" ca="1" si="0"/>
        <v>116525646.65031436</v>
      </c>
    </row>
    <row r="21" spans="2:12" s="31" customFormat="1" x14ac:dyDescent="0.25"/>
    <row r="22" spans="2:12" s="31" customFormat="1" ht="13.5" thickBot="1" x14ac:dyDescent="0.35">
      <c r="B22" s="209" t="s">
        <v>255</v>
      </c>
      <c r="C22" s="209"/>
      <c r="G22" s="32"/>
      <c r="H22" s="32"/>
      <c r="I22" s="32"/>
      <c r="J22" s="32"/>
      <c r="K22" s="32"/>
      <c r="L22" s="32"/>
    </row>
    <row r="23" spans="2:12" s="31" customFormat="1" ht="55" customHeight="1" x14ac:dyDescent="0.25">
      <c r="B23" s="338" t="s">
        <v>117</v>
      </c>
      <c r="C23" s="339" t="s">
        <v>258</v>
      </c>
      <c r="D23" s="339" t="s">
        <v>256</v>
      </c>
      <c r="E23" s="340" t="s">
        <v>261</v>
      </c>
    </row>
    <row r="24" spans="2:12" s="31" customFormat="1" ht="13" x14ac:dyDescent="0.3">
      <c r="B24" s="202" t="str">
        <f>B15</f>
        <v>Residential</v>
      </c>
      <c r="C24" s="32">
        <f ca="1">L15</f>
        <v>39768006.232786715</v>
      </c>
      <c r="D24" s="32">
        <f>'CDM Adjustment'!N7</f>
        <v>182745.22632333566</v>
      </c>
      <c r="E24" s="203">
        <f ca="1">C24-D24</f>
        <v>39585261.006463379</v>
      </c>
      <c r="F24" s="206"/>
    </row>
    <row r="25" spans="2:12" s="31" customFormat="1" ht="13" x14ac:dyDescent="0.3">
      <c r="B25" s="204" t="str">
        <f>B16</f>
        <v>GS &lt; 50</v>
      </c>
      <c r="C25" s="32">
        <f ca="1">L16</f>
        <v>18400189.45355745</v>
      </c>
      <c r="D25" s="32">
        <f>'CDM Adjustment'!N8</f>
        <v>196937.68645577901</v>
      </c>
      <c r="E25" s="203">
        <f ca="1">C25-D25</f>
        <v>18203251.767101672</v>
      </c>
    </row>
    <row r="26" spans="2:12" s="31" customFormat="1" ht="13" x14ac:dyDescent="0.3">
      <c r="B26" s="204" t="str">
        <f>B17</f>
        <v>GS &gt; 50</v>
      </c>
      <c r="C26" s="32">
        <f ca="1">L17</f>
        <v>57702437.563970186</v>
      </c>
      <c r="D26" s="32">
        <f>'CDM Adjustment'!N9</f>
        <v>1057748.5445562056</v>
      </c>
      <c r="E26" s="203">
        <f ca="1">C26-D26</f>
        <v>56644689.019413978</v>
      </c>
    </row>
    <row r="27" spans="2:12" s="31" customFormat="1" ht="13" x14ac:dyDescent="0.3">
      <c r="B27" s="204" t="str">
        <f>B18</f>
        <v>Street Light</v>
      </c>
      <c r="C27" s="32">
        <f ca="1">L18</f>
        <v>491060.4</v>
      </c>
      <c r="D27" s="32"/>
      <c r="E27" s="203">
        <f t="shared" ref="E27:E28" ca="1" si="1">C27-D27</f>
        <v>491060.4</v>
      </c>
    </row>
    <row r="28" spans="2:12" s="31" customFormat="1" ht="13" x14ac:dyDescent="0.3">
      <c r="B28" s="204" t="str">
        <f>B19</f>
        <v>USL</v>
      </c>
      <c r="C28" s="32">
        <f ca="1">L19</f>
        <v>163953</v>
      </c>
      <c r="D28" s="32"/>
      <c r="E28" s="203">
        <f t="shared" ca="1" si="1"/>
        <v>163953</v>
      </c>
    </row>
    <row r="29" spans="2:12" s="31" customFormat="1" ht="13.5" thickBot="1" x14ac:dyDescent="0.35">
      <c r="B29" s="334" t="s">
        <v>121</v>
      </c>
      <c r="C29" s="335">
        <f ca="1">SUM(C24:C28)</f>
        <v>116525646.65031436</v>
      </c>
      <c r="D29" s="335">
        <f>SUM(D24:D28)</f>
        <v>1437431.4573353203</v>
      </c>
      <c r="E29" s="337">
        <f ca="1">SUM(E24:E28)</f>
        <v>115088215.19297904</v>
      </c>
      <c r="F29" s="209"/>
      <c r="G29" s="209"/>
      <c r="H29" s="323"/>
      <c r="I29" s="323"/>
      <c r="J29" s="323"/>
      <c r="K29" s="323"/>
    </row>
    <row r="30" spans="2:12" s="31" customFormat="1" x14ac:dyDescent="0.25">
      <c r="G30" s="210"/>
    </row>
    <row r="31" spans="2:12" s="31" customFormat="1" ht="13.5" thickBot="1" x14ac:dyDescent="0.35">
      <c r="B31" s="209" t="s">
        <v>112</v>
      </c>
      <c r="C31" s="209"/>
    </row>
    <row r="32" spans="2:12" s="31" customFormat="1" ht="13" x14ac:dyDescent="0.3">
      <c r="B32" s="330" t="s">
        <v>118</v>
      </c>
      <c r="C32" s="331" t="s">
        <v>247</v>
      </c>
      <c r="D32" s="331" t="s">
        <v>248</v>
      </c>
      <c r="E32" s="331" t="s">
        <v>249</v>
      </c>
      <c r="F32" s="331" t="s">
        <v>250</v>
      </c>
      <c r="G32" s="331" t="s">
        <v>251</v>
      </c>
      <c r="H32" s="331" t="s">
        <v>252</v>
      </c>
      <c r="I32" s="331" t="s">
        <v>253</v>
      </c>
      <c r="J32" s="332" t="s">
        <v>254</v>
      </c>
      <c r="K32" s="331" t="s">
        <v>166</v>
      </c>
      <c r="L32" s="333" t="s">
        <v>167</v>
      </c>
    </row>
    <row r="33" spans="2:12" s="31" customFormat="1" ht="13" x14ac:dyDescent="0.3">
      <c r="B33" s="204" t="s">
        <v>103</v>
      </c>
      <c r="C33" s="32">
        <f ca="1">OFFSET('kW Forecast'!$D$9,COLUMN()-COLUMN($C$33),0)</f>
        <v>171235.85000000003</v>
      </c>
      <c r="D33" s="32">
        <f ca="1">OFFSET('kW Forecast'!$D$9,COLUMN()-COLUMN($C$33),0)</f>
        <v>183204.57</v>
      </c>
      <c r="E33" s="32">
        <f ca="1">OFFSET('kW Forecast'!$D$9,COLUMN()-COLUMN($C$33),0)</f>
        <v>171054.99999999997</v>
      </c>
      <c r="F33" s="32">
        <f ca="1">OFFSET('kW Forecast'!$D$9,COLUMN()-COLUMN($C$33),0)</f>
        <v>161087.01</v>
      </c>
      <c r="G33" s="32">
        <f ca="1">OFFSET('kW Forecast'!$D$9,COLUMN()-COLUMN($C$33),0)</f>
        <v>156226.97999999998</v>
      </c>
      <c r="H33" s="32">
        <f ca="1">OFFSET('kW Forecast'!$D$9,COLUMN()-COLUMN($C$33),0)</f>
        <v>155849</v>
      </c>
      <c r="I33" s="32">
        <f ca="1">OFFSET('kW Forecast'!$D$9,COLUMN()-COLUMN($C$33),0)</f>
        <v>151259.79</v>
      </c>
      <c r="J33" s="32">
        <f ca="1">OFFSET('kW Forecast'!$D$24,COLUMN()-COLUMN($J$33),0)</f>
        <v>156036.96420227061</v>
      </c>
      <c r="K33" s="32">
        <f ca="1">OFFSET('kW Forecast'!$D$24,COLUMN()-COLUMN($J$33),0)</f>
        <v>158626.61720690515</v>
      </c>
      <c r="L33" s="203">
        <f ca="1">OFFSET('kW Forecast'!$D$24,COLUMN()-COLUMN($J$33),0)</f>
        <v>159254.61307572696</v>
      </c>
    </row>
    <row r="34" spans="2:12" s="31" customFormat="1" ht="13" x14ac:dyDescent="0.3">
      <c r="B34" s="204" t="s">
        <v>108</v>
      </c>
      <c r="C34" s="32">
        <f ca="1">OFFSET('kW Forecast'!$K$9,COLUMN()-COLUMN($C$33),0)</f>
        <v>1392.24</v>
      </c>
      <c r="D34" s="32">
        <f ca="1">OFFSET('kW Forecast'!$K$9,COLUMN()-COLUMN($C$33),0)</f>
        <v>1421.0400000000002</v>
      </c>
      <c r="E34" s="32">
        <f ca="1">OFFSET('kW Forecast'!$K$9,COLUMN()-COLUMN($C$33),0)</f>
        <v>1463.0400000000002</v>
      </c>
      <c r="F34" s="32">
        <f ca="1">OFFSET('kW Forecast'!$K$9,COLUMN()-COLUMN($C$33),0)</f>
        <v>1500</v>
      </c>
      <c r="G34" s="32">
        <f ca="1">OFFSET('kW Forecast'!$K$9,COLUMN()-COLUMN($C$33),0)</f>
        <v>1532.0400000000002</v>
      </c>
      <c r="H34" s="32">
        <f ca="1">OFFSET('kW Forecast'!$K$9,COLUMN()-COLUMN($C$33),0)</f>
        <v>1517.0400000000002</v>
      </c>
      <c r="I34" s="32">
        <f ca="1">OFFSET('kW Forecast'!$K$9,COLUMN()-COLUMN($C$33),0)</f>
        <v>1424.76</v>
      </c>
      <c r="J34" s="32">
        <f ca="1">OFFSET('kW Forecast'!$K$24,COLUMN()-COLUMN($J$33),0)</f>
        <v>1463.8644806592338</v>
      </c>
      <c r="K34" s="32">
        <f ca="1">OFFSET('kW Forecast'!$K$24,COLUMN()-COLUMN($J$33),0)</f>
        <v>1467.9586831868749</v>
      </c>
      <c r="L34" s="203">
        <f ca="1">OFFSET('kW Forecast'!$K$24,COLUMN()-COLUMN($J$33),0)</f>
        <v>1467.9586831868749</v>
      </c>
    </row>
    <row r="35" spans="2:12" s="31" customFormat="1" ht="13.5" thickBot="1" x14ac:dyDescent="0.35">
      <c r="B35" s="334" t="s">
        <v>121</v>
      </c>
      <c r="C35" s="335">
        <f ca="1">SUM(C33:C34)</f>
        <v>172628.09000000003</v>
      </c>
      <c r="D35" s="335">
        <f t="shared" ref="D35:L35" ca="1" si="2">SUM(D33:D34)</f>
        <v>184625.61000000002</v>
      </c>
      <c r="E35" s="335">
        <f t="shared" ca="1" si="2"/>
        <v>172518.03999999998</v>
      </c>
      <c r="F35" s="335">
        <f t="shared" ca="1" si="2"/>
        <v>162587.01</v>
      </c>
      <c r="G35" s="335">
        <f t="shared" ca="1" si="2"/>
        <v>157759.01999999999</v>
      </c>
      <c r="H35" s="335">
        <f t="shared" ca="1" si="2"/>
        <v>157366.04</v>
      </c>
      <c r="I35" s="335">
        <f t="shared" ca="1" si="2"/>
        <v>152684.55000000002</v>
      </c>
      <c r="J35" s="335">
        <f t="shared" ca="1" si="2"/>
        <v>157500.82868292983</v>
      </c>
      <c r="K35" s="335">
        <f t="shared" ca="1" si="2"/>
        <v>160094.57589009203</v>
      </c>
      <c r="L35" s="337">
        <f t="shared" ca="1" si="2"/>
        <v>160722.57175891384</v>
      </c>
    </row>
    <row r="36" spans="2:12" s="31" customFormat="1" x14ac:dyDescent="0.25"/>
    <row r="37" spans="2:12" s="31" customFormat="1" ht="13.5" thickBot="1" x14ac:dyDescent="0.35">
      <c r="B37" s="209" t="s">
        <v>255</v>
      </c>
      <c r="C37" s="209"/>
    </row>
    <row r="38" spans="2:12" s="31" customFormat="1" ht="52" x14ac:dyDescent="0.25">
      <c r="B38" s="338" t="s">
        <v>118</v>
      </c>
      <c r="C38" s="339" t="s">
        <v>258</v>
      </c>
      <c r="D38" s="339" t="s">
        <v>256</v>
      </c>
      <c r="E38" s="340" t="s">
        <v>261</v>
      </c>
    </row>
    <row r="39" spans="2:12" s="31" customFormat="1" ht="13" x14ac:dyDescent="0.3">
      <c r="B39" s="204" t="str">
        <f>B33</f>
        <v>GS &gt; 50</v>
      </c>
      <c r="C39" s="32">
        <f ca="1">L33</f>
        <v>159254.61307572696</v>
      </c>
      <c r="D39" s="32">
        <f ca="1">'CDM Adjustment'!O20</f>
        <v>2924.733984302824</v>
      </c>
      <c r="E39" s="203">
        <f ca="1">C39-D39</f>
        <v>156329.87909142414</v>
      </c>
    </row>
    <row r="40" spans="2:12" s="31" customFormat="1" ht="13" x14ac:dyDescent="0.3">
      <c r="B40" s="204" t="str">
        <f>B34</f>
        <v>Street Light</v>
      </c>
      <c r="C40" s="32">
        <f ca="1">L34</f>
        <v>1467.9586831868749</v>
      </c>
      <c r="D40" s="32"/>
      <c r="E40" s="203">
        <f ca="1">C40-D40</f>
        <v>1467.9586831868749</v>
      </c>
    </row>
    <row r="41" spans="2:12" s="31" customFormat="1" ht="13.5" thickBot="1" x14ac:dyDescent="0.35">
      <c r="B41" s="334" t="s">
        <v>121</v>
      </c>
      <c r="C41" s="335">
        <f ca="1">SUM(C39:C40)</f>
        <v>160722.57175891384</v>
      </c>
      <c r="D41" s="335">
        <f ca="1">SUM(D39:D40)</f>
        <v>2924.733984302824</v>
      </c>
      <c r="E41" s="337">
        <f ca="1">SUM(E39:E40)</f>
        <v>157797.83777461102</v>
      </c>
    </row>
    <row r="42" spans="2:12" s="31" customFormat="1" x14ac:dyDescent="0.25"/>
    <row r="43" spans="2:12" s="31" customFormat="1" ht="13.5" thickBot="1" x14ac:dyDescent="0.35">
      <c r="B43" s="209" t="s">
        <v>257</v>
      </c>
      <c r="C43" s="209"/>
    </row>
    <row r="44" spans="2:12" s="31" customFormat="1" ht="13" x14ac:dyDescent="0.3">
      <c r="B44" s="330" t="s">
        <v>106</v>
      </c>
      <c r="C44" s="331" t="s">
        <v>247</v>
      </c>
      <c r="D44" s="331" t="s">
        <v>248</v>
      </c>
      <c r="E44" s="331" t="s">
        <v>249</v>
      </c>
      <c r="F44" s="331" t="s">
        <v>250</v>
      </c>
      <c r="G44" s="331" t="s">
        <v>251</v>
      </c>
      <c r="H44" s="331" t="s">
        <v>252</v>
      </c>
      <c r="I44" s="331" t="s">
        <v>253</v>
      </c>
      <c r="J44" s="331" t="s">
        <v>166</v>
      </c>
      <c r="K44" s="333" t="s">
        <v>167</v>
      </c>
    </row>
    <row r="45" spans="2:12" s="31" customFormat="1" ht="13" x14ac:dyDescent="0.3">
      <c r="B45" s="202" t="str">
        <f>B15</f>
        <v>Residential</v>
      </c>
      <c r="C45" s="32">
        <f ca="1">OFFSET('Customer Count'!$C$7,COLUMN()-COLUMN($C$45),0)</f>
        <v>5201.75</v>
      </c>
      <c r="D45" s="32">
        <f ca="1">OFFSET('Customer Count'!$C$7,COLUMN()-COLUMN($C$45),0)</f>
        <v>5157.25</v>
      </c>
      <c r="E45" s="32">
        <f ca="1">OFFSET('Customer Count'!$C$7,COLUMN()-COLUMN($C$45),0)</f>
        <v>5106.833333333333</v>
      </c>
      <c r="F45" s="32">
        <f ca="1">OFFSET('Customer Count'!$C$7,COLUMN()-COLUMN($C$45),0)</f>
        <v>5154.5</v>
      </c>
      <c r="G45" s="32">
        <f ca="1">OFFSET('Customer Count'!$C$7,COLUMN()-COLUMN($C$45),0)</f>
        <v>5165.916666666667</v>
      </c>
      <c r="H45" s="32">
        <f ca="1">OFFSET('Customer Count'!$C$7,COLUMN()-COLUMN($C$45),0)</f>
        <v>5161.083333333333</v>
      </c>
      <c r="I45" s="32">
        <f ca="1">OFFSET('Customer Count'!$C$7,COLUMN()-COLUMN($C$45),0)</f>
        <v>5194.166666666667</v>
      </c>
      <c r="J45" s="32">
        <f ca="1">OFFSET('Customer Count'!$C$18,COLUMN()-COLUMN($J$33),0)</f>
        <v>5182.4538256744681</v>
      </c>
      <c r="K45" s="205">
        <f ca="1">OFFSET('Customer Count'!$C$18,COLUMN()-COLUMN($J$33),0)</f>
        <v>5181.9975292897507</v>
      </c>
    </row>
    <row r="46" spans="2:12" s="31" customFormat="1" ht="13" x14ac:dyDescent="0.3">
      <c r="B46" s="204" t="str">
        <f>B16</f>
        <v>GS &lt; 50</v>
      </c>
      <c r="C46" s="32">
        <f ca="1">OFFSET('Customer Count'!$G$7,COLUMN()-COLUMN($C$45),0)</f>
        <v>747.08333333333337</v>
      </c>
      <c r="D46" s="32">
        <f ca="1">OFFSET('Customer Count'!$G$7,COLUMN()-COLUMN($C$45),0)</f>
        <v>713.16666666666663</v>
      </c>
      <c r="E46" s="32">
        <f ca="1">OFFSET('Customer Count'!$G$7,COLUMN()-COLUMN($C$45),0)</f>
        <v>742.5</v>
      </c>
      <c r="F46" s="32">
        <f ca="1">OFFSET('Customer Count'!$G$7,COLUMN()-COLUMN($C$45),0)</f>
        <v>717.33333333333337</v>
      </c>
      <c r="G46" s="32">
        <f ca="1">OFFSET('Customer Count'!$G$7,COLUMN()-COLUMN($C$45),0)</f>
        <v>705.83333333333337</v>
      </c>
      <c r="H46" s="32">
        <f ca="1">OFFSET('Customer Count'!$G$7,COLUMN()-COLUMN($C$45),0)</f>
        <v>712.16666666666663</v>
      </c>
      <c r="I46" s="32">
        <f ca="1">OFFSET('Customer Count'!$G$7,COLUMN()-COLUMN($C$45),0)</f>
        <v>715.91666666666663</v>
      </c>
      <c r="J46" s="32">
        <f ca="1">OFFSET('Customer Count'!$G$18,COLUMN()-COLUMN($J$34),0)</f>
        <v>714.87066563010728</v>
      </c>
      <c r="K46" s="205">
        <f ca="1">OFFSET('Customer Count'!$G$18,COLUMN()-COLUMN($J$34),0)</f>
        <v>717.00480232140092</v>
      </c>
    </row>
    <row r="47" spans="2:12" s="31" customFormat="1" ht="13.5" customHeight="1" x14ac:dyDescent="0.3">
      <c r="B47" s="204" t="str">
        <f>B17</f>
        <v>GS &gt; 50</v>
      </c>
      <c r="C47" s="32">
        <f ca="1">OFFSET('Customer Count'!$K$7,COLUMN()-COLUMN($C$45),0)</f>
        <v>54</v>
      </c>
      <c r="D47" s="32">
        <f ca="1">OFFSET('Customer Count'!$K$7,COLUMN()-COLUMN($C$45),0)</f>
        <v>68.666666666666671</v>
      </c>
      <c r="E47" s="32">
        <f ca="1">OFFSET('Customer Count'!$K$7,COLUMN()-COLUMN($C$45),0)</f>
        <v>68.5</v>
      </c>
      <c r="F47" s="32">
        <f ca="1">OFFSET('Customer Count'!$K$7,COLUMN()-COLUMN($C$45),0)</f>
        <v>71.833333333333329</v>
      </c>
      <c r="G47" s="32">
        <f ca="1">OFFSET('Customer Count'!$K$7,COLUMN()-COLUMN($C$45),0)</f>
        <v>70.666666666666671</v>
      </c>
      <c r="H47" s="32">
        <f ca="1">OFFSET('Customer Count'!$K$7,COLUMN()-COLUMN($C$45),0)</f>
        <v>67.75</v>
      </c>
      <c r="I47" s="32">
        <f ca="1">OFFSET('Customer Count'!$K$7,COLUMN()-COLUMN($C$45),0)</f>
        <v>68.833333333333329</v>
      </c>
      <c r="J47" s="32">
        <f ca="1">OFFSET('Customer Count'!$K$18,COLUMN()-COLUMN($J$35),0)</f>
        <v>69.556609848413473</v>
      </c>
      <c r="K47" s="205">
        <f ca="1">OFFSET('Customer Count'!$K$18,COLUMN()-COLUMN($J$35),0)</f>
        <v>70.996992952874038</v>
      </c>
    </row>
    <row r="48" spans="2:12" s="31" customFormat="1" ht="13" x14ac:dyDescent="0.3">
      <c r="B48" s="204" t="str">
        <f>B18</f>
        <v>Street Light</v>
      </c>
      <c r="C48" s="32">
        <f ca="1">OFFSET('Customer Count'!$O$7,COLUMN()-COLUMN($C$45),0)</f>
        <v>1650</v>
      </c>
      <c r="D48" s="32">
        <f ca="1">OFFSET('Customer Count'!$O$7,COLUMN()-COLUMN($C$45),0)</f>
        <v>1659.5833333333333</v>
      </c>
      <c r="E48" s="32">
        <f ca="1">OFFSET('Customer Count'!$O$7,COLUMN()-COLUMN($C$45),0)</f>
        <v>1710</v>
      </c>
      <c r="F48" s="32">
        <f ca="1">OFFSET('Customer Count'!$O$7,COLUMN()-COLUMN($C$45),0)</f>
        <v>1710</v>
      </c>
      <c r="G48" s="32">
        <f ca="1">OFFSET('Customer Count'!$O$7,COLUMN()-COLUMN($C$45),0)</f>
        <v>1710</v>
      </c>
      <c r="H48" s="32">
        <f ca="1">OFFSET('Customer Count'!$O$7,COLUMN()-COLUMN($C$45),0)</f>
        <v>1710</v>
      </c>
      <c r="I48" s="32">
        <f ca="1">OFFSET('Customer Count'!$O$7,COLUMN()-COLUMN($C$45),0)</f>
        <v>1710</v>
      </c>
      <c r="J48" s="32">
        <f ca="1">OFFSET('Customer Count'!$O$18,COLUMN()-COLUMN($J$36),0)</f>
        <v>1710</v>
      </c>
      <c r="K48" s="205">
        <f ca="1">OFFSET('Customer Count'!$O$18,COLUMN()-COLUMN($J$36),0)</f>
        <v>1710</v>
      </c>
    </row>
    <row r="49" spans="2:11" s="31" customFormat="1" ht="13" x14ac:dyDescent="0.3">
      <c r="B49" s="204" t="str">
        <f>B19</f>
        <v>USL</v>
      </c>
      <c r="C49" s="32">
        <f ca="1">OFFSET('Customer Count'!$S$7,COLUMN()-COLUMN($C$45),0)</f>
        <v>23</v>
      </c>
      <c r="D49" s="32">
        <f ca="1">OFFSET('Customer Count'!$S$7,COLUMN()-COLUMN($C$45),0)</f>
        <v>23</v>
      </c>
      <c r="E49" s="32">
        <f ca="1">OFFSET('Customer Count'!$S$7,COLUMN()-COLUMN($C$45),0)</f>
        <v>23</v>
      </c>
      <c r="F49" s="32">
        <f ca="1">OFFSET('Customer Count'!$S$7,COLUMN()-COLUMN($C$45),0)</f>
        <v>23</v>
      </c>
      <c r="G49" s="32">
        <f ca="1">OFFSET('Customer Count'!$S$7,COLUMN()-COLUMN($C$45),0)</f>
        <v>23</v>
      </c>
      <c r="H49" s="32">
        <f ca="1">OFFSET('Customer Count'!$S$7,COLUMN()-COLUMN($C$45),0)</f>
        <v>22</v>
      </c>
      <c r="I49" s="32">
        <f ca="1">OFFSET('Customer Count'!$S$7,COLUMN()-COLUMN($C$45),0)</f>
        <v>22</v>
      </c>
      <c r="J49" s="32">
        <f ca="1">OFFSET('Customer Count'!$S$18,COLUMN()-COLUMN($J$37),0)</f>
        <v>22</v>
      </c>
      <c r="K49" s="205">
        <f ca="1">OFFSET('Customer Count'!$S$18,COLUMN()-COLUMN($J$37),0)</f>
        <v>22</v>
      </c>
    </row>
    <row r="50" spans="2:11" s="31" customFormat="1" ht="13.5" thickBot="1" x14ac:dyDescent="0.35">
      <c r="B50" s="334" t="s">
        <v>121</v>
      </c>
      <c r="C50" s="335">
        <f t="shared" ref="C50:K50" ca="1" si="3">SUM(C45:C49)</f>
        <v>7675.833333333333</v>
      </c>
      <c r="D50" s="335">
        <f t="shared" ca="1" si="3"/>
        <v>7621.666666666667</v>
      </c>
      <c r="E50" s="335">
        <f t="shared" ca="1" si="3"/>
        <v>7650.833333333333</v>
      </c>
      <c r="F50" s="335">
        <f t="shared" ca="1" si="3"/>
        <v>7676.6666666666661</v>
      </c>
      <c r="G50" s="335">
        <f t="shared" ca="1" si="3"/>
        <v>7675.416666666667</v>
      </c>
      <c r="H50" s="335">
        <f t="shared" ca="1" si="3"/>
        <v>7673</v>
      </c>
      <c r="I50" s="335">
        <f t="shared" ca="1" si="3"/>
        <v>7710.916666666667</v>
      </c>
      <c r="J50" s="335">
        <f t="shared" ca="1" si="3"/>
        <v>7698.8811011529888</v>
      </c>
      <c r="K50" s="337">
        <f t="shared" ca="1" si="3"/>
        <v>7701.9993245640262</v>
      </c>
    </row>
    <row r="51" spans="2:11" x14ac:dyDescent="0.25">
      <c r="C51" s="412"/>
      <c r="D51" s="412"/>
      <c r="E51" s="412"/>
      <c r="F51" s="412"/>
      <c r="G51" s="412"/>
      <c r="H51" s="412"/>
      <c r="I51" s="412"/>
      <c r="J51" s="412"/>
      <c r="K51" s="41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134D3-EDDC-410C-BB97-E728841F1F9A}">
  <sheetPr codeName="Sheet9">
    <tabColor theme="3" tint="0.79998168889431442"/>
  </sheetPr>
  <dimension ref="B1:X128"/>
  <sheetViews>
    <sheetView topLeftCell="A118" workbookViewId="0">
      <selection activeCell="I26" sqref="I26"/>
    </sheetView>
  </sheetViews>
  <sheetFormatPr defaultRowHeight="14.5" x14ac:dyDescent="0.35"/>
  <cols>
    <col min="1" max="1" width="2.54296875" customWidth="1"/>
    <col min="2" max="2" width="34.1796875" customWidth="1"/>
    <col min="3" max="3" width="12.453125" customWidth="1"/>
    <col min="5" max="5" width="30.81640625" customWidth="1"/>
    <col min="6" max="6" width="11.81640625" customWidth="1"/>
    <col min="7" max="7" width="10.54296875" bestFit="1" customWidth="1"/>
    <col min="8" max="8" width="17.1796875" bestFit="1" customWidth="1"/>
    <col min="9" max="9" width="11.54296875" customWidth="1"/>
    <col min="10" max="10" width="21.453125" customWidth="1"/>
    <col min="11" max="11" width="12.54296875" bestFit="1" customWidth="1"/>
    <col min="12" max="12" width="14.54296875" bestFit="1" customWidth="1"/>
    <col min="13" max="13" width="12" bestFit="1" customWidth="1"/>
    <col min="14" max="14" width="14.54296875" customWidth="1"/>
    <col min="15" max="17" width="11" bestFit="1" customWidth="1"/>
    <col min="18" max="21" width="11.54296875" bestFit="1" customWidth="1"/>
    <col min="22" max="24" width="12" bestFit="1" customWidth="1"/>
  </cols>
  <sheetData>
    <row r="1" spans="2:24" x14ac:dyDescent="0.35">
      <c r="C1" t="s">
        <v>309</v>
      </c>
      <c r="D1" t="s">
        <v>310</v>
      </c>
      <c r="G1" s="441" t="s">
        <v>433</v>
      </c>
      <c r="H1" s="442"/>
      <c r="I1" s="442" t="s">
        <v>434</v>
      </c>
      <c r="J1" s="443"/>
    </row>
    <row r="2" spans="2:24" x14ac:dyDescent="0.35">
      <c r="C2" t="s">
        <v>311</v>
      </c>
      <c r="D2" t="s">
        <v>312</v>
      </c>
      <c r="G2" s="219" t="s">
        <v>435</v>
      </c>
      <c r="H2" s="220" t="s">
        <v>436</v>
      </c>
      <c r="I2" s="220" t="s">
        <v>435</v>
      </c>
      <c r="J2" s="221" t="s">
        <v>436</v>
      </c>
    </row>
    <row r="3" spans="2:24" x14ac:dyDescent="0.35">
      <c r="B3" t="s">
        <v>313</v>
      </c>
      <c r="C3" s="149">
        <f>70*365</f>
        <v>25550</v>
      </c>
      <c r="D3" s="147">
        <f>G3*H3+I3*J3</f>
        <v>18.172359989698997</v>
      </c>
      <c r="E3" s="242">
        <f>C3*D3/100</f>
        <v>4643.0379773680934</v>
      </c>
      <c r="G3" s="227">
        <v>20</v>
      </c>
      <c r="H3" s="275">
        <f>('EV Data'!AG36/('EV Data'!AG36+'EV Data'!AQ36))</f>
        <v>0.77154499871237481</v>
      </c>
      <c r="I3">
        <f>G3*0.6</f>
        <v>12</v>
      </c>
      <c r="J3" s="276">
        <f>('EV Data'!AQ36/('EV Data'!AG36+'EV Data'!AQ36))</f>
        <v>0.22845500128762516</v>
      </c>
      <c r="Q3" s="179"/>
      <c r="R3" s="179"/>
      <c r="S3" s="179"/>
    </row>
    <row r="4" spans="2:24" x14ac:dyDescent="0.35">
      <c r="B4" t="s">
        <v>314</v>
      </c>
      <c r="C4" s="149">
        <f>70*365</f>
        <v>25550</v>
      </c>
      <c r="D4" s="147">
        <f>G4*H4+I4*J4</f>
        <v>17.743702081051477</v>
      </c>
      <c r="E4" s="242">
        <f>C4*D4/100</f>
        <v>4533.5158817086522</v>
      </c>
      <c r="G4" s="227">
        <v>20</v>
      </c>
      <c r="H4" s="275">
        <f>('EV Data'!AI36/('EV Data'!AI36+'EV Data'!AS36))</f>
        <v>0.71796276013143479</v>
      </c>
      <c r="I4">
        <f>G4*0.6</f>
        <v>12</v>
      </c>
      <c r="J4" s="276">
        <f>('EV Data'!AS36/('EV Data'!AI36+'EV Data'!AS36))</f>
        <v>0.28203723986856516</v>
      </c>
      <c r="O4" s="179"/>
      <c r="P4" s="179"/>
      <c r="Q4" s="179"/>
      <c r="R4" s="179"/>
      <c r="S4" s="179"/>
      <c r="T4" s="153"/>
      <c r="U4" s="153"/>
      <c r="V4" s="153"/>
      <c r="W4" s="153"/>
      <c r="X4" s="179"/>
    </row>
    <row r="5" spans="2:24" x14ac:dyDescent="0.35">
      <c r="B5" t="s">
        <v>315</v>
      </c>
      <c r="C5" s="149">
        <f>70*365</f>
        <v>25550</v>
      </c>
      <c r="D5" s="147">
        <f>G5*H5+I5*J5</f>
        <v>16.900676027041079</v>
      </c>
      <c r="E5" s="242">
        <f>C5*D5/100</f>
        <v>4318.1227249089961</v>
      </c>
      <c r="F5" s="149"/>
      <c r="G5" s="227">
        <v>25</v>
      </c>
      <c r="H5" s="275">
        <f>('EV Data'!AJ36/('EV Data'!AJ36+'EV Data'!AT36))</f>
        <v>0.19006760270410816</v>
      </c>
      <c r="I5">
        <f>G5*0.6</f>
        <v>15</v>
      </c>
      <c r="J5" s="276">
        <f>('EV Data'!AT36/('EV Data'!AJ36+'EV Data'!AT36))</f>
        <v>0.80993239729589184</v>
      </c>
    </row>
    <row r="6" spans="2:24" x14ac:dyDescent="0.35">
      <c r="B6" t="s">
        <v>316</v>
      </c>
      <c r="C6" s="149">
        <f>70*365</f>
        <v>25550</v>
      </c>
      <c r="D6" s="147">
        <f>G6*H6+I6*J6</f>
        <v>30</v>
      </c>
      <c r="E6" s="242">
        <f>C6*D6/100</f>
        <v>7665</v>
      </c>
      <c r="G6" s="234">
        <v>30</v>
      </c>
      <c r="H6" s="278">
        <f>('EV Data'!AH36/('EV Data'!AH36+'EV Data'!AR36))</f>
        <v>1</v>
      </c>
      <c r="I6" s="235">
        <f>G6*0.6</f>
        <v>18</v>
      </c>
      <c r="J6" s="279">
        <f>('EV Data'!AR36/('EV Data'!AH36+'EV Data'!AR36))</f>
        <v>0</v>
      </c>
    </row>
    <row r="7" spans="2:24" x14ac:dyDescent="0.35">
      <c r="C7" s="151" t="s">
        <v>437</v>
      </c>
      <c r="D7" s="147"/>
      <c r="E7" s="242"/>
      <c r="H7" s="158"/>
      <c r="I7" s="158"/>
    </row>
    <row r="8" spans="2:24" x14ac:dyDescent="0.35">
      <c r="E8" s="243"/>
      <c r="F8" s="244">
        <v>2017</v>
      </c>
      <c r="G8" s="244">
        <v>2018</v>
      </c>
      <c r="H8" s="244">
        <v>2019</v>
      </c>
      <c r="I8" s="244">
        <v>2020</v>
      </c>
      <c r="J8" s="244">
        <v>2021</v>
      </c>
      <c r="K8" s="244">
        <v>2022</v>
      </c>
      <c r="L8" s="244">
        <v>2023</v>
      </c>
      <c r="M8" s="244">
        <v>2024</v>
      </c>
      <c r="N8" s="244">
        <v>2025</v>
      </c>
      <c r="O8" s="244">
        <v>2026</v>
      </c>
      <c r="P8" s="244">
        <v>2027</v>
      </c>
      <c r="Q8" s="244">
        <v>2028</v>
      </c>
      <c r="R8" s="244">
        <v>2029</v>
      </c>
      <c r="S8" s="244">
        <v>2030</v>
      </c>
      <c r="T8" s="244">
        <v>2031</v>
      </c>
      <c r="U8" s="244">
        <v>2032</v>
      </c>
      <c r="V8" s="244">
        <v>2033</v>
      </c>
      <c r="W8" s="244">
        <v>2034</v>
      </c>
      <c r="X8" s="244">
        <v>2035</v>
      </c>
    </row>
    <row r="10" spans="2:24" x14ac:dyDescent="0.35">
      <c r="C10" s="437" t="s">
        <v>317</v>
      </c>
      <c r="D10" s="245" t="s">
        <v>174</v>
      </c>
      <c r="E10" t="s">
        <v>318</v>
      </c>
      <c r="F10" s="149">
        <f>SUMIFS('EV Data'!$Q:$Q,'EV Data'!$K:$K,'EV Forecast'!F8)/3</f>
        <v>3</v>
      </c>
      <c r="G10" s="149">
        <f>SUMIFS('EV Data'!$Q:$Q,'EV Data'!$K:$K,'EV Forecast'!G8)/3</f>
        <v>6</v>
      </c>
      <c r="H10" s="149">
        <f>SUMIFS('EV Data'!$Q:$Q,'EV Data'!$K:$K,'EV Forecast'!H8)/3</f>
        <v>3</v>
      </c>
      <c r="I10" s="149">
        <f>SUMIFS('EV Data'!$Q:$Q,'EV Data'!$K:$K,'EV Forecast'!I8)/3</f>
        <v>1</v>
      </c>
      <c r="J10" s="149">
        <f>SUMIFS('EV Data'!$Q:$Q,'EV Data'!$K:$K,'EV Forecast'!J8)/3</f>
        <v>7</v>
      </c>
      <c r="K10" s="375">
        <f>SUMIFS('EV Data'!$Q:$Q,'EV Data'!$K:$K,'EV Forecast'!K8)/3</f>
        <v>16</v>
      </c>
      <c r="L10" s="375">
        <f>SUMIFS('EV Data'!$Q:$Q,'EV Data'!$K:$K,'EV Forecast'!L8)/3</f>
        <v>15</v>
      </c>
      <c r="M10" s="376">
        <f>M13+M18+M23</f>
        <v>19.831487255438631</v>
      </c>
      <c r="N10" s="376">
        <f t="shared" ref="N10:X10" si="0">N13+N18+N23</f>
        <v>24.007081656412488</v>
      </c>
      <c r="O10" s="376">
        <f>O13+O18+O23</f>
        <v>29.052803724305114</v>
      </c>
      <c r="P10" s="246">
        <f t="shared" si="0"/>
        <v>57.982637641251699</v>
      </c>
      <c r="Q10" s="246">
        <f t="shared" si="0"/>
        <v>79.780620763219517</v>
      </c>
      <c r="R10" s="246">
        <f>R13+R18+R23</f>
        <v>97.615334226647732</v>
      </c>
      <c r="S10" s="246">
        <f t="shared" si="0"/>
        <v>131.30312632423437</v>
      </c>
      <c r="T10" s="246">
        <f t="shared" si="0"/>
        <v>147.15620495839275</v>
      </c>
      <c r="U10" s="246">
        <f t="shared" si="0"/>
        <v>163.00928359255116</v>
      </c>
      <c r="V10" s="246">
        <f t="shared" si="0"/>
        <v>178.86236222670959</v>
      </c>
      <c r="W10" s="246">
        <f t="shared" si="0"/>
        <v>194.715440860868</v>
      </c>
      <c r="X10" s="246">
        <f t="shared" si="0"/>
        <v>210.56851949502644</v>
      </c>
    </row>
    <row r="11" spans="2:24" x14ac:dyDescent="0.35">
      <c r="B11" t="s">
        <v>426</v>
      </c>
      <c r="C11" s="437"/>
      <c r="D11" s="245" t="s">
        <v>174</v>
      </c>
      <c r="E11" t="s">
        <v>264</v>
      </c>
      <c r="F11" s="149">
        <f>F10</f>
        <v>3</v>
      </c>
      <c r="G11" s="149">
        <f>F11+G10</f>
        <v>9</v>
      </c>
      <c r="H11" s="149">
        <f t="shared" ref="H11:Q11" si="1">G11+H10</f>
        <v>12</v>
      </c>
      <c r="I11" s="149">
        <f t="shared" si="1"/>
        <v>13</v>
      </c>
      <c r="J11" s="149">
        <f t="shared" si="1"/>
        <v>20</v>
      </c>
      <c r="K11" s="149">
        <f t="shared" si="1"/>
        <v>36</v>
      </c>
      <c r="L11" s="149">
        <f t="shared" si="1"/>
        <v>51</v>
      </c>
      <c r="M11" s="246">
        <f t="shared" si="1"/>
        <v>70.831487255438631</v>
      </c>
      <c r="N11" s="246">
        <f t="shared" si="1"/>
        <v>94.838568911851127</v>
      </c>
      <c r="O11" s="246">
        <f t="shared" si="1"/>
        <v>123.89137263615623</v>
      </c>
      <c r="P11" s="246">
        <f t="shared" si="1"/>
        <v>181.87401027740793</v>
      </c>
      <c r="Q11" s="246">
        <f t="shared" si="1"/>
        <v>261.65463104062746</v>
      </c>
      <c r="R11" s="246">
        <f>Q11+R10</f>
        <v>359.26996526727521</v>
      </c>
      <c r="S11" s="246">
        <f t="shared" ref="S11:X11" si="2">R11+S10</f>
        <v>490.57309159150958</v>
      </c>
      <c r="T11" s="246">
        <f t="shared" si="2"/>
        <v>637.7292965499023</v>
      </c>
      <c r="U11" s="246">
        <f t="shared" si="2"/>
        <v>800.73858014245343</v>
      </c>
      <c r="V11" s="246">
        <f t="shared" si="2"/>
        <v>979.60094236916302</v>
      </c>
      <c r="W11" s="246">
        <f t="shared" si="2"/>
        <v>1174.3163832300311</v>
      </c>
      <c r="X11" s="246">
        <f t="shared" si="2"/>
        <v>1384.8849027250576</v>
      </c>
    </row>
    <row r="12" spans="2:24" x14ac:dyDescent="0.35">
      <c r="B12" s="247">
        <f>'CDM Framework'!I37</f>
        <v>1.2559809369301421E-3</v>
      </c>
      <c r="D12" s="245"/>
      <c r="G12" s="190"/>
    </row>
    <row r="13" spans="2:24" x14ac:dyDescent="0.35">
      <c r="B13" s="153"/>
      <c r="C13" s="444" t="s">
        <v>319</v>
      </c>
      <c r="D13" s="248" t="s">
        <v>174</v>
      </c>
      <c r="E13" s="217" t="s">
        <v>318</v>
      </c>
      <c r="F13" s="249">
        <f t="shared" ref="F13:L13" si="3">F10*(F45+F46)</f>
        <v>2.8085574572127143</v>
      </c>
      <c r="G13" s="249">
        <f t="shared" si="3"/>
        <v>5.6867167919799497</v>
      </c>
      <c r="H13" s="249">
        <f t="shared" si="3"/>
        <v>2.9717271051014134</v>
      </c>
      <c r="I13" s="249">
        <f t="shared" si="3"/>
        <v>0.98716119828815985</v>
      </c>
      <c r="J13" s="249">
        <f t="shared" si="3"/>
        <v>6.9002838892831795</v>
      </c>
      <c r="K13" s="374">
        <f t="shared" si="3"/>
        <v>15.350976587763547</v>
      </c>
      <c r="L13" s="374">
        <f t="shared" si="3"/>
        <v>14.114334470989762</v>
      </c>
      <c r="M13" s="318">
        <f>AVERAGE(M43*M36*(M45+M46)*$M$42,AVERAGE(K13:L13))</f>
        <v>18.831487255438631</v>
      </c>
      <c r="N13" s="318">
        <f>AVERAGE(N43*N36*(N45+N46)*$M$42,AVERAGE(K13:L13))</f>
        <v>23.007081656412488</v>
      </c>
      <c r="O13" s="317">
        <f>AVERAGE(O43*O36*(O45+O46)*$M$42,AVERAGE(L13:M13))</f>
        <v>28.052803724305114</v>
      </c>
      <c r="P13" s="250">
        <f t="shared" ref="P13:X13" si="4">P43*P36*(P45+P46)*$M$42</f>
        <v>45.577601073205443</v>
      </c>
      <c r="Q13" s="250">
        <f t="shared" si="4"/>
        <v>67.375584195173261</v>
      </c>
      <c r="R13" s="250">
        <f t="shared" si="4"/>
        <v>85.210297658601476</v>
      </c>
      <c r="S13" s="250">
        <f t="shared" si="4"/>
        <v>118.8980897561881</v>
      </c>
      <c r="T13" s="250">
        <f t="shared" si="4"/>
        <v>134.75116839034649</v>
      </c>
      <c r="U13" s="250">
        <f t="shared" si="4"/>
        <v>150.6042470245049</v>
      </c>
      <c r="V13" s="250">
        <f t="shared" si="4"/>
        <v>166.45732565866334</v>
      </c>
      <c r="W13" s="250">
        <f t="shared" si="4"/>
        <v>182.31040429282174</v>
      </c>
      <c r="X13" s="251">
        <f t="shared" si="4"/>
        <v>198.16348292698018</v>
      </c>
    </row>
    <row r="14" spans="2:24" x14ac:dyDescent="0.35">
      <c r="B14" s="153"/>
      <c r="C14" s="445"/>
      <c r="D14" s="245" t="s">
        <v>174</v>
      </c>
      <c r="E14" t="s">
        <v>264</v>
      </c>
      <c r="F14" s="232">
        <f>F13</f>
        <v>2.8085574572127143</v>
      </c>
      <c r="G14" s="232">
        <f t="shared" ref="G14:N14" si="5">F14+G13</f>
        <v>8.4952742491926649</v>
      </c>
      <c r="H14" s="232">
        <f t="shared" si="5"/>
        <v>11.467001354294078</v>
      </c>
      <c r="I14" s="232">
        <f t="shared" si="5"/>
        <v>12.454162552582238</v>
      </c>
      <c r="J14" s="232">
        <f t="shared" si="5"/>
        <v>19.354446441865417</v>
      </c>
      <c r="K14" s="232">
        <f t="shared" si="5"/>
        <v>34.70542302962896</v>
      </c>
      <c r="L14" s="232">
        <f t="shared" si="5"/>
        <v>48.819757500618721</v>
      </c>
      <c r="M14" s="252">
        <f t="shared" si="5"/>
        <v>67.651244756057352</v>
      </c>
      <c r="N14" s="252">
        <f t="shared" si="5"/>
        <v>90.658326412469847</v>
      </c>
      <c r="O14" s="252">
        <f t="shared" ref="O14:X14" si="6">N14+O13</f>
        <v>118.71113013677495</v>
      </c>
      <c r="P14" s="252">
        <f t="shared" si="6"/>
        <v>164.2887312099804</v>
      </c>
      <c r="Q14" s="252">
        <f t="shared" si="6"/>
        <v>231.66431540515367</v>
      </c>
      <c r="R14" s="252">
        <f t="shared" si="6"/>
        <v>316.87461306375513</v>
      </c>
      <c r="S14" s="252">
        <f t="shared" si="6"/>
        <v>435.77270281994322</v>
      </c>
      <c r="T14" s="252">
        <f t="shared" si="6"/>
        <v>570.52387121028971</v>
      </c>
      <c r="U14" s="252">
        <f t="shared" si="6"/>
        <v>721.12811823479456</v>
      </c>
      <c r="V14" s="252">
        <f t="shared" si="6"/>
        <v>887.58544389345786</v>
      </c>
      <c r="W14" s="252">
        <f t="shared" si="6"/>
        <v>1069.8958481862796</v>
      </c>
      <c r="X14" s="253">
        <f t="shared" si="6"/>
        <v>1268.0593311132598</v>
      </c>
    </row>
    <row r="15" spans="2:24" x14ac:dyDescent="0.35">
      <c r="C15" s="445"/>
      <c r="D15" s="245" t="s">
        <v>174</v>
      </c>
      <c r="E15" t="s">
        <v>320</v>
      </c>
      <c r="F15" s="232">
        <f>E3</f>
        <v>4643.0379773680934</v>
      </c>
      <c r="G15" s="232">
        <f>F15</f>
        <v>4643.0379773680934</v>
      </c>
      <c r="H15" s="232">
        <f t="shared" ref="H15:X15" si="7">G15</f>
        <v>4643.0379773680934</v>
      </c>
      <c r="I15" s="232">
        <f t="shared" si="7"/>
        <v>4643.0379773680934</v>
      </c>
      <c r="J15" s="232">
        <f t="shared" si="7"/>
        <v>4643.0379773680934</v>
      </c>
      <c r="K15" s="232">
        <f t="shared" si="7"/>
        <v>4643.0379773680934</v>
      </c>
      <c r="L15" s="232">
        <f t="shared" si="7"/>
        <v>4643.0379773680934</v>
      </c>
      <c r="M15" s="232">
        <f t="shared" si="7"/>
        <v>4643.0379773680934</v>
      </c>
      <c r="N15" s="232">
        <f t="shared" si="7"/>
        <v>4643.0379773680934</v>
      </c>
      <c r="O15" s="232">
        <f t="shared" si="7"/>
        <v>4643.0379773680934</v>
      </c>
      <c r="P15" s="232">
        <f t="shared" si="7"/>
        <v>4643.0379773680934</v>
      </c>
      <c r="Q15" s="232">
        <f t="shared" si="7"/>
        <v>4643.0379773680934</v>
      </c>
      <c r="R15" s="232">
        <f>Q15</f>
        <v>4643.0379773680934</v>
      </c>
      <c r="S15" s="232">
        <f t="shared" si="7"/>
        <v>4643.0379773680934</v>
      </c>
      <c r="T15" s="232">
        <f t="shared" si="7"/>
        <v>4643.0379773680934</v>
      </c>
      <c r="U15" s="232">
        <f t="shared" si="7"/>
        <v>4643.0379773680934</v>
      </c>
      <c r="V15" s="232">
        <f t="shared" si="7"/>
        <v>4643.0379773680934</v>
      </c>
      <c r="W15" s="232">
        <f t="shared" si="7"/>
        <v>4643.0379773680934</v>
      </c>
      <c r="X15" s="233">
        <f t="shared" si="7"/>
        <v>4643.0379773680934</v>
      </c>
    </row>
    <row r="16" spans="2:24" x14ac:dyDescent="0.35">
      <c r="C16" s="445"/>
      <c r="D16" s="245" t="s">
        <v>174</v>
      </c>
      <c r="E16" t="s">
        <v>321</v>
      </c>
      <c r="F16" s="232">
        <f>F13*F15</f>
        <v>13040.238935458996</v>
      </c>
      <c r="G16" s="232">
        <f t="shared" ref="G16:X16" si="8">G13*G15</f>
        <v>26403.642031699757</v>
      </c>
      <c r="H16" s="232">
        <f t="shared" si="8"/>
        <v>13797.841807360006</v>
      </c>
      <c r="I16" s="232">
        <f t="shared" si="8"/>
        <v>4583.4269334361206</v>
      </c>
      <c r="J16" s="232">
        <f t="shared" si="8"/>
        <v>32038.280152563013</v>
      </c>
      <c r="K16" s="232">
        <f t="shared" si="8"/>
        <v>71275.167286674623</v>
      </c>
      <c r="L16" s="232">
        <f t="shared" si="8"/>
        <v>65533.390974081063</v>
      </c>
      <c r="M16" s="232">
        <f t="shared" si="8"/>
        <v>87435.310497324812</v>
      </c>
      <c r="N16" s="232">
        <f t="shared" si="8"/>
        <v>106822.753879132</v>
      </c>
      <c r="O16" s="232">
        <f t="shared" si="8"/>
        <v>130250.23306360173</v>
      </c>
      <c r="P16" s="232">
        <f t="shared" si="8"/>
        <v>211618.53270022565</v>
      </c>
      <c r="Q16" s="232">
        <f t="shared" si="8"/>
        <v>312827.39616555092</v>
      </c>
      <c r="R16" s="232">
        <f t="shared" si="8"/>
        <v>395634.64809172618</v>
      </c>
      <c r="S16" s="232">
        <f t="shared" si="8"/>
        <v>552048.34617450158</v>
      </c>
      <c r="T16" s="232">
        <f t="shared" si="8"/>
        <v>625654.79233110172</v>
      </c>
      <c r="U16" s="232">
        <f t="shared" si="8"/>
        <v>699261.23848770198</v>
      </c>
      <c r="V16" s="232">
        <f t="shared" si="8"/>
        <v>772867.68464430224</v>
      </c>
      <c r="W16" s="232">
        <f t="shared" si="8"/>
        <v>846474.13080090249</v>
      </c>
      <c r="X16" s="233">
        <f t="shared" si="8"/>
        <v>920080.57695750275</v>
      </c>
    </row>
    <row r="17" spans="2:24" x14ac:dyDescent="0.35">
      <c r="C17" s="446"/>
      <c r="D17" s="254" t="s">
        <v>174</v>
      </c>
      <c r="E17" s="235" t="s">
        <v>322</v>
      </c>
      <c r="F17" s="240">
        <f>F14*F15-F13*F15/2</f>
        <v>6520.119467729498</v>
      </c>
      <c r="G17" s="240">
        <f>G14*G15-G13*G15/2</f>
        <v>26242.059951308882</v>
      </c>
      <c r="H17" s="240">
        <f>H14*H15-H13*H15/2</f>
        <v>46342.801870838761</v>
      </c>
      <c r="I17" s="240">
        <f>I14*I15-I13*I15/2</f>
        <v>55533.436241236828</v>
      </c>
      <c r="J17" s="240">
        <f>J14*J15-J13*J15/2</f>
        <v>73844.289784236389</v>
      </c>
      <c r="K17" s="240">
        <f t="shared" ref="K17:X17" si="9">K14*K15-K13*K15/2</f>
        <v>125501.01350385518</v>
      </c>
      <c r="L17" s="240">
        <f t="shared" si="9"/>
        <v>193905.29263423302</v>
      </c>
      <c r="M17" s="240">
        <f t="shared" si="9"/>
        <v>270389.64336993598</v>
      </c>
      <c r="N17" s="240">
        <f t="shared" si="9"/>
        <v>367518.67555816442</v>
      </c>
      <c r="O17" s="240">
        <f t="shared" si="9"/>
        <v>486055.16902953124</v>
      </c>
      <c r="P17" s="240">
        <f t="shared" si="9"/>
        <v>656989.55191144487</v>
      </c>
      <c r="Q17" s="240">
        <f t="shared" si="9"/>
        <v>919212.51634433318</v>
      </c>
      <c r="R17" s="240">
        <f t="shared" si="9"/>
        <v>1273443.5384729719</v>
      </c>
      <c r="S17" s="240">
        <f t="shared" si="9"/>
        <v>1747285.0356060858</v>
      </c>
      <c r="T17" s="240">
        <f t="shared" si="9"/>
        <v>2336136.6048588874</v>
      </c>
      <c r="U17" s="240">
        <f t="shared" si="9"/>
        <v>2998594.620268289</v>
      </c>
      <c r="V17" s="240">
        <f t="shared" si="9"/>
        <v>3734659.0818342906</v>
      </c>
      <c r="W17" s="240">
        <f t="shared" si="9"/>
        <v>4544329.9895568928</v>
      </c>
      <c r="X17" s="241">
        <f t="shared" si="9"/>
        <v>5427607.3434360949</v>
      </c>
    </row>
    <row r="18" spans="2:24" x14ac:dyDescent="0.35">
      <c r="B18" t="s">
        <v>323</v>
      </c>
      <c r="C18" s="445" t="s">
        <v>324</v>
      </c>
      <c r="D18" s="245" t="s">
        <v>174</v>
      </c>
      <c r="E18" t="s">
        <v>318</v>
      </c>
      <c r="F18" s="255">
        <f t="shared" ref="F18:K18" si="10">F10*F47</f>
        <v>0.19144254278728606</v>
      </c>
      <c r="G18" s="255">
        <f t="shared" si="10"/>
        <v>0.31328320802005011</v>
      </c>
      <c r="H18" s="255">
        <f t="shared" si="10"/>
        <v>2.8272894898586354E-2</v>
      </c>
      <c r="I18" s="255">
        <f t="shared" si="10"/>
        <v>1.2838801711840228E-2</v>
      </c>
      <c r="J18" s="255">
        <f t="shared" si="10"/>
        <v>9.9716110716820433E-2</v>
      </c>
      <c r="K18" s="178">
        <f t="shared" si="10"/>
        <v>0.28767300478592678</v>
      </c>
      <c r="L18" s="178">
        <f>L10*L47</f>
        <v>0.33908853643846615</v>
      </c>
      <c r="M18" s="318">
        <v>0.5</v>
      </c>
      <c r="N18" s="318">
        <v>0.5</v>
      </c>
      <c r="O18" s="318">
        <v>0.5</v>
      </c>
      <c r="P18" s="250">
        <f t="shared" ref="P18:X18" si="11">P42*P36*P47</f>
        <v>4.7607604552215683</v>
      </c>
      <c r="Q18" s="250">
        <f t="shared" si="11"/>
        <v>4.7607604552215683</v>
      </c>
      <c r="R18" s="250">
        <f t="shared" si="11"/>
        <v>4.7607604552215683</v>
      </c>
      <c r="S18" s="250">
        <f t="shared" si="11"/>
        <v>4.7607604552215683</v>
      </c>
      <c r="T18" s="250">
        <f t="shared" si="11"/>
        <v>4.7607604552215683</v>
      </c>
      <c r="U18" s="250">
        <f t="shared" si="11"/>
        <v>4.7607604552215683</v>
      </c>
      <c r="V18" s="250">
        <f t="shared" si="11"/>
        <v>4.7607604552215683</v>
      </c>
      <c r="W18" s="250">
        <f t="shared" si="11"/>
        <v>4.7607604552215683</v>
      </c>
      <c r="X18" s="251">
        <f t="shared" si="11"/>
        <v>4.7607604552215683</v>
      </c>
    </row>
    <row r="19" spans="2:24" x14ac:dyDescent="0.35">
      <c r="B19" s="256">
        <v>0.9</v>
      </c>
      <c r="C19" s="445"/>
      <c r="D19" s="245" t="s">
        <v>174</v>
      </c>
      <c r="E19" t="s">
        <v>264</v>
      </c>
      <c r="F19" s="255">
        <f>F18</f>
        <v>0.19144254278728606</v>
      </c>
      <c r="G19" s="255">
        <f t="shared" ref="G19:M19" si="12">F19+G18</f>
        <v>0.50472575080733617</v>
      </c>
      <c r="H19" s="255">
        <f t="shared" si="12"/>
        <v>0.53299864570592248</v>
      </c>
      <c r="I19" s="255">
        <f t="shared" si="12"/>
        <v>0.54583744741776274</v>
      </c>
      <c r="J19" s="255">
        <f t="shared" si="12"/>
        <v>0.64555355813458315</v>
      </c>
      <c r="K19" s="255">
        <f t="shared" si="12"/>
        <v>0.93322656292050987</v>
      </c>
      <c r="L19" s="255">
        <f t="shared" si="12"/>
        <v>1.272315099358976</v>
      </c>
      <c r="M19" s="255">
        <f t="shared" si="12"/>
        <v>1.772315099358976</v>
      </c>
      <c r="N19" s="255">
        <f t="shared" ref="N19:X19" si="13">M19+N18</f>
        <v>2.272315099358976</v>
      </c>
      <c r="O19" s="255">
        <f t="shared" si="13"/>
        <v>2.772315099358976</v>
      </c>
      <c r="P19" s="255">
        <f t="shared" si="13"/>
        <v>7.5330755545805443</v>
      </c>
      <c r="Q19" s="255">
        <f t="shared" si="13"/>
        <v>12.293836009802114</v>
      </c>
      <c r="R19" s="255">
        <f t="shared" si="13"/>
        <v>17.054596465023682</v>
      </c>
      <c r="S19" s="255">
        <f t="shared" si="13"/>
        <v>21.81535692024525</v>
      </c>
      <c r="T19" s="255">
        <f t="shared" si="13"/>
        <v>26.576117375466819</v>
      </c>
      <c r="U19" s="255">
        <f t="shared" si="13"/>
        <v>31.336877830688387</v>
      </c>
      <c r="V19" s="255">
        <f t="shared" si="13"/>
        <v>36.097638285909952</v>
      </c>
      <c r="W19" s="255">
        <f t="shared" si="13"/>
        <v>40.858398741131523</v>
      </c>
      <c r="X19" s="257">
        <f t="shared" si="13"/>
        <v>45.619159196353095</v>
      </c>
    </row>
    <row r="20" spans="2:24" x14ac:dyDescent="0.35">
      <c r="C20" s="445"/>
      <c r="D20" s="245" t="s">
        <v>174</v>
      </c>
      <c r="E20" t="s">
        <v>320</v>
      </c>
      <c r="F20" s="232">
        <f>E5</f>
        <v>4318.1227249089961</v>
      </c>
      <c r="G20" s="232">
        <f t="shared" ref="G20:X20" si="14">F20</f>
        <v>4318.1227249089961</v>
      </c>
      <c r="H20" s="232">
        <f t="shared" si="14"/>
        <v>4318.1227249089961</v>
      </c>
      <c r="I20" s="232">
        <f t="shared" si="14"/>
        <v>4318.1227249089961</v>
      </c>
      <c r="J20" s="232">
        <f t="shared" si="14"/>
        <v>4318.1227249089961</v>
      </c>
      <c r="K20" s="232">
        <f t="shared" si="14"/>
        <v>4318.1227249089961</v>
      </c>
      <c r="L20" s="232">
        <f t="shared" si="14"/>
        <v>4318.1227249089961</v>
      </c>
      <c r="M20" s="232">
        <f t="shared" si="14"/>
        <v>4318.1227249089961</v>
      </c>
      <c r="N20" s="232">
        <f t="shared" si="14"/>
        <v>4318.1227249089961</v>
      </c>
      <c r="O20" s="232">
        <f t="shared" si="14"/>
        <v>4318.1227249089961</v>
      </c>
      <c r="P20" s="232">
        <f t="shared" si="14"/>
        <v>4318.1227249089961</v>
      </c>
      <c r="Q20" s="232">
        <f t="shared" si="14"/>
        <v>4318.1227249089961</v>
      </c>
      <c r="R20" s="232">
        <f t="shared" si="14"/>
        <v>4318.1227249089961</v>
      </c>
      <c r="S20" s="232">
        <f t="shared" si="14"/>
        <v>4318.1227249089961</v>
      </c>
      <c r="T20" s="232">
        <f t="shared" si="14"/>
        <v>4318.1227249089961</v>
      </c>
      <c r="U20" s="232">
        <f t="shared" si="14"/>
        <v>4318.1227249089961</v>
      </c>
      <c r="V20" s="232">
        <f t="shared" si="14"/>
        <v>4318.1227249089961</v>
      </c>
      <c r="W20" s="232">
        <f t="shared" si="14"/>
        <v>4318.1227249089961</v>
      </c>
      <c r="X20" s="233">
        <f t="shared" si="14"/>
        <v>4318.1227249089961</v>
      </c>
    </row>
    <row r="21" spans="2:24" x14ac:dyDescent="0.35">
      <c r="C21" s="445"/>
      <c r="D21" s="245" t="s">
        <v>174</v>
      </c>
      <c r="E21" t="s">
        <v>321</v>
      </c>
      <c r="F21" s="232">
        <f>F18*F20</f>
        <v>826.67239452414276</v>
      </c>
      <c r="G21" s="232">
        <f t="shared" ref="G21:X21" si="15">G18*G20</f>
        <v>1352.7953398837706</v>
      </c>
      <c r="H21" s="232">
        <f t="shared" si="15"/>
        <v>122.08582996054936</v>
      </c>
      <c r="I21" s="232">
        <f t="shared" si="15"/>
        <v>55.439521432497806</v>
      </c>
      <c r="J21" s="232">
        <f t="shared" si="15"/>
        <v>430.58640372584381</v>
      </c>
      <c r="K21" s="232">
        <f t="shared" si="15"/>
        <v>1242.2073393089647</v>
      </c>
      <c r="L21" s="232">
        <f t="shared" si="15"/>
        <v>1464.2259149510728</v>
      </c>
      <c r="M21" s="232">
        <f t="shared" si="15"/>
        <v>2159.0613624544981</v>
      </c>
      <c r="N21" s="232">
        <f t="shared" si="15"/>
        <v>2159.0613624544981</v>
      </c>
      <c r="O21" s="232">
        <f t="shared" si="15"/>
        <v>2159.0613624544981</v>
      </c>
      <c r="P21" s="232">
        <f t="shared" si="15"/>
        <v>20557.54790954035</v>
      </c>
      <c r="Q21" s="232">
        <f t="shared" si="15"/>
        <v>20557.54790954035</v>
      </c>
      <c r="R21" s="232">
        <f t="shared" si="15"/>
        <v>20557.54790954035</v>
      </c>
      <c r="S21" s="232">
        <f t="shared" si="15"/>
        <v>20557.54790954035</v>
      </c>
      <c r="T21" s="232">
        <f t="shared" si="15"/>
        <v>20557.54790954035</v>
      </c>
      <c r="U21" s="232">
        <f t="shared" si="15"/>
        <v>20557.54790954035</v>
      </c>
      <c r="V21" s="232">
        <f t="shared" si="15"/>
        <v>20557.54790954035</v>
      </c>
      <c r="W21" s="232">
        <f t="shared" si="15"/>
        <v>20557.54790954035</v>
      </c>
      <c r="X21" s="233">
        <f t="shared" si="15"/>
        <v>20557.54790954035</v>
      </c>
    </row>
    <row r="22" spans="2:24" x14ac:dyDescent="0.35">
      <c r="C22" s="445"/>
      <c r="D22" s="245" t="s">
        <v>174</v>
      </c>
      <c r="E22" t="s">
        <v>322</v>
      </c>
      <c r="F22" s="240">
        <f>F19*F20-F18*F20/2</f>
        <v>413.33619726207138</v>
      </c>
      <c r="G22" s="240">
        <f>G19*G20-G18*G20/2</f>
        <v>1503.0700644660278</v>
      </c>
      <c r="H22" s="240">
        <f>H19*H20-H18*H20/2</f>
        <v>2240.5106493881876</v>
      </c>
      <c r="I22" s="240">
        <f>I19*I20-I18*I20/2</f>
        <v>2329.2733250847118</v>
      </c>
      <c r="J22" s="240">
        <f>J19*J20-J18*J20/2</f>
        <v>2572.2862876638824</v>
      </c>
      <c r="K22" s="240">
        <f t="shared" ref="K22:X22" si="16">K19*K20-K18*K20/2</f>
        <v>3408.6831591812866</v>
      </c>
      <c r="L22" s="240">
        <f t="shared" si="16"/>
        <v>4761.8997863113054</v>
      </c>
      <c r="M22" s="240">
        <f t="shared" si="16"/>
        <v>6573.5434250140906</v>
      </c>
      <c r="N22" s="240">
        <f t="shared" si="16"/>
        <v>8732.6047874685901</v>
      </c>
      <c r="O22" s="240">
        <f t="shared" si="16"/>
        <v>10891.666149923087</v>
      </c>
      <c r="P22" s="240">
        <f t="shared" si="16"/>
        <v>22249.970785920512</v>
      </c>
      <c r="Q22" s="240">
        <f t="shared" si="16"/>
        <v>42807.518695460865</v>
      </c>
      <c r="R22" s="240">
        <f t="shared" si="16"/>
        <v>63365.066605001222</v>
      </c>
      <c r="S22" s="240">
        <f t="shared" si="16"/>
        <v>83922.614514541565</v>
      </c>
      <c r="T22" s="240">
        <f t="shared" si="16"/>
        <v>104480.16242408192</v>
      </c>
      <c r="U22" s="240">
        <f t="shared" si="16"/>
        <v>125037.71033362226</v>
      </c>
      <c r="V22" s="240">
        <f t="shared" si="16"/>
        <v>145595.25824316259</v>
      </c>
      <c r="W22" s="240">
        <f t="shared" si="16"/>
        <v>166152.80615270298</v>
      </c>
      <c r="X22" s="241">
        <f t="shared" si="16"/>
        <v>186710.35406224334</v>
      </c>
    </row>
    <row r="23" spans="2:24" x14ac:dyDescent="0.35">
      <c r="C23" s="444" t="s">
        <v>325</v>
      </c>
      <c r="D23" s="248" t="s">
        <v>174</v>
      </c>
      <c r="E23" s="217" t="s">
        <v>318</v>
      </c>
      <c r="F23" s="258">
        <f t="shared" ref="F23:L23" si="17">F10*F48</f>
        <v>0</v>
      </c>
      <c r="G23" s="258">
        <f t="shared" si="17"/>
        <v>0</v>
      </c>
      <c r="H23" s="258">
        <f t="shared" si="17"/>
        <v>0</v>
      </c>
      <c r="I23" s="258">
        <f t="shared" si="17"/>
        <v>0</v>
      </c>
      <c r="J23" s="258">
        <f t="shared" si="17"/>
        <v>0</v>
      </c>
      <c r="K23" s="259">
        <f t="shared" si="17"/>
        <v>0.36135040745052388</v>
      </c>
      <c r="L23" s="259">
        <f t="shared" si="17"/>
        <v>0.54446898213210193</v>
      </c>
      <c r="M23" s="318">
        <v>0.5</v>
      </c>
      <c r="N23" s="318">
        <v>0.5</v>
      </c>
      <c r="O23" s="318">
        <v>0.5</v>
      </c>
      <c r="P23" s="250">
        <f t="shared" ref="P23:X23" si="18">P42*P36*P48</f>
        <v>7.6442761128246843</v>
      </c>
      <c r="Q23" s="250">
        <f t="shared" si="18"/>
        <v>7.6442761128246843</v>
      </c>
      <c r="R23" s="250">
        <f t="shared" si="18"/>
        <v>7.6442761128246843</v>
      </c>
      <c r="S23" s="250">
        <f t="shared" si="18"/>
        <v>7.6442761128246843</v>
      </c>
      <c r="T23" s="250">
        <f t="shared" si="18"/>
        <v>7.6442761128246843</v>
      </c>
      <c r="U23" s="250">
        <f t="shared" si="18"/>
        <v>7.6442761128246843</v>
      </c>
      <c r="V23" s="250">
        <f t="shared" si="18"/>
        <v>7.6442761128246843</v>
      </c>
      <c r="W23" s="250">
        <f t="shared" si="18"/>
        <v>7.6442761128246843</v>
      </c>
      <c r="X23" s="251">
        <f t="shared" si="18"/>
        <v>7.6442761128246843</v>
      </c>
    </row>
    <row r="24" spans="2:24" x14ac:dyDescent="0.35">
      <c r="C24" s="445"/>
      <c r="D24" s="245" t="s">
        <v>174</v>
      </c>
      <c r="E24" t="s">
        <v>264</v>
      </c>
      <c r="F24" s="255">
        <f>F23</f>
        <v>0</v>
      </c>
      <c r="G24" s="255">
        <f t="shared" ref="G24:L24" si="19">F24+G23</f>
        <v>0</v>
      </c>
      <c r="H24" s="255">
        <f t="shared" si="19"/>
        <v>0</v>
      </c>
      <c r="I24" s="255">
        <f t="shared" si="19"/>
        <v>0</v>
      </c>
      <c r="J24" s="255">
        <f t="shared" si="19"/>
        <v>0</v>
      </c>
      <c r="K24" s="255">
        <f t="shared" si="19"/>
        <v>0.36135040745052388</v>
      </c>
      <c r="L24" s="255">
        <f t="shared" si="19"/>
        <v>0.90581938958262587</v>
      </c>
      <c r="M24" s="255">
        <f t="shared" ref="M24:X24" si="20">L24+M23</f>
        <v>1.4058193895826259</v>
      </c>
      <c r="N24" s="255">
        <f t="shared" si="20"/>
        <v>1.9058193895826259</v>
      </c>
      <c r="O24" s="255">
        <f t="shared" si="20"/>
        <v>2.4058193895826259</v>
      </c>
      <c r="P24" s="255">
        <f>O24+P23</f>
        <v>10.050095502407309</v>
      </c>
      <c r="Q24" s="255">
        <f t="shared" si="20"/>
        <v>17.694371615231994</v>
      </c>
      <c r="R24" s="255">
        <f t="shared" si="20"/>
        <v>25.338647728056678</v>
      </c>
      <c r="S24" s="255">
        <f t="shared" si="20"/>
        <v>32.982923840881362</v>
      </c>
      <c r="T24" s="255">
        <f t="shared" si="20"/>
        <v>40.627199953706047</v>
      </c>
      <c r="U24" s="255">
        <f t="shared" si="20"/>
        <v>48.271476066530731</v>
      </c>
      <c r="V24" s="255">
        <f t="shared" si="20"/>
        <v>55.915752179355415</v>
      </c>
      <c r="W24" s="255">
        <f t="shared" si="20"/>
        <v>63.5600282921801</v>
      </c>
      <c r="X24" s="257">
        <f t="shared" si="20"/>
        <v>71.204304405004791</v>
      </c>
    </row>
    <row r="25" spans="2:24" x14ac:dyDescent="0.35">
      <c r="C25" s="445"/>
      <c r="D25" s="245" t="s">
        <v>174</v>
      </c>
      <c r="E25" t="s">
        <v>320</v>
      </c>
      <c r="F25" s="232">
        <f>E6</f>
        <v>7665</v>
      </c>
      <c r="G25" s="232">
        <f>F25</f>
        <v>7665</v>
      </c>
      <c r="H25" s="232">
        <f t="shared" ref="H25:X25" si="21">G25</f>
        <v>7665</v>
      </c>
      <c r="I25" s="232">
        <f t="shared" si="21"/>
        <v>7665</v>
      </c>
      <c r="J25" s="232">
        <f t="shared" si="21"/>
        <v>7665</v>
      </c>
      <c r="K25" s="232">
        <f t="shared" si="21"/>
        <v>7665</v>
      </c>
      <c r="L25" s="232">
        <f t="shared" si="21"/>
        <v>7665</v>
      </c>
      <c r="M25" s="232">
        <f t="shared" si="21"/>
        <v>7665</v>
      </c>
      <c r="N25" s="232">
        <f t="shared" si="21"/>
        <v>7665</v>
      </c>
      <c r="O25" s="232">
        <f t="shared" si="21"/>
        <v>7665</v>
      </c>
      <c r="P25" s="232">
        <f t="shared" si="21"/>
        <v>7665</v>
      </c>
      <c r="Q25" s="232">
        <f t="shared" si="21"/>
        <v>7665</v>
      </c>
      <c r="R25" s="232">
        <f t="shared" si="21"/>
        <v>7665</v>
      </c>
      <c r="S25" s="232">
        <f t="shared" si="21"/>
        <v>7665</v>
      </c>
      <c r="T25" s="232">
        <f t="shared" si="21"/>
        <v>7665</v>
      </c>
      <c r="U25" s="232">
        <f t="shared" si="21"/>
        <v>7665</v>
      </c>
      <c r="V25" s="232">
        <f t="shared" si="21"/>
        <v>7665</v>
      </c>
      <c r="W25" s="232">
        <f t="shared" si="21"/>
        <v>7665</v>
      </c>
      <c r="X25" s="233">
        <f t="shared" si="21"/>
        <v>7665</v>
      </c>
    </row>
    <row r="26" spans="2:24" x14ac:dyDescent="0.35">
      <c r="C26" s="445"/>
      <c r="D26" s="245" t="s">
        <v>174</v>
      </c>
      <c r="E26" t="s">
        <v>321</v>
      </c>
      <c r="F26" s="232">
        <f>F23*F25</f>
        <v>0</v>
      </c>
      <c r="G26" s="232">
        <f t="shared" ref="G26:X26" si="22">G23*G25</f>
        <v>0</v>
      </c>
      <c r="H26" s="232">
        <f t="shared" si="22"/>
        <v>0</v>
      </c>
      <c r="I26" s="232">
        <f t="shared" si="22"/>
        <v>0</v>
      </c>
      <c r="J26" s="232">
        <f t="shared" si="22"/>
        <v>0</v>
      </c>
      <c r="K26" s="232">
        <f t="shared" si="22"/>
        <v>2769.7508731082658</v>
      </c>
      <c r="L26" s="232">
        <f t="shared" si="22"/>
        <v>4173.3547480425614</v>
      </c>
      <c r="M26" s="232">
        <f t="shared" si="22"/>
        <v>3832.5</v>
      </c>
      <c r="N26" s="232">
        <f t="shared" si="22"/>
        <v>3832.5</v>
      </c>
      <c r="O26" s="232">
        <f t="shared" si="22"/>
        <v>3832.5</v>
      </c>
      <c r="P26" s="232">
        <f t="shared" si="22"/>
        <v>58593.376404801209</v>
      </c>
      <c r="Q26" s="232">
        <f t="shared" si="22"/>
        <v>58593.376404801209</v>
      </c>
      <c r="R26" s="232">
        <f t="shared" si="22"/>
        <v>58593.376404801209</v>
      </c>
      <c r="S26" s="232">
        <f t="shared" si="22"/>
        <v>58593.376404801209</v>
      </c>
      <c r="T26" s="232">
        <f t="shared" si="22"/>
        <v>58593.376404801209</v>
      </c>
      <c r="U26" s="232">
        <f t="shared" si="22"/>
        <v>58593.376404801209</v>
      </c>
      <c r="V26" s="232">
        <f t="shared" si="22"/>
        <v>58593.376404801209</v>
      </c>
      <c r="W26" s="232">
        <f t="shared" si="22"/>
        <v>58593.376404801209</v>
      </c>
      <c r="X26" s="233">
        <f t="shared" si="22"/>
        <v>58593.376404801209</v>
      </c>
    </row>
    <row r="27" spans="2:24" x14ac:dyDescent="0.35">
      <c r="C27" s="446"/>
      <c r="D27" s="254" t="s">
        <v>174</v>
      </c>
      <c r="E27" s="235" t="s">
        <v>322</v>
      </c>
      <c r="F27" s="240">
        <f>F24*F25-F23*F25/2</f>
        <v>0</v>
      </c>
      <c r="G27" s="240">
        <f>G24*G25-G23*G25/2</f>
        <v>0</v>
      </c>
      <c r="H27" s="240">
        <f>H24*H25-H23*H25/2</f>
        <v>0</v>
      </c>
      <c r="I27" s="240">
        <f>I24*I25-I23*I25/2</f>
        <v>0</v>
      </c>
      <c r="J27" s="240">
        <f>J24*J25-J23*J25/2</f>
        <v>0</v>
      </c>
      <c r="K27" s="240">
        <f t="shared" ref="K27:X27" si="23">K24*K25-K23*K25/2</f>
        <v>1384.8754365541329</v>
      </c>
      <c r="L27" s="240">
        <f t="shared" si="23"/>
        <v>4856.4282471295464</v>
      </c>
      <c r="M27" s="240">
        <f t="shared" si="23"/>
        <v>8859.3556211508276</v>
      </c>
      <c r="N27" s="240">
        <f t="shared" si="23"/>
        <v>12691.855621150828</v>
      </c>
      <c r="O27" s="240">
        <f t="shared" si="23"/>
        <v>16524.355621150826</v>
      </c>
      <c r="P27" s="240">
        <f t="shared" si="23"/>
        <v>47737.293823551416</v>
      </c>
      <c r="Q27" s="240">
        <f t="shared" si="23"/>
        <v>106330.67022835262</v>
      </c>
      <c r="R27" s="240">
        <f t="shared" si="23"/>
        <v>164924.04663315383</v>
      </c>
      <c r="S27" s="240">
        <f t="shared" si="23"/>
        <v>223517.42303795504</v>
      </c>
      <c r="T27" s="240">
        <f t="shared" si="23"/>
        <v>282110.79944275622</v>
      </c>
      <c r="U27" s="240">
        <f t="shared" si="23"/>
        <v>340704.17584755749</v>
      </c>
      <c r="V27" s="240">
        <f t="shared" si="23"/>
        <v>399297.55225235864</v>
      </c>
      <c r="W27" s="240">
        <f t="shared" si="23"/>
        <v>457890.92865715991</v>
      </c>
      <c r="X27" s="241">
        <f t="shared" si="23"/>
        <v>516484.30506196117</v>
      </c>
    </row>
    <row r="29" spans="2:24" x14ac:dyDescent="0.35">
      <c r="D29" s="245" t="s">
        <v>174</v>
      </c>
      <c r="E29" t="s">
        <v>326</v>
      </c>
      <c r="F29">
        <f>SUMIFS('EV Data'!$H:$H,'EV Data'!$C:$C,'EV Forecast'!F8)</f>
        <v>3</v>
      </c>
      <c r="G29">
        <f>SUMIFS('EV Data'!$H:$H,'EV Data'!$C:$C,'EV Forecast'!G8)</f>
        <v>6</v>
      </c>
      <c r="H29">
        <f>SUMIFS('EV Data'!$H:$H,'EV Data'!$C:$C,'EV Forecast'!H8)</f>
        <v>3</v>
      </c>
      <c r="I29">
        <f>SUMIFS('EV Data'!$H:$H,'EV Data'!$C:$C,'EV Forecast'!I8)</f>
        <v>1</v>
      </c>
      <c r="J29">
        <f>SUMIFS('EV Data'!$H:$H,'EV Data'!$C:$C,'EV Forecast'!J8)</f>
        <v>7</v>
      </c>
      <c r="K29">
        <f>SUMIFS('EV Data'!$H:$H,'EV Data'!$C:$C,'EV Forecast'!K8)</f>
        <v>16</v>
      </c>
      <c r="L29">
        <f>SUMIFS('EV Data'!$H:$H,'EV Data'!$C:$C,'EV Forecast'!L8)</f>
        <v>15</v>
      </c>
    </row>
    <row r="30" spans="2:24" x14ac:dyDescent="0.35">
      <c r="D30" s="189" t="s">
        <v>196</v>
      </c>
      <c r="E30" t="s">
        <v>326</v>
      </c>
      <c r="F30" s="149">
        <f>SUMIFS('EV Data'!$D:$D,'EV Data'!$C:$C,'EV Forecast'!F8)</f>
        <v>8180</v>
      </c>
      <c r="G30" s="149">
        <f>SUMIFS('EV Data'!$D:$D,'EV Data'!$C:$C,'EV Forecast'!G8)</f>
        <v>16758</v>
      </c>
      <c r="H30" s="149">
        <f>SUMIFS('EV Data'!$D:$D,'EV Data'!$C:$C,'EV Forecast'!H8)</f>
        <v>9762</v>
      </c>
      <c r="I30" s="149">
        <f>SUMIFS('EV Data'!$D:$D,'EV Data'!$C:$C,'EV Forecast'!I8)</f>
        <v>10515</v>
      </c>
      <c r="J30" s="149">
        <f>SUMIFS('EV Data'!$D:$D,'EV Data'!$C:$C,'EV Forecast'!J8)</f>
        <v>19726</v>
      </c>
      <c r="K30" s="149">
        <f>SUMIFS('EV Data'!$D:$D,'EV Data'!$C:$C,'EV Forecast'!K8)</f>
        <v>38655</v>
      </c>
      <c r="L30" s="149">
        <f>SUMIFS('EV Data'!$D:$D,'EV Data'!$C:$C,'EV Forecast'!L8)</f>
        <v>49810</v>
      </c>
      <c r="M30" s="260"/>
      <c r="N30" s="260"/>
      <c r="O30" s="260"/>
      <c r="P30" s="260"/>
      <c r="Q30" s="260"/>
      <c r="R30" s="260"/>
      <c r="S30" s="260"/>
      <c r="T30" s="260"/>
      <c r="U30" s="260"/>
      <c r="V30" s="260"/>
      <c r="W30" s="260"/>
      <c r="X30" s="260"/>
    </row>
    <row r="31" spans="2:24" x14ac:dyDescent="0.35">
      <c r="D31" s="189" t="s">
        <v>196</v>
      </c>
      <c r="E31" t="s">
        <v>327</v>
      </c>
      <c r="F31" s="149">
        <f>SUMIFS('EV Data'!$AG:$AG,'EV Data'!$Z:$Z,'EV Forecast'!F8)+SUMIFS('EV Data'!$AQ:$AQ,'EV Data'!$Z:$Z,'EV Forecast'!F8)</f>
        <v>6191</v>
      </c>
      <c r="G31" s="149">
        <f>SUMIFS('EV Data'!$AG:$AG,'EV Data'!$Z:$Z,'EV Forecast'!G8)+SUMIFS('EV Data'!$AQ:$AQ,'EV Data'!$Z:$Z,'EV Forecast'!G8)</f>
        <v>12828</v>
      </c>
      <c r="H31" s="149">
        <f>SUMIFS('EV Data'!$AG:$AG,'EV Data'!$Z:$Z,'EV Forecast'!H8)+SUMIFS('EV Data'!$AQ:$AQ,'EV Data'!$Z:$Z,'EV Forecast'!H8)</f>
        <v>7124</v>
      </c>
      <c r="I31" s="149">
        <f>SUMIFS('EV Data'!$AG:$AG,'EV Data'!$Z:$Z,'EV Forecast'!I8)+SUMIFS('EV Data'!$AQ:$AQ,'EV Data'!$Z:$Z,'EV Forecast'!I8)</f>
        <v>5699</v>
      </c>
      <c r="J31" s="149">
        <f>SUMIFS('EV Data'!$AG:$AG,'EV Data'!$Z:$Z,'EV Forecast'!J8)+SUMIFS('EV Data'!$AQ:$AQ,'EV Data'!$Z:$Z,'EV Forecast'!J8)</f>
        <v>8035</v>
      </c>
      <c r="K31" s="149">
        <f>SUMIFS('EV Data'!$AG:$AG,'EV Data'!$Z:$Z,'EV Forecast'!K8)+SUMIFS('EV Data'!$AQ:$AQ,'EV Data'!$Z:$Z,'EV Forecast'!K8)</f>
        <v>13160</v>
      </c>
      <c r="L31" s="149">
        <f>SUMIFS('EV Data'!$AG:$AG,'EV Data'!$Z:$Z,'EV Forecast'!L8)+SUMIFS('EV Data'!$AQ:$AQ,'EV Data'!$Z:$Z,'EV Forecast'!L8)</f>
        <v>10992</v>
      </c>
      <c r="M31" s="149"/>
      <c r="N31" s="149"/>
      <c r="O31" s="149"/>
      <c r="P31" s="149"/>
      <c r="Q31" s="149"/>
      <c r="R31" s="149"/>
      <c r="S31" s="149"/>
      <c r="T31" s="149"/>
      <c r="U31" s="149"/>
      <c r="V31" s="149"/>
      <c r="W31" s="149"/>
      <c r="X31" s="149"/>
    </row>
    <row r="32" spans="2:24" x14ac:dyDescent="0.35">
      <c r="D32" s="189" t="s">
        <v>196</v>
      </c>
      <c r="E32" t="s">
        <v>328</v>
      </c>
      <c r="F32" s="149">
        <f>SUMIFS('EV Data'!$AI:$AI,'EV Data'!$Z:$Z,'EV Forecast'!F8)+SUMIFS('EV Data'!$AS:$AS,'EV Data'!$Z:$Z,'EV Forecast'!F8)</f>
        <v>1467</v>
      </c>
      <c r="G32" s="149">
        <f>SUMIFS('EV Data'!$AI:$AI,'EV Data'!$Z:$Z,'EV Forecast'!G8)+SUMIFS('EV Data'!$AS:$AS,'EV Data'!$Z:$Z,'EV Forecast'!G8)</f>
        <v>3055</v>
      </c>
      <c r="H32" s="149">
        <f>SUMIFS('EV Data'!$AI:$AI,'EV Data'!$Z:$Z,'EV Forecast'!H8)+SUMIFS('EV Data'!$AS:$AS,'EV Data'!$Z:$Z,'EV Forecast'!H8)</f>
        <v>2546</v>
      </c>
      <c r="I32" s="149">
        <f>SUMIFS('EV Data'!$AI:$AI,'EV Data'!$Z:$Z,'EV Forecast'!I8)+SUMIFS('EV Data'!$AS:$AS,'EV Data'!$Z:$Z,'EV Forecast'!I8)</f>
        <v>4681</v>
      </c>
      <c r="J32" s="149">
        <f>SUMIFS('EV Data'!$AI:$AI,'EV Data'!$Z:$Z,'EV Forecast'!J8)+SUMIFS('EV Data'!$AS:$AS,'EV Data'!$Z:$Z,'EV Forecast'!J8)</f>
        <v>11410</v>
      </c>
      <c r="K32" s="149">
        <f>SUMIFS('EV Data'!$AI:$AI,'EV Data'!$Z:$Z,'EV Forecast'!K8)+SUMIFS('EV Data'!$AS:$AS,'EV Data'!$Z:$Z,'EV Forecast'!K8)</f>
        <v>23927</v>
      </c>
      <c r="L32" s="149">
        <f>SUMIFS('EV Data'!$AI:$AI,'EV Data'!$Z:$Z,'EV Forecast'!L8)+SUMIFS('EV Data'!$AS:$AS,'EV Data'!$Z:$Z,'EV Forecast'!L8)</f>
        <v>35877</v>
      </c>
      <c r="M32" s="149"/>
      <c r="N32" s="149"/>
      <c r="O32" s="149"/>
      <c r="P32" s="149"/>
      <c r="Q32" s="149"/>
      <c r="R32" s="149"/>
      <c r="S32" s="149"/>
      <c r="T32" s="149"/>
      <c r="U32" s="149"/>
      <c r="V32" s="149"/>
      <c r="W32" s="149"/>
      <c r="X32" s="149"/>
    </row>
    <row r="33" spans="4:24" x14ac:dyDescent="0.35">
      <c r="D33" s="189" t="s">
        <v>196</v>
      </c>
      <c r="E33" t="s">
        <v>329</v>
      </c>
      <c r="F33" s="149">
        <f>SUMIFS('EV Data'!$AJ:$AJ,'EV Data'!$Z:$Z,'EV Forecast'!F8)+SUMIFS('EV Data'!$AT:$AT,'EV Data'!$Z:$Z,'EV Forecast'!F8)</f>
        <v>522</v>
      </c>
      <c r="G33" s="149">
        <f>SUMIFS('EV Data'!$AJ:$AJ,'EV Data'!$Z:$Z,'EV Forecast'!G8)+SUMIFS('EV Data'!$AT:$AT,'EV Data'!$Z:$Z,'EV Forecast'!G8)</f>
        <v>875</v>
      </c>
      <c r="H33" s="149">
        <f>SUMIFS('EV Data'!$AJ:$AJ,'EV Data'!$Z:$Z,'EV Forecast'!H8)+SUMIFS('EV Data'!$AT:$AT,'EV Data'!$Z:$Z,'EV Forecast'!H8)</f>
        <v>92</v>
      </c>
      <c r="I33" s="149">
        <f>SUMIFS('EV Data'!$AJ:$AJ,'EV Data'!$Z:$Z,'EV Forecast'!I8)+SUMIFS('EV Data'!$AT:$AT,'EV Data'!$Z:$Z,'EV Forecast'!I8)</f>
        <v>135</v>
      </c>
      <c r="J33" s="149">
        <f>SUMIFS('EV Data'!$AJ:$AJ,'EV Data'!$Z:$Z,'EV Forecast'!J8)+SUMIFS('EV Data'!$AT:$AT,'EV Data'!$Z:$Z,'EV Forecast'!J8)</f>
        <v>281</v>
      </c>
      <c r="K33" s="149">
        <f>SUMIFS('EV Data'!$AJ:$AJ,'EV Data'!$Z:$Z,'EV Forecast'!K8)+SUMIFS('EV Data'!$AT:$AT,'EV Data'!$Z:$Z,'EV Forecast'!K8)</f>
        <v>695</v>
      </c>
      <c r="L33" s="149">
        <f>SUMIFS('EV Data'!$AJ:$AJ,'EV Data'!$Z:$Z,'EV Forecast'!L8)+SUMIFS('EV Data'!$AT:$AT,'EV Data'!$Z:$Z,'EV Forecast'!L8)</f>
        <v>1126</v>
      </c>
      <c r="M33" s="149"/>
      <c r="N33" s="149"/>
      <c r="O33" s="149"/>
      <c r="P33" s="149"/>
      <c r="Q33" s="149"/>
      <c r="R33" s="149"/>
      <c r="S33" s="149"/>
      <c r="T33" s="149"/>
      <c r="U33" s="149"/>
      <c r="V33" s="149"/>
      <c r="W33" s="149"/>
      <c r="X33" s="149"/>
    </row>
    <row r="34" spans="4:24" x14ac:dyDescent="0.35">
      <c r="D34" s="189" t="s">
        <v>196</v>
      </c>
      <c r="E34" t="s">
        <v>330</v>
      </c>
      <c r="F34" s="149">
        <f>SUMIFS('EV Data'!$AH:$AH,'EV Data'!$Z:$Z,'EV Forecast'!F8)+SUMIFS('EV Data'!$AR:$AR,'EV Data'!$Z:$Z,'EV Forecast'!F8)</f>
        <v>0</v>
      </c>
      <c r="G34" s="149">
        <f>SUMIFS('EV Data'!$AH:$AH,'EV Data'!$Z:$Z,'EV Forecast'!G8)+SUMIFS('EV Data'!$AR:$AR,'EV Data'!$Z:$Z,'EV Forecast'!G8)</f>
        <v>0</v>
      </c>
      <c r="H34" s="149">
        <f>SUMIFS('EV Data'!$AH:$AH,'EV Data'!$Z:$Z,'EV Forecast'!H8)+SUMIFS('EV Data'!$AR:$AR,'EV Data'!$Z:$Z,'EV Forecast'!H8)</f>
        <v>0</v>
      </c>
      <c r="I34" s="149">
        <f>SUMIFS('EV Data'!$AH:$AH,'EV Data'!$Z:$Z,'EV Forecast'!I8)+SUMIFS('EV Data'!$AR:$AR,'EV Data'!$Z:$Z,'EV Forecast'!I8)</f>
        <v>0</v>
      </c>
      <c r="J34" s="149">
        <f>SUMIFS('EV Data'!$AH:$AH,'EV Data'!$Z:$Z,'EV Forecast'!J8)+SUMIFS('EV Data'!$AR:$AR,'EV Data'!$Z:$Z,'EV Forecast'!J8)</f>
        <v>0</v>
      </c>
      <c r="K34" s="149">
        <f>SUMIFS('EV Data'!$AH:$AH,'EV Data'!$Z:$Z,'EV Forecast'!K8)+SUMIFS('EV Data'!$AR:$AR,'EV Data'!$Z:$Z,'EV Forecast'!K8)</f>
        <v>873</v>
      </c>
      <c r="L34" s="149">
        <f>SUMIFS('EV Data'!$AH:$AH,'EV Data'!$Z:$Z,'EV Forecast'!L8)+SUMIFS('EV Data'!$AR:$AR,'EV Data'!$Z:$Z,'EV Forecast'!L8)</f>
        <v>1808</v>
      </c>
      <c r="M34" s="149"/>
      <c r="N34" s="149"/>
      <c r="O34" s="149"/>
      <c r="P34" s="149"/>
      <c r="Q34" s="149"/>
      <c r="R34" s="149"/>
      <c r="S34" s="149"/>
      <c r="T34" s="149"/>
      <c r="U34" s="149"/>
      <c r="V34" s="149"/>
      <c r="W34" s="149"/>
      <c r="X34" s="149"/>
    </row>
    <row r="35" spans="4:24" x14ac:dyDescent="0.35">
      <c r="D35" s="189"/>
      <c r="F35" s="149"/>
      <c r="G35" s="149"/>
      <c r="H35" s="149"/>
      <c r="I35" s="149"/>
      <c r="J35" s="149"/>
      <c r="K35" s="149"/>
      <c r="L35" s="149"/>
      <c r="M35" s="149"/>
      <c r="N35" s="149"/>
      <c r="O35" s="149"/>
      <c r="P35" s="149"/>
      <c r="Q35" s="149"/>
      <c r="R35" s="149"/>
      <c r="S35" s="149"/>
      <c r="T35" s="149"/>
      <c r="U35" s="149"/>
      <c r="V35" s="149"/>
      <c r="W35" s="149"/>
      <c r="X35" s="149"/>
    </row>
    <row r="36" spans="4:24" x14ac:dyDescent="0.35">
      <c r="D36" s="189" t="s">
        <v>196</v>
      </c>
      <c r="E36" t="s">
        <v>331</v>
      </c>
      <c r="F36" s="149">
        <f>SUMIFS('EV Data'!$AA:$AA,'EV Data'!$Z:$Z,'EV Forecast'!F8)</f>
        <v>801432</v>
      </c>
      <c r="G36" s="149">
        <f>SUMIFS('EV Data'!$AA:$AA,'EV Data'!$Z:$Z,'EV Forecast'!G8)</f>
        <v>798566</v>
      </c>
      <c r="H36" s="149">
        <f>SUMIFS('EV Data'!$AA:$AA,'EV Data'!$Z:$Z,'EV Forecast'!H8)</f>
        <v>796079</v>
      </c>
      <c r="I36" s="149">
        <f>SUMIFS('EV Data'!$AA:$AA,'EV Data'!$Z:$Z,'EV Forecast'!I8)</f>
        <v>600626</v>
      </c>
      <c r="J36" s="149">
        <f>SUMIFS('EV Data'!$AA:$AA,'EV Data'!$Z:$Z,'EV Forecast'!J8)</f>
        <v>627134</v>
      </c>
      <c r="K36" s="149">
        <f>SUMIFS('EV Data'!$AA:$AA,'EV Data'!$Z:$Z,'EV Forecast'!K8)</f>
        <v>594415</v>
      </c>
      <c r="L36" s="149">
        <f>SUMIFS('EV Data'!$AA:$AA,'EV Data'!$Z:$Z,'EV Forecast'!L8)</f>
        <v>677031</v>
      </c>
      <c r="M36" s="260">
        <f>AVERAGE($F$36:$L$36)</f>
        <v>699326.14285714284</v>
      </c>
      <c r="N36" s="260">
        <f>M36</f>
        <v>699326.14285714284</v>
      </c>
      <c r="O36" s="260">
        <f t="shared" ref="O36:X36" si="24">N36</f>
        <v>699326.14285714284</v>
      </c>
      <c r="P36" s="260">
        <f t="shared" si="24"/>
        <v>699326.14285714284</v>
      </c>
      <c r="Q36" s="260">
        <f t="shared" si="24"/>
        <v>699326.14285714284</v>
      </c>
      <c r="R36" s="260">
        <f t="shared" si="24"/>
        <v>699326.14285714284</v>
      </c>
      <c r="S36" s="260">
        <f t="shared" si="24"/>
        <v>699326.14285714284</v>
      </c>
      <c r="T36" s="260">
        <f t="shared" si="24"/>
        <v>699326.14285714284</v>
      </c>
      <c r="U36" s="260">
        <f t="shared" si="24"/>
        <v>699326.14285714284</v>
      </c>
      <c r="V36" s="260">
        <f t="shared" si="24"/>
        <v>699326.14285714284</v>
      </c>
      <c r="W36" s="260">
        <f t="shared" si="24"/>
        <v>699326.14285714284</v>
      </c>
      <c r="X36" s="260">
        <f t="shared" si="24"/>
        <v>699326.14285714284</v>
      </c>
    </row>
    <row r="37" spans="4:24" x14ac:dyDescent="0.35">
      <c r="D37" s="189" t="s">
        <v>196</v>
      </c>
      <c r="E37" t="s">
        <v>332</v>
      </c>
      <c r="F37" s="149">
        <f>SUMIFS('EV Data'!$AB:$AB,'EV Data'!$Z:$Z,'EV Forecast'!F8)</f>
        <v>253252</v>
      </c>
      <c r="G37" s="149">
        <f>SUMIFS('EV Data'!$AB:$AB,'EV Data'!$Z:$Z,'EV Forecast'!G8)</f>
        <v>240525</v>
      </c>
      <c r="H37" s="149">
        <f>SUMIFS('EV Data'!$AB:$AB,'EV Data'!$Z:$Z,'EV Forecast'!H8)</f>
        <v>205764</v>
      </c>
      <c r="I37" s="149">
        <f>SUMIFS('EV Data'!$AB:$AB,'EV Data'!$Z:$Z,'EV Forecast'!I8)</f>
        <v>124652</v>
      </c>
      <c r="J37" s="149">
        <f>SUMIFS('EV Data'!$AB:$AB,'EV Data'!$Z:$Z,'EV Forecast'!J8)</f>
        <v>128833</v>
      </c>
      <c r="K37" s="149">
        <f>SUMIFS('EV Data'!$AB:$AB,'EV Data'!$Z:$Z,'EV Forecast'!K8)</f>
        <v>109954</v>
      </c>
      <c r="L37" s="149">
        <f>SUMIFS('EV Data'!$AB:$AB,'EV Data'!$Z:$Z,'EV Forecast'!L8)</f>
        <v>110553</v>
      </c>
    </row>
    <row r="38" spans="4:24" x14ac:dyDescent="0.35">
      <c r="D38" s="189" t="s">
        <v>196</v>
      </c>
      <c r="E38" t="s">
        <v>333</v>
      </c>
      <c r="F38" s="149">
        <f>SUMIFS('EV Data'!$AD:$AD,'EV Data'!$Z:$Z,'EV Forecast'!F8)</f>
        <v>345265</v>
      </c>
      <c r="G38" s="149">
        <f>SUMIFS('EV Data'!$AD:$AD,'EV Data'!$Z:$Z,'EV Forecast'!G8)</f>
        <v>368224</v>
      </c>
      <c r="H38" s="149">
        <f>SUMIFS('EV Data'!$AD:$AD,'EV Data'!$Z:$Z,'EV Forecast'!H8)</f>
        <v>395962</v>
      </c>
      <c r="I38" s="149">
        <f>SUMIFS('EV Data'!$AD:$AD,'EV Data'!$Z:$Z,'EV Forecast'!I8)</f>
        <v>312969</v>
      </c>
      <c r="J38" s="149">
        <f>SUMIFS('EV Data'!$AD:$AD,'EV Data'!$Z:$Z,'EV Forecast'!J8)</f>
        <v>352418</v>
      </c>
      <c r="K38" s="149">
        <f>SUMIFS('EV Data'!$AD:$AD,'EV Data'!$Z:$Z,'EV Forecast'!K8)</f>
        <v>341487</v>
      </c>
      <c r="L38" s="149">
        <f>SUMIFS('EV Data'!$AD:$AD,'EV Data'!$Z:$Z,'EV Forecast'!L8)</f>
        <v>412104</v>
      </c>
      <c r="M38" s="149"/>
      <c r="N38" s="149"/>
      <c r="O38" s="149"/>
      <c r="P38" s="149"/>
      <c r="Q38" s="149"/>
      <c r="R38" s="149"/>
      <c r="S38" s="149"/>
      <c r="T38" s="149"/>
      <c r="U38" s="149"/>
      <c r="V38" s="149"/>
      <c r="W38" s="149"/>
      <c r="X38" s="149"/>
    </row>
    <row r="39" spans="4:24" x14ac:dyDescent="0.35">
      <c r="D39" s="189" t="s">
        <v>196</v>
      </c>
      <c r="E39" t="s">
        <v>334</v>
      </c>
      <c r="F39" s="149">
        <f>SUMIFS('EV Data'!$AE:$AE,'EV Data'!$Z:$Z,'EV Forecast'!F8)</f>
        <v>58851</v>
      </c>
      <c r="G39" s="149">
        <f>SUMIFS('EV Data'!$AE:$AE,'EV Data'!$Z:$Z,'EV Forecast'!G8)</f>
        <v>54456</v>
      </c>
      <c r="H39" s="149">
        <f>SUMIFS('EV Data'!$AE:$AE,'EV Data'!$Z:$Z,'EV Forecast'!H8)</f>
        <v>49692</v>
      </c>
      <c r="I39" s="149">
        <f>SUMIFS('EV Data'!$AE:$AE,'EV Data'!$Z:$Z,'EV Forecast'!I8)</f>
        <v>35235</v>
      </c>
      <c r="J39" s="149">
        <f>SUMIFS('EV Data'!$AE:$AE,'EV Data'!$Z:$Z,'EV Forecast'!J8)</f>
        <v>27989</v>
      </c>
      <c r="K39" s="149">
        <f>SUMIFS('EV Data'!$AE:$AE,'EV Data'!$Z:$Z,'EV Forecast'!K8)</f>
        <v>20207</v>
      </c>
      <c r="L39" s="149">
        <f>SUMIFS('EV Data'!$AE:$AE,'EV Data'!$Z:$Z,'EV Forecast'!L8)</f>
        <v>26725</v>
      </c>
      <c r="M39" s="149"/>
      <c r="N39" s="149"/>
      <c r="O39" s="149"/>
      <c r="P39" s="149"/>
      <c r="Q39" s="149"/>
      <c r="R39" s="149"/>
      <c r="S39" s="149"/>
      <c r="T39" s="149"/>
      <c r="U39" s="149"/>
      <c r="V39" s="149"/>
      <c r="W39" s="149"/>
      <c r="X39" s="149"/>
    </row>
    <row r="40" spans="4:24" x14ac:dyDescent="0.35">
      <c r="D40" s="189" t="s">
        <v>196</v>
      </c>
      <c r="E40" t="s">
        <v>335</v>
      </c>
      <c r="F40" s="149">
        <f>SUMIFS('EV Data'!$AC:$AC,'EV Data'!$Z:$Z,'EV Forecast'!F8)</f>
        <v>144064</v>
      </c>
      <c r="G40" s="149">
        <f>SUMIFS('EV Data'!$AC:$AC,'EV Data'!$Z:$Z,'EV Forecast'!G8)</f>
        <v>135361</v>
      </c>
      <c r="H40" s="149">
        <f>SUMIFS('EV Data'!$AC:$AC,'EV Data'!$Z:$Z,'EV Forecast'!H8)</f>
        <v>144661</v>
      </c>
      <c r="I40" s="149">
        <f>SUMIFS('EV Data'!$AC:$AC,'EV Data'!$Z:$Z,'EV Forecast'!I8)</f>
        <v>127770</v>
      </c>
      <c r="J40" s="149">
        <f>SUMIFS('EV Data'!$AC:$AC,'EV Data'!$Z:$Z,'EV Forecast'!J8)</f>
        <v>117894</v>
      </c>
      <c r="K40" s="149">
        <f>SUMIFS('EV Data'!$AC:$AC,'EV Data'!$Z:$Z,'EV Forecast'!K8)</f>
        <v>122767</v>
      </c>
      <c r="L40" s="149">
        <f>SUMIFS('EV Data'!$AC:$AC,'EV Data'!$Z:$Z,'EV Forecast'!L8)</f>
        <v>127649</v>
      </c>
    </row>
    <row r="42" spans="4:24" x14ac:dyDescent="0.35">
      <c r="D42" t="s">
        <v>425</v>
      </c>
      <c r="F42" s="158">
        <f t="shared" ref="F42:L42" si="25">F29/F30</f>
        <v>3.6674816625916872E-4</v>
      </c>
      <c r="G42" s="158">
        <f t="shared" si="25"/>
        <v>3.5803795202291446E-4</v>
      </c>
      <c r="H42" s="158">
        <f t="shared" si="25"/>
        <v>3.0731407498463427E-4</v>
      </c>
      <c r="I42" s="158">
        <f t="shared" si="25"/>
        <v>9.5102234902520204E-5</v>
      </c>
      <c r="J42" s="158">
        <f t="shared" si="25"/>
        <v>3.5486160397444998E-4</v>
      </c>
      <c r="K42" s="158">
        <f t="shared" si="25"/>
        <v>4.1391799249773637E-4</v>
      </c>
      <c r="L42" s="158">
        <f t="shared" si="25"/>
        <v>3.0114434852439271E-4</v>
      </c>
      <c r="M42" s="158">
        <f>L42</f>
        <v>3.0114434852439271E-4</v>
      </c>
      <c r="N42" s="158">
        <f>M42</f>
        <v>3.0114434852439271E-4</v>
      </c>
      <c r="O42" s="158">
        <f>N42</f>
        <v>3.0114434852439271E-4</v>
      </c>
      <c r="P42" s="158">
        <f t="shared" ref="P42:X42" si="26">O42</f>
        <v>3.0114434852439271E-4</v>
      </c>
      <c r="Q42" s="158">
        <f t="shared" si="26"/>
        <v>3.0114434852439271E-4</v>
      </c>
      <c r="R42" s="158">
        <f t="shared" si="26"/>
        <v>3.0114434852439271E-4</v>
      </c>
      <c r="S42" s="158">
        <f t="shared" si="26"/>
        <v>3.0114434852439271E-4</v>
      </c>
      <c r="T42" s="158">
        <f t="shared" si="26"/>
        <v>3.0114434852439271E-4</v>
      </c>
      <c r="U42" s="158">
        <f t="shared" si="26"/>
        <v>3.0114434852439271E-4</v>
      </c>
      <c r="V42" s="158">
        <f t="shared" si="26"/>
        <v>3.0114434852439271E-4</v>
      </c>
      <c r="W42" s="158">
        <f t="shared" si="26"/>
        <v>3.0114434852439271E-4</v>
      </c>
      <c r="X42" s="158">
        <f t="shared" si="26"/>
        <v>3.0114434852439271E-4</v>
      </c>
    </row>
    <row r="43" spans="4:24" x14ac:dyDescent="0.35">
      <c r="D43" s="189" t="s">
        <v>336</v>
      </c>
      <c r="F43" s="182">
        <f t="shared" ref="F43:L43" si="27">F30/F36</f>
        <v>1.0206729953383443E-2</v>
      </c>
      <c r="G43" s="182">
        <f t="shared" si="27"/>
        <v>2.0985115820107543E-2</v>
      </c>
      <c r="H43" s="182">
        <f t="shared" si="27"/>
        <v>1.2262602078436938E-2</v>
      </c>
      <c r="I43" s="182">
        <f t="shared" si="27"/>
        <v>1.7506734640192066E-2</v>
      </c>
      <c r="J43" s="182">
        <f t="shared" si="27"/>
        <v>3.1454202770061904E-2</v>
      </c>
      <c r="K43" s="182">
        <f t="shared" si="27"/>
        <v>6.5030323931933073E-2</v>
      </c>
      <c r="L43" s="182">
        <f t="shared" si="27"/>
        <v>7.35712249512947E-2</v>
      </c>
      <c r="M43" s="166">
        <f>($O$43-$L$43)/3+L43</f>
        <v>0.11571414996752979</v>
      </c>
      <c r="N43" s="166">
        <f>($O$43-$L$43)/3+M43</f>
        <v>0.15785707498376489</v>
      </c>
      <c r="O43" s="166">
        <v>0.2</v>
      </c>
      <c r="P43" s="166">
        <v>0.23</v>
      </c>
      <c r="Q43" s="166">
        <v>0.34</v>
      </c>
      <c r="R43" s="166">
        <v>0.43</v>
      </c>
      <c r="S43" s="166">
        <v>0.6</v>
      </c>
      <c r="T43" s="166">
        <v>0.67999999999999994</v>
      </c>
      <c r="U43" s="166">
        <v>0.7599999999999999</v>
      </c>
      <c r="V43" s="166">
        <v>0.83999999999999986</v>
      </c>
      <c r="W43" s="166">
        <v>0.91999999999999982</v>
      </c>
      <c r="X43" s="166">
        <v>1</v>
      </c>
    </row>
    <row r="44" spans="4:24" x14ac:dyDescent="0.35">
      <c r="F44" s="182"/>
      <c r="G44" s="182"/>
      <c r="H44" s="182"/>
      <c r="I44" s="182"/>
      <c r="J44" s="182"/>
      <c r="K44" s="182"/>
      <c r="L44" s="182"/>
      <c r="M44" s="152"/>
      <c r="N44" s="152"/>
      <c r="O44" s="152"/>
    </row>
    <row r="45" spans="4:24" x14ac:dyDescent="0.35">
      <c r="D45" s="189" t="s">
        <v>196</v>
      </c>
      <c r="E45" t="s">
        <v>337</v>
      </c>
      <c r="F45" s="182">
        <f t="shared" ref="F45:L48" si="28">F31/F$30</f>
        <v>0.75684596577017116</v>
      </c>
      <c r="G45" s="182">
        <f t="shared" si="28"/>
        <v>0.76548514142499102</v>
      </c>
      <c r="H45" s="182">
        <f t="shared" si="28"/>
        <v>0.72976849006351152</v>
      </c>
      <c r="I45" s="182">
        <f t="shared" si="28"/>
        <v>0.54198763670946271</v>
      </c>
      <c r="J45" s="182">
        <f t="shared" si="28"/>
        <v>0.40733042684781506</v>
      </c>
      <c r="K45" s="182">
        <f t="shared" si="28"/>
        <v>0.34044754882938816</v>
      </c>
      <c r="L45" s="182">
        <f t="shared" si="28"/>
        <v>0.22067857859867496</v>
      </c>
      <c r="M45" s="152">
        <f t="shared" ref="M45:X48" si="29">L45</f>
        <v>0.22067857859867496</v>
      </c>
      <c r="N45" s="152">
        <f t="shared" si="29"/>
        <v>0.22067857859867496</v>
      </c>
      <c r="O45" s="152">
        <f t="shared" si="29"/>
        <v>0.22067857859867496</v>
      </c>
      <c r="P45" s="152">
        <f t="shared" si="29"/>
        <v>0.22067857859867496</v>
      </c>
      <c r="Q45" s="152">
        <f t="shared" si="29"/>
        <v>0.22067857859867496</v>
      </c>
      <c r="R45" s="152">
        <f t="shared" si="29"/>
        <v>0.22067857859867496</v>
      </c>
      <c r="S45" s="152">
        <f t="shared" si="29"/>
        <v>0.22067857859867496</v>
      </c>
      <c r="T45" s="152">
        <f t="shared" si="29"/>
        <v>0.22067857859867496</v>
      </c>
      <c r="U45" s="152">
        <f t="shared" si="29"/>
        <v>0.22067857859867496</v>
      </c>
      <c r="V45" s="152">
        <f t="shared" si="29"/>
        <v>0.22067857859867496</v>
      </c>
      <c r="W45" s="152">
        <f t="shared" si="29"/>
        <v>0.22067857859867496</v>
      </c>
      <c r="X45" s="152">
        <f t="shared" si="29"/>
        <v>0.22067857859867496</v>
      </c>
    </row>
    <row r="46" spans="4:24" x14ac:dyDescent="0.35">
      <c r="D46" s="189" t="s">
        <v>196</v>
      </c>
      <c r="E46" t="s">
        <v>338</v>
      </c>
      <c r="F46" s="182">
        <f t="shared" si="28"/>
        <v>0.17933985330073349</v>
      </c>
      <c r="G46" s="182">
        <f t="shared" si="28"/>
        <v>0.18230099057166727</v>
      </c>
      <c r="H46" s="182">
        <f t="shared" si="28"/>
        <v>0.26080721163695963</v>
      </c>
      <c r="I46" s="182">
        <f t="shared" si="28"/>
        <v>0.44517356157869709</v>
      </c>
      <c r="J46" s="182">
        <f t="shared" si="28"/>
        <v>0.57842441447835347</v>
      </c>
      <c r="K46" s="182">
        <f t="shared" si="28"/>
        <v>0.61898848790583361</v>
      </c>
      <c r="L46" s="182">
        <f t="shared" si="28"/>
        <v>0.72027705280064247</v>
      </c>
      <c r="M46" s="152">
        <f t="shared" si="29"/>
        <v>0.72027705280064247</v>
      </c>
      <c r="N46" s="152">
        <f t="shared" si="29"/>
        <v>0.72027705280064247</v>
      </c>
      <c r="O46" s="152">
        <f t="shared" si="29"/>
        <v>0.72027705280064247</v>
      </c>
      <c r="P46" s="152">
        <f t="shared" si="29"/>
        <v>0.72027705280064247</v>
      </c>
      <c r="Q46" s="152">
        <f t="shared" si="29"/>
        <v>0.72027705280064247</v>
      </c>
      <c r="R46" s="152">
        <f t="shared" si="29"/>
        <v>0.72027705280064247</v>
      </c>
      <c r="S46" s="152">
        <f t="shared" si="29"/>
        <v>0.72027705280064247</v>
      </c>
      <c r="T46" s="152">
        <f t="shared" si="29"/>
        <v>0.72027705280064247</v>
      </c>
      <c r="U46" s="152">
        <f t="shared" si="29"/>
        <v>0.72027705280064247</v>
      </c>
      <c r="V46" s="152">
        <f t="shared" si="29"/>
        <v>0.72027705280064247</v>
      </c>
      <c r="W46" s="152">
        <f t="shared" si="29"/>
        <v>0.72027705280064247</v>
      </c>
      <c r="X46" s="152">
        <f t="shared" si="29"/>
        <v>0.72027705280064247</v>
      </c>
    </row>
    <row r="47" spans="4:24" x14ac:dyDescent="0.35">
      <c r="D47" s="189" t="s">
        <v>196</v>
      </c>
      <c r="E47" t="s">
        <v>339</v>
      </c>
      <c r="F47" s="182">
        <f t="shared" si="28"/>
        <v>6.3814180929095354E-2</v>
      </c>
      <c r="G47" s="182">
        <f t="shared" si="28"/>
        <v>5.2213868003341685E-2</v>
      </c>
      <c r="H47" s="182">
        <f t="shared" si="28"/>
        <v>9.4242982995287848E-3</v>
      </c>
      <c r="I47" s="182">
        <f t="shared" si="28"/>
        <v>1.2838801711840228E-2</v>
      </c>
      <c r="J47" s="182">
        <f t="shared" si="28"/>
        <v>1.4245158673831491E-2</v>
      </c>
      <c r="K47" s="182">
        <f t="shared" si="28"/>
        <v>1.7979562799120424E-2</v>
      </c>
      <c r="L47" s="182">
        <f t="shared" si="28"/>
        <v>2.2605902429231078E-2</v>
      </c>
      <c r="M47" s="152">
        <f t="shared" si="29"/>
        <v>2.2605902429231078E-2</v>
      </c>
      <c r="N47" s="152">
        <f t="shared" si="29"/>
        <v>2.2605902429231078E-2</v>
      </c>
      <c r="O47" s="152">
        <f t="shared" si="29"/>
        <v>2.2605902429231078E-2</v>
      </c>
      <c r="P47" s="152">
        <f t="shared" si="29"/>
        <v>2.2605902429231078E-2</v>
      </c>
      <c r="Q47" s="152">
        <f t="shared" si="29"/>
        <v>2.2605902429231078E-2</v>
      </c>
      <c r="R47" s="152">
        <f t="shared" si="29"/>
        <v>2.2605902429231078E-2</v>
      </c>
      <c r="S47" s="152">
        <f t="shared" si="29"/>
        <v>2.2605902429231078E-2</v>
      </c>
      <c r="T47" s="152">
        <f t="shared" si="29"/>
        <v>2.2605902429231078E-2</v>
      </c>
      <c r="U47" s="152">
        <f t="shared" si="29"/>
        <v>2.2605902429231078E-2</v>
      </c>
      <c r="V47" s="152">
        <f t="shared" si="29"/>
        <v>2.2605902429231078E-2</v>
      </c>
      <c r="W47" s="152">
        <f t="shared" si="29"/>
        <v>2.2605902429231078E-2</v>
      </c>
      <c r="X47" s="152">
        <f t="shared" si="29"/>
        <v>2.2605902429231078E-2</v>
      </c>
    </row>
    <row r="48" spans="4:24" x14ac:dyDescent="0.35">
      <c r="D48" s="189" t="s">
        <v>196</v>
      </c>
      <c r="E48" t="s">
        <v>340</v>
      </c>
      <c r="F48" s="182">
        <f t="shared" si="28"/>
        <v>0</v>
      </c>
      <c r="G48" s="182">
        <f t="shared" si="28"/>
        <v>0</v>
      </c>
      <c r="H48" s="182">
        <f t="shared" si="28"/>
        <v>0</v>
      </c>
      <c r="I48" s="182">
        <f t="shared" si="28"/>
        <v>0</v>
      </c>
      <c r="J48" s="182">
        <f t="shared" si="28"/>
        <v>0</v>
      </c>
      <c r="K48" s="182">
        <f t="shared" si="28"/>
        <v>2.2584400465657743E-2</v>
      </c>
      <c r="L48" s="182">
        <f t="shared" si="28"/>
        <v>3.6297932142140131E-2</v>
      </c>
      <c r="M48" s="152">
        <f t="shared" si="29"/>
        <v>3.6297932142140131E-2</v>
      </c>
      <c r="N48" s="152">
        <f t="shared" si="29"/>
        <v>3.6297932142140131E-2</v>
      </c>
      <c r="O48" s="152">
        <f t="shared" si="29"/>
        <v>3.6297932142140131E-2</v>
      </c>
      <c r="P48" s="152">
        <f t="shared" si="29"/>
        <v>3.6297932142140131E-2</v>
      </c>
      <c r="Q48" s="152">
        <f t="shared" si="29"/>
        <v>3.6297932142140131E-2</v>
      </c>
      <c r="R48" s="152">
        <f t="shared" si="29"/>
        <v>3.6297932142140131E-2</v>
      </c>
      <c r="S48" s="152">
        <f t="shared" si="29"/>
        <v>3.6297932142140131E-2</v>
      </c>
      <c r="T48" s="152">
        <f t="shared" si="29"/>
        <v>3.6297932142140131E-2</v>
      </c>
      <c r="U48" s="152">
        <f t="shared" si="29"/>
        <v>3.6297932142140131E-2</v>
      </c>
      <c r="V48" s="152">
        <f t="shared" si="29"/>
        <v>3.6297932142140131E-2</v>
      </c>
      <c r="W48" s="152">
        <f t="shared" si="29"/>
        <v>3.6297932142140131E-2</v>
      </c>
      <c r="X48" s="152">
        <f t="shared" si="29"/>
        <v>3.6297932142140131E-2</v>
      </c>
    </row>
    <row r="49" spans="3:21" x14ac:dyDescent="0.35">
      <c r="F49" s="182"/>
      <c r="G49" s="182"/>
      <c r="H49" s="182"/>
      <c r="I49" s="182"/>
      <c r="J49" s="182"/>
      <c r="K49" s="182"/>
      <c r="L49" s="182"/>
    </row>
    <row r="50" spans="3:21" x14ac:dyDescent="0.35">
      <c r="F50" s="182"/>
      <c r="G50" s="182"/>
      <c r="H50" s="182"/>
      <c r="I50" s="182"/>
      <c r="J50" s="182"/>
      <c r="K50" s="182"/>
      <c r="L50" s="182"/>
    </row>
    <row r="51" spans="3:21" x14ac:dyDescent="0.35">
      <c r="F51" s="182"/>
      <c r="G51" s="182"/>
      <c r="H51" s="182"/>
      <c r="I51" s="182"/>
      <c r="J51" s="182"/>
      <c r="K51" s="182"/>
      <c r="L51" s="182"/>
    </row>
    <row r="53" spans="3:21" x14ac:dyDescent="0.35">
      <c r="C53" t="s">
        <v>341</v>
      </c>
      <c r="S53" s="261" t="s">
        <v>342</v>
      </c>
      <c r="T53" s="12" t="s">
        <v>315</v>
      </c>
      <c r="U53" s="12" t="s">
        <v>343</v>
      </c>
    </row>
    <row r="54" spans="3:21" x14ac:dyDescent="0.35">
      <c r="C54" s="447" t="s">
        <v>344</v>
      </c>
      <c r="D54" t="s">
        <v>100</v>
      </c>
      <c r="F54" s="260">
        <f>F$17*$S54+F$22*$T54+F$27*$U54</f>
        <v>4646.7508668630626</v>
      </c>
      <c r="G54" s="260">
        <f t="shared" ref="G54:N56" si="30">(G$17-F$17)*$S54+(G$22-F$22)*$T54+(G$27-F$27)*$U54</f>
        <v>14023.30511194636</v>
      </c>
      <c r="H54" s="260">
        <f t="shared" si="30"/>
        <v>14218.007460655346</v>
      </c>
      <c r="I54" s="260">
        <f t="shared" si="30"/>
        <v>6451.1965944179519</v>
      </c>
      <c r="J54" s="260">
        <f>(J$17-I$17)*$S54+(J$22-I$22)*$T54+(J$27-I$27)*$U54</f>
        <v>12866.200072615526</v>
      </c>
      <c r="K54" s="260">
        <f>(K$17-J$17)*$S54+(K$22-J$22)*$T54+(K$27-J$27)*$U54</f>
        <v>36788.611123554678</v>
      </c>
      <c r="L54" s="260">
        <f>(L$17-K$17)*$S54+(L$22-K$22)*$T54+(L$27-K$27)*$U54</f>
        <v>49310.822986882296</v>
      </c>
      <c r="M54" s="260">
        <f>(M$17-L$17)*$S54+(M$22-L$22)*$T54+(M$27-L$27)*$U54</f>
        <v>55235.683367406382</v>
      </c>
      <c r="N54" s="260">
        <f>(N$17-M$17)*$S54+(N$22-M$22)*$T54+(N$27-M$27)*$U54</f>
        <v>69699.634804250818</v>
      </c>
      <c r="O54" s="260"/>
      <c r="P54" s="260"/>
      <c r="Q54" s="260"/>
      <c r="R54" s="12" t="s">
        <v>100</v>
      </c>
      <c r="S54" s="182">
        <v>0.7</v>
      </c>
      <c r="T54" s="182">
        <v>0.2</v>
      </c>
      <c r="U54" s="182">
        <v>0.33333333333333337</v>
      </c>
    </row>
    <row r="55" spans="3:21" x14ac:dyDescent="0.35">
      <c r="C55" s="447"/>
      <c r="D55" t="s">
        <v>185</v>
      </c>
      <c r="F55" s="260">
        <f>F$17*$S55+F$22*$T55+F$27*$U55</f>
        <v>1184.6860187904604</v>
      </c>
      <c r="G55" s="260">
        <f t="shared" si="30"/>
        <v>3503.1580061388859</v>
      </c>
      <c r="H55" s="260">
        <f t="shared" si="30"/>
        <v>3383.8315803905616</v>
      </c>
      <c r="I55" s="260">
        <f t="shared" si="30"/>
        <v>1422.9764934079722</v>
      </c>
      <c r="J55" s="260">
        <f t="shared" si="30"/>
        <v>2868.1345127395193</v>
      </c>
      <c r="K55" s="260">
        <f t="shared" si="30"/>
        <v>8628.3321392195649</v>
      </c>
      <c r="L55" s="260">
        <f t="shared" si="30"/>
        <v>12094.43445331349</v>
      </c>
      <c r="M55" s="260">
        <f t="shared" si="30"/>
        <v>13712.783554380598</v>
      </c>
      <c r="N55" s="260">
        <f t="shared" si="30"/>
        <v>16926.385509461517</v>
      </c>
      <c r="O55" s="260"/>
      <c r="P55" s="260"/>
      <c r="Q55" s="260"/>
      <c r="R55" s="12" t="s">
        <v>185</v>
      </c>
      <c r="S55" s="182">
        <v>0.15</v>
      </c>
      <c r="T55" s="182">
        <v>0.5</v>
      </c>
      <c r="U55" s="182">
        <v>0.33333333333333337</v>
      </c>
    </row>
    <row r="56" spans="3:21" x14ac:dyDescent="0.35">
      <c r="C56" s="447"/>
      <c r="D56" t="s">
        <v>186</v>
      </c>
      <c r="F56" s="260">
        <f>F$17*$S56+F$22*$T56+F$27*$U56</f>
        <v>1102.018779338046</v>
      </c>
      <c r="G56" s="260">
        <f t="shared" si="30"/>
        <v>3285.2112326980941</v>
      </c>
      <c r="H56" s="260">
        <f t="shared" si="30"/>
        <v>3236.34346340613</v>
      </c>
      <c r="I56" s="260">
        <f t="shared" si="30"/>
        <v>1405.2239582686673</v>
      </c>
      <c r="J56" s="260">
        <f t="shared" si="30"/>
        <v>2819.5319202236851</v>
      </c>
      <c r="K56" s="260">
        <f t="shared" si="30"/>
        <v>8461.0527649160849</v>
      </c>
      <c r="L56" s="260">
        <f t="shared" si="30"/>
        <v>11823.791127887484</v>
      </c>
      <c r="M56" s="260">
        <f t="shared" si="30"/>
        <v>13350.454826640038</v>
      </c>
      <c r="N56" s="260">
        <f t="shared" si="30"/>
        <v>16494.573236970617</v>
      </c>
      <c r="O56" s="260"/>
      <c r="P56" s="260"/>
      <c r="Q56" s="260"/>
      <c r="R56" s="12" t="s">
        <v>186</v>
      </c>
      <c r="S56" s="182">
        <v>0.15</v>
      </c>
      <c r="T56" s="182">
        <v>0.3</v>
      </c>
      <c r="U56" s="182">
        <v>0.33333333333333298</v>
      </c>
    </row>
    <row r="57" spans="3:21" x14ac:dyDescent="0.35">
      <c r="K57" s="262">
        <f>SUM(K54:K56)</f>
        <v>53877.996027690329</v>
      </c>
      <c r="L57" s="262">
        <f>SUM(L54:L56)</f>
        <v>73229.048568083264</v>
      </c>
      <c r="M57" s="262">
        <f>SUM(M54:M56)</f>
        <v>82298.921748427019</v>
      </c>
      <c r="N57" s="262">
        <f>SUM(N54:N56)</f>
        <v>103120.59355068294</v>
      </c>
      <c r="O57" s="260"/>
    </row>
    <row r="59" spans="3:21" x14ac:dyDescent="0.35">
      <c r="C59" t="s">
        <v>345</v>
      </c>
    </row>
    <row r="60" spans="3:21" x14ac:dyDescent="0.35">
      <c r="D60" t="s">
        <v>346</v>
      </c>
      <c r="F60" s="19">
        <v>0.2</v>
      </c>
      <c r="G60" s="19">
        <f>F60</f>
        <v>0.2</v>
      </c>
      <c r="H60" s="19">
        <f t="shared" ref="H60:N60" si="31">G60</f>
        <v>0.2</v>
      </c>
      <c r="I60" s="19">
        <f t="shared" si="31"/>
        <v>0.2</v>
      </c>
      <c r="J60" s="19">
        <f t="shared" si="31"/>
        <v>0.2</v>
      </c>
      <c r="K60" s="19">
        <f t="shared" si="31"/>
        <v>0.2</v>
      </c>
      <c r="L60" s="19">
        <f t="shared" si="31"/>
        <v>0.2</v>
      </c>
      <c r="M60" s="19">
        <f t="shared" si="31"/>
        <v>0.2</v>
      </c>
      <c r="N60" s="19">
        <f t="shared" si="31"/>
        <v>0.2</v>
      </c>
    </row>
    <row r="61" spans="3:21" x14ac:dyDescent="0.35">
      <c r="D61" t="s">
        <v>186</v>
      </c>
      <c r="F61" s="178">
        <f>((F56/F60)/8760)*12</f>
        <v>7.5480738310825064</v>
      </c>
      <c r="G61" s="178">
        <f t="shared" ref="G61:N61" si="32">G56/G60/8760*12</f>
        <v>22.501446799302013</v>
      </c>
      <c r="H61" s="178">
        <f t="shared" si="32"/>
        <v>22.166736050726918</v>
      </c>
      <c r="I61" s="178">
        <f t="shared" si="32"/>
        <v>9.6248216319771736</v>
      </c>
      <c r="J61" s="178">
        <f t="shared" si="32"/>
        <v>19.311862467285515</v>
      </c>
      <c r="K61" s="178">
        <f t="shared" si="32"/>
        <v>57.952416198055374</v>
      </c>
      <c r="L61" s="178">
        <f t="shared" si="32"/>
        <v>80.984870738955365</v>
      </c>
      <c r="M61" s="260">
        <f t="shared" si="32"/>
        <v>91.441471415342718</v>
      </c>
      <c r="N61" s="260">
        <f t="shared" si="32"/>
        <v>112.97652902034667</v>
      </c>
    </row>
    <row r="63" spans="3:21" x14ac:dyDescent="0.35">
      <c r="F63" s="178"/>
    </row>
    <row r="65" spans="5:13" x14ac:dyDescent="0.35">
      <c r="E65" s="263"/>
      <c r="F65" s="244">
        <f t="shared" ref="F65:L65" si="33">F80</f>
        <v>2017</v>
      </c>
      <c r="G65" s="244">
        <f t="shared" si="33"/>
        <v>2018</v>
      </c>
      <c r="H65" s="244">
        <f t="shared" si="33"/>
        <v>2019</v>
      </c>
      <c r="I65" s="244">
        <f t="shared" si="33"/>
        <v>2020</v>
      </c>
      <c r="J65" s="244">
        <f t="shared" si="33"/>
        <v>2021</v>
      </c>
      <c r="K65" s="244">
        <f t="shared" si="33"/>
        <v>2022</v>
      </c>
      <c r="L65" s="244">
        <f t="shared" si="33"/>
        <v>2023</v>
      </c>
      <c r="M65" s="264"/>
    </row>
    <row r="66" spans="5:13" x14ac:dyDescent="0.35">
      <c r="E66" s="227" t="s">
        <v>427</v>
      </c>
      <c r="F66" s="227">
        <f t="shared" ref="F66:L67" si="34">F29</f>
        <v>3</v>
      </c>
      <c r="G66">
        <f t="shared" si="34"/>
        <v>6</v>
      </c>
      <c r="H66">
        <f t="shared" si="34"/>
        <v>3</v>
      </c>
      <c r="I66">
        <f t="shared" si="34"/>
        <v>1</v>
      </c>
      <c r="J66">
        <f t="shared" si="34"/>
        <v>7</v>
      </c>
      <c r="K66">
        <f t="shared" si="34"/>
        <v>16</v>
      </c>
      <c r="L66" s="228">
        <f t="shared" si="34"/>
        <v>15</v>
      </c>
      <c r="M66" s="228" t="s">
        <v>113</v>
      </c>
    </row>
    <row r="67" spans="5:13" x14ac:dyDescent="0.35">
      <c r="E67" s="227" t="s">
        <v>347</v>
      </c>
      <c r="F67" s="265">
        <f t="shared" si="34"/>
        <v>8180</v>
      </c>
      <c r="G67" s="260">
        <f t="shared" si="34"/>
        <v>16758</v>
      </c>
      <c r="H67" s="260">
        <f t="shared" si="34"/>
        <v>9762</v>
      </c>
      <c r="I67" s="260">
        <f t="shared" si="34"/>
        <v>10515</v>
      </c>
      <c r="J67" s="260">
        <f t="shared" si="34"/>
        <v>19726</v>
      </c>
      <c r="K67" s="260">
        <f t="shared" si="34"/>
        <v>38655</v>
      </c>
      <c r="L67" s="266">
        <f t="shared" si="34"/>
        <v>49810</v>
      </c>
      <c r="M67" s="228" t="s">
        <v>114</v>
      </c>
    </row>
    <row r="68" spans="5:13" x14ac:dyDescent="0.35">
      <c r="E68" s="263" t="s">
        <v>425</v>
      </c>
      <c r="F68" s="267">
        <f t="shared" ref="F68:L68" si="35">F42</f>
        <v>3.6674816625916872E-4</v>
      </c>
      <c r="G68" s="267">
        <f t="shared" si="35"/>
        <v>3.5803795202291446E-4</v>
      </c>
      <c r="H68" s="267">
        <f t="shared" si="35"/>
        <v>3.0731407498463427E-4</v>
      </c>
      <c r="I68" s="267">
        <f t="shared" si="35"/>
        <v>9.5102234902520204E-5</v>
      </c>
      <c r="J68" s="267">
        <f t="shared" si="35"/>
        <v>3.5486160397444998E-4</v>
      </c>
      <c r="K68" s="267">
        <f t="shared" si="35"/>
        <v>4.1391799249773637E-4</v>
      </c>
      <c r="L68" s="267">
        <f t="shared" si="35"/>
        <v>3.0114434852439271E-4</v>
      </c>
      <c r="M68" s="228" t="s">
        <v>115</v>
      </c>
    </row>
    <row r="69" spans="5:13" x14ac:dyDescent="0.35">
      <c r="E69" s="227" t="s">
        <v>348</v>
      </c>
      <c r="F69" s="265">
        <f>F31</f>
        <v>6191</v>
      </c>
      <c r="G69" s="260">
        <f t="shared" ref="G69:L69" si="36">G31</f>
        <v>12828</v>
      </c>
      <c r="H69" s="260">
        <f t="shared" si="36"/>
        <v>7124</v>
      </c>
      <c r="I69" s="260">
        <f t="shared" si="36"/>
        <v>5699</v>
      </c>
      <c r="J69" s="260">
        <f t="shared" si="36"/>
        <v>8035</v>
      </c>
      <c r="K69" s="260">
        <f t="shared" si="36"/>
        <v>13160</v>
      </c>
      <c r="L69" s="266">
        <f t="shared" si="36"/>
        <v>10992</v>
      </c>
      <c r="M69" s="228" t="s">
        <v>158</v>
      </c>
    </row>
    <row r="70" spans="5:13" x14ac:dyDescent="0.35">
      <c r="E70" s="227" t="s">
        <v>349</v>
      </c>
      <c r="F70" s="265">
        <f t="shared" ref="F70:L72" si="37">F32</f>
        <v>1467</v>
      </c>
      <c r="G70" s="260">
        <f t="shared" si="37"/>
        <v>3055</v>
      </c>
      <c r="H70" s="260">
        <f t="shared" si="37"/>
        <v>2546</v>
      </c>
      <c r="I70" s="260">
        <f t="shared" si="37"/>
        <v>4681</v>
      </c>
      <c r="J70" s="260">
        <f t="shared" si="37"/>
        <v>11410</v>
      </c>
      <c r="K70" s="260">
        <f t="shared" si="37"/>
        <v>23927</v>
      </c>
      <c r="L70" s="266">
        <f t="shared" si="37"/>
        <v>35877</v>
      </c>
      <c r="M70" s="228" t="s">
        <v>159</v>
      </c>
    </row>
    <row r="71" spans="5:13" x14ac:dyDescent="0.35">
      <c r="E71" s="227" t="s">
        <v>350</v>
      </c>
      <c r="F71" s="265">
        <f t="shared" si="37"/>
        <v>522</v>
      </c>
      <c r="G71" s="260">
        <f t="shared" si="37"/>
        <v>875</v>
      </c>
      <c r="H71" s="260">
        <f t="shared" si="37"/>
        <v>92</v>
      </c>
      <c r="I71" s="260">
        <f t="shared" si="37"/>
        <v>135</v>
      </c>
      <c r="J71" s="260">
        <f t="shared" si="37"/>
        <v>281</v>
      </c>
      <c r="K71" s="260">
        <f t="shared" si="37"/>
        <v>695</v>
      </c>
      <c r="L71" s="266">
        <f t="shared" si="37"/>
        <v>1126</v>
      </c>
      <c r="M71" s="228" t="s">
        <v>351</v>
      </c>
    </row>
    <row r="72" spans="5:13" x14ac:dyDescent="0.35">
      <c r="E72" s="234" t="s">
        <v>352</v>
      </c>
      <c r="F72" s="268">
        <f t="shared" si="37"/>
        <v>0</v>
      </c>
      <c r="G72" s="269">
        <f t="shared" si="37"/>
        <v>0</v>
      </c>
      <c r="H72" s="269">
        <f t="shared" si="37"/>
        <v>0</v>
      </c>
      <c r="I72" s="269">
        <f t="shared" si="37"/>
        <v>0</v>
      </c>
      <c r="J72" s="269">
        <f t="shared" si="37"/>
        <v>0</v>
      </c>
      <c r="K72" s="269">
        <f t="shared" si="37"/>
        <v>873</v>
      </c>
      <c r="L72" s="270">
        <f t="shared" si="37"/>
        <v>1808</v>
      </c>
      <c r="M72" s="228" t="s">
        <v>353</v>
      </c>
    </row>
    <row r="73" spans="5:13" x14ac:dyDescent="0.35">
      <c r="E73" s="216" t="str">
        <f>E45</f>
        <v>Passenger EV as % of EV</v>
      </c>
      <c r="F73" s="271">
        <f t="shared" ref="F73:L76" si="38">F45</f>
        <v>0.75684596577017116</v>
      </c>
      <c r="G73" s="272">
        <f t="shared" si="38"/>
        <v>0.76548514142499102</v>
      </c>
      <c r="H73" s="272">
        <f t="shared" si="38"/>
        <v>0.72976849006351152</v>
      </c>
      <c r="I73" s="272">
        <f t="shared" si="38"/>
        <v>0.54198763670946271</v>
      </c>
      <c r="J73" s="272">
        <f t="shared" si="38"/>
        <v>0.40733042684781506</v>
      </c>
      <c r="K73" s="272">
        <f t="shared" si="38"/>
        <v>0.34044754882938816</v>
      </c>
      <c r="L73" s="273">
        <f t="shared" si="38"/>
        <v>0.22067857859867496</v>
      </c>
      <c r="M73" s="228" t="s">
        <v>354</v>
      </c>
    </row>
    <row r="74" spans="5:13" x14ac:dyDescent="0.35">
      <c r="E74" s="227" t="str">
        <f t="shared" ref="E74:H76" si="39">E46</f>
        <v>Multi-Purpose EV as % of EV</v>
      </c>
      <c r="F74" s="274">
        <f t="shared" si="39"/>
        <v>0.17933985330073349</v>
      </c>
      <c r="G74" s="275">
        <f t="shared" si="39"/>
        <v>0.18230099057166727</v>
      </c>
      <c r="H74" s="275">
        <f t="shared" si="39"/>
        <v>0.26080721163695963</v>
      </c>
      <c r="I74" s="275">
        <f t="shared" si="38"/>
        <v>0.44517356157869709</v>
      </c>
      <c r="J74" s="275">
        <f t="shared" si="38"/>
        <v>0.57842441447835347</v>
      </c>
      <c r="K74" s="275">
        <f t="shared" si="38"/>
        <v>0.61898848790583361</v>
      </c>
      <c r="L74" s="276">
        <f t="shared" si="38"/>
        <v>0.72027705280064247</v>
      </c>
      <c r="M74" s="228" t="s">
        <v>355</v>
      </c>
    </row>
    <row r="75" spans="5:13" x14ac:dyDescent="0.35">
      <c r="E75" s="227" t="str">
        <f t="shared" si="39"/>
        <v>Van EV as % of EV</v>
      </c>
      <c r="F75" s="274">
        <f t="shared" si="39"/>
        <v>6.3814180929095354E-2</v>
      </c>
      <c r="G75" s="275">
        <f t="shared" si="39"/>
        <v>5.2213868003341685E-2</v>
      </c>
      <c r="H75" s="275">
        <f t="shared" si="39"/>
        <v>9.4242982995287848E-3</v>
      </c>
      <c r="I75" s="275">
        <f t="shared" si="38"/>
        <v>1.2838801711840228E-2</v>
      </c>
      <c r="J75" s="275">
        <f t="shared" si="38"/>
        <v>1.4245158673831491E-2</v>
      </c>
      <c r="K75" s="275">
        <f t="shared" si="38"/>
        <v>1.7979562799120424E-2</v>
      </c>
      <c r="L75" s="276">
        <f t="shared" si="38"/>
        <v>2.2605902429231078E-2</v>
      </c>
      <c r="M75" s="228" t="s">
        <v>356</v>
      </c>
    </row>
    <row r="76" spans="5:13" x14ac:dyDescent="0.35">
      <c r="E76" s="234" t="str">
        <f t="shared" si="39"/>
        <v>Pickup Truck EV as % of EV</v>
      </c>
      <c r="F76" s="277">
        <f t="shared" si="39"/>
        <v>0</v>
      </c>
      <c r="G76" s="278">
        <f t="shared" si="39"/>
        <v>0</v>
      </c>
      <c r="H76" s="278">
        <f t="shared" si="39"/>
        <v>0</v>
      </c>
      <c r="I76" s="278">
        <f t="shared" si="38"/>
        <v>0</v>
      </c>
      <c r="J76" s="278">
        <f t="shared" si="38"/>
        <v>0</v>
      </c>
      <c r="K76" s="278">
        <f t="shared" si="38"/>
        <v>2.2584400465657743E-2</v>
      </c>
      <c r="L76" s="279">
        <f t="shared" si="38"/>
        <v>3.6297932142140131E-2</v>
      </c>
      <c r="M76" s="236" t="s">
        <v>357</v>
      </c>
    </row>
    <row r="80" spans="5:13" x14ac:dyDescent="0.35">
      <c r="E80" s="280"/>
      <c r="F80" s="244">
        <f t="shared" ref="F80:L80" si="40">F8</f>
        <v>2017</v>
      </c>
      <c r="G80" s="244">
        <f t="shared" si="40"/>
        <v>2018</v>
      </c>
      <c r="H80" s="244">
        <f t="shared" si="40"/>
        <v>2019</v>
      </c>
      <c r="I80" s="244">
        <f t="shared" si="40"/>
        <v>2020</v>
      </c>
      <c r="J80" s="244">
        <f t="shared" si="40"/>
        <v>2021</v>
      </c>
      <c r="K80" s="244">
        <f t="shared" si="40"/>
        <v>2022</v>
      </c>
      <c r="L80" s="244">
        <f t="shared" si="40"/>
        <v>2023</v>
      </c>
    </row>
    <row r="81" spans="5:13" x14ac:dyDescent="0.35">
      <c r="E81" s="448" t="s">
        <v>428</v>
      </c>
      <c r="F81" s="449"/>
      <c r="G81" s="449"/>
      <c r="H81" s="449"/>
      <c r="I81" s="449"/>
      <c r="J81" s="449"/>
      <c r="K81" s="449"/>
      <c r="L81" s="449"/>
      <c r="M81" s="449"/>
    </row>
    <row r="82" spans="5:13" x14ac:dyDescent="0.35">
      <c r="E82" s="281" t="s">
        <v>121</v>
      </c>
      <c r="F82" s="282">
        <f t="shared" ref="F82:L82" si="41">F10</f>
        <v>3</v>
      </c>
      <c r="G82" s="282">
        <f t="shared" si="41"/>
        <v>6</v>
      </c>
      <c r="H82" s="282">
        <f t="shared" si="41"/>
        <v>3</v>
      </c>
      <c r="I82" s="282">
        <f t="shared" si="41"/>
        <v>1</v>
      </c>
      <c r="J82" s="282">
        <f t="shared" si="41"/>
        <v>7</v>
      </c>
      <c r="K82" s="282">
        <f t="shared" si="41"/>
        <v>16</v>
      </c>
      <c r="L82" s="282">
        <f t="shared" si="41"/>
        <v>15</v>
      </c>
      <c r="M82" t="s">
        <v>358</v>
      </c>
    </row>
    <row r="83" spans="5:13" x14ac:dyDescent="0.35">
      <c r="E83" s="244" t="s">
        <v>359</v>
      </c>
      <c r="F83" s="280">
        <f t="shared" ref="F83:L83" si="42">F13</f>
        <v>2.8085574572127143</v>
      </c>
      <c r="G83" s="280">
        <f t="shared" si="42"/>
        <v>5.6867167919799497</v>
      </c>
      <c r="H83" s="280">
        <f t="shared" si="42"/>
        <v>2.9717271051014134</v>
      </c>
      <c r="I83" s="280">
        <f t="shared" si="42"/>
        <v>0.98716119828815985</v>
      </c>
      <c r="J83" s="280">
        <f t="shared" si="42"/>
        <v>6.9002838892831795</v>
      </c>
      <c r="K83" s="280">
        <f t="shared" si="42"/>
        <v>15.350976587763547</v>
      </c>
      <c r="L83" s="280">
        <f t="shared" si="42"/>
        <v>14.114334470989762</v>
      </c>
      <c r="M83" t="s">
        <v>360</v>
      </c>
    </row>
    <row r="84" spans="5:13" x14ac:dyDescent="0.35">
      <c r="E84" s="244" t="s">
        <v>324</v>
      </c>
      <c r="F84" s="280">
        <f>F18</f>
        <v>0.19144254278728606</v>
      </c>
      <c r="G84" s="280">
        <f t="shared" ref="G84:L84" si="43">G18</f>
        <v>0.31328320802005011</v>
      </c>
      <c r="H84" s="280">
        <f t="shared" si="43"/>
        <v>2.8272894898586354E-2</v>
      </c>
      <c r="I84" s="280">
        <f t="shared" si="43"/>
        <v>1.2838801711840228E-2</v>
      </c>
      <c r="J84" s="280">
        <f t="shared" si="43"/>
        <v>9.9716110716820433E-2</v>
      </c>
      <c r="K84" s="372">
        <f t="shared" si="43"/>
        <v>0.28767300478592678</v>
      </c>
      <c r="L84" s="372">
        <f t="shared" si="43"/>
        <v>0.33908853643846615</v>
      </c>
      <c r="M84" t="s">
        <v>361</v>
      </c>
    </row>
    <row r="85" spans="5:13" x14ac:dyDescent="0.35">
      <c r="E85" s="244" t="s">
        <v>362</v>
      </c>
      <c r="F85" s="283">
        <f>F23</f>
        <v>0</v>
      </c>
      <c r="G85" s="283">
        <f t="shared" ref="G85:L85" si="44">G23</f>
        <v>0</v>
      </c>
      <c r="H85" s="283">
        <f t="shared" si="44"/>
        <v>0</v>
      </c>
      <c r="I85" s="283">
        <f t="shared" si="44"/>
        <v>0</v>
      </c>
      <c r="J85" s="283">
        <f t="shared" si="44"/>
        <v>0</v>
      </c>
      <c r="K85" s="372">
        <f t="shared" si="44"/>
        <v>0.36135040745052388</v>
      </c>
      <c r="L85" s="372">
        <f t="shared" si="44"/>
        <v>0.54446898213210193</v>
      </c>
      <c r="M85" t="s">
        <v>363</v>
      </c>
    </row>
    <row r="87" spans="5:13" x14ac:dyDescent="0.35">
      <c r="E87" s="280"/>
      <c r="F87" s="284">
        <f>L8</f>
        <v>2023</v>
      </c>
      <c r="G87" s="244">
        <f>M8</f>
        <v>2024</v>
      </c>
      <c r="H87" s="244">
        <f>N8</f>
        <v>2025</v>
      </c>
      <c r="I87" s="284">
        <f>O8</f>
        <v>2026</v>
      </c>
      <c r="K87" t="s">
        <v>364</v>
      </c>
    </row>
    <row r="88" spans="5:13" x14ac:dyDescent="0.35">
      <c r="E88" s="280" t="s">
        <v>365</v>
      </c>
      <c r="F88" s="285">
        <f>L36</f>
        <v>677031</v>
      </c>
      <c r="G88" s="285">
        <f>M36</f>
        <v>699326.14285714284</v>
      </c>
      <c r="H88" s="285">
        <f>N36</f>
        <v>699326.14285714284</v>
      </c>
      <c r="I88" s="285">
        <f>O36</f>
        <v>699326.14285714284</v>
      </c>
      <c r="J88" t="s">
        <v>366</v>
      </c>
      <c r="K88" t="s">
        <v>367</v>
      </c>
    </row>
    <row r="89" spans="5:13" x14ac:dyDescent="0.35">
      <c r="E89" s="280" t="s">
        <v>368</v>
      </c>
      <c r="F89" s="286">
        <f>L43</f>
        <v>7.35712249512947E-2</v>
      </c>
      <c r="G89" s="287">
        <f>M43</f>
        <v>0.11571414996752979</v>
      </c>
      <c r="H89" s="287">
        <f>N43</f>
        <v>0.15785707498376489</v>
      </c>
      <c r="I89" s="286">
        <f>O43</f>
        <v>0.2</v>
      </c>
      <c r="J89" t="s">
        <v>369</v>
      </c>
      <c r="K89" t="s">
        <v>370</v>
      </c>
    </row>
    <row r="90" spans="5:13" x14ac:dyDescent="0.35">
      <c r="E90" s="280" t="str">
        <f>D42</f>
        <v>NOWI % of ON EVs</v>
      </c>
      <c r="F90" s="288">
        <f>L42</f>
        <v>3.0114434852439271E-4</v>
      </c>
      <c r="G90" s="267">
        <f>M42</f>
        <v>3.0114434852439271E-4</v>
      </c>
      <c r="H90" s="267">
        <f>N42</f>
        <v>3.0114434852439271E-4</v>
      </c>
      <c r="I90" s="288">
        <f>O42</f>
        <v>3.0114434852439271E-4</v>
      </c>
      <c r="J90" t="s">
        <v>371</v>
      </c>
      <c r="K90" t="s">
        <v>429</v>
      </c>
    </row>
    <row r="91" spans="5:13" x14ac:dyDescent="0.35">
      <c r="E91" s="244" t="s">
        <v>430</v>
      </c>
      <c r="F91" s="371">
        <f>F88*F89*F90</f>
        <v>15.000000000000002</v>
      </c>
      <c r="G91" s="371">
        <f>G88*G89*G90</f>
        <v>24.369181942617626</v>
      </c>
      <c r="H91" s="371">
        <f>H88*H89*H90</f>
        <v>33.244402540987878</v>
      </c>
      <c r="I91" s="371">
        <f>I88*I89*I90</f>
        <v>42.119623139358133</v>
      </c>
      <c r="J91" t="s">
        <v>372</v>
      </c>
      <c r="K91" t="s">
        <v>431</v>
      </c>
    </row>
    <row r="92" spans="5:13" x14ac:dyDescent="0.35">
      <c r="E92" s="244" t="s">
        <v>359</v>
      </c>
      <c r="F92" s="373">
        <f>F96*($L$73+$L$74)</f>
        <v>14.112350926695505</v>
      </c>
      <c r="G92" s="373">
        <f>G91*($L$73+$L$74)</f>
        <v>22.930318981500616</v>
      </c>
      <c r="H92" s="373">
        <f t="shared" ref="H92:I92" si="45">H91*($L$73+$L$74)</f>
        <v>31.281507783448323</v>
      </c>
      <c r="I92" s="373">
        <f t="shared" si="45"/>
        <v>39.632696585396033</v>
      </c>
      <c r="J92" t="s">
        <v>373</v>
      </c>
      <c r="K92" t="s">
        <v>432</v>
      </c>
    </row>
    <row r="93" spans="5:13" x14ac:dyDescent="0.35">
      <c r="E93" s="244" t="s">
        <v>324</v>
      </c>
      <c r="F93" s="373">
        <f>F96*($L$75)</f>
        <v>0.33904088296014717</v>
      </c>
      <c r="G93" s="373">
        <f>G91*($L$75)</f>
        <v>0.55088734927499394</v>
      </c>
      <c r="H93" s="373">
        <f t="shared" ref="H93:I93" si="46">H91*($L$75)</f>
        <v>0.75151972015965374</v>
      </c>
      <c r="I93" s="373">
        <f t="shared" si="46"/>
        <v>0.95215209104431353</v>
      </c>
      <c r="J93" t="s">
        <v>374</v>
      </c>
      <c r="K93" t="s">
        <v>432</v>
      </c>
    </row>
    <row r="94" spans="5:13" x14ac:dyDescent="0.35">
      <c r="E94" s="244" t="s">
        <v>375</v>
      </c>
      <c r="F94" s="373">
        <f>F96*$L$76</f>
        <v>0.5443924657122079</v>
      </c>
      <c r="G94" s="373">
        <f>G91*$L$76</f>
        <v>0.88455091251260121</v>
      </c>
      <c r="H94" s="373">
        <f t="shared" ref="H94:I94" si="47">H91*$L$76</f>
        <v>1.2067030675387689</v>
      </c>
      <c r="I94" s="373">
        <f t="shared" si="47"/>
        <v>1.5288552225649368</v>
      </c>
      <c r="J94" t="s">
        <v>376</v>
      </c>
      <c r="K94" t="s">
        <v>432</v>
      </c>
    </row>
    <row r="96" spans="5:13" x14ac:dyDescent="0.35">
      <c r="E96" s="244" t="s">
        <v>430</v>
      </c>
      <c r="F96" s="289">
        <f>SUM(F97:F99)</f>
        <v>14.99789198956033</v>
      </c>
      <c r="G96" s="282">
        <f>SUM(G97:G99)</f>
        <v>19.831487255438631</v>
      </c>
      <c r="H96" s="282">
        <f>SUM(H97:H99)</f>
        <v>24.007081656412488</v>
      </c>
      <c r="I96" s="289">
        <f>SUM(I97:I99)</f>
        <v>29.052803724305114</v>
      </c>
    </row>
    <row r="97" spans="5:12" x14ac:dyDescent="0.35">
      <c r="E97" s="244" t="s">
        <v>359</v>
      </c>
      <c r="F97" s="285">
        <f>L13</f>
        <v>14.114334470989762</v>
      </c>
      <c r="G97" s="280">
        <f>M13</f>
        <v>18.831487255438631</v>
      </c>
      <c r="H97" s="280">
        <f>N13</f>
        <v>23.007081656412488</v>
      </c>
      <c r="I97" s="285">
        <f>O13</f>
        <v>28.052803724305114</v>
      </c>
    </row>
    <row r="98" spans="5:12" x14ac:dyDescent="0.35">
      <c r="E98" s="244" t="s">
        <v>324</v>
      </c>
      <c r="F98" s="370">
        <f>L18</f>
        <v>0.33908853643846615</v>
      </c>
      <c r="G98" s="370">
        <f>M18</f>
        <v>0.5</v>
      </c>
      <c r="H98" s="370">
        <f>N18</f>
        <v>0.5</v>
      </c>
      <c r="I98" s="370">
        <f>O18</f>
        <v>0.5</v>
      </c>
    </row>
    <row r="99" spans="5:12" x14ac:dyDescent="0.35">
      <c r="E99" s="244" t="s">
        <v>375</v>
      </c>
      <c r="F99" s="370">
        <f>L23</f>
        <v>0.54446898213210193</v>
      </c>
      <c r="G99" s="370">
        <f>M23</f>
        <v>0.5</v>
      </c>
      <c r="H99" s="370">
        <f>N23</f>
        <v>0.5</v>
      </c>
      <c r="I99" s="370">
        <f>O23</f>
        <v>0.5</v>
      </c>
    </row>
    <row r="102" spans="5:12" x14ac:dyDescent="0.35">
      <c r="F102">
        <v>2023</v>
      </c>
      <c r="G102">
        <v>2024</v>
      </c>
      <c r="H102">
        <v>2025</v>
      </c>
      <c r="I102">
        <v>2026</v>
      </c>
    </row>
    <row r="103" spans="5:12" x14ac:dyDescent="0.35">
      <c r="E103" t="str">
        <f>E92</f>
        <v>Passenger &amp; Multi-Purpose EVs</v>
      </c>
      <c r="F103" s="260">
        <f t="shared" ref="F103:I104" si="48">L13</f>
        <v>14.114334470989762</v>
      </c>
      <c r="G103" s="260">
        <f t="shared" si="48"/>
        <v>18.831487255438631</v>
      </c>
      <c r="H103" s="260">
        <f t="shared" si="48"/>
        <v>23.007081656412488</v>
      </c>
      <c r="I103" s="260">
        <f t="shared" si="48"/>
        <v>28.052803724305114</v>
      </c>
      <c r="J103" t="s">
        <v>113</v>
      </c>
    </row>
    <row r="104" spans="5:12" x14ac:dyDescent="0.35">
      <c r="E104" t="s">
        <v>377</v>
      </c>
      <c r="F104" s="260">
        <f t="shared" si="48"/>
        <v>48.819757500618721</v>
      </c>
      <c r="G104" s="260">
        <f t="shared" si="48"/>
        <v>67.651244756057352</v>
      </c>
      <c r="H104" s="260">
        <f t="shared" si="48"/>
        <v>90.658326412469847</v>
      </c>
      <c r="I104" s="260">
        <f t="shared" si="48"/>
        <v>118.71113013677495</v>
      </c>
      <c r="J104" t="s">
        <v>114</v>
      </c>
      <c r="K104" s="190"/>
    </row>
    <row r="105" spans="5:12" x14ac:dyDescent="0.35">
      <c r="E105" t="s">
        <v>378</v>
      </c>
      <c r="F105" s="260">
        <f>L17</f>
        <v>193905.29263423302</v>
      </c>
      <c r="G105" s="260">
        <f>M17</f>
        <v>270389.64336993598</v>
      </c>
      <c r="H105" s="260">
        <f>N17</f>
        <v>367518.67555816442</v>
      </c>
      <c r="I105" s="260">
        <f>O17</f>
        <v>486055.16902953124</v>
      </c>
      <c r="J105" s="190" t="s">
        <v>379</v>
      </c>
      <c r="K105" s="190"/>
      <c r="L105" s="17">
        <f>(H104+I103/2)*4000</f>
        <v>418738.91309848963</v>
      </c>
    </row>
    <row r="106" spans="5:12" x14ac:dyDescent="0.35">
      <c r="E106" t="s">
        <v>380</v>
      </c>
      <c r="G106" s="260">
        <f>G105-F105</f>
        <v>76484.350735702959</v>
      </c>
      <c r="H106" s="260">
        <f>H105-G105</f>
        <v>97129.032188228448</v>
      </c>
      <c r="I106" s="260">
        <f>I105-H105</f>
        <v>118536.49347136682</v>
      </c>
      <c r="J106" t="s">
        <v>381</v>
      </c>
      <c r="L106" s="17"/>
    </row>
    <row r="107" spans="5:12" x14ac:dyDescent="0.35">
      <c r="E107" t="str">
        <f>E93</f>
        <v>Van EVs</v>
      </c>
      <c r="F107" s="260">
        <f>F98</f>
        <v>0.33908853643846615</v>
      </c>
      <c r="G107" s="260">
        <f>G98</f>
        <v>0.5</v>
      </c>
      <c r="H107" s="260">
        <f>H98</f>
        <v>0.5</v>
      </c>
      <c r="I107" s="260">
        <f>I98</f>
        <v>0.5</v>
      </c>
      <c r="J107" t="s">
        <v>159</v>
      </c>
      <c r="L107" s="17"/>
    </row>
    <row r="108" spans="5:12" x14ac:dyDescent="0.35">
      <c r="E108" t="s">
        <v>377</v>
      </c>
      <c r="F108" s="255">
        <f>L19</f>
        <v>1.272315099358976</v>
      </c>
      <c r="G108" s="255">
        <f>M19</f>
        <v>1.772315099358976</v>
      </c>
      <c r="H108" s="255">
        <f>N19</f>
        <v>2.272315099358976</v>
      </c>
      <c r="I108" s="255">
        <f>O19</f>
        <v>2.772315099358976</v>
      </c>
      <c r="J108" t="s">
        <v>351</v>
      </c>
      <c r="L108" s="17"/>
    </row>
    <row r="109" spans="5:12" x14ac:dyDescent="0.35">
      <c r="E109" t="s">
        <v>378</v>
      </c>
      <c r="F109" s="260">
        <f>L22</f>
        <v>4761.8997863113054</v>
      </c>
      <c r="G109" s="260">
        <f>M22</f>
        <v>6573.5434250140906</v>
      </c>
      <c r="H109" s="260">
        <f>N22</f>
        <v>8732.6047874685901</v>
      </c>
      <c r="I109" s="260">
        <f>O22</f>
        <v>10891.666149923087</v>
      </c>
      <c r="J109" s="190" t="s">
        <v>382</v>
      </c>
      <c r="L109" s="290">
        <f>(H108+I107/2)*5000</f>
        <v>12611.57549679488</v>
      </c>
    </row>
    <row r="110" spans="5:12" x14ac:dyDescent="0.35">
      <c r="E110" t="s">
        <v>380</v>
      </c>
      <c r="F110" s="260"/>
      <c r="G110" s="260">
        <f>G109-F109</f>
        <v>1811.6436387027852</v>
      </c>
      <c r="H110" s="260">
        <f>H109-G109</f>
        <v>2159.0613624544994</v>
      </c>
      <c r="I110" s="260">
        <f>I109-H109</f>
        <v>2159.0613624544967</v>
      </c>
      <c r="J110" t="s">
        <v>383</v>
      </c>
      <c r="L110" s="17"/>
    </row>
    <row r="111" spans="5:12" x14ac:dyDescent="0.35">
      <c r="E111" t="str">
        <f>E94</f>
        <v>Pickup Truck EVs</v>
      </c>
      <c r="F111" s="260">
        <f>F99</f>
        <v>0.54446898213210193</v>
      </c>
      <c r="G111" s="260">
        <f>G99</f>
        <v>0.5</v>
      </c>
      <c r="H111" s="260">
        <f>H99</f>
        <v>0.5</v>
      </c>
      <c r="I111" s="260">
        <f>I99</f>
        <v>0.5</v>
      </c>
      <c r="J111" t="s">
        <v>384</v>
      </c>
      <c r="L111" s="17"/>
    </row>
    <row r="112" spans="5:12" x14ac:dyDescent="0.35">
      <c r="E112" t="s">
        <v>377</v>
      </c>
      <c r="F112" s="260">
        <f>L24</f>
        <v>0.90581938958262587</v>
      </c>
      <c r="G112" s="260">
        <f>M24</f>
        <v>1.4058193895826259</v>
      </c>
      <c r="H112" s="260">
        <f>N24</f>
        <v>1.9058193895826259</v>
      </c>
      <c r="I112" s="260">
        <f>O24</f>
        <v>2.4058193895826259</v>
      </c>
      <c r="J112" t="s">
        <v>164</v>
      </c>
      <c r="L112" s="17"/>
    </row>
    <row r="113" spans="5:14" x14ac:dyDescent="0.35">
      <c r="E113" t="s">
        <v>378</v>
      </c>
      <c r="F113" s="260">
        <f>L27</f>
        <v>4856.4282471295464</v>
      </c>
      <c r="G113" s="260">
        <f>M27</f>
        <v>8859.3556211508276</v>
      </c>
      <c r="H113" s="260">
        <f>N27</f>
        <v>12691.855621150828</v>
      </c>
      <c r="I113" s="260">
        <f>O27</f>
        <v>16524.355621150826</v>
      </c>
      <c r="J113" t="s">
        <v>385</v>
      </c>
      <c r="L113" s="290">
        <f>(H112+I111/2)*6000</f>
        <v>12934.916337495755</v>
      </c>
    </row>
    <row r="114" spans="5:14" x14ac:dyDescent="0.35">
      <c r="E114" t="s">
        <v>380</v>
      </c>
      <c r="G114" s="260">
        <f>G113-F113</f>
        <v>4002.9273740212811</v>
      </c>
      <c r="H114" s="260">
        <f>H113-G113</f>
        <v>3832.5</v>
      </c>
      <c r="I114" s="260">
        <f>I113-H113</f>
        <v>3832.4999999999982</v>
      </c>
      <c r="J114" t="s">
        <v>386</v>
      </c>
    </row>
    <row r="115" spans="5:14" x14ac:dyDescent="0.35">
      <c r="L115" s="149"/>
    </row>
    <row r="116" spans="5:14" x14ac:dyDescent="0.35">
      <c r="J116">
        <v>2024</v>
      </c>
      <c r="M116">
        <v>2025</v>
      </c>
    </row>
    <row r="117" spans="5:14" x14ac:dyDescent="0.35">
      <c r="F117" s="12" t="str">
        <f t="shared" ref="F117:H120" si="49">S53</f>
        <v>Passenger/SUV</v>
      </c>
      <c r="G117" s="12" t="str">
        <f t="shared" si="49"/>
        <v>Van</v>
      </c>
      <c r="H117" s="12" t="str">
        <f t="shared" si="49"/>
        <v>Pick-up Truck</v>
      </c>
      <c r="I117" t="str">
        <f t="shared" ref="I117:N117" si="50">F117</f>
        <v>Passenger/SUV</v>
      </c>
      <c r="J117" t="str">
        <f t="shared" si="50"/>
        <v>Van</v>
      </c>
      <c r="K117" t="str">
        <f t="shared" si="50"/>
        <v>Pick-up Truck</v>
      </c>
      <c r="L117" t="str">
        <f t="shared" si="50"/>
        <v>Passenger/SUV</v>
      </c>
      <c r="M117" t="str">
        <f t="shared" si="50"/>
        <v>Van</v>
      </c>
      <c r="N117" t="str">
        <f t="shared" si="50"/>
        <v>Pick-up Truck</v>
      </c>
    </row>
    <row r="118" spans="5:14" x14ac:dyDescent="0.35">
      <c r="E118" t="str">
        <f>R54</f>
        <v>Residential</v>
      </c>
      <c r="F118" s="291">
        <f t="shared" si="49"/>
        <v>0.7</v>
      </c>
      <c r="G118" s="291">
        <f t="shared" si="49"/>
        <v>0.2</v>
      </c>
      <c r="H118" s="291">
        <f t="shared" si="49"/>
        <v>0.33333333333333337</v>
      </c>
      <c r="I118" s="17">
        <f>F118*I$121</f>
        <v>53539.045514992067</v>
      </c>
      <c r="J118" s="17">
        <f>G118*J$121</f>
        <v>362.32872774055704</v>
      </c>
      <c r="K118" s="17">
        <f>H118*K$121</f>
        <v>1334.3091246737606</v>
      </c>
      <c r="L118" s="17">
        <f>F118*L$121</f>
        <v>67990.322531759914</v>
      </c>
      <c r="M118" s="17">
        <f>G118*M$121</f>
        <v>431.81227249089989</v>
      </c>
      <c r="N118" s="17">
        <f>H118*N$121</f>
        <v>1277.5000000000002</v>
      </c>
    </row>
    <row r="119" spans="5:14" x14ac:dyDescent="0.35">
      <c r="E119" t="str">
        <f>R55</f>
        <v>GS&lt;50</v>
      </c>
      <c r="F119" s="291">
        <f t="shared" si="49"/>
        <v>0.15</v>
      </c>
      <c r="G119" s="291">
        <f t="shared" si="49"/>
        <v>0.5</v>
      </c>
      <c r="H119" s="291">
        <f t="shared" si="49"/>
        <v>0.33333333333333337</v>
      </c>
      <c r="I119" s="17">
        <f t="shared" ref="I119:K120" si="51">F119*I$121</f>
        <v>11472.652610355444</v>
      </c>
      <c r="J119" s="17">
        <f t="shared" si="51"/>
        <v>905.82181935139261</v>
      </c>
      <c r="K119" s="17">
        <f t="shared" si="51"/>
        <v>1334.3091246737606</v>
      </c>
      <c r="L119" s="17">
        <f t="shared" ref="L119:N120" si="52">F119*L$121</f>
        <v>14569.354828234267</v>
      </c>
      <c r="M119" s="17">
        <f t="shared" si="52"/>
        <v>1079.5306812272497</v>
      </c>
      <c r="N119" s="17">
        <f t="shared" si="52"/>
        <v>1277.5000000000002</v>
      </c>
    </row>
    <row r="120" spans="5:14" x14ac:dyDescent="0.35">
      <c r="E120" t="str">
        <f>R56</f>
        <v>GS&gt;50</v>
      </c>
      <c r="F120" s="291">
        <f t="shared" si="49"/>
        <v>0.15</v>
      </c>
      <c r="G120" s="291">
        <f t="shared" si="49"/>
        <v>0.3</v>
      </c>
      <c r="H120" s="291">
        <f t="shared" si="49"/>
        <v>0.33333333333333298</v>
      </c>
      <c r="I120" s="17">
        <f t="shared" si="51"/>
        <v>11472.652610355444</v>
      </c>
      <c r="J120" s="17">
        <f t="shared" si="51"/>
        <v>543.49309161083556</v>
      </c>
      <c r="K120" s="17">
        <f t="shared" si="51"/>
        <v>1334.309124673759</v>
      </c>
      <c r="L120" s="17">
        <f t="shared" si="52"/>
        <v>14569.354828234267</v>
      </c>
      <c r="M120" s="17">
        <f t="shared" si="52"/>
        <v>647.71840873634983</v>
      </c>
      <c r="N120" s="17">
        <f>H120*N$121</f>
        <v>1277.4999999999986</v>
      </c>
    </row>
    <row r="121" spans="5:14" x14ac:dyDescent="0.35">
      <c r="F121" s="179">
        <f>SUM(F118:F120)</f>
        <v>1</v>
      </c>
      <c r="G121" s="179">
        <f t="shared" ref="G121:H121" si="53">SUM(G118:G120)</f>
        <v>1</v>
      </c>
      <c r="H121" s="179">
        <f t="shared" si="53"/>
        <v>0.99999999999999978</v>
      </c>
      <c r="I121" s="260">
        <f>G106</f>
        <v>76484.350735702959</v>
      </c>
      <c r="J121" s="260">
        <f>G110</f>
        <v>1811.6436387027852</v>
      </c>
      <c r="K121" s="260">
        <f>G114</f>
        <v>4002.9273740212811</v>
      </c>
      <c r="L121" s="260">
        <f>H106</f>
        <v>97129.032188228448</v>
      </c>
      <c r="M121" s="260">
        <f>H110</f>
        <v>2159.0613624544994</v>
      </c>
      <c r="N121" s="260">
        <f>H114</f>
        <v>3832.5</v>
      </c>
    </row>
    <row r="124" spans="5:14" x14ac:dyDescent="0.35">
      <c r="F124" t="s">
        <v>387</v>
      </c>
      <c r="G124" t="s">
        <v>388</v>
      </c>
      <c r="H124" s="12" t="s">
        <v>389</v>
      </c>
    </row>
    <row r="125" spans="5:14" x14ac:dyDescent="0.35">
      <c r="E125" t="str">
        <f>E118</f>
        <v>Residential</v>
      </c>
      <c r="F125" s="17">
        <f>SUM(I118:K118)</f>
        <v>55235.683367406382</v>
      </c>
      <c r="G125" s="17">
        <f>SUM(L118:N118)</f>
        <v>69699.634804250818</v>
      </c>
      <c r="H125" s="17">
        <f>F125*2+G125</f>
        <v>180171.00153906358</v>
      </c>
    </row>
    <row r="126" spans="5:14" x14ac:dyDescent="0.35">
      <c r="E126" t="str">
        <f>E119</f>
        <v>GS&lt;50</v>
      </c>
      <c r="F126" s="17">
        <f>SUM(I119:K119)</f>
        <v>13712.783554380598</v>
      </c>
      <c r="G126" s="17">
        <f>SUM(L119:N119)</f>
        <v>16926.385509461517</v>
      </c>
      <c r="H126" s="17">
        <f>F126*2+G126</f>
        <v>44351.952618222713</v>
      </c>
    </row>
    <row r="127" spans="5:14" x14ac:dyDescent="0.35">
      <c r="E127" t="str">
        <f>E120</f>
        <v>GS&gt;50</v>
      </c>
      <c r="F127" s="17">
        <f>SUM(I120:K120)</f>
        <v>13350.454826640038</v>
      </c>
      <c r="G127" s="17">
        <f>SUM(L120:N120)</f>
        <v>16494.573236970617</v>
      </c>
      <c r="H127" s="17">
        <f>F127*2+G127</f>
        <v>43195.482890250692</v>
      </c>
    </row>
    <row r="128" spans="5:14" x14ac:dyDescent="0.35">
      <c r="E128" t="s">
        <v>121</v>
      </c>
      <c r="F128" s="292">
        <f>SUM(F125:F127)</f>
        <v>82298.921748427019</v>
      </c>
      <c r="G128" s="292">
        <f>SUM(G125:G127)</f>
        <v>103120.59355068294</v>
      </c>
      <c r="H128" s="292">
        <f>F128*2+G128</f>
        <v>267718.43704753695</v>
      </c>
    </row>
  </sheetData>
  <mergeCells count="8">
    <mergeCell ref="C23:C27"/>
    <mergeCell ref="C54:C56"/>
    <mergeCell ref="E81:M81"/>
    <mergeCell ref="G1:H1"/>
    <mergeCell ref="I1:J1"/>
    <mergeCell ref="C10:C11"/>
    <mergeCell ref="C13:C17"/>
    <mergeCell ref="C18:C22"/>
  </mergeCells>
  <hyperlinks>
    <hyperlink ref="C7" r:id="rId1" display="https://council.cleanairpartnership.org/wp-content/uploads/2021/11/2-21-050-EV-Charging-Performance-Requirements-in-GTHA.pdf" xr:uid="{C7CB2928-7BC6-482A-BD0A-39ACEC80F65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7ADC-5BBF-4DF8-B33E-9AFEAA1D5048}">
  <sheetPr codeName="Sheet10">
    <tabColor theme="3" tint="0.79998168889431442"/>
  </sheetPr>
  <dimension ref="B1:W48"/>
  <sheetViews>
    <sheetView workbookViewId="0">
      <selection activeCell="F11" sqref="F11"/>
    </sheetView>
  </sheetViews>
  <sheetFormatPr defaultRowHeight="14.5" x14ac:dyDescent="0.35"/>
  <cols>
    <col min="2" max="3" width="24.54296875" customWidth="1"/>
    <col min="4" max="4" width="12.54296875" bestFit="1" customWidth="1"/>
    <col min="5" max="5" width="19.81640625" customWidth="1"/>
    <col min="6" max="6" width="12.1796875" customWidth="1"/>
    <col min="7" max="7" width="13.453125" bestFit="1" customWidth="1"/>
    <col min="8" max="8" width="10.453125" customWidth="1"/>
    <col min="9" max="9" width="13.453125" customWidth="1"/>
    <col min="10" max="10" width="13.26953125" bestFit="1" customWidth="1"/>
    <col min="15" max="15" width="13.81640625" customWidth="1"/>
    <col min="16" max="17" width="10.54296875" customWidth="1"/>
    <col min="18" max="18" width="12.453125" customWidth="1"/>
    <col min="21" max="21" width="12.453125" customWidth="1"/>
    <col min="22" max="22" width="9.54296875" bestFit="1" customWidth="1"/>
  </cols>
  <sheetData>
    <row r="1" spans="2:23" x14ac:dyDescent="0.35">
      <c r="C1" s="12" t="s">
        <v>100</v>
      </c>
      <c r="D1" s="12" t="s">
        <v>185</v>
      </c>
      <c r="T1" t="s">
        <v>100</v>
      </c>
      <c r="V1" t="s">
        <v>126</v>
      </c>
    </row>
    <row r="2" spans="2:23" x14ac:dyDescent="0.35">
      <c r="B2" t="s">
        <v>390</v>
      </c>
      <c r="C2" s="149">
        <f>U15</f>
        <v>1788</v>
      </c>
      <c r="D2" s="260">
        <f>W15</f>
        <v>6955</v>
      </c>
      <c r="E2" t="s">
        <v>391</v>
      </c>
      <c r="F2" t="s">
        <v>392</v>
      </c>
      <c r="O2" s="437" t="s">
        <v>393</v>
      </c>
      <c r="P2" s="437"/>
      <c r="Q2" s="437"/>
      <c r="T2" s="293" t="s">
        <v>394</v>
      </c>
      <c r="U2" t="s">
        <v>395</v>
      </c>
      <c r="V2" s="293" t="s">
        <v>394</v>
      </c>
      <c r="W2" t="s">
        <v>395</v>
      </c>
    </row>
    <row r="3" spans="2:23" x14ac:dyDescent="0.35">
      <c r="B3" t="s">
        <v>396</v>
      </c>
      <c r="C3">
        <v>3.4299999999999997E-2</v>
      </c>
      <c r="D3">
        <f>C3</f>
        <v>3.4299999999999997E-2</v>
      </c>
      <c r="E3" t="s">
        <v>397</v>
      </c>
      <c r="F3" t="s">
        <v>398</v>
      </c>
      <c r="O3" t="s">
        <v>30</v>
      </c>
      <c r="P3" s="7">
        <f ca="1">Weather!AP38</f>
        <v>1041.4846429373913</v>
      </c>
      <c r="Q3" s="182">
        <f t="shared" ref="Q3:Q14" ca="1" si="0">P3/$P$15</f>
        <v>0.17360804759274312</v>
      </c>
      <c r="R3" s="450">
        <f ca="1">SUM(Q3:Q9)</f>
        <v>0.63588386681150244</v>
      </c>
      <c r="T3" s="294">
        <v>419</v>
      </c>
      <c r="U3" s="260">
        <f t="shared" ref="U3:U14" si="1">MAX(T3-$T$9,0)</f>
        <v>368</v>
      </c>
      <c r="V3" s="149">
        <v>1640</v>
      </c>
      <c r="W3" s="260">
        <f t="shared" ref="W3:W14" si="2">MAX(V3-$V$9,0)</f>
        <v>1491</v>
      </c>
    </row>
    <row r="4" spans="2:23" x14ac:dyDescent="0.35">
      <c r="B4" t="s">
        <v>399</v>
      </c>
      <c r="C4">
        <v>277</v>
      </c>
      <c r="D4">
        <f>C4</f>
        <v>277</v>
      </c>
      <c r="E4" t="s">
        <v>400</v>
      </c>
      <c r="F4" t="s">
        <v>398</v>
      </c>
      <c r="O4" t="s">
        <v>31</v>
      </c>
      <c r="P4" s="7">
        <f ca="1">Weather!AP39</f>
        <v>961.70085614037725</v>
      </c>
      <c r="Q4" s="182">
        <f t="shared" ca="1" si="0"/>
        <v>0.16030866046369263</v>
      </c>
      <c r="R4" s="450"/>
      <c r="T4" s="294">
        <v>404</v>
      </c>
      <c r="U4" s="260">
        <f t="shared" si="1"/>
        <v>353</v>
      </c>
      <c r="V4" s="149">
        <v>1463</v>
      </c>
      <c r="W4" s="260">
        <f t="shared" si="2"/>
        <v>1314</v>
      </c>
    </row>
    <row r="5" spans="2:23" x14ac:dyDescent="0.35">
      <c r="B5" t="s">
        <v>401</v>
      </c>
      <c r="C5">
        <f>C3*C4</f>
        <v>9.5010999999999992</v>
      </c>
      <c r="D5">
        <f>D3*D4</f>
        <v>9.5010999999999992</v>
      </c>
      <c r="E5" t="s">
        <v>402</v>
      </c>
      <c r="O5" t="s">
        <v>32</v>
      </c>
      <c r="P5" s="7">
        <f ca="1">Weather!AP40</f>
        <v>825.21697535249291</v>
      </c>
      <c r="Q5" s="182">
        <f t="shared" ca="1" si="0"/>
        <v>0.13755777284173304</v>
      </c>
      <c r="R5" s="450"/>
      <c r="T5" s="294">
        <v>354</v>
      </c>
      <c r="U5" s="260">
        <f t="shared" si="1"/>
        <v>303</v>
      </c>
      <c r="V5" s="149">
        <v>1262</v>
      </c>
      <c r="W5" s="260">
        <f t="shared" si="2"/>
        <v>1113</v>
      </c>
    </row>
    <row r="6" spans="2:23" x14ac:dyDescent="0.35">
      <c r="B6" t="s">
        <v>403</v>
      </c>
      <c r="C6" s="295">
        <f>C2*C5</f>
        <v>16987.966799999998</v>
      </c>
      <c r="D6" s="295">
        <f>D2*D5</f>
        <v>66080.150499999989</v>
      </c>
      <c r="E6" t="s">
        <v>404</v>
      </c>
      <c r="J6" s="260"/>
      <c r="O6" t="s">
        <v>33</v>
      </c>
      <c r="P6" s="7">
        <f ca="1">Weather!AP41</f>
        <v>546.8637413894221</v>
      </c>
      <c r="Q6" s="182">
        <f t="shared" ca="1" si="0"/>
        <v>9.1158277835103566E-2</v>
      </c>
      <c r="R6" s="450"/>
      <c r="T6" s="294">
        <v>252</v>
      </c>
      <c r="U6" s="260">
        <f t="shared" si="1"/>
        <v>201</v>
      </c>
      <c r="V6" s="149">
        <v>679</v>
      </c>
      <c r="W6" s="260">
        <f t="shared" si="2"/>
        <v>530</v>
      </c>
    </row>
    <row r="7" spans="2:23" x14ac:dyDescent="0.35">
      <c r="B7" t="s">
        <v>405</v>
      </c>
      <c r="C7">
        <v>2.5819999999999999</v>
      </c>
      <c r="D7">
        <f>C7</f>
        <v>2.5819999999999999</v>
      </c>
      <c r="E7" t="s">
        <v>406</v>
      </c>
      <c r="F7" t="s">
        <v>407</v>
      </c>
      <c r="J7" s="260"/>
      <c r="O7" t="s">
        <v>21</v>
      </c>
      <c r="P7" s="7">
        <f ca="1">Weather!AP42</f>
        <v>294.92508406806803</v>
      </c>
      <c r="Q7" s="182">
        <f t="shared" ca="1" si="0"/>
        <v>4.9161903997715382E-2</v>
      </c>
      <c r="R7" s="450"/>
      <c r="T7" s="294">
        <v>158</v>
      </c>
      <c r="U7" s="260">
        <f t="shared" si="1"/>
        <v>107</v>
      </c>
      <c r="V7" s="149">
        <v>331</v>
      </c>
      <c r="W7" s="260">
        <f t="shared" si="2"/>
        <v>182</v>
      </c>
    </row>
    <row r="8" spans="2:23" x14ac:dyDescent="0.35">
      <c r="B8" t="s">
        <v>408</v>
      </c>
      <c r="C8" s="316">
        <f>C6/C7</f>
        <v>6579.3829589465531</v>
      </c>
      <c r="D8" s="316">
        <f>D6/D7</f>
        <v>25592.622192099145</v>
      </c>
      <c r="E8" t="s">
        <v>404</v>
      </c>
      <c r="O8" t="s">
        <v>22</v>
      </c>
      <c r="P8" s="7">
        <f ca="1">Weather!AP43</f>
        <v>100.04903986295272</v>
      </c>
      <c r="Q8" s="182">
        <f t="shared" ca="1" si="0"/>
        <v>1.6677460000895955E-2</v>
      </c>
      <c r="R8" s="450"/>
      <c r="T8" s="294">
        <v>69</v>
      </c>
      <c r="U8" s="260">
        <f t="shared" si="1"/>
        <v>18</v>
      </c>
      <c r="V8" s="149">
        <v>82</v>
      </c>
      <c r="W8" s="260">
        <f t="shared" si="2"/>
        <v>0</v>
      </c>
    </row>
    <row r="9" spans="2:23" x14ac:dyDescent="0.35">
      <c r="O9" t="s">
        <v>23</v>
      </c>
      <c r="P9" s="7">
        <f ca="1">Weather!AP44</f>
        <v>44.463478181686312</v>
      </c>
      <c r="Q9" s="182">
        <f t="shared" ca="1" si="0"/>
        <v>7.4117440796187834E-3</v>
      </c>
      <c r="R9" s="450"/>
      <c r="T9" s="294">
        <v>51</v>
      </c>
      <c r="U9" s="260">
        <f t="shared" si="1"/>
        <v>0</v>
      </c>
      <c r="V9" s="149">
        <v>149</v>
      </c>
      <c r="W9" s="260">
        <f t="shared" si="2"/>
        <v>0</v>
      </c>
    </row>
    <row r="10" spans="2:23" x14ac:dyDescent="0.35">
      <c r="B10" s="189" t="s">
        <v>100</v>
      </c>
      <c r="C10" s="189"/>
      <c r="D10">
        <v>2022</v>
      </c>
      <c r="E10">
        <v>2023</v>
      </c>
      <c r="F10">
        <v>2024</v>
      </c>
      <c r="G10">
        <v>2025</v>
      </c>
      <c r="O10" t="s">
        <v>24</v>
      </c>
      <c r="P10" s="7">
        <f ca="1">Weather!AP45</f>
        <v>74.841984207315789</v>
      </c>
      <c r="Q10" s="182">
        <f t="shared" ca="1" si="0"/>
        <v>1.2475623951163811E-2</v>
      </c>
      <c r="R10" s="450">
        <f ca="1">SUM(Q10:Q14)</f>
        <v>0.36411613318849745</v>
      </c>
      <c r="T10" s="294">
        <v>54</v>
      </c>
      <c r="U10" s="260">
        <f t="shared" si="1"/>
        <v>3</v>
      </c>
      <c r="V10" s="149">
        <v>166</v>
      </c>
      <c r="W10" s="260">
        <f t="shared" si="2"/>
        <v>17</v>
      </c>
    </row>
    <row r="11" spans="2:23" x14ac:dyDescent="0.35">
      <c r="B11" t="s">
        <v>409</v>
      </c>
      <c r="C11" s="37">
        <f>'Customer Count'!C11</f>
        <v>5165.916666666667</v>
      </c>
      <c r="D11" s="149">
        <f>'Customer Count'!C12</f>
        <v>5161.083333333333</v>
      </c>
      <c r="E11" s="149">
        <f>'Customer Count'!C13</f>
        <v>5194.166666666667</v>
      </c>
      <c r="F11" s="149">
        <f>'Customer Count'!C18</f>
        <v>5182.4538256744681</v>
      </c>
      <c r="G11" s="149">
        <f>'Customer Count'!C19</f>
        <v>5181.9975292897507</v>
      </c>
      <c r="O11" t="s">
        <v>34</v>
      </c>
      <c r="P11" s="7">
        <f ca="1">Weather!AP46</f>
        <v>182.58775449391013</v>
      </c>
      <c r="Q11" s="182">
        <f t="shared" ca="1" si="0"/>
        <v>3.0436073913320684E-2</v>
      </c>
      <c r="R11" s="450"/>
      <c r="T11" s="294">
        <v>58</v>
      </c>
      <c r="U11" s="260">
        <f t="shared" si="1"/>
        <v>7</v>
      </c>
      <c r="V11" s="149">
        <v>193</v>
      </c>
      <c r="W11" s="260">
        <f t="shared" si="2"/>
        <v>44</v>
      </c>
    </row>
    <row r="12" spans="2:23" x14ac:dyDescent="0.35">
      <c r="B12" t="s">
        <v>410</v>
      </c>
      <c r="D12" s="149">
        <f>MAX(D11-C11,0)</f>
        <v>0</v>
      </c>
      <c r="E12" s="149">
        <f>MAX(E11-D11,0)</f>
        <v>33.08333333333394</v>
      </c>
      <c r="F12" s="149">
        <f>MAX(F11-E11,0)</f>
        <v>0</v>
      </c>
      <c r="G12" s="149">
        <f>MAX(G11-F11,0)</f>
        <v>0</v>
      </c>
      <c r="H12" s="149"/>
      <c r="O12" t="s">
        <v>35</v>
      </c>
      <c r="P12" s="7">
        <f ca="1">Weather!AP47</f>
        <v>406.56667572298551</v>
      </c>
      <c r="Q12" s="182">
        <f t="shared" ca="1" si="0"/>
        <v>6.7771759542672894E-2</v>
      </c>
      <c r="R12" s="450"/>
      <c r="T12" s="294">
        <v>91</v>
      </c>
      <c r="U12" s="260">
        <f t="shared" si="1"/>
        <v>40</v>
      </c>
      <c r="V12" s="149">
        <v>407</v>
      </c>
      <c r="W12" s="260">
        <f t="shared" si="2"/>
        <v>258</v>
      </c>
    </row>
    <row r="13" spans="2:23" x14ac:dyDescent="0.35">
      <c r="B13" t="s">
        <v>411</v>
      </c>
      <c r="D13" s="152">
        <v>1E-3</v>
      </c>
      <c r="E13" s="152">
        <f t="shared" ref="E13:G14" si="3">D13</f>
        <v>1E-3</v>
      </c>
      <c r="F13" s="152">
        <f t="shared" si="3"/>
        <v>1E-3</v>
      </c>
      <c r="G13" s="152">
        <f t="shared" si="3"/>
        <v>1E-3</v>
      </c>
      <c r="O13" t="s">
        <v>36</v>
      </c>
      <c r="P13" s="7">
        <f ca="1">Weather!AP48</f>
        <v>642.65249999999992</v>
      </c>
      <c r="Q13" s="182">
        <f t="shared" ca="1" si="0"/>
        <v>0.10712557939493528</v>
      </c>
      <c r="R13" s="450"/>
      <c r="T13" s="294">
        <v>174</v>
      </c>
      <c r="U13" s="260">
        <f t="shared" si="1"/>
        <v>123</v>
      </c>
      <c r="V13" s="149">
        <v>919</v>
      </c>
      <c r="W13" s="260">
        <f t="shared" si="2"/>
        <v>770</v>
      </c>
    </row>
    <row r="14" spans="2:23" x14ac:dyDescent="0.35">
      <c r="B14" t="s">
        <v>412</v>
      </c>
      <c r="D14" s="19">
        <v>0.05</v>
      </c>
      <c r="E14" s="19">
        <f t="shared" si="3"/>
        <v>0.05</v>
      </c>
      <c r="F14" s="19">
        <f t="shared" si="3"/>
        <v>0.05</v>
      </c>
      <c r="G14" s="19">
        <f t="shared" si="3"/>
        <v>0.05</v>
      </c>
      <c r="O14" t="s">
        <v>37</v>
      </c>
      <c r="P14" s="7">
        <f ca="1">Weather!AP49</f>
        <v>877.70466952460959</v>
      </c>
      <c r="Q14" s="182">
        <f t="shared" ca="1" si="0"/>
        <v>0.14630709638640479</v>
      </c>
      <c r="R14" s="450"/>
      <c r="T14" s="294">
        <v>316</v>
      </c>
      <c r="U14" s="260">
        <f t="shared" si="1"/>
        <v>265</v>
      </c>
      <c r="V14" s="149">
        <v>1385</v>
      </c>
      <c r="W14" s="260">
        <f t="shared" si="2"/>
        <v>1236</v>
      </c>
    </row>
    <row r="15" spans="2:23" x14ac:dyDescent="0.35">
      <c r="B15" t="s">
        <v>413</v>
      </c>
      <c r="D15" s="149">
        <f>D13*(D11-D12)</f>
        <v>5.161083333333333</v>
      </c>
      <c r="E15" s="149">
        <f>E13*(E11-E12)</f>
        <v>5.161083333333333</v>
      </c>
      <c r="F15" s="149">
        <f>F13*(F11-F12)</f>
        <v>5.1824538256744681</v>
      </c>
      <c r="G15" s="149">
        <f>G13*(G11-G12)</f>
        <v>5.1819975292897507</v>
      </c>
      <c r="O15" t="s">
        <v>121</v>
      </c>
      <c r="P15" s="296">
        <f ca="1">SUM(P3:P14)</f>
        <v>5999.0574018812122</v>
      </c>
      <c r="Q15" s="297">
        <f ca="1">SUM(Q3:Q14)</f>
        <v>1</v>
      </c>
      <c r="R15" s="450"/>
      <c r="T15" s="149">
        <f>SUM(T3:T14)</f>
        <v>2400</v>
      </c>
      <c r="U15" s="149">
        <f>SUM(U3:U14)</f>
        <v>1788</v>
      </c>
      <c r="V15" s="149">
        <f>SUM(V3:V14)</f>
        <v>8676</v>
      </c>
      <c r="W15" s="149">
        <f>SUM(W3:W14)</f>
        <v>6955</v>
      </c>
    </row>
    <row r="16" spans="2:23" x14ac:dyDescent="0.35">
      <c r="B16" t="s">
        <v>414</v>
      </c>
      <c r="D16" s="149">
        <f>D14*D12</f>
        <v>0</v>
      </c>
      <c r="E16" s="149">
        <f>E14*E12</f>
        <v>1.654166666666697</v>
      </c>
      <c r="F16" s="149">
        <f>F14*F12</f>
        <v>0</v>
      </c>
      <c r="G16" s="149">
        <f>G14*G12</f>
        <v>0</v>
      </c>
    </row>
    <row r="17" spans="2:10" x14ac:dyDescent="0.35">
      <c r="B17" t="s">
        <v>415</v>
      </c>
      <c r="D17" s="149">
        <f>D15+D16</f>
        <v>5.161083333333333</v>
      </c>
      <c r="E17" s="149">
        <f>E15+E16</f>
        <v>6.81525000000003</v>
      </c>
      <c r="F17" s="149">
        <f>F15+F16</f>
        <v>5.1824538256744681</v>
      </c>
      <c r="G17" s="149">
        <f>G15+G16</f>
        <v>5.1819975292897507</v>
      </c>
      <c r="I17" t="s">
        <v>416</v>
      </c>
    </row>
    <row r="18" spans="2:10" x14ac:dyDescent="0.35">
      <c r="B18" t="s">
        <v>404</v>
      </c>
      <c r="D18" s="171">
        <f>$C$8*0.8+$C$6*0.2</f>
        <v>8661.0997271572414</v>
      </c>
      <c r="E18" s="171">
        <f>$C$8*0.8+$C$6*0.2</f>
        <v>8661.0997271572414</v>
      </c>
      <c r="F18" s="171">
        <f>$C$8*0.8+$C$6*0.2</f>
        <v>8661.0997271572414</v>
      </c>
      <c r="G18" s="171">
        <f>$C$8*0.8+$C$6*0.2</f>
        <v>8661.0997271572414</v>
      </c>
      <c r="I18">
        <v>2024</v>
      </c>
      <c r="J18">
        <v>2025</v>
      </c>
    </row>
    <row r="19" spans="2:10" x14ac:dyDescent="0.35">
      <c r="B19" t="s">
        <v>141</v>
      </c>
      <c r="D19" s="149">
        <f>D17*D18</f>
        <v>44700.657450169114</v>
      </c>
      <c r="E19" s="149">
        <f>E17*E18</f>
        <v>59027.559915508653</v>
      </c>
      <c r="F19" s="149">
        <f>F17*F18</f>
        <v>44885.749415554135</v>
      </c>
      <c r="G19" s="149">
        <f>G17*G18</f>
        <v>44881.797387060957</v>
      </c>
      <c r="I19" s="149">
        <f ca="1">E19*$R$3+F19*$R$10</f>
        <v>53878.298559980714</v>
      </c>
      <c r="J19" s="149">
        <f ca="1">F19*$R$3+G19*$R$10</f>
        <v>44884.310418220943</v>
      </c>
    </row>
    <row r="20" spans="2:10" x14ac:dyDescent="0.35">
      <c r="D20" s="149"/>
      <c r="E20" s="149"/>
      <c r="F20" s="149"/>
      <c r="G20" s="149"/>
    </row>
    <row r="21" spans="2:10" x14ac:dyDescent="0.35">
      <c r="B21" s="189" t="s">
        <v>185</v>
      </c>
      <c r="C21" s="189"/>
      <c r="D21" s="377">
        <f>D10</f>
        <v>2022</v>
      </c>
      <c r="E21" s="377">
        <f t="shared" ref="E21:G21" si="4">E10</f>
        <v>2023</v>
      </c>
      <c r="F21" s="377">
        <f t="shared" si="4"/>
        <v>2024</v>
      </c>
      <c r="G21" s="377">
        <f t="shared" si="4"/>
        <v>2025</v>
      </c>
    </row>
    <row r="22" spans="2:10" x14ac:dyDescent="0.35">
      <c r="B22" t="s">
        <v>409</v>
      </c>
      <c r="C22" s="149">
        <f>'Customer Count'!G11</f>
        <v>705.83333333333337</v>
      </c>
      <c r="D22" s="149">
        <f>'Customer Count'!G12</f>
        <v>712.16666666666663</v>
      </c>
      <c r="E22" s="149">
        <f>'Customer Count'!G13</f>
        <v>715.91666666666663</v>
      </c>
      <c r="F22" s="149">
        <f>'Customer Count'!G18</f>
        <v>714.87066563010728</v>
      </c>
      <c r="G22" s="149">
        <f>'Customer Count'!G19</f>
        <v>717.00480232140092</v>
      </c>
    </row>
    <row r="23" spans="2:10" x14ac:dyDescent="0.35">
      <c r="B23" t="s">
        <v>410</v>
      </c>
      <c r="D23" s="149">
        <f>MAX(D22-C22,0)</f>
        <v>6.3333333333332575</v>
      </c>
      <c r="E23" s="149">
        <f>MAX(E22-D22,0)</f>
        <v>3.75</v>
      </c>
      <c r="F23" s="149">
        <f>MAX(F22-E22,0)</f>
        <v>0</v>
      </c>
      <c r="G23" s="149">
        <f>MAX(G22-F22,0)</f>
        <v>2.1341366912936337</v>
      </c>
    </row>
    <row r="24" spans="2:10" x14ac:dyDescent="0.35">
      <c r="B24" t="s">
        <v>411</v>
      </c>
      <c r="D24" s="153">
        <f>D13</f>
        <v>1E-3</v>
      </c>
      <c r="E24" s="153">
        <f t="shared" ref="E24:G25" si="5">D24</f>
        <v>1E-3</v>
      </c>
      <c r="F24" s="153">
        <f t="shared" si="5"/>
        <v>1E-3</v>
      </c>
      <c r="G24" s="153">
        <f t="shared" si="5"/>
        <v>1E-3</v>
      </c>
    </row>
    <row r="25" spans="2:10" x14ac:dyDescent="0.35">
      <c r="B25" t="s">
        <v>412</v>
      </c>
      <c r="D25" s="19">
        <f>D14</f>
        <v>0.05</v>
      </c>
      <c r="E25" s="19">
        <f t="shared" si="5"/>
        <v>0.05</v>
      </c>
      <c r="F25" s="19">
        <f t="shared" si="5"/>
        <v>0.05</v>
      </c>
      <c r="G25" s="19">
        <f t="shared" si="5"/>
        <v>0.05</v>
      </c>
    </row>
    <row r="26" spans="2:10" x14ac:dyDescent="0.35">
      <c r="B26" t="s">
        <v>413</v>
      </c>
      <c r="D26" s="149">
        <f>D24*(D22-D23)</f>
        <v>0.70583333333333342</v>
      </c>
      <c r="E26" s="149">
        <f>E24*(E22-E23)</f>
        <v>0.71216666666666661</v>
      </c>
      <c r="F26" s="149">
        <f>F24*(F22-F23)</f>
        <v>0.71487066563010726</v>
      </c>
      <c r="G26" s="149">
        <f>G24*(G22-G23)</f>
        <v>0.71487066563010726</v>
      </c>
    </row>
    <row r="27" spans="2:10" x14ac:dyDescent="0.35">
      <c r="B27" t="s">
        <v>414</v>
      </c>
      <c r="D27" s="149">
        <f>MAX(D25*D23,0)</f>
        <v>0.31666666666666288</v>
      </c>
      <c r="E27" s="149">
        <f>MAX(E25*E23,0)</f>
        <v>0.1875</v>
      </c>
      <c r="F27" s="149">
        <f>MAX(F25*F23,0)</f>
        <v>0</v>
      </c>
      <c r="G27" s="149">
        <f>MAX(G25*G23,0)</f>
        <v>0.10670683456468169</v>
      </c>
    </row>
    <row r="28" spans="2:10" x14ac:dyDescent="0.35">
      <c r="B28" t="s">
        <v>415</v>
      </c>
      <c r="D28" s="149">
        <f>D26+D27</f>
        <v>1.0224999999999964</v>
      </c>
      <c r="E28" s="149">
        <f>E26+E27</f>
        <v>0.89966666666666661</v>
      </c>
      <c r="F28" s="149">
        <f>F26+F27</f>
        <v>0.71487066563010726</v>
      </c>
      <c r="G28" s="149">
        <f>G26+G27</f>
        <v>0.82157750019478892</v>
      </c>
      <c r="I28" t="s">
        <v>416</v>
      </c>
    </row>
    <row r="29" spans="2:10" x14ac:dyDescent="0.35">
      <c r="B29" t="s">
        <v>404</v>
      </c>
      <c r="D29" s="171">
        <f>$D$8*0.8+$D$6*0.2</f>
        <v>33690.127853679318</v>
      </c>
      <c r="E29" s="171">
        <f>$D$8*0.8+$D$6*0.2</f>
        <v>33690.127853679318</v>
      </c>
      <c r="F29" s="171">
        <f>$D$8*0.8+$D$6*0.2</f>
        <v>33690.127853679318</v>
      </c>
      <c r="G29" s="171">
        <f>$D$8*0.8+$D$6*0.2</f>
        <v>33690.127853679318</v>
      </c>
      <c r="I29">
        <v>2024</v>
      </c>
      <c r="J29">
        <v>2025</v>
      </c>
    </row>
    <row r="30" spans="2:10" x14ac:dyDescent="0.35">
      <c r="B30" t="s">
        <v>141</v>
      </c>
      <c r="D30" s="149">
        <f>D28*D29</f>
        <v>34448.155730386985</v>
      </c>
      <c r="E30" s="149">
        <f>E28*E29</f>
        <v>30309.885025693493</v>
      </c>
      <c r="F30" s="149">
        <f>F28*F29</f>
        <v>24084.084123923152</v>
      </c>
      <c r="G30" s="149">
        <f>G28*G29</f>
        <v>27679.051023268683</v>
      </c>
      <c r="I30" s="149">
        <f ca="1">E30*$R$3+F30*$R$10</f>
        <v>28042.970475339411</v>
      </c>
      <c r="J30" s="149">
        <f ca="1">F30*$R$3+G30*$R$10</f>
        <v>25393.069570253487</v>
      </c>
    </row>
    <row r="31" spans="2:10" x14ac:dyDescent="0.35">
      <c r="D31" s="149"/>
      <c r="E31" s="19"/>
      <c r="F31" s="19"/>
      <c r="G31" s="19"/>
    </row>
    <row r="33" spans="2:14" x14ac:dyDescent="0.35">
      <c r="D33">
        <v>2022</v>
      </c>
      <c r="E33">
        <v>2023</v>
      </c>
      <c r="F33">
        <v>2024</v>
      </c>
      <c r="G33">
        <v>2025</v>
      </c>
      <c r="H33">
        <v>2026</v>
      </c>
      <c r="N33" s="319"/>
    </row>
    <row r="34" spans="2:14" x14ac:dyDescent="0.35">
      <c r="B34" t="s">
        <v>39</v>
      </c>
      <c r="D34" s="260">
        <f>D19</f>
        <v>44700.657450169114</v>
      </c>
      <c r="E34" s="260">
        <f>E19</f>
        <v>59027.559915508653</v>
      </c>
      <c r="F34" s="260">
        <f>F19</f>
        <v>44885.749415554135</v>
      </c>
      <c r="G34" s="260">
        <f>G19</f>
        <v>44881.797387060957</v>
      </c>
      <c r="N34" s="319"/>
    </row>
    <row r="35" spans="2:14" x14ac:dyDescent="0.35">
      <c r="B35" t="s">
        <v>417</v>
      </c>
      <c r="D35" s="149">
        <f ca="1">C34*$R$3</f>
        <v>0</v>
      </c>
      <c r="E35" s="149">
        <f ca="1">D34*$R$3</f>
        <v>28424.42690842993</v>
      </c>
      <c r="F35" s="149">
        <f ca="1">E34*$R$3</f>
        <v>37534.673047521283</v>
      </c>
      <c r="G35" s="149">
        <f ca="1">F34*$R$3</f>
        <v>28542.1239030947</v>
      </c>
      <c r="H35" s="149">
        <f ca="1">G34*$R$3</f>
        <v>28539.610871934707</v>
      </c>
      <c r="N35" s="319"/>
    </row>
    <row r="36" spans="2:14" x14ac:dyDescent="0.35">
      <c r="B36" t="s">
        <v>418</v>
      </c>
      <c r="D36" s="149">
        <f ca="1">D34*$R$10</f>
        <v>16276.230541739178</v>
      </c>
      <c r="E36" s="149">
        <f ca="1">E34*$R$10</f>
        <v>21492.886867987363</v>
      </c>
      <c r="F36" s="149">
        <f ca="1">F34*$R$10</f>
        <v>16343.625512459432</v>
      </c>
      <c r="G36" s="149">
        <f ca="1">G34*$R$10</f>
        <v>16342.186515126245</v>
      </c>
      <c r="N36" s="319"/>
    </row>
    <row r="37" spans="2:14" x14ac:dyDescent="0.35">
      <c r="B37" s="189" t="s">
        <v>419</v>
      </c>
      <c r="C37" s="189"/>
      <c r="D37" s="262">
        <f ca="1">D35+D36</f>
        <v>16276.230541739178</v>
      </c>
      <c r="E37" s="262">
        <f ca="1">E35+E36</f>
        <v>49917.313776417293</v>
      </c>
      <c r="F37" s="262">
        <f ca="1">F35+F36</f>
        <v>53878.298559980714</v>
      </c>
      <c r="G37" s="262">
        <f ca="1">G35+G36</f>
        <v>44884.310418220943</v>
      </c>
      <c r="H37" s="260"/>
    </row>
    <row r="38" spans="2:14" x14ac:dyDescent="0.35">
      <c r="B38" t="s">
        <v>240</v>
      </c>
      <c r="D38" s="260">
        <f>D30</f>
        <v>34448.155730386985</v>
      </c>
      <c r="E38" s="260">
        <f>E30</f>
        <v>30309.885025693493</v>
      </c>
      <c r="F38" s="260">
        <f>F30</f>
        <v>24084.084123923152</v>
      </c>
      <c r="G38" s="260">
        <f>G30</f>
        <v>27679.051023268683</v>
      </c>
    </row>
    <row r="39" spans="2:14" x14ac:dyDescent="0.35">
      <c r="B39" t="s">
        <v>417</v>
      </c>
      <c r="D39" s="149">
        <f ca="1">C38*$R$3</f>
        <v>0</v>
      </c>
      <c r="E39" s="149">
        <f ca="1">D38*$R$3</f>
        <v>21905.026470363293</v>
      </c>
      <c r="F39" s="149">
        <f ca="1">E38*$R$3</f>
        <v>19273.566892750034</v>
      </c>
      <c r="G39" s="149">
        <f ca="1">F38*$R$3</f>
        <v>15314.68054133377</v>
      </c>
      <c r="H39" s="149">
        <f ca="1">G38*$R$3</f>
        <v>17600.661994348964</v>
      </c>
    </row>
    <row r="40" spans="2:14" x14ac:dyDescent="0.35">
      <c r="B40" t="s">
        <v>418</v>
      </c>
      <c r="D40" s="149">
        <f ca="1">D38*$R$10</f>
        <v>12543.129260023688</v>
      </c>
      <c r="E40" s="149">
        <f ca="1">E38*$R$10</f>
        <v>11036.318132943456</v>
      </c>
      <c r="F40" s="149">
        <f ca="1">F38*$R$10</f>
        <v>8769.4035825893789</v>
      </c>
      <c r="G40" s="149">
        <f ca="1">G38*$R$10</f>
        <v>10078.389028919717</v>
      </c>
    </row>
    <row r="41" spans="2:14" x14ac:dyDescent="0.35">
      <c r="B41" s="189" t="s">
        <v>419</v>
      </c>
      <c r="C41" s="189"/>
      <c r="D41" s="262">
        <f ca="1">D39+D40</f>
        <v>12543.129260023688</v>
      </c>
      <c r="E41" s="262">
        <f ca="1">E39+E40</f>
        <v>32941.344603306745</v>
      </c>
      <c r="F41" s="262">
        <f ca="1">F39+F40</f>
        <v>28042.970475339411</v>
      </c>
      <c r="G41" s="262">
        <f ca="1">G39+G40</f>
        <v>25393.069570253487</v>
      </c>
    </row>
    <row r="45" spans="2:14" x14ac:dyDescent="0.35">
      <c r="D45" t="s">
        <v>387</v>
      </c>
      <c r="E45" t="s">
        <v>388</v>
      </c>
      <c r="F45" s="12" t="s">
        <v>389</v>
      </c>
    </row>
    <row r="46" spans="2:14" x14ac:dyDescent="0.35">
      <c r="C46" t="s">
        <v>100</v>
      </c>
      <c r="D46" s="17">
        <f ca="1">F37</f>
        <v>53878.298559980714</v>
      </c>
      <c r="E46" s="17">
        <f ca="1">G37</f>
        <v>44884.310418220943</v>
      </c>
      <c r="F46" s="17">
        <f ca="1">D46+E46</f>
        <v>98762.608978201664</v>
      </c>
    </row>
    <row r="47" spans="2:14" x14ac:dyDescent="0.35">
      <c r="C47" t="s">
        <v>102</v>
      </c>
      <c r="D47" s="17">
        <f ca="1">F41</f>
        <v>28042.970475339411</v>
      </c>
      <c r="E47" s="17">
        <f ca="1">G41</f>
        <v>25393.069570253487</v>
      </c>
      <c r="F47" s="17">
        <f ca="1">D47+E47</f>
        <v>53436.040045592898</v>
      </c>
    </row>
    <row r="48" spans="2:14" x14ac:dyDescent="0.35">
      <c r="C48" t="s">
        <v>121</v>
      </c>
      <c r="D48" s="292">
        <f ca="1">SUM(D46:D47)</f>
        <v>81921.269035320118</v>
      </c>
      <c r="E48" s="292">
        <f ca="1">SUM(E46:E47)</f>
        <v>70277.379988474422</v>
      </c>
      <c r="F48" s="292">
        <f ca="1">D48*2+E48</f>
        <v>234119.91805911466</v>
      </c>
    </row>
  </sheetData>
  <mergeCells count="3">
    <mergeCell ref="O2:Q2"/>
    <mergeCell ref="R3:R9"/>
    <mergeCell ref="R10:R15"/>
  </mergeCells>
  <hyperlinks>
    <hyperlink ref="F7" r:id="rId1" xr:uid="{6FED84BA-A774-4EB0-999B-91F157691B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1206-71CA-46DF-A4E8-365C77F2AC94}">
  <sheetPr codeName="Sheet11">
    <tabColor theme="3" tint="0.79998168889431442"/>
  </sheetPr>
  <dimension ref="B2:J15"/>
  <sheetViews>
    <sheetView workbookViewId="0">
      <selection activeCell="I26" sqref="I26"/>
    </sheetView>
  </sheetViews>
  <sheetFormatPr defaultColWidth="9.1796875" defaultRowHeight="14.5" x14ac:dyDescent="0.35"/>
  <cols>
    <col min="1" max="1" width="9.1796875" style="211"/>
    <col min="2" max="2" width="14.7265625" style="211" customWidth="1"/>
    <col min="3" max="3" width="12.1796875" style="211" customWidth="1"/>
    <col min="4" max="4" width="13.453125" style="211" bestFit="1" customWidth="1"/>
    <col min="5" max="5" width="14.26953125" style="211" bestFit="1" customWidth="1"/>
    <col min="6" max="6" width="1.26953125" style="211" customWidth="1"/>
    <col min="7" max="7" width="10.7265625" style="211" bestFit="1" customWidth="1"/>
    <col min="8" max="8" width="13.26953125" style="211" bestFit="1" customWidth="1"/>
    <col min="9" max="16384" width="9.1796875" style="211"/>
  </cols>
  <sheetData>
    <row r="2" spans="2:10" x14ac:dyDescent="0.35">
      <c r="D2" s="451" t="s">
        <v>117</v>
      </c>
      <c r="E2" s="452"/>
      <c r="G2" s="451" t="s">
        <v>118</v>
      </c>
      <c r="H2" s="452"/>
    </row>
    <row r="3" spans="2:10" x14ac:dyDescent="0.35">
      <c r="D3" s="298">
        <v>2024</v>
      </c>
      <c r="E3" s="299">
        <v>2025</v>
      </c>
      <c r="G3" s="298">
        <v>2024</v>
      </c>
      <c r="H3" s="299">
        <v>2025</v>
      </c>
    </row>
    <row r="4" spans="2:10" x14ac:dyDescent="0.35">
      <c r="B4" s="300"/>
      <c r="C4" s="301" t="s">
        <v>100</v>
      </c>
      <c r="D4" s="302">
        <f>'EV Forecast'!M54</f>
        <v>55235.683367406382</v>
      </c>
      <c r="E4" s="303">
        <f>'EV Forecast'!N54+D4*2</f>
        <v>180171.00153906358</v>
      </c>
      <c r="F4" s="304"/>
      <c r="G4" s="302"/>
      <c r="H4" s="303"/>
    </row>
    <row r="5" spans="2:10" x14ac:dyDescent="0.35">
      <c r="B5" s="298" t="s">
        <v>326</v>
      </c>
      <c r="C5" s="211" t="s">
        <v>185</v>
      </c>
      <c r="D5" s="305">
        <f>'EV Forecast'!M55</f>
        <v>13712.783554380598</v>
      </c>
      <c r="E5" s="306">
        <f>'EV Forecast'!N55+D5*2</f>
        <v>44351.952618222713</v>
      </c>
      <c r="F5" s="304"/>
      <c r="G5" s="305"/>
      <c r="H5" s="306"/>
    </row>
    <row r="6" spans="2:10" x14ac:dyDescent="0.35">
      <c r="B6" s="298"/>
      <c r="C6" s="211" t="s">
        <v>186</v>
      </c>
      <c r="D6" s="305">
        <f>'EV Forecast'!M56</f>
        <v>13350.454826640038</v>
      </c>
      <c r="E6" s="306">
        <f>'EV Forecast'!N56+D6*2</f>
        <v>43195.482890250692</v>
      </c>
      <c r="F6" s="304"/>
      <c r="G6" s="305">
        <f>'EV Forecast'!M61</f>
        <v>91.441471415342718</v>
      </c>
      <c r="H6" s="306">
        <f>'EV Forecast'!N61+G6*2</f>
        <v>295.85947185103214</v>
      </c>
    </row>
    <row r="7" spans="2:10" x14ac:dyDescent="0.35">
      <c r="B7" s="307"/>
      <c r="C7" s="308" t="s">
        <v>121</v>
      </c>
      <c r="D7" s="309">
        <f>SUM(D4:D6)</f>
        <v>82298.921748427019</v>
      </c>
      <c r="E7" s="310">
        <f>SUM(E4:E6)</f>
        <v>267718.43704753701</v>
      </c>
      <c r="F7" s="311"/>
      <c r="G7" s="309">
        <f>SUM(G4:G6)</f>
        <v>91.441471415342718</v>
      </c>
      <c r="H7" s="310">
        <f>SUM(H4:H6)</f>
        <v>295.85947185103214</v>
      </c>
    </row>
    <row r="8" spans="2:10" x14ac:dyDescent="0.35">
      <c r="B8" s="300"/>
      <c r="C8" s="301" t="s">
        <v>100</v>
      </c>
      <c r="D8" s="302">
        <f ca="1">+Heating!I19</f>
        <v>53878.298559980714</v>
      </c>
      <c r="E8" s="303">
        <f ca="1">+Heating!J19+D8</f>
        <v>98762.608978201664</v>
      </c>
      <c r="F8" s="304"/>
      <c r="G8" s="302"/>
      <c r="H8" s="303"/>
    </row>
    <row r="9" spans="2:10" x14ac:dyDescent="0.35">
      <c r="B9" s="298" t="s">
        <v>420</v>
      </c>
      <c r="C9" s="211" t="s">
        <v>185</v>
      </c>
      <c r="D9" s="305">
        <f ca="1">+Heating!I30</f>
        <v>28042.970475339411</v>
      </c>
      <c r="E9" s="306">
        <f ca="1">+Heating!J30+D9</f>
        <v>53436.040045592898</v>
      </c>
      <c r="F9" s="304"/>
      <c r="G9" s="305"/>
      <c r="H9" s="306"/>
    </row>
    <row r="10" spans="2:10" x14ac:dyDescent="0.35">
      <c r="B10" s="298"/>
      <c r="C10" s="211" t="s">
        <v>186</v>
      </c>
      <c r="D10" s="305"/>
      <c r="E10" s="306"/>
      <c r="F10" s="304"/>
      <c r="G10" s="305"/>
      <c r="H10" s="306"/>
      <c r="J10" s="211" t="s">
        <v>421</v>
      </c>
    </row>
    <row r="11" spans="2:10" x14ac:dyDescent="0.35">
      <c r="B11" s="307"/>
      <c r="C11" s="308" t="s">
        <v>121</v>
      </c>
      <c r="D11" s="309">
        <f ca="1">SUM(D8:D10)</f>
        <v>81921.269035320118</v>
      </c>
      <c r="E11" s="310">
        <f ca="1">SUM(E8:E10)</f>
        <v>152198.64902379457</v>
      </c>
      <c r="F11" s="311"/>
      <c r="G11" s="309">
        <f>SUM(G8:G10)</f>
        <v>0</v>
      </c>
      <c r="H11" s="310">
        <f>SUM(H8:H10)</f>
        <v>0</v>
      </c>
      <c r="J11" s="211" t="s">
        <v>422</v>
      </c>
    </row>
    <row r="12" spans="2:10" x14ac:dyDescent="0.35">
      <c r="B12" s="300"/>
      <c r="C12" s="301" t="s">
        <v>100</v>
      </c>
      <c r="D12" s="302">
        <f t="shared" ref="D12:E14" ca="1" si="0">D4+D8</f>
        <v>109113.9819273871</v>
      </c>
      <c r="E12" s="303">
        <f t="shared" ca="1" si="0"/>
        <v>278933.61051726528</v>
      </c>
      <c r="F12" s="304"/>
      <c r="G12" s="302"/>
      <c r="H12" s="303"/>
    </row>
    <row r="13" spans="2:10" x14ac:dyDescent="0.35">
      <c r="B13" s="312" t="s">
        <v>121</v>
      </c>
      <c r="C13" s="211" t="s">
        <v>185</v>
      </c>
      <c r="D13" s="305">
        <f t="shared" ca="1" si="0"/>
        <v>41755.75402972001</v>
      </c>
      <c r="E13" s="306">
        <f t="shared" ca="1" si="0"/>
        <v>97787.992663815618</v>
      </c>
      <c r="F13" s="304"/>
      <c r="G13" s="305"/>
      <c r="H13" s="306"/>
    </row>
    <row r="14" spans="2:10" x14ac:dyDescent="0.35">
      <c r="B14" s="298"/>
      <c r="C14" s="211" t="s">
        <v>186</v>
      </c>
      <c r="D14" s="305">
        <f t="shared" si="0"/>
        <v>13350.454826640038</v>
      </c>
      <c r="E14" s="306">
        <f t="shared" si="0"/>
        <v>43195.482890250692</v>
      </c>
      <c r="F14" s="304"/>
      <c r="G14" s="305">
        <f>G6+G10</f>
        <v>91.441471415342718</v>
      </c>
      <c r="H14" s="306">
        <f>H6+H10</f>
        <v>295.85947185103214</v>
      </c>
    </row>
    <row r="15" spans="2:10" x14ac:dyDescent="0.35">
      <c r="B15" s="307"/>
      <c r="C15" s="308" t="s">
        <v>121</v>
      </c>
      <c r="D15" s="309">
        <f ca="1">SUM(D12:D14)</f>
        <v>164220.19078374712</v>
      </c>
      <c r="E15" s="310">
        <f ca="1">SUM(E12:E14)</f>
        <v>419917.08607133158</v>
      </c>
      <c r="F15" s="311"/>
      <c r="G15" s="309">
        <f>SUM(G12:G14)</f>
        <v>91.441471415342718</v>
      </c>
      <c r="H15" s="310">
        <f>SUM(H12:H14)</f>
        <v>295.85947185103214</v>
      </c>
    </row>
  </sheetData>
  <mergeCells count="2">
    <mergeCell ref="D2:E2"/>
    <mergeCell ref="G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0C81-E335-4FA0-ADF6-079CF7A07E5A}">
  <sheetPr codeName="Sheet12">
    <tabColor rgb="FFFF0000"/>
  </sheetPr>
  <dimension ref="B1:Q18"/>
  <sheetViews>
    <sheetView workbookViewId="0">
      <selection activeCell="L6" sqref="L6"/>
    </sheetView>
  </sheetViews>
  <sheetFormatPr defaultRowHeight="12.5" x14ac:dyDescent="0.25"/>
  <cols>
    <col min="1" max="1" width="13.453125" style="9" customWidth="1"/>
    <col min="2" max="2" width="8.7265625" style="9"/>
    <col min="3" max="3" width="19.26953125" style="9" customWidth="1"/>
    <col min="4" max="4" width="14.36328125" style="9" customWidth="1"/>
    <col min="5" max="5" width="8.7265625" style="9"/>
    <col min="6" max="7" width="20.453125" style="9" customWidth="1"/>
    <col min="8" max="8" width="8.7265625" style="9"/>
    <col min="9" max="9" width="18.1796875" style="9" customWidth="1"/>
    <col min="10" max="10" width="15.26953125" style="9" customWidth="1"/>
    <col min="11" max="11" width="8.7265625" style="9"/>
    <col min="12" max="13" width="20.26953125" style="9" customWidth="1"/>
    <col min="14" max="14" width="8.7265625" style="9"/>
    <col min="15" max="15" width="17.54296875" style="9" customWidth="1"/>
    <col min="16" max="16" width="16.08984375" style="9" customWidth="1"/>
    <col min="17" max="17" width="8.7265625" style="9"/>
    <col min="18" max="18" width="22.90625" style="9" customWidth="1"/>
    <col min="19" max="16384" width="8.7265625" style="9"/>
  </cols>
  <sheetData>
    <row r="1" spans="2:17" x14ac:dyDescent="0.25">
      <c r="D1" s="194"/>
    </row>
    <row r="2" spans="2:17" ht="14" x14ac:dyDescent="0.3">
      <c r="B2" s="379"/>
      <c r="C2" s="454" t="s">
        <v>238</v>
      </c>
      <c r="D2" s="454"/>
      <c r="E2" s="379" t="s">
        <v>239</v>
      </c>
      <c r="F2" s="195"/>
      <c r="G2" s="195"/>
      <c r="H2" s="379"/>
      <c r="I2" s="454" t="s">
        <v>240</v>
      </c>
      <c r="J2" s="454"/>
      <c r="K2" s="379" t="s">
        <v>239</v>
      </c>
      <c r="N2" s="379"/>
      <c r="O2" s="454" t="s">
        <v>241</v>
      </c>
      <c r="P2" s="454"/>
      <c r="Q2" s="379" t="s">
        <v>239</v>
      </c>
    </row>
    <row r="3" spans="2:17" ht="14" x14ac:dyDescent="0.3">
      <c r="B3" s="379" t="s">
        <v>1</v>
      </c>
      <c r="C3" s="379" t="s">
        <v>242</v>
      </c>
      <c r="D3" s="379" t="s">
        <v>243</v>
      </c>
      <c r="E3" s="379" t="s">
        <v>244</v>
      </c>
      <c r="F3" s="195"/>
      <c r="G3" s="195"/>
      <c r="H3" s="379" t="s">
        <v>1</v>
      </c>
      <c r="I3" s="379" t="s">
        <v>242</v>
      </c>
      <c r="J3" s="379" t="s">
        <v>243</v>
      </c>
      <c r="K3" s="379" t="s">
        <v>244</v>
      </c>
      <c r="N3" s="379" t="s">
        <v>1</v>
      </c>
      <c r="O3" s="379" t="s">
        <v>242</v>
      </c>
      <c r="P3" s="379" t="s">
        <v>243</v>
      </c>
      <c r="Q3" s="379" t="s">
        <v>244</v>
      </c>
    </row>
    <row r="4" spans="2:17" ht="14" x14ac:dyDescent="0.3">
      <c r="B4" s="196">
        <v>2014</v>
      </c>
      <c r="C4" s="197">
        <f>SUMIFS('Res Predicted'!D:D,'Res Predicted'!B:B,'Model Summary'!B4)</f>
        <v>43864776.97660166</v>
      </c>
      <c r="D4" s="197">
        <f>SUMIFS('Res Predicted'!M:M,'Res Predicted'!B:B,'Model Summary'!B4)</f>
        <v>42093150.083901681</v>
      </c>
      <c r="E4" s="198">
        <f t="shared" ref="E4:E15" si="0">ABS(C4-D4)/C4</f>
        <v>4.0388371144460623E-2</v>
      </c>
      <c r="F4" s="198"/>
      <c r="G4" s="198"/>
      <c r="H4" s="196">
        <v>2014</v>
      </c>
      <c r="I4" s="197">
        <f>SUMIFS('GS &lt; 50 Predicted'!D:D,'GS &lt; 50 Predicted'!B:B,'Model Summary'!H4)</f>
        <v>21470123.46736047</v>
      </c>
      <c r="J4" s="197">
        <f>SUMIFS('GS &lt; 50 Predicted'!O:O,'GS &lt; 50 Predicted'!B:B,'Model Summary'!H4)</f>
        <v>20861885.132967263</v>
      </c>
      <c r="K4" s="198">
        <f t="shared" ref="K4:K15" si="1">ABS(I4-J4)/I4</f>
        <v>2.8329521966553629E-2</v>
      </c>
      <c r="N4" s="196">
        <v>2014</v>
      </c>
      <c r="O4" s="197">
        <f>SUMIFS('GS &gt; 50 Predicted'!D:D,'GS &gt; 50 Predicted'!B:B,'Model Summary'!N4)</f>
        <v>55925468.183128454</v>
      </c>
      <c r="P4" s="197">
        <f>SUMIFS('GS &gt; 50 Predicted'!O:O,'GS &gt; 50 Predicted'!B:B,'Model Summary'!N4)</f>
        <v>61168996.2228797</v>
      </c>
      <c r="Q4" s="198">
        <f t="shared" ref="Q4:Q15" si="2">ABS(O4-P4)/O4</f>
        <v>9.3759215793800171E-2</v>
      </c>
    </row>
    <row r="5" spans="2:17" ht="14" x14ac:dyDescent="0.3">
      <c r="B5" s="195">
        <v>2015</v>
      </c>
      <c r="C5" s="197">
        <f>SUMIFS('Res Predicted'!D:D,'Res Predicted'!B:B,'Model Summary'!B5)</f>
        <v>42224313.5184284</v>
      </c>
      <c r="D5" s="197">
        <f>SUMIFS('Res Predicted'!M:M,'Res Predicted'!B:B,'Model Summary'!B5)</f>
        <v>41685272.564213216</v>
      </c>
      <c r="E5" s="198">
        <f t="shared" si="0"/>
        <v>1.276612712673054E-2</v>
      </c>
      <c r="F5" s="198"/>
      <c r="G5" s="198"/>
      <c r="H5" s="195">
        <v>2015</v>
      </c>
      <c r="I5" s="197">
        <f>SUMIFS('GS &lt; 50 Predicted'!D:D,'GS &lt; 50 Predicted'!B:B,'Model Summary'!H5)</f>
        <v>21418851.183689468</v>
      </c>
      <c r="J5" s="197">
        <f>SUMIFS('GS &lt; 50 Predicted'!O:O,'GS &lt; 50 Predicted'!B:B,'Model Summary'!H5)</f>
        <v>21154193.091192674</v>
      </c>
      <c r="K5" s="198">
        <f t="shared" si="1"/>
        <v>1.2356315949304126E-2</v>
      </c>
      <c r="N5" s="195">
        <v>2015</v>
      </c>
      <c r="O5" s="197">
        <f>SUMIFS('GS &gt; 50 Predicted'!D:D,'GS &gt; 50 Predicted'!B:B,'Model Summary'!N5)</f>
        <v>60145601.393206462</v>
      </c>
      <c r="P5" s="197">
        <f>SUMIFS('GS &gt; 50 Predicted'!O:O,'GS &gt; 50 Predicted'!B:B,'Model Summary'!N5)</f>
        <v>60880398.509050488</v>
      </c>
      <c r="Q5" s="198">
        <f t="shared" si="2"/>
        <v>1.2216971795497297E-2</v>
      </c>
    </row>
    <row r="6" spans="2:17" ht="14" x14ac:dyDescent="0.3">
      <c r="B6" s="196">
        <v>2016</v>
      </c>
      <c r="C6" s="197">
        <f>SUMIFS('Res Predicted'!D:D,'Res Predicted'!B:B,'Model Summary'!B6)</f>
        <v>39576589.911565922</v>
      </c>
      <c r="D6" s="197">
        <f>SUMIFS('Res Predicted'!M:M,'Res Predicted'!B:B,'Model Summary'!B6)</f>
        <v>40715084.743156634</v>
      </c>
      <c r="E6" s="198">
        <f t="shared" si="0"/>
        <v>2.8766875421421707E-2</v>
      </c>
      <c r="F6" s="198"/>
      <c r="G6" s="198"/>
      <c r="H6" s="196">
        <v>2016</v>
      </c>
      <c r="I6" s="197">
        <f>SUMIFS('GS &lt; 50 Predicted'!D:D,'GS &lt; 50 Predicted'!B:B,'Model Summary'!H6)</f>
        <v>20043153.298730098</v>
      </c>
      <c r="J6" s="197">
        <f>SUMIFS('GS &lt; 50 Predicted'!O:O,'GS &lt; 50 Predicted'!B:B,'Model Summary'!H6)</f>
        <v>19780614.399610613</v>
      </c>
      <c r="K6" s="198">
        <f t="shared" si="1"/>
        <v>1.3098682388270673E-2</v>
      </c>
      <c r="N6" s="196">
        <v>2016</v>
      </c>
      <c r="O6" s="197">
        <f>SUMIFS('GS &gt; 50 Predicted'!D:D,'GS &gt; 50 Predicted'!B:B,'Model Summary'!N6)</f>
        <v>62123387.789063156</v>
      </c>
      <c r="P6" s="197">
        <f>SUMIFS('GS &gt; 50 Predicted'!O:O,'GS &gt; 50 Predicted'!B:B,'Model Summary'!N6)</f>
        <v>60193932.661764443</v>
      </c>
      <c r="Q6" s="198">
        <f t="shared" si="2"/>
        <v>3.1058433803547236E-2</v>
      </c>
    </row>
    <row r="7" spans="2:17" ht="14" x14ac:dyDescent="0.3">
      <c r="B7" s="195">
        <v>2017</v>
      </c>
      <c r="C7" s="197">
        <f>SUMIFS('Res Predicted'!D:D,'Res Predicted'!B:B,'Model Summary'!B7)</f>
        <v>38896696.187510021</v>
      </c>
      <c r="D7" s="197">
        <f>SUMIFS('Res Predicted'!M:M,'Res Predicted'!B:B,'Model Summary'!B7)</f>
        <v>40845493.104026064</v>
      </c>
      <c r="E7" s="198">
        <f t="shared" si="0"/>
        <v>5.0101862305257032E-2</v>
      </c>
      <c r="F7" s="198"/>
      <c r="G7" s="198"/>
      <c r="H7" s="195">
        <v>2017</v>
      </c>
      <c r="I7" s="197">
        <f>SUMIFS('GS &lt; 50 Predicted'!D:D,'GS &lt; 50 Predicted'!B:B,'Model Summary'!H7)</f>
        <v>19451379.974433169</v>
      </c>
      <c r="J7" s="197">
        <f>SUMIFS('GS &lt; 50 Predicted'!O:O,'GS &lt; 50 Predicted'!B:B,'Model Summary'!H7)</f>
        <v>20212629.992933888</v>
      </c>
      <c r="K7" s="198">
        <f t="shared" si="1"/>
        <v>3.9136041735923305E-2</v>
      </c>
      <c r="N7" s="195">
        <v>2017</v>
      </c>
      <c r="O7" s="197">
        <f>SUMIFS('GS &gt; 50 Predicted'!D:D,'GS &gt; 50 Predicted'!B:B,'Model Summary'!N7)</f>
        <v>61877746.561473161</v>
      </c>
      <c r="P7" s="197">
        <f>SUMIFS('GS &gt; 50 Predicted'!O:O,'GS &gt; 50 Predicted'!B:B,'Model Summary'!N7)</f>
        <v>60286204.368329406</v>
      </c>
      <c r="Q7" s="198">
        <f t="shared" si="2"/>
        <v>2.5720752315416321E-2</v>
      </c>
    </row>
    <row r="8" spans="2:17" ht="14" x14ac:dyDescent="0.3">
      <c r="B8" s="196">
        <v>2018</v>
      </c>
      <c r="C8" s="197">
        <f>SUMIFS('Res Predicted'!D:D,'Res Predicted'!B:B,'Model Summary'!B8)</f>
        <v>40607720.209604323</v>
      </c>
      <c r="D8" s="197">
        <f>SUMIFS('Res Predicted'!M:M,'Res Predicted'!B:B,'Model Summary'!B8)</f>
        <v>41842814.532741524</v>
      </c>
      <c r="E8" s="198">
        <f t="shared" si="0"/>
        <v>3.0415258890724019E-2</v>
      </c>
      <c r="F8" s="198"/>
      <c r="G8" s="198"/>
      <c r="H8" s="196">
        <v>2018</v>
      </c>
      <c r="I8" s="197">
        <f>SUMIFS('GS &lt; 50 Predicted'!D:D,'GS &lt; 50 Predicted'!B:B,'Model Summary'!H8)</f>
        <v>20313585.847074512</v>
      </c>
      <c r="J8" s="197">
        <f>SUMIFS('GS &lt; 50 Predicted'!O:O,'GS &lt; 50 Predicted'!B:B,'Model Summary'!H8)</f>
        <v>19833361.903073221</v>
      </c>
      <c r="K8" s="198">
        <f t="shared" si="1"/>
        <v>2.3640530412332446E-2</v>
      </c>
      <c r="N8" s="196">
        <v>2018</v>
      </c>
      <c r="O8" s="197">
        <f>SUMIFS('GS &gt; 50 Predicted'!D:D,'GS &gt; 50 Predicted'!B:B,'Model Summary'!N8)</f>
        <v>61856847.410471715</v>
      </c>
      <c r="P8" s="197">
        <f>SUMIFS('GS &gt; 50 Predicted'!O:O,'GS &gt; 50 Predicted'!B:B,'Model Summary'!N8)</f>
        <v>60991868.864131965</v>
      </c>
      <c r="Q8" s="198">
        <f t="shared" si="2"/>
        <v>1.3983553681614212E-2</v>
      </c>
    </row>
    <row r="9" spans="2:17" ht="14" x14ac:dyDescent="0.3">
      <c r="B9" s="196">
        <v>2019</v>
      </c>
      <c r="C9" s="197">
        <f>SUMIFS('Res Predicted'!D:D,'Res Predicted'!B:B,'Model Summary'!B9)</f>
        <v>40639419.246583492</v>
      </c>
      <c r="D9" s="197">
        <f>SUMIFS('Res Predicted'!M:M,'Res Predicted'!B:B,'Model Summary'!B9)</f>
        <v>41761746.907170653</v>
      </c>
      <c r="E9" s="198">
        <f t="shared" si="0"/>
        <v>2.7616724879293508E-2</v>
      </c>
      <c r="F9" s="198"/>
      <c r="G9" s="198"/>
      <c r="H9" s="196">
        <v>2019</v>
      </c>
      <c r="I9" s="197">
        <f>SUMIFS('GS &lt; 50 Predicted'!D:D,'GS &lt; 50 Predicted'!B:B,'Model Summary'!H9)</f>
        <v>20160136.039156388</v>
      </c>
      <c r="J9" s="197">
        <f>SUMIFS('GS &lt; 50 Predicted'!O:O,'GS &lt; 50 Predicted'!B:B,'Model Summary'!H9)</f>
        <v>20428417.081076264</v>
      </c>
      <c r="K9" s="198">
        <f t="shared" si="1"/>
        <v>1.3307501566398271E-2</v>
      </c>
      <c r="N9" s="196">
        <v>2019</v>
      </c>
      <c r="O9" s="197">
        <f>SUMIFS('GS &gt; 50 Predicted'!D:D,'GS &gt; 50 Predicted'!B:B,'Model Summary'!N9)</f>
        <v>62832835.248162679</v>
      </c>
      <c r="P9" s="197">
        <f>SUMIFS('GS &gt; 50 Predicted'!O:O,'GS &gt; 50 Predicted'!B:B,'Model Summary'!N9)</f>
        <v>60934508.675653853</v>
      </c>
      <c r="Q9" s="198">
        <f t="shared" si="2"/>
        <v>3.021233348791684E-2</v>
      </c>
    </row>
    <row r="10" spans="2:17" ht="14" x14ac:dyDescent="0.3">
      <c r="B10" s="195">
        <v>2020</v>
      </c>
      <c r="C10" s="197">
        <f>SUMIFS('Res Predicted'!D:D,'Res Predicted'!B:B,'Model Summary'!B10)</f>
        <v>41929357.400596619</v>
      </c>
      <c r="D10" s="197">
        <f>SUMIFS('Res Predicted'!M:M,'Res Predicted'!B:B,'Model Summary'!B10)</f>
        <v>40966212.303137831</v>
      </c>
      <c r="E10" s="198">
        <f t="shared" si="0"/>
        <v>2.2970662017469473E-2</v>
      </c>
      <c r="F10" s="198"/>
      <c r="G10" s="198"/>
      <c r="H10" s="196">
        <v>2020</v>
      </c>
      <c r="I10" s="197">
        <f>SUMIFS('GS &lt; 50 Predicted'!D:D,'GS &lt; 50 Predicted'!B:B,'Model Summary'!H10)</f>
        <v>18918481.455066059</v>
      </c>
      <c r="J10" s="197">
        <f>SUMIFS('GS &lt; 50 Predicted'!O:O,'GS &lt; 50 Predicted'!B:B,'Model Summary'!H10)</f>
        <v>19622278.166274</v>
      </c>
      <c r="K10" s="198">
        <f t="shared" si="1"/>
        <v>3.7201543521320837E-2</v>
      </c>
      <c r="N10" s="196">
        <v>2020</v>
      </c>
      <c r="O10" s="197">
        <f>SUMIFS('GS &gt; 50 Predicted'!D:D,'GS &gt; 50 Predicted'!B:B,'Model Summary'!N10)</f>
        <v>60174451.390223101</v>
      </c>
      <c r="P10" s="197">
        <f>SUMIFS('GS &gt; 50 Predicted'!O:O,'GS &gt; 50 Predicted'!B:B,'Model Summary'!N10)</f>
        <v>60371620.414071664</v>
      </c>
      <c r="Q10" s="198">
        <f t="shared" si="2"/>
        <v>3.2766235386168996E-3</v>
      </c>
    </row>
    <row r="11" spans="2:17" ht="14" x14ac:dyDescent="0.3">
      <c r="B11" s="196">
        <v>2021</v>
      </c>
      <c r="C11" s="197">
        <f>SUMIFS('Res Predicted'!D:D,'Res Predicted'!B:B,'Model Summary'!B11)</f>
        <v>40855357.012767971</v>
      </c>
      <c r="D11" s="197">
        <f>SUMIFS('Res Predicted'!M:M,'Res Predicted'!B:B,'Model Summary'!B11)</f>
        <v>40469045.077450685</v>
      </c>
      <c r="E11" s="198">
        <f t="shared" si="0"/>
        <v>9.4556005274059052E-3</v>
      </c>
      <c r="F11" s="198"/>
      <c r="G11" s="198"/>
      <c r="H11" s="195">
        <v>2021</v>
      </c>
      <c r="I11" s="197">
        <f>SUMIFS('GS &lt; 50 Predicted'!D:D,'GS &lt; 50 Predicted'!B:B,'Model Summary'!H11)</f>
        <v>19276839.410256926</v>
      </c>
      <c r="J11" s="197">
        <f>SUMIFS('GS &lt; 50 Predicted'!O:O,'GS &lt; 50 Predicted'!B:B,'Model Summary'!H11)</f>
        <v>19208242.328349192</v>
      </c>
      <c r="K11" s="198">
        <f t="shared" si="1"/>
        <v>3.5585232852660882E-3</v>
      </c>
      <c r="N11" s="196">
        <v>2021</v>
      </c>
      <c r="O11" s="197">
        <f>SUMIFS('GS &gt; 50 Predicted'!D:D,'GS &gt; 50 Predicted'!B:B,'Model Summary'!N11)</f>
        <v>59993611.805962145</v>
      </c>
      <c r="P11" s="197">
        <f>SUMIFS('GS &gt; 50 Predicted'!O:O,'GS &gt; 50 Predicted'!B:B,'Model Summary'!N11)</f>
        <v>60019844.898633309</v>
      </c>
      <c r="Q11" s="198">
        <f t="shared" si="2"/>
        <v>4.3726476672231864E-4</v>
      </c>
    </row>
    <row r="12" spans="2:17" ht="14" x14ac:dyDescent="0.3">
      <c r="B12" s="196">
        <v>2022</v>
      </c>
      <c r="C12" s="197">
        <f>SUMIFS('Res Predicted'!D:D,'Res Predicted'!B:B,'Model Summary'!B12)</f>
        <v>41430807.01911661</v>
      </c>
      <c r="D12" s="197">
        <f>SUMIFS('Res Predicted'!M:M,'Res Predicted'!B:B,'Model Summary'!B12)</f>
        <v>41277736.636307918</v>
      </c>
      <c r="E12" s="198">
        <f t="shared" si="0"/>
        <v>3.6946029735328225E-3</v>
      </c>
      <c r="F12" s="198"/>
      <c r="G12" s="198"/>
      <c r="H12" s="196">
        <v>2022</v>
      </c>
      <c r="I12" s="197">
        <f>SUMIFS('GS &lt; 50 Predicted'!D:D,'GS &lt; 50 Predicted'!B:B,'Model Summary'!H12)</f>
        <v>19854808.647446509</v>
      </c>
      <c r="J12" s="197">
        <f>SUMIFS('GS &lt; 50 Predicted'!O:O,'GS &lt; 50 Predicted'!B:B,'Model Summary'!H12)</f>
        <v>19619038.946548209</v>
      </c>
      <c r="K12" s="198">
        <f t="shared" si="1"/>
        <v>1.1874690161197941E-2</v>
      </c>
      <c r="N12" s="196">
        <v>2022</v>
      </c>
      <c r="O12" s="197">
        <f>SUMIFS('GS &gt; 50 Predicted'!D:D,'GS &gt; 50 Predicted'!B:B,'Model Summary'!N12)</f>
        <v>59661276.335024729</v>
      </c>
      <c r="P12" s="197">
        <f>SUMIFS('GS &gt; 50 Predicted'!O:O,'GS &gt; 50 Predicted'!B:B,'Model Summary'!N12)</f>
        <v>60592042.491816282</v>
      </c>
      <c r="Q12" s="198">
        <f t="shared" si="2"/>
        <v>1.5600842187231881E-2</v>
      </c>
    </row>
    <row r="13" spans="2:17" ht="14" x14ac:dyDescent="0.3">
      <c r="B13" s="195">
        <v>2023</v>
      </c>
      <c r="C13" s="197">
        <f>SUMIFS('Res Predicted'!D:D,'Res Predicted'!B:B,'Model Summary'!B13)</f>
        <v>40901110.982517324</v>
      </c>
      <c r="D13" s="197">
        <f>SUMIFS('Res Predicted'!M:M,'Res Predicted'!B:B,'Model Summary'!B13)</f>
        <v>40463866.19453118</v>
      </c>
      <c r="E13" s="198">
        <f t="shared" si="0"/>
        <v>1.0690291228838241E-2</v>
      </c>
      <c r="F13" s="198"/>
      <c r="G13" s="198"/>
      <c r="H13" s="196">
        <v>2023</v>
      </c>
      <c r="I13" s="197">
        <f>SUMIFS('GS &lt; 50 Predicted'!D:D,'GS &lt; 50 Predicted'!B:B,'Model Summary'!H13)</f>
        <v>19521219.250245396</v>
      </c>
      <c r="J13" s="197">
        <f>SUMIFS('GS &lt; 50 Predicted'!O:O,'GS &lt; 50 Predicted'!B:B,'Model Summary'!H13)</f>
        <v>19420545.294742823</v>
      </c>
      <c r="K13" s="198">
        <f t="shared" si="1"/>
        <v>5.1571551045054651E-3</v>
      </c>
      <c r="N13" s="196">
        <v>2023</v>
      </c>
      <c r="O13" s="197">
        <f>SUMIFS('GS &gt; 50 Predicted'!D:D,'GS &gt; 50 Predicted'!B:B,'Model Summary'!N13)</f>
        <v>59147736.58702746</v>
      </c>
      <c r="P13" s="197">
        <f>SUMIFS('GS &gt; 50 Predicted'!O:O,'GS &gt; 50 Predicted'!B:B,'Model Summary'!N13)</f>
        <v>60016180.529555313</v>
      </c>
      <c r="Q13" s="198">
        <f t="shared" si="2"/>
        <v>1.4682623421270932E-2</v>
      </c>
    </row>
    <row r="14" spans="2:17" ht="14.5" x14ac:dyDescent="0.35">
      <c r="B14" s="432">
        <v>2024</v>
      </c>
      <c r="C14" s="429">
        <f>SUMIFS('Res Predicted'!D:D,'Res Predicted'!B:B,'Model Summary'!B14)</f>
        <v>34513753.333782315</v>
      </c>
      <c r="D14" s="429">
        <f>SUMIFS('Res Predicted'!M:M,'Res Predicted'!B:B,'Model Summary'!B14)</f>
        <v>33386656.261850215</v>
      </c>
      <c r="E14" s="430">
        <f t="shared" ref="E14" si="3">ABS(C14-D14)/C14</f>
        <v>3.2656461933651501E-2</v>
      </c>
      <c r="F14" s="198"/>
      <c r="G14" s="198"/>
      <c r="H14" s="428">
        <v>2024</v>
      </c>
      <c r="I14" s="429">
        <f>SUMIFS('GS &lt; 50 Predicted'!D:D,'GS &lt; 50 Predicted'!B:B,'Model Summary'!H14)</f>
        <v>15787779.198829837</v>
      </c>
      <c r="J14" s="429">
        <f>SUMIFS('GS &lt; 50 Predicted'!O:O,'GS &lt; 50 Predicted'!B:B,'Model Summary'!H14)</f>
        <v>16085200.243526183</v>
      </c>
      <c r="K14" s="430">
        <f t="shared" ref="K14" si="4">ABS(I14-J14)/I14</f>
        <v>1.8838687883245178E-2</v>
      </c>
      <c r="L14" s="431"/>
      <c r="M14" s="431"/>
      <c r="N14" s="428">
        <v>2024</v>
      </c>
      <c r="O14" s="429">
        <f>SUMIFS('GS &gt; 50 Predicted'!D:D,'GS &gt; 50 Predicted'!B:B,'Model Summary'!N14)</f>
        <v>51069550.916802809</v>
      </c>
      <c r="P14" s="429">
        <f>SUMIFS('GS &gt; 50 Predicted'!O:O,'GS &gt; 50 Predicted'!B:B,'Model Summary'!N14)</f>
        <v>49387670.365651898</v>
      </c>
      <c r="Q14" s="430">
        <f t="shared" ref="Q14" si="5">ABS(O14-P14)/O14</f>
        <v>3.2933137671229087E-2</v>
      </c>
    </row>
    <row r="15" spans="2:17" ht="14" x14ac:dyDescent="0.3">
      <c r="B15" s="349" t="s">
        <v>121</v>
      </c>
      <c r="C15" s="350">
        <f>SUM(C4:C13)</f>
        <v>410926148.46529227</v>
      </c>
      <c r="D15" s="350">
        <f>SUM(D4:D13)</f>
        <v>412120422.14663738</v>
      </c>
      <c r="E15" s="351">
        <f t="shared" si="0"/>
        <v>2.9062976055561872E-3</v>
      </c>
      <c r="F15" s="198"/>
      <c r="G15" s="198"/>
      <c r="H15" s="349" t="s">
        <v>121</v>
      </c>
      <c r="I15" s="350">
        <f>SUM(I4:I13)</f>
        <v>200428578.573459</v>
      </c>
      <c r="J15" s="350">
        <f>SUM(J4:J13)</f>
        <v>200141206.33676815</v>
      </c>
      <c r="K15" s="351">
        <f t="shared" si="1"/>
        <v>1.4337887278162E-3</v>
      </c>
      <c r="N15" s="349" t="s">
        <v>121</v>
      </c>
      <c r="O15" s="350">
        <f>SUM(O4:O13)</f>
        <v>603738962.7037431</v>
      </c>
      <c r="P15" s="350">
        <f>SUM(P4:P13)</f>
        <v>605455597.63588643</v>
      </c>
      <c r="Q15" s="351">
        <f t="shared" si="2"/>
        <v>2.8433396520504005E-3</v>
      </c>
    </row>
    <row r="16" spans="2:17" ht="14" x14ac:dyDescent="0.3">
      <c r="B16" s="196"/>
      <c r="C16" s="196"/>
      <c r="D16" s="196"/>
      <c r="E16" s="196"/>
      <c r="F16" s="196"/>
      <c r="G16" s="196"/>
      <c r="H16" s="196"/>
      <c r="I16" s="196"/>
      <c r="J16" s="196"/>
      <c r="K16" s="196"/>
      <c r="N16" s="196"/>
      <c r="O16" s="196"/>
      <c r="P16" s="196"/>
      <c r="Q16" s="196"/>
    </row>
    <row r="17" spans="2:17" ht="14" x14ac:dyDescent="0.3">
      <c r="B17" s="453" t="s">
        <v>245</v>
      </c>
      <c r="C17" s="453"/>
      <c r="D17" s="453"/>
      <c r="E17" s="199">
        <f>AVERAGE(E4:E13)</f>
        <v>2.3686637651513388E-2</v>
      </c>
      <c r="F17" s="199"/>
      <c r="G17" s="199"/>
      <c r="H17" s="453" t="s">
        <v>245</v>
      </c>
      <c r="I17" s="453"/>
      <c r="J17" s="453"/>
      <c r="K17" s="199">
        <f>AVERAGE(K4:K13)</f>
        <v>1.8766050609107274E-2</v>
      </c>
      <c r="N17" s="453" t="s">
        <v>245</v>
      </c>
      <c r="O17" s="453"/>
      <c r="P17" s="453"/>
      <c r="Q17" s="199">
        <f>AVERAGE(Q4:Q13)</f>
        <v>2.4094861479163412E-2</v>
      </c>
    </row>
    <row r="18" spans="2:17" ht="14" x14ac:dyDescent="0.3">
      <c r="B18" s="453" t="s">
        <v>246</v>
      </c>
      <c r="C18" s="453"/>
      <c r="D18" s="453"/>
      <c r="E18" s="199">
        <f>'Res Predicted'!O132</f>
        <v>5.517469783668956E-2</v>
      </c>
      <c r="F18" s="199"/>
      <c r="G18" s="199"/>
      <c r="H18" s="453" t="s">
        <v>246</v>
      </c>
      <c r="I18" s="453"/>
      <c r="J18" s="453"/>
      <c r="K18" s="199">
        <f>'GS &lt; 50 Predicted'!Q132</f>
        <v>4.5713242415222913E-2</v>
      </c>
      <c r="N18" s="453" t="s">
        <v>246</v>
      </c>
      <c r="O18" s="453"/>
      <c r="P18" s="453"/>
      <c r="Q18" s="199">
        <f>'GS &gt; 50 Predicted'!Q132</f>
        <v>5.2531172460219079E-2</v>
      </c>
    </row>
  </sheetData>
  <mergeCells count="9">
    <mergeCell ref="B18:D18"/>
    <mergeCell ref="H18:J18"/>
    <mergeCell ref="N18:P18"/>
    <mergeCell ref="C2:D2"/>
    <mergeCell ref="I2:J2"/>
    <mergeCell ref="O2:P2"/>
    <mergeCell ref="B17:D17"/>
    <mergeCell ref="H17:J17"/>
    <mergeCell ref="N17:P1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81C5-DC34-456B-96F4-2517A614E59B}">
  <sheetPr codeName="Sheet13"/>
  <dimension ref="A1:S145"/>
  <sheetViews>
    <sheetView workbookViewId="0">
      <selection activeCell="D29" sqref="D29"/>
    </sheetView>
  </sheetViews>
  <sheetFormatPr defaultRowHeight="14.5" x14ac:dyDescent="0.35"/>
  <cols>
    <col min="1" max="3" width="12.453125" customWidth="1"/>
    <col min="4" max="4" width="14.6328125" bestFit="1" customWidth="1"/>
    <col min="5" max="5" width="9.1796875" bestFit="1" customWidth="1"/>
    <col min="6" max="6" width="9.1796875" customWidth="1"/>
    <col min="7" max="7" width="8.81640625" bestFit="1" customWidth="1"/>
    <col min="9" max="10" width="12.7265625" bestFit="1" customWidth="1"/>
    <col min="11" max="11" width="12.7265625" customWidth="1"/>
    <col min="12" max="12" width="11.1796875" bestFit="1" customWidth="1"/>
    <col min="13" max="14" width="12.7265625" bestFit="1" customWidth="1"/>
    <col min="15" max="15" width="11.1796875" bestFit="1" customWidth="1"/>
    <col min="16" max="16" width="10.1796875" bestFit="1" customWidth="1"/>
  </cols>
  <sheetData>
    <row r="1" spans="1:19" x14ac:dyDescent="0.35">
      <c r="A1" s="1" t="str">
        <f>MonthlyData!A1</f>
        <v>Date</v>
      </c>
      <c r="B1" s="1" t="s">
        <v>1</v>
      </c>
      <c r="C1" s="1" t="s">
        <v>2</v>
      </c>
      <c r="D1" s="4" t="str">
        <f>MonthlyData!F1</f>
        <v>Res_NoCDM</v>
      </c>
      <c r="E1" t="str">
        <f>MonthlyData!AF1</f>
        <v>HDD10</v>
      </c>
      <c r="F1" t="str">
        <f>MonthlyData!BP1</f>
        <v>Fall</v>
      </c>
      <c r="G1" t="str">
        <f>MonthlyData!BN1</f>
        <v>Dec</v>
      </c>
      <c r="I1" t="str">
        <f>O8</f>
        <v>const</v>
      </c>
      <c r="J1" t="str">
        <f>E1</f>
        <v>HDD10</v>
      </c>
      <c r="K1" t="str">
        <f>F1</f>
        <v>Fall</v>
      </c>
      <c r="L1" t="str">
        <f>G1</f>
        <v>Dec</v>
      </c>
      <c r="M1" t="s">
        <v>460</v>
      </c>
    </row>
    <row r="2" spans="1:19" x14ac:dyDescent="0.35">
      <c r="A2" s="1">
        <f>MonthlyData!A2</f>
        <v>41640</v>
      </c>
      <c r="B2" s="13">
        <f>YEAR(A2)</f>
        <v>2014</v>
      </c>
      <c r="C2" s="13">
        <f>MONTH(A2)</f>
        <v>1</v>
      </c>
      <c r="D2" s="4">
        <f>MonthlyData!F2</f>
        <v>5204846.2077724002</v>
      </c>
      <c r="E2" s="200">
        <f ca="1">Weather!CT38</f>
        <v>793.4846429373913</v>
      </c>
      <c r="F2">
        <f>MonthlyData!BP2</f>
        <v>0</v>
      </c>
      <c r="G2">
        <f>MonthlyData!BN2</f>
        <v>0</v>
      </c>
      <c r="H2" s="4"/>
      <c r="I2" s="4">
        <f t="shared" ref="I2:I33" si="0">$P$8</f>
        <v>2993597.51664689</v>
      </c>
      <c r="J2" s="4">
        <f t="shared" ref="J2:J33" ca="1" si="1">E2*$P$9</f>
        <v>1500814.8697639715</v>
      </c>
      <c r="K2" s="4">
        <f t="shared" ref="K2:K33" si="2">F2*$P$10</f>
        <v>0</v>
      </c>
      <c r="L2" s="4">
        <f t="shared" ref="L2:L33" si="3">G2*$P$11</f>
        <v>0</v>
      </c>
      <c r="M2" s="4">
        <f ca="1">SUM(I2:L2)</f>
        <v>4494412.3864108613</v>
      </c>
      <c r="N2" s="4"/>
      <c r="O2" s="4"/>
    </row>
    <row r="3" spans="1:19" x14ac:dyDescent="0.35">
      <c r="A3" s="1">
        <f>MonthlyData!A3</f>
        <v>41671</v>
      </c>
      <c r="B3" s="13">
        <f t="shared" ref="B3:B66" si="4">YEAR(A3)</f>
        <v>2014</v>
      </c>
      <c r="C3" s="13">
        <f t="shared" ref="C3:C66" si="5">MONTH(A3)</f>
        <v>2</v>
      </c>
      <c r="D3" s="4">
        <f>MonthlyData!F3</f>
        <v>5264300.1641396759</v>
      </c>
      <c r="E3" s="200">
        <f ca="1">Weather!CT39</f>
        <v>736.10085614037712</v>
      </c>
      <c r="F3">
        <f>MonthlyData!BP3</f>
        <v>0</v>
      </c>
      <c r="G3">
        <f>MonthlyData!BN3</f>
        <v>0</v>
      </c>
      <c r="H3" s="4"/>
      <c r="I3" s="4">
        <f t="shared" si="0"/>
        <v>2993597.51664689</v>
      </c>
      <c r="J3" s="4">
        <f t="shared" ca="1" si="1"/>
        <v>1392277.8725140831</v>
      </c>
      <c r="K3" s="4">
        <f t="shared" si="2"/>
        <v>0</v>
      </c>
      <c r="L3" s="4">
        <f t="shared" si="3"/>
        <v>0</v>
      </c>
      <c r="M3" s="4">
        <f t="shared" ref="M3:M66" ca="1" si="6">SUM(I3:L3)</f>
        <v>4385875.389160973</v>
      </c>
      <c r="N3" s="4"/>
      <c r="O3" t="s">
        <v>488</v>
      </c>
    </row>
    <row r="4" spans="1:19" x14ac:dyDescent="0.35">
      <c r="A4" s="1">
        <f>MonthlyData!A4</f>
        <v>41699</v>
      </c>
      <c r="B4" s="13">
        <f t="shared" si="4"/>
        <v>2014</v>
      </c>
      <c r="C4" s="13">
        <f t="shared" si="5"/>
        <v>3</v>
      </c>
      <c r="D4" s="4">
        <f>MonthlyData!F4</f>
        <v>4226177.3477285299</v>
      </c>
      <c r="E4" s="200">
        <f ca="1">Weather!CT40</f>
        <v>577.21697535249291</v>
      </c>
      <c r="F4">
        <f>MonthlyData!BP4</f>
        <v>0</v>
      </c>
      <c r="G4">
        <f>MonthlyData!BN4</f>
        <v>0</v>
      </c>
      <c r="H4" s="4"/>
      <c r="I4" s="4">
        <f t="shared" si="0"/>
        <v>2993597.51664689</v>
      </c>
      <c r="J4" s="4">
        <f t="shared" ca="1" si="1"/>
        <v>1091761.292924681</v>
      </c>
      <c r="K4" s="4">
        <f t="shared" si="2"/>
        <v>0</v>
      </c>
      <c r="L4" s="4">
        <f t="shared" si="3"/>
        <v>0</v>
      </c>
      <c r="M4" s="4">
        <f t="shared" ca="1" si="6"/>
        <v>4085358.8095715707</v>
      </c>
      <c r="N4" s="4"/>
      <c r="O4" t="s">
        <v>459</v>
      </c>
    </row>
    <row r="5" spans="1:19" x14ac:dyDescent="0.35">
      <c r="A5" s="1">
        <f>MonthlyData!A5</f>
        <v>41730</v>
      </c>
      <c r="B5" s="13">
        <f t="shared" si="4"/>
        <v>2014</v>
      </c>
      <c r="C5" s="13">
        <f t="shared" si="5"/>
        <v>4</v>
      </c>
      <c r="D5" s="4">
        <f>MonthlyData!F5</f>
        <v>4303459.0892479047</v>
      </c>
      <c r="E5" s="200">
        <f ca="1">Weather!CT41</f>
        <v>307.33082472275549</v>
      </c>
      <c r="F5">
        <f>MonthlyData!BP5</f>
        <v>0</v>
      </c>
      <c r="G5">
        <f>MonthlyData!BN5</f>
        <v>0</v>
      </c>
      <c r="H5" s="4"/>
      <c r="I5" s="4">
        <f t="shared" si="0"/>
        <v>2993597.51664689</v>
      </c>
      <c r="J5" s="4">
        <f t="shared" ca="1" si="1"/>
        <v>581292.49984379369</v>
      </c>
      <c r="K5" s="4">
        <f t="shared" si="2"/>
        <v>0</v>
      </c>
      <c r="L5" s="4">
        <f t="shared" si="3"/>
        <v>0</v>
      </c>
      <c r="M5" s="4">
        <f t="shared" ca="1" si="6"/>
        <v>3574890.0164906839</v>
      </c>
      <c r="N5" s="4"/>
      <c r="O5" t="s">
        <v>489</v>
      </c>
    </row>
    <row r="6" spans="1:19" x14ac:dyDescent="0.35">
      <c r="A6" s="1">
        <f>MonthlyData!A6</f>
        <v>41760</v>
      </c>
      <c r="B6" s="13">
        <f t="shared" si="4"/>
        <v>2014</v>
      </c>
      <c r="C6" s="13">
        <f t="shared" si="5"/>
        <v>5</v>
      </c>
      <c r="D6" s="4">
        <f>MonthlyData!F6</f>
        <v>3338319.3932956383</v>
      </c>
      <c r="E6" s="200">
        <f ca="1">Weather!CT42</f>
        <v>103.00647094808046</v>
      </c>
      <c r="F6">
        <f>MonthlyData!BP6</f>
        <v>0</v>
      </c>
      <c r="G6">
        <f>MonthlyData!BN6</f>
        <v>0</v>
      </c>
      <c r="H6" s="4"/>
      <c r="I6" s="4">
        <f t="shared" si="0"/>
        <v>2993597.51664689</v>
      </c>
      <c r="J6" s="4">
        <f t="shared" ca="1" si="1"/>
        <v>194828.77791875257</v>
      </c>
      <c r="K6" s="4">
        <f t="shared" si="2"/>
        <v>0</v>
      </c>
      <c r="L6" s="4">
        <f t="shared" si="3"/>
        <v>0</v>
      </c>
      <c r="M6" s="4">
        <f t="shared" ca="1" si="6"/>
        <v>3188426.2945656427</v>
      </c>
      <c r="N6" s="4"/>
    </row>
    <row r="7" spans="1:19" x14ac:dyDescent="0.35">
      <c r="A7" s="1">
        <f>MonthlyData!A7</f>
        <v>41791</v>
      </c>
      <c r="B7" s="13">
        <f t="shared" si="4"/>
        <v>2014</v>
      </c>
      <c r="C7" s="13">
        <f t="shared" si="5"/>
        <v>6</v>
      </c>
      <c r="D7" s="4">
        <f>MonthlyData!F7</f>
        <v>2933277.9474340756</v>
      </c>
      <c r="E7" s="200">
        <f ca="1">Weather!CT43</f>
        <v>5.5889105735385218</v>
      </c>
      <c r="F7">
        <f>MonthlyData!BP7</f>
        <v>0</v>
      </c>
      <c r="G7">
        <f>MonthlyData!BN7</f>
        <v>0</v>
      </c>
      <c r="H7" s="4"/>
      <c r="I7" s="4">
        <f t="shared" si="0"/>
        <v>2993597.51664689</v>
      </c>
      <c r="J7" s="4">
        <f t="shared" ca="1" si="1"/>
        <v>10570.992355310822</v>
      </c>
      <c r="K7" s="4">
        <f t="shared" si="2"/>
        <v>0</v>
      </c>
      <c r="L7" s="4">
        <f t="shared" si="3"/>
        <v>0</v>
      </c>
      <c r="M7" s="4">
        <f t="shared" ca="1" si="6"/>
        <v>3004168.5090022008</v>
      </c>
      <c r="N7" s="4"/>
      <c r="P7" t="s">
        <v>84</v>
      </c>
      <c r="Q7" t="s">
        <v>85</v>
      </c>
      <c r="R7" t="s">
        <v>86</v>
      </c>
      <c r="S7" t="s">
        <v>87</v>
      </c>
    </row>
    <row r="8" spans="1:19" x14ac:dyDescent="0.35">
      <c r="A8" s="1">
        <f>MonthlyData!A8</f>
        <v>41821</v>
      </c>
      <c r="B8" s="13">
        <f t="shared" si="4"/>
        <v>2014</v>
      </c>
      <c r="C8" s="13">
        <f t="shared" si="5"/>
        <v>7</v>
      </c>
      <c r="D8" s="4">
        <f>MonthlyData!F8</f>
        <v>2814669.0496893516</v>
      </c>
      <c r="E8" s="200">
        <f ca="1">Weather!CT44</f>
        <v>0.28709633857318684</v>
      </c>
      <c r="F8">
        <f>MonthlyData!BP8</f>
        <v>0</v>
      </c>
      <c r="G8">
        <f>MonthlyData!BN8</f>
        <v>0</v>
      </c>
      <c r="H8" s="4"/>
      <c r="I8" s="4">
        <f t="shared" si="0"/>
        <v>2993597.51664689</v>
      </c>
      <c r="J8" s="4">
        <f t="shared" ca="1" si="1"/>
        <v>543.02053331538559</v>
      </c>
      <c r="K8" s="4">
        <f t="shared" si="2"/>
        <v>0</v>
      </c>
      <c r="L8" s="4">
        <f t="shared" si="3"/>
        <v>0</v>
      </c>
      <c r="M8" s="4">
        <f t="shared" ca="1" si="6"/>
        <v>2994140.5371802053</v>
      </c>
      <c r="N8" s="4"/>
      <c r="O8" t="s">
        <v>88</v>
      </c>
      <c r="P8" s="4">
        <v>2993597.51664689</v>
      </c>
      <c r="Q8" s="4">
        <v>34915.099462320701</v>
      </c>
      <c r="R8" s="214">
        <v>85.739338072844106</v>
      </c>
      <c r="S8" s="188">
        <v>1.3557764578634499E-113</v>
      </c>
    </row>
    <row r="9" spans="1:19" x14ac:dyDescent="0.35">
      <c r="A9" s="1">
        <f>MonthlyData!A9</f>
        <v>41852</v>
      </c>
      <c r="B9" s="13">
        <f t="shared" si="4"/>
        <v>2014</v>
      </c>
      <c r="C9" s="13">
        <f t="shared" si="5"/>
        <v>8</v>
      </c>
      <c r="D9" s="4">
        <f>MonthlyData!F9</f>
        <v>2865737.10711757</v>
      </c>
      <c r="E9" s="200">
        <f ca="1">Weather!CT45</f>
        <v>1.6761707873342053</v>
      </c>
      <c r="F9">
        <f>MonthlyData!BP9</f>
        <v>0</v>
      </c>
      <c r="G9">
        <f>MonthlyData!BN9</f>
        <v>0</v>
      </c>
      <c r="H9" s="4"/>
      <c r="I9" s="4">
        <f t="shared" si="0"/>
        <v>2993597.51664689</v>
      </c>
      <c r="J9" s="4">
        <f t="shared" ca="1" si="1"/>
        <v>3170.3474847132616</v>
      </c>
      <c r="K9" s="4">
        <f t="shared" si="2"/>
        <v>0</v>
      </c>
      <c r="L9" s="4">
        <f t="shared" si="3"/>
        <v>0</v>
      </c>
      <c r="M9" s="4">
        <f t="shared" ca="1" si="6"/>
        <v>2996767.8641316034</v>
      </c>
      <c r="N9" s="4"/>
      <c r="O9" t="s">
        <v>13</v>
      </c>
      <c r="P9" s="4">
        <v>1891.4227050546599</v>
      </c>
      <c r="Q9" s="4">
        <v>80.751497667451204</v>
      </c>
      <c r="R9" s="214">
        <v>23.422756972803999</v>
      </c>
      <c r="S9" s="188">
        <v>9.7140371630274E-48</v>
      </c>
    </row>
    <row r="10" spans="1:19" x14ac:dyDescent="0.35">
      <c r="A10" s="1">
        <f>MonthlyData!A10</f>
        <v>41883</v>
      </c>
      <c r="B10" s="13">
        <f t="shared" si="4"/>
        <v>2014</v>
      </c>
      <c r="C10" s="13">
        <f t="shared" si="5"/>
        <v>9</v>
      </c>
      <c r="D10" s="4">
        <f>MonthlyData!F10</f>
        <v>2882718.5753333331</v>
      </c>
      <c r="E10" s="200">
        <f ca="1">Weather!CT46</f>
        <v>28.222326899712005</v>
      </c>
      <c r="F10">
        <f>MonthlyData!BP10</f>
        <v>0</v>
      </c>
      <c r="G10">
        <f>MonthlyData!BN10</f>
        <v>0</v>
      </c>
      <c r="H10" s="4"/>
      <c r="I10" s="4">
        <f t="shared" si="0"/>
        <v>2993597.51664689</v>
      </c>
      <c r="J10" s="4">
        <f t="shared" ca="1" si="1"/>
        <v>53380.349887590171</v>
      </c>
      <c r="K10" s="4">
        <f t="shared" si="2"/>
        <v>0</v>
      </c>
      <c r="L10" s="4">
        <f t="shared" si="3"/>
        <v>0</v>
      </c>
      <c r="M10" s="4">
        <f t="shared" ca="1" si="6"/>
        <v>3046977.8665344804</v>
      </c>
      <c r="N10" s="4"/>
      <c r="O10" t="s">
        <v>62</v>
      </c>
      <c r="P10" s="4">
        <v>-602637.76155081904</v>
      </c>
      <c r="Q10" s="4">
        <v>61138.157436032903</v>
      </c>
      <c r="R10" s="214">
        <v>-9.8569827228002609</v>
      </c>
      <c r="S10" s="188">
        <v>2.4415331036516299E-17</v>
      </c>
    </row>
    <row r="11" spans="1:19" x14ac:dyDescent="0.35">
      <c r="A11" s="1">
        <f>MonthlyData!A11</f>
        <v>41913</v>
      </c>
      <c r="B11" s="13">
        <f t="shared" si="4"/>
        <v>2014</v>
      </c>
      <c r="C11" s="13">
        <f t="shared" si="5"/>
        <v>10</v>
      </c>
      <c r="D11" s="4">
        <f>MonthlyData!F11</f>
        <v>2860364.5175931277</v>
      </c>
      <c r="E11" s="200">
        <f ca="1">Weather!CT47</f>
        <v>178.0244559176316</v>
      </c>
      <c r="F11">
        <f>MonthlyData!BP11</f>
        <v>1</v>
      </c>
      <c r="G11">
        <f>MonthlyData!BN11</f>
        <v>0</v>
      </c>
      <c r="H11" s="4"/>
      <c r="I11" s="4">
        <f t="shared" si="0"/>
        <v>2993597.51664689</v>
      </c>
      <c r="J11" s="4">
        <f t="shared" ca="1" si="1"/>
        <v>336719.49797761079</v>
      </c>
      <c r="K11" s="4">
        <f t="shared" si="2"/>
        <v>-602637.76155081904</v>
      </c>
      <c r="L11" s="4">
        <f t="shared" si="3"/>
        <v>0</v>
      </c>
      <c r="M11" s="4">
        <f t="shared" ca="1" si="6"/>
        <v>2727679.2530736816</v>
      </c>
      <c r="N11" s="4"/>
      <c r="O11" t="s">
        <v>28</v>
      </c>
      <c r="P11" s="4">
        <v>-626381.313089823</v>
      </c>
      <c r="Q11" s="4">
        <v>85019.440210264802</v>
      </c>
      <c r="R11" s="214">
        <v>-7.3675069083105704</v>
      </c>
      <c r="S11" s="188">
        <v>2.0073297504774301E-11</v>
      </c>
    </row>
    <row r="12" spans="1:19" x14ac:dyDescent="0.35">
      <c r="A12" s="1">
        <f>MonthlyData!A12</f>
        <v>41944</v>
      </c>
      <c r="B12" s="13">
        <f t="shared" si="4"/>
        <v>2014</v>
      </c>
      <c r="C12" s="13">
        <f t="shared" si="5"/>
        <v>11</v>
      </c>
      <c r="D12" s="4">
        <f>MonthlyData!F12</f>
        <v>3257670.4024071149</v>
      </c>
      <c r="E12" s="200">
        <f ca="1">Weather!CT48</f>
        <v>403.99833333333333</v>
      </c>
      <c r="F12">
        <f>MonthlyData!BP12</f>
        <v>1</v>
      </c>
      <c r="G12">
        <f>MonthlyData!BN12</f>
        <v>0</v>
      </c>
      <c r="H12" s="4"/>
      <c r="I12" s="4">
        <f t="shared" si="0"/>
        <v>2993597.51664689</v>
      </c>
      <c r="J12" s="4">
        <f t="shared" ca="1" si="1"/>
        <v>764131.62047090754</v>
      </c>
      <c r="K12" s="4">
        <f t="shared" si="2"/>
        <v>-602637.76155081904</v>
      </c>
      <c r="L12" s="4">
        <f t="shared" si="3"/>
        <v>0</v>
      </c>
      <c r="M12" s="4">
        <f t="shared" ca="1" si="6"/>
        <v>3155091.3755669785</v>
      </c>
      <c r="N12" s="4"/>
      <c r="P12" s="4"/>
      <c r="Q12" s="4"/>
      <c r="R12" s="214"/>
      <c r="S12" s="188"/>
    </row>
    <row r="13" spans="1:19" x14ac:dyDescent="0.35">
      <c r="A13" s="1">
        <f>MonthlyData!A13</f>
        <v>41974</v>
      </c>
      <c r="B13" s="13">
        <f t="shared" si="4"/>
        <v>2014</v>
      </c>
      <c r="C13" s="13">
        <f t="shared" si="5"/>
        <v>12</v>
      </c>
      <c r="D13" s="4">
        <f>MonthlyData!F13</f>
        <v>3913237.1748429327</v>
      </c>
      <c r="E13" s="200">
        <f ca="1">Weather!CT49</f>
        <v>629.70466952460959</v>
      </c>
      <c r="F13">
        <f>MonthlyData!BP13</f>
        <v>0</v>
      </c>
      <c r="G13">
        <f>MonthlyData!BN13</f>
        <v>1</v>
      </c>
      <c r="H13" s="4"/>
      <c r="I13" s="4">
        <f t="shared" si="0"/>
        <v>2993597.51664689</v>
      </c>
      <c r="J13" s="4">
        <f t="shared" ca="1" si="1"/>
        <v>1191037.7094177876</v>
      </c>
      <c r="K13" s="4">
        <f t="shared" si="2"/>
        <v>0</v>
      </c>
      <c r="L13" s="4">
        <f t="shared" si="3"/>
        <v>-626381.313089823</v>
      </c>
      <c r="M13" s="4">
        <f t="shared" ca="1" si="6"/>
        <v>3558253.9129748545</v>
      </c>
      <c r="N13" s="4"/>
      <c r="O13" t="s">
        <v>89</v>
      </c>
    </row>
    <row r="14" spans="1:19" x14ac:dyDescent="0.35">
      <c r="A14" s="1">
        <f>MonthlyData!A14</f>
        <v>42005</v>
      </c>
      <c r="B14" s="13">
        <f t="shared" si="4"/>
        <v>2015</v>
      </c>
      <c r="C14" s="13">
        <f t="shared" si="5"/>
        <v>1</v>
      </c>
      <c r="D14" s="4">
        <f>MonthlyData!F14</f>
        <v>4555170.2447226988</v>
      </c>
      <c r="E14" s="4">
        <f ca="1">E2</f>
        <v>793.4846429373913</v>
      </c>
      <c r="F14">
        <f>MonthlyData!BP14</f>
        <v>0</v>
      </c>
      <c r="G14">
        <f>MonthlyData!BN14</f>
        <v>0</v>
      </c>
      <c r="H14" s="4"/>
      <c r="I14" s="4">
        <f t="shared" si="0"/>
        <v>2993597.51664689</v>
      </c>
      <c r="J14" s="4">
        <f t="shared" ca="1" si="1"/>
        <v>1500814.8697639715</v>
      </c>
      <c r="K14" s="4">
        <f t="shared" si="2"/>
        <v>0</v>
      </c>
      <c r="L14" s="4">
        <f t="shared" si="3"/>
        <v>0</v>
      </c>
      <c r="M14" s="4">
        <f t="shared" ca="1" si="6"/>
        <v>4494412.3864108613</v>
      </c>
      <c r="N14" s="4"/>
      <c r="O14" t="s">
        <v>90</v>
      </c>
      <c r="P14" s="320">
        <v>7623913684607</v>
      </c>
      <c r="Q14" t="s">
        <v>91</v>
      </c>
      <c r="R14" s="4">
        <v>245982.21778237299</v>
      </c>
    </row>
    <row r="15" spans="1:19" x14ac:dyDescent="0.35">
      <c r="A15" s="1">
        <f>MonthlyData!A15</f>
        <v>42036</v>
      </c>
      <c r="B15" s="13">
        <f t="shared" si="4"/>
        <v>2015</v>
      </c>
      <c r="C15" s="13">
        <f t="shared" si="5"/>
        <v>2</v>
      </c>
      <c r="D15" s="4">
        <f>MonthlyData!F15</f>
        <v>4992071.1433578841</v>
      </c>
      <c r="E15" s="4">
        <f t="shared" ref="E15:E78" ca="1" si="7">E3</f>
        <v>736.10085614037712</v>
      </c>
      <c r="F15">
        <f>MonthlyData!BP15</f>
        <v>0</v>
      </c>
      <c r="G15">
        <f>MonthlyData!BN15</f>
        <v>0</v>
      </c>
      <c r="H15" s="4"/>
      <c r="I15" s="4">
        <f t="shared" si="0"/>
        <v>2993597.51664689</v>
      </c>
      <c r="J15" s="4">
        <f t="shared" ca="1" si="1"/>
        <v>1392277.8725140831</v>
      </c>
      <c r="K15" s="4">
        <f t="shared" si="2"/>
        <v>0</v>
      </c>
      <c r="L15" s="4">
        <f t="shared" si="3"/>
        <v>0</v>
      </c>
      <c r="M15" s="4">
        <f t="shared" ca="1" si="6"/>
        <v>4385875.389160973</v>
      </c>
      <c r="N15" s="4"/>
      <c r="O15" t="s">
        <v>92</v>
      </c>
      <c r="P15" s="2">
        <v>0.85321990261632097</v>
      </c>
      <c r="Q15" t="s">
        <v>93</v>
      </c>
      <c r="R15" s="321">
        <v>0.84972513839289998</v>
      </c>
    </row>
    <row r="16" spans="1:19" x14ac:dyDescent="0.35">
      <c r="A16" s="1">
        <f>MonthlyData!A16</f>
        <v>42064</v>
      </c>
      <c r="B16" s="13">
        <f t="shared" si="4"/>
        <v>2015</v>
      </c>
      <c r="C16" s="13">
        <f t="shared" si="5"/>
        <v>3</v>
      </c>
      <c r="D16" s="4">
        <f>MonthlyData!F16</f>
        <v>4650468.1502021682</v>
      </c>
      <c r="E16" s="4">
        <f t="shared" ca="1" si="7"/>
        <v>577.21697535249291</v>
      </c>
      <c r="F16">
        <f>MonthlyData!BP16</f>
        <v>0</v>
      </c>
      <c r="G16">
        <f>MonthlyData!BN16</f>
        <v>0</v>
      </c>
      <c r="H16" s="4"/>
      <c r="I16" s="4">
        <f t="shared" si="0"/>
        <v>2993597.51664689</v>
      </c>
      <c r="J16" s="4">
        <f t="shared" ca="1" si="1"/>
        <v>1091761.292924681</v>
      </c>
      <c r="K16" s="4">
        <f t="shared" si="2"/>
        <v>0</v>
      </c>
      <c r="L16" s="4">
        <f t="shared" si="3"/>
        <v>0</v>
      </c>
      <c r="M16" s="4">
        <f t="shared" ca="1" si="6"/>
        <v>4085358.8095715707</v>
      </c>
      <c r="N16" s="4"/>
      <c r="O16" t="s">
        <v>490</v>
      </c>
      <c r="P16" s="2">
        <v>218.69786887181101</v>
      </c>
      <c r="Q16" t="s">
        <v>94</v>
      </c>
      <c r="R16" s="18">
        <v>9.2309097571580505E-50</v>
      </c>
    </row>
    <row r="17" spans="1:18" x14ac:dyDescent="0.35">
      <c r="A17" s="1">
        <f>MonthlyData!A17</f>
        <v>42095</v>
      </c>
      <c r="B17" s="13">
        <f t="shared" si="4"/>
        <v>2015</v>
      </c>
      <c r="C17" s="13">
        <f t="shared" si="5"/>
        <v>4</v>
      </c>
      <c r="D17" s="4">
        <f>MonthlyData!F17</f>
        <v>3963990.3580730828</v>
      </c>
      <c r="E17" s="4">
        <f t="shared" ca="1" si="7"/>
        <v>307.33082472275549</v>
      </c>
      <c r="F17">
        <f>MonthlyData!BP17</f>
        <v>0</v>
      </c>
      <c r="G17">
        <f>MonthlyData!BN17</f>
        <v>0</v>
      </c>
      <c r="H17" s="4"/>
      <c r="I17" s="4">
        <f t="shared" si="0"/>
        <v>2993597.51664689</v>
      </c>
      <c r="J17" s="4">
        <f t="shared" ca="1" si="1"/>
        <v>581292.49984379369</v>
      </c>
      <c r="K17" s="4">
        <f t="shared" si="2"/>
        <v>0</v>
      </c>
      <c r="L17" s="4">
        <f t="shared" si="3"/>
        <v>0</v>
      </c>
      <c r="M17" s="4">
        <f t="shared" ca="1" si="6"/>
        <v>3574890.0164906839</v>
      </c>
      <c r="N17" s="4"/>
      <c r="O17" t="s">
        <v>95</v>
      </c>
      <c r="P17" s="2">
        <v>-1.09285436820719E-2</v>
      </c>
      <c r="Q17" t="s">
        <v>96</v>
      </c>
      <c r="R17" s="322">
        <v>1.97895470842757</v>
      </c>
    </row>
    <row r="18" spans="1:18" x14ac:dyDescent="0.35">
      <c r="A18" s="1">
        <f>MonthlyData!A18</f>
        <v>42125</v>
      </c>
      <c r="B18" s="13">
        <f t="shared" si="4"/>
        <v>2015</v>
      </c>
      <c r="C18" s="13">
        <f t="shared" si="5"/>
        <v>5</v>
      </c>
      <c r="D18" s="4">
        <f>MonthlyData!F18</f>
        <v>3251922.6162512815</v>
      </c>
      <c r="E18" s="4">
        <f t="shared" ca="1" si="7"/>
        <v>103.00647094808046</v>
      </c>
      <c r="F18">
        <f>MonthlyData!BP18</f>
        <v>0</v>
      </c>
      <c r="G18">
        <f>MonthlyData!BN18</f>
        <v>0</v>
      </c>
      <c r="H18" s="4"/>
      <c r="I18" s="4">
        <f t="shared" si="0"/>
        <v>2993597.51664689</v>
      </c>
      <c r="J18" s="4">
        <f t="shared" ca="1" si="1"/>
        <v>194828.77791875257</v>
      </c>
      <c r="K18" s="4">
        <f t="shared" si="2"/>
        <v>0</v>
      </c>
      <c r="L18" s="4">
        <f t="shared" si="3"/>
        <v>0</v>
      </c>
      <c r="M18" s="4">
        <f t="shared" ca="1" si="6"/>
        <v>3188426.2945656427</v>
      </c>
      <c r="N18" s="4"/>
    </row>
    <row r="19" spans="1:18" x14ac:dyDescent="0.35">
      <c r="A19" s="1">
        <f>MonthlyData!A19</f>
        <v>42156</v>
      </c>
      <c r="B19" s="13">
        <f t="shared" si="4"/>
        <v>2015</v>
      </c>
      <c r="C19" s="13">
        <f t="shared" si="5"/>
        <v>6</v>
      </c>
      <c r="D19" s="4">
        <f>MonthlyData!F19</f>
        <v>2838539.9592128773</v>
      </c>
      <c r="E19" s="4">
        <f t="shared" ca="1" si="7"/>
        <v>5.5889105735385218</v>
      </c>
      <c r="F19">
        <f>MonthlyData!BP19</f>
        <v>0</v>
      </c>
      <c r="G19">
        <f>MonthlyData!BN19</f>
        <v>0</v>
      </c>
      <c r="H19" s="4"/>
      <c r="I19" s="4">
        <f t="shared" si="0"/>
        <v>2993597.51664689</v>
      </c>
      <c r="J19" s="4">
        <f t="shared" ca="1" si="1"/>
        <v>10570.992355310822</v>
      </c>
      <c r="K19" s="4">
        <f t="shared" si="2"/>
        <v>0</v>
      </c>
      <c r="L19" s="4">
        <f t="shared" si="3"/>
        <v>0</v>
      </c>
      <c r="M19" s="4">
        <f t="shared" ca="1" si="6"/>
        <v>3004168.5090022008</v>
      </c>
      <c r="N19" s="4"/>
      <c r="O19" t="s">
        <v>97</v>
      </c>
    </row>
    <row r="20" spans="1:18" x14ac:dyDescent="0.35">
      <c r="A20" s="1">
        <f>MonthlyData!A20</f>
        <v>42186</v>
      </c>
      <c r="B20" s="13">
        <f t="shared" si="4"/>
        <v>2015</v>
      </c>
      <c r="C20" s="13">
        <f t="shared" si="5"/>
        <v>7</v>
      </c>
      <c r="D20" s="4">
        <f>MonthlyData!F20</f>
        <v>2693601.264651109</v>
      </c>
      <c r="E20" s="4">
        <f t="shared" ca="1" si="7"/>
        <v>0.28709633857318684</v>
      </c>
      <c r="F20">
        <f>MonthlyData!BP20</f>
        <v>0</v>
      </c>
      <c r="G20">
        <f>MonthlyData!BN20</f>
        <v>0</v>
      </c>
      <c r="H20" s="4"/>
      <c r="I20" s="4">
        <f t="shared" si="0"/>
        <v>2993597.51664689</v>
      </c>
      <c r="J20" s="4">
        <f t="shared" ca="1" si="1"/>
        <v>543.02053331538559</v>
      </c>
      <c r="K20" s="4">
        <f t="shared" si="2"/>
        <v>0</v>
      </c>
      <c r="L20" s="4">
        <f t="shared" si="3"/>
        <v>0</v>
      </c>
      <c r="M20" s="4">
        <f t="shared" ca="1" si="6"/>
        <v>2994140.5371802053</v>
      </c>
      <c r="N20" s="4"/>
      <c r="O20" t="s">
        <v>98</v>
      </c>
      <c r="P20">
        <v>3426460.7830698099</v>
      </c>
      <c r="Q20" t="s">
        <v>99</v>
      </c>
      <c r="R20">
        <v>634363.55761683895</v>
      </c>
    </row>
    <row r="21" spans="1:18" x14ac:dyDescent="0.35">
      <c r="A21" s="1">
        <f>MonthlyData!A21</f>
        <v>42217</v>
      </c>
      <c r="B21" s="13">
        <f t="shared" si="4"/>
        <v>2015</v>
      </c>
      <c r="C21" s="13">
        <f t="shared" si="5"/>
        <v>8</v>
      </c>
      <c r="D21" s="4">
        <f>MonthlyData!F21</f>
        <v>3029214.4043009067</v>
      </c>
      <c r="E21" s="4">
        <f t="shared" ca="1" si="7"/>
        <v>1.6761707873342053</v>
      </c>
      <c r="F21">
        <f>MonthlyData!BP21</f>
        <v>0</v>
      </c>
      <c r="G21">
        <f>MonthlyData!BN21</f>
        <v>0</v>
      </c>
      <c r="H21" s="4"/>
      <c r="I21" s="4">
        <f t="shared" si="0"/>
        <v>2993597.51664689</v>
      </c>
      <c r="J21" s="4">
        <f t="shared" ca="1" si="1"/>
        <v>3170.3474847132616</v>
      </c>
      <c r="K21" s="4">
        <f t="shared" si="2"/>
        <v>0</v>
      </c>
      <c r="L21" s="4">
        <f t="shared" si="3"/>
        <v>0</v>
      </c>
      <c r="M21" s="4">
        <f t="shared" ca="1" si="6"/>
        <v>2996767.8641316034</v>
      </c>
      <c r="N21" s="4"/>
    </row>
    <row r="22" spans="1:18" x14ac:dyDescent="0.35">
      <c r="A22" s="1">
        <f>MonthlyData!A22</f>
        <v>42248</v>
      </c>
      <c r="B22" s="13">
        <f t="shared" si="4"/>
        <v>2015</v>
      </c>
      <c r="C22" s="13">
        <f t="shared" si="5"/>
        <v>9</v>
      </c>
      <c r="D22" s="4">
        <f>MonthlyData!F22</f>
        <v>2908421.6058402224</v>
      </c>
      <c r="E22" s="4">
        <f t="shared" ca="1" si="7"/>
        <v>28.222326899712005</v>
      </c>
      <c r="F22">
        <f>MonthlyData!BP22</f>
        <v>0</v>
      </c>
      <c r="G22">
        <f>MonthlyData!BN22</f>
        <v>0</v>
      </c>
      <c r="H22" s="4"/>
      <c r="I22" s="4">
        <f t="shared" si="0"/>
        <v>2993597.51664689</v>
      </c>
      <c r="J22" s="4">
        <f t="shared" ca="1" si="1"/>
        <v>53380.349887590171</v>
      </c>
      <c r="K22" s="4">
        <f t="shared" si="2"/>
        <v>0</v>
      </c>
      <c r="L22" s="4">
        <f t="shared" si="3"/>
        <v>0</v>
      </c>
      <c r="M22" s="4">
        <f t="shared" ca="1" si="6"/>
        <v>3046977.8665344804</v>
      </c>
      <c r="N22" s="4"/>
    </row>
    <row r="23" spans="1:18" x14ac:dyDescent="0.35">
      <c r="A23" s="1">
        <f>MonthlyData!A23</f>
        <v>42278</v>
      </c>
      <c r="B23" s="13">
        <f t="shared" si="4"/>
        <v>2015</v>
      </c>
      <c r="C23" s="13">
        <f t="shared" si="5"/>
        <v>10</v>
      </c>
      <c r="D23" s="4">
        <f>MonthlyData!F23</f>
        <v>2824688.182724908</v>
      </c>
      <c r="E23" s="4">
        <f t="shared" ca="1" si="7"/>
        <v>178.0244559176316</v>
      </c>
      <c r="F23">
        <f>MonthlyData!BP23</f>
        <v>1</v>
      </c>
      <c r="G23">
        <f>MonthlyData!BN23</f>
        <v>0</v>
      </c>
      <c r="H23" s="4"/>
      <c r="I23" s="4">
        <f t="shared" si="0"/>
        <v>2993597.51664689</v>
      </c>
      <c r="J23" s="4">
        <f t="shared" ca="1" si="1"/>
        <v>336719.49797761079</v>
      </c>
      <c r="K23" s="4">
        <f t="shared" si="2"/>
        <v>-602637.76155081904</v>
      </c>
      <c r="L23" s="4">
        <f t="shared" si="3"/>
        <v>0</v>
      </c>
      <c r="M23" s="4">
        <f t="shared" ca="1" si="6"/>
        <v>2727679.2530736816</v>
      </c>
      <c r="N23" s="4"/>
    </row>
    <row r="24" spans="1:18" x14ac:dyDescent="0.35">
      <c r="A24" s="1">
        <f>MonthlyData!A24</f>
        <v>42309</v>
      </c>
      <c r="B24" s="13">
        <f t="shared" si="4"/>
        <v>2015</v>
      </c>
      <c r="C24" s="13">
        <f t="shared" si="5"/>
        <v>11</v>
      </c>
      <c r="D24" s="4">
        <f>MonthlyData!F24</f>
        <v>3175868.9001177405</v>
      </c>
      <c r="E24" s="4">
        <f t="shared" ca="1" si="7"/>
        <v>403.99833333333333</v>
      </c>
      <c r="F24">
        <f>MonthlyData!BP24</f>
        <v>1</v>
      </c>
      <c r="G24">
        <f>MonthlyData!BN24</f>
        <v>0</v>
      </c>
      <c r="H24" s="4"/>
      <c r="I24" s="4">
        <f t="shared" si="0"/>
        <v>2993597.51664689</v>
      </c>
      <c r="J24" s="4">
        <f t="shared" ca="1" si="1"/>
        <v>764131.62047090754</v>
      </c>
      <c r="K24" s="4">
        <f t="shared" si="2"/>
        <v>-602637.76155081904</v>
      </c>
      <c r="L24" s="4">
        <f t="shared" si="3"/>
        <v>0</v>
      </c>
      <c r="M24" s="4">
        <f t="shared" ca="1" si="6"/>
        <v>3155091.3755669785</v>
      </c>
      <c r="N24" s="4"/>
      <c r="O24" s="4"/>
    </row>
    <row r="25" spans="1:18" x14ac:dyDescent="0.35">
      <c r="A25" s="1">
        <f>MonthlyData!A25</f>
        <v>42339</v>
      </c>
      <c r="B25" s="13">
        <f t="shared" si="4"/>
        <v>2015</v>
      </c>
      <c r="C25" s="13">
        <f t="shared" si="5"/>
        <v>12</v>
      </c>
      <c r="D25" s="4">
        <f>MonthlyData!F25</f>
        <v>3340356.6889735274</v>
      </c>
      <c r="E25" s="4">
        <f t="shared" ca="1" si="7"/>
        <v>629.70466952460959</v>
      </c>
      <c r="F25">
        <f>MonthlyData!BP25</f>
        <v>0</v>
      </c>
      <c r="G25">
        <f>MonthlyData!BN25</f>
        <v>1</v>
      </c>
      <c r="H25" s="4"/>
      <c r="I25" s="4">
        <f t="shared" si="0"/>
        <v>2993597.51664689</v>
      </c>
      <c r="J25" s="4">
        <f t="shared" ca="1" si="1"/>
        <v>1191037.7094177876</v>
      </c>
      <c r="K25" s="4">
        <f t="shared" si="2"/>
        <v>0</v>
      </c>
      <c r="L25" s="4">
        <f t="shared" si="3"/>
        <v>-626381.313089823</v>
      </c>
      <c r="M25" s="4">
        <f t="shared" ca="1" si="6"/>
        <v>3558253.9129748545</v>
      </c>
      <c r="N25" s="4"/>
      <c r="O25" s="4"/>
    </row>
    <row r="26" spans="1:18" x14ac:dyDescent="0.35">
      <c r="A26" s="1">
        <f>MonthlyData!A26</f>
        <v>42370</v>
      </c>
      <c r="B26" s="13">
        <f t="shared" si="4"/>
        <v>2016</v>
      </c>
      <c r="C26" s="13">
        <f t="shared" si="5"/>
        <v>1</v>
      </c>
      <c r="D26" s="4">
        <f>MonthlyData!F26</f>
        <v>3973539.4669082318</v>
      </c>
      <c r="E26" s="4">
        <f t="shared" ca="1" si="7"/>
        <v>793.4846429373913</v>
      </c>
      <c r="F26">
        <f>MonthlyData!BP26</f>
        <v>0</v>
      </c>
      <c r="G26">
        <f>MonthlyData!BN26</f>
        <v>0</v>
      </c>
      <c r="H26" s="4"/>
      <c r="I26" s="4">
        <f t="shared" si="0"/>
        <v>2993597.51664689</v>
      </c>
      <c r="J26" s="4">
        <f t="shared" ca="1" si="1"/>
        <v>1500814.8697639715</v>
      </c>
      <c r="K26" s="4">
        <f t="shared" si="2"/>
        <v>0</v>
      </c>
      <c r="L26" s="4">
        <f t="shared" si="3"/>
        <v>0</v>
      </c>
      <c r="M26" s="4">
        <f t="shared" ca="1" si="6"/>
        <v>4494412.3864108613</v>
      </c>
      <c r="N26" s="4"/>
      <c r="O26" s="4"/>
    </row>
    <row r="27" spans="1:18" x14ac:dyDescent="0.35">
      <c r="A27" s="1">
        <f>MonthlyData!A27</f>
        <v>42401</v>
      </c>
      <c r="B27" s="13">
        <f t="shared" si="4"/>
        <v>2016</v>
      </c>
      <c r="C27" s="13">
        <f t="shared" si="5"/>
        <v>2</v>
      </c>
      <c r="D27" s="4">
        <f>MonthlyData!F27</f>
        <v>4373678.5316178575</v>
      </c>
      <c r="E27" s="4">
        <f t="shared" ca="1" si="7"/>
        <v>736.10085614037712</v>
      </c>
      <c r="F27">
        <f>MonthlyData!BP27</f>
        <v>0</v>
      </c>
      <c r="G27">
        <f>MonthlyData!BN27</f>
        <v>0</v>
      </c>
      <c r="H27" s="4"/>
      <c r="I27" s="4">
        <f t="shared" si="0"/>
        <v>2993597.51664689</v>
      </c>
      <c r="J27" s="4">
        <f t="shared" ca="1" si="1"/>
        <v>1392277.8725140831</v>
      </c>
      <c r="K27" s="4">
        <f t="shared" si="2"/>
        <v>0</v>
      </c>
      <c r="L27" s="4">
        <f t="shared" si="3"/>
        <v>0</v>
      </c>
      <c r="M27" s="4">
        <f t="shared" ca="1" si="6"/>
        <v>4385875.389160973</v>
      </c>
      <c r="N27" s="4"/>
      <c r="O27" s="4"/>
    </row>
    <row r="28" spans="1:18" x14ac:dyDescent="0.35">
      <c r="A28" s="1">
        <f>MonthlyData!A28</f>
        <v>42430</v>
      </c>
      <c r="B28" s="13">
        <f t="shared" si="4"/>
        <v>2016</v>
      </c>
      <c r="C28" s="13">
        <f t="shared" si="5"/>
        <v>3</v>
      </c>
      <c r="D28" s="4">
        <f>MonthlyData!F28</f>
        <v>4078599.2188125048</v>
      </c>
      <c r="E28" s="4">
        <f t="shared" ca="1" si="7"/>
        <v>577.21697535249291</v>
      </c>
      <c r="F28">
        <f>MonthlyData!BP28</f>
        <v>0</v>
      </c>
      <c r="G28">
        <f>MonthlyData!BN28</f>
        <v>0</v>
      </c>
      <c r="H28" s="4"/>
      <c r="I28" s="4">
        <f t="shared" si="0"/>
        <v>2993597.51664689</v>
      </c>
      <c r="J28" s="4">
        <f t="shared" ca="1" si="1"/>
        <v>1091761.292924681</v>
      </c>
      <c r="K28" s="4">
        <f t="shared" si="2"/>
        <v>0</v>
      </c>
      <c r="L28" s="4">
        <f t="shared" si="3"/>
        <v>0</v>
      </c>
      <c r="M28" s="4">
        <f t="shared" ca="1" si="6"/>
        <v>4085358.8095715707</v>
      </c>
      <c r="N28" s="4"/>
      <c r="O28" s="4"/>
    </row>
    <row r="29" spans="1:18" x14ac:dyDescent="0.35">
      <c r="A29" s="1">
        <f>MonthlyData!A29</f>
        <v>42461</v>
      </c>
      <c r="B29" s="13">
        <f t="shared" si="4"/>
        <v>2016</v>
      </c>
      <c r="C29" s="13">
        <f t="shared" si="5"/>
        <v>4</v>
      </c>
      <c r="D29" s="4">
        <f>MonthlyData!F29</f>
        <v>3641025.3194270958</v>
      </c>
      <c r="E29" s="4">
        <f t="shared" ca="1" si="7"/>
        <v>307.33082472275549</v>
      </c>
      <c r="F29">
        <f>MonthlyData!BP29</f>
        <v>0</v>
      </c>
      <c r="G29">
        <f>MonthlyData!BN29</f>
        <v>0</v>
      </c>
      <c r="H29" s="4"/>
      <c r="I29" s="4">
        <f t="shared" si="0"/>
        <v>2993597.51664689</v>
      </c>
      <c r="J29" s="4">
        <f t="shared" ca="1" si="1"/>
        <v>581292.49984379369</v>
      </c>
      <c r="K29" s="4">
        <f t="shared" si="2"/>
        <v>0</v>
      </c>
      <c r="L29" s="4">
        <f t="shared" si="3"/>
        <v>0</v>
      </c>
      <c r="M29" s="4">
        <f t="shared" ca="1" si="6"/>
        <v>3574890.0164906839</v>
      </c>
      <c r="N29" s="4"/>
      <c r="O29" s="4"/>
    </row>
    <row r="30" spans="1:18" x14ac:dyDescent="0.35">
      <c r="A30" s="1">
        <f>MonthlyData!A30</f>
        <v>42491</v>
      </c>
      <c r="B30" s="13">
        <f t="shared" si="4"/>
        <v>2016</v>
      </c>
      <c r="C30" s="13">
        <f t="shared" si="5"/>
        <v>5</v>
      </c>
      <c r="D30" s="4">
        <f>MonthlyData!F30</f>
        <v>3177152.5735410037</v>
      </c>
      <c r="E30" s="4">
        <f t="shared" ca="1" si="7"/>
        <v>103.00647094808046</v>
      </c>
      <c r="F30">
        <f>MonthlyData!BP30</f>
        <v>0</v>
      </c>
      <c r="G30">
        <f>MonthlyData!BN30</f>
        <v>0</v>
      </c>
      <c r="H30" s="4"/>
      <c r="I30" s="4">
        <f t="shared" si="0"/>
        <v>2993597.51664689</v>
      </c>
      <c r="J30" s="4">
        <f t="shared" ca="1" si="1"/>
        <v>194828.77791875257</v>
      </c>
      <c r="K30" s="4">
        <f t="shared" si="2"/>
        <v>0</v>
      </c>
      <c r="L30" s="4">
        <f t="shared" si="3"/>
        <v>0</v>
      </c>
      <c r="M30" s="4">
        <f t="shared" ca="1" si="6"/>
        <v>3188426.2945656427</v>
      </c>
      <c r="N30" s="4"/>
      <c r="O30" s="4"/>
    </row>
    <row r="31" spans="1:18" x14ac:dyDescent="0.35">
      <c r="A31" s="1">
        <f>MonthlyData!A31</f>
        <v>42522</v>
      </c>
      <c r="B31" s="13">
        <f t="shared" si="4"/>
        <v>2016</v>
      </c>
      <c r="C31" s="13">
        <f t="shared" si="5"/>
        <v>6</v>
      </c>
      <c r="D31" s="4">
        <f>MonthlyData!F31</f>
        <v>2739869.6835225313</v>
      </c>
      <c r="E31" s="4">
        <f t="shared" ca="1" si="7"/>
        <v>5.5889105735385218</v>
      </c>
      <c r="F31">
        <f>MonthlyData!BP31</f>
        <v>0</v>
      </c>
      <c r="G31">
        <f>MonthlyData!BN31</f>
        <v>0</v>
      </c>
      <c r="H31" s="4"/>
      <c r="I31" s="4">
        <f t="shared" si="0"/>
        <v>2993597.51664689</v>
      </c>
      <c r="J31" s="4">
        <f t="shared" ca="1" si="1"/>
        <v>10570.992355310822</v>
      </c>
      <c r="K31" s="4">
        <f t="shared" si="2"/>
        <v>0</v>
      </c>
      <c r="L31" s="4">
        <f t="shared" si="3"/>
        <v>0</v>
      </c>
      <c r="M31" s="4">
        <f t="shared" ca="1" si="6"/>
        <v>3004168.5090022008</v>
      </c>
      <c r="N31" s="4"/>
      <c r="O31" s="4"/>
    </row>
    <row r="32" spans="1:18" x14ac:dyDescent="0.35">
      <c r="A32" s="1">
        <f>MonthlyData!A32</f>
        <v>42552</v>
      </c>
      <c r="B32" s="13">
        <f t="shared" si="4"/>
        <v>2016</v>
      </c>
      <c r="C32" s="13">
        <f t="shared" si="5"/>
        <v>7</v>
      </c>
      <c r="D32" s="4">
        <f>MonthlyData!F32</f>
        <v>2763767.6378775481</v>
      </c>
      <c r="E32" s="4">
        <f t="shared" ca="1" si="7"/>
        <v>0.28709633857318684</v>
      </c>
      <c r="F32">
        <f>MonthlyData!BP32</f>
        <v>0</v>
      </c>
      <c r="G32">
        <f>MonthlyData!BN32</f>
        <v>0</v>
      </c>
      <c r="H32" s="4"/>
      <c r="I32" s="4">
        <f t="shared" si="0"/>
        <v>2993597.51664689</v>
      </c>
      <c r="J32" s="4">
        <f t="shared" ca="1" si="1"/>
        <v>543.02053331538559</v>
      </c>
      <c r="K32" s="4">
        <f t="shared" si="2"/>
        <v>0</v>
      </c>
      <c r="L32" s="4">
        <f t="shared" si="3"/>
        <v>0</v>
      </c>
      <c r="M32" s="4">
        <f t="shared" ca="1" si="6"/>
        <v>2994140.5371802053</v>
      </c>
      <c r="N32" s="4"/>
      <c r="O32" s="4"/>
    </row>
    <row r="33" spans="1:15" x14ac:dyDescent="0.35">
      <c r="A33" s="1">
        <f>MonthlyData!A33</f>
        <v>42583</v>
      </c>
      <c r="B33" s="13">
        <f t="shared" si="4"/>
        <v>2016</v>
      </c>
      <c r="C33" s="13">
        <f t="shared" si="5"/>
        <v>8</v>
      </c>
      <c r="D33" s="4">
        <f>MonthlyData!F33</f>
        <v>2903630.3248763289</v>
      </c>
      <c r="E33" s="4">
        <f t="shared" ca="1" si="7"/>
        <v>1.6761707873342053</v>
      </c>
      <c r="F33">
        <f>MonthlyData!BP33</f>
        <v>0</v>
      </c>
      <c r="G33">
        <f>MonthlyData!BN33</f>
        <v>0</v>
      </c>
      <c r="H33" s="4"/>
      <c r="I33" s="4">
        <f t="shared" si="0"/>
        <v>2993597.51664689</v>
      </c>
      <c r="J33" s="4">
        <f t="shared" ca="1" si="1"/>
        <v>3170.3474847132616</v>
      </c>
      <c r="K33" s="4">
        <f t="shared" si="2"/>
        <v>0</v>
      </c>
      <c r="L33" s="4">
        <f t="shared" si="3"/>
        <v>0</v>
      </c>
      <c r="M33" s="4">
        <f t="shared" ca="1" si="6"/>
        <v>2996767.8641316034</v>
      </c>
      <c r="N33" s="4"/>
      <c r="O33" s="4"/>
    </row>
    <row r="34" spans="1:15" x14ac:dyDescent="0.35">
      <c r="A34" s="1">
        <f>MonthlyData!A34</f>
        <v>42614</v>
      </c>
      <c r="B34" s="13">
        <f t="shared" si="4"/>
        <v>2016</v>
      </c>
      <c r="C34" s="13">
        <f t="shared" si="5"/>
        <v>9</v>
      </c>
      <c r="D34" s="4">
        <f>MonthlyData!F34</f>
        <v>3021284.2970265597</v>
      </c>
      <c r="E34" s="4">
        <f t="shared" ca="1" si="7"/>
        <v>28.222326899712005</v>
      </c>
      <c r="F34">
        <f>MonthlyData!BP34</f>
        <v>0</v>
      </c>
      <c r="G34">
        <f>MonthlyData!BN34</f>
        <v>0</v>
      </c>
      <c r="H34" s="4"/>
      <c r="I34" s="4">
        <f t="shared" ref="I34:I65" si="8">$P$8</f>
        <v>2993597.51664689</v>
      </c>
      <c r="J34" s="4">
        <f t="shared" ref="J34:J65" ca="1" si="9">E34*$P$9</f>
        <v>53380.349887590171</v>
      </c>
      <c r="K34" s="4">
        <f t="shared" ref="K34:K65" si="10">F34*$P$10</f>
        <v>0</v>
      </c>
      <c r="L34" s="4">
        <f t="shared" ref="L34:L65" si="11">G34*$P$11</f>
        <v>0</v>
      </c>
      <c r="M34" s="4">
        <f t="shared" ca="1" si="6"/>
        <v>3046977.8665344804</v>
      </c>
      <c r="N34" s="4"/>
      <c r="O34" s="4"/>
    </row>
    <row r="35" spans="1:15" x14ac:dyDescent="0.35">
      <c r="A35" s="1">
        <f>MonthlyData!A35</f>
        <v>42644</v>
      </c>
      <c r="B35" s="13">
        <f t="shared" si="4"/>
        <v>2016</v>
      </c>
      <c r="C35" s="13">
        <f t="shared" si="5"/>
        <v>10</v>
      </c>
      <c r="D35" s="4">
        <f>MonthlyData!F35</f>
        <v>2625003.7267804854</v>
      </c>
      <c r="E35" s="4">
        <f t="shared" ca="1" si="7"/>
        <v>178.0244559176316</v>
      </c>
      <c r="F35">
        <f>MonthlyData!BP35</f>
        <v>1</v>
      </c>
      <c r="G35">
        <f>MonthlyData!BN35</f>
        <v>0</v>
      </c>
      <c r="H35" s="4"/>
      <c r="I35" s="4">
        <f t="shared" si="8"/>
        <v>2993597.51664689</v>
      </c>
      <c r="J35" s="4">
        <f t="shared" ca="1" si="9"/>
        <v>336719.49797761079</v>
      </c>
      <c r="K35" s="4">
        <f t="shared" si="10"/>
        <v>-602637.76155081904</v>
      </c>
      <c r="L35" s="4">
        <f t="shared" si="11"/>
        <v>0</v>
      </c>
      <c r="M35" s="4">
        <f t="shared" ca="1" si="6"/>
        <v>2727679.2530736816</v>
      </c>
      <c r="N35" s="4"/>
      <c r="O35" s="4"/>
    </row>
    <row r="36" spans="1:15" x14ac:dyDescent="0.35">
      <c r="A36" s="1">
        <f>MonthlyData!A36</f>
        <v>42675</v>
      </c>
      <c r="B36" s="13">
        <f t="shared" si="4"/>
        <v>2016</v>
      </c>
      <c r="C36" s="13">
        <f t="shared" si="5"/>
        <v>11</v>
      </c>
      <c r="D36" s="4">
        <f>MonthlyData!F36</f>
        <v>3032250.0202558096</v>
      </c>
      <c r="E36" s="4">
        <f t="shared" ca="1" si="7"/>
        <v>403.99833333333333</v>
      </c>
      <c r="F36">
        <f>MonthlyData!BP36</f>
        <v>1</v>
      </c>
      <c r="G36">
        <f>MonthlyData!BN36</f>
        <v>0</v>
      </c>
      <c r="H36" s="4"/>
      <c r="I36" s="4">
        <f t="shared" si="8"/>
        <v>2993597.51664689</v>
      </c>
      <c r="J36" s="4">
        <f t="shared" ca="1" si="9"/>
        <v>764131.62047090754</v>
      </c>
      <c r="K36" s="4">
        <f t="shared" si="10"/>
        <v>-602637.76155081904</v>
      </c>
      <c r="L36" s="4">
        <f t="shared" si="11"/>
        <v>0</v>
      </c>
      <c r="M36" s="4">
        <f t="shared" ca="1" si="6"/>
        <v>3155091.3755669785</v>
      </c>
      <c r="N36" s="4"/>
      <c r="O36" s="4"/>
    </row>
    <row r="37" spans="1:15" x14ac:dyDescent="0.35">
      <c r="A37" s="1">
        <f>MonthlyData!A37</f>
        <v>42705</v>
      </c>
      <c r="B37" s="13">
        <f t="shared" si="4"/>
        <v>2016</v>
      </c>
      <c r="C37" s="13">
        <f t="shared" si="5"/>
        <v>12</v>
      </c>
      <c r="D37" s="4">
        <f>MonthlyData!F37</f>
        <v>3246789.110919965</v>
      </c>
      <c r="E37" s="4">
        <f t="shared" ca="1" si="7"/>
        <v>629.70466952460959</v>
      </c>
      <c r="F37">
        <f>MonthlyData!BP37</f>
        <v>0</v>
      </c>
      <c r="G37">
        <f>MonthlyData!BN37</f>
        <v>1</v>
      </c>
      <c r="H37" s="4"/>
      <c r="I37" s="4">
        <f t="shared" si="8"/>
        <v>2993597.51664689</v>
      </c>
      <c r="J37" s="4">
        <f t="shared" ca="1" si="9"/>
        <v>1191037.7094177876</v>
      </c>
      <c r="K37" s="4">
        <f t="shared" si="10"/>
        <v>0</v>
      </c>
      <c r="L37" s="4">
        <f t="shared" si="11"/>
        <v>-626381.313089823</v>
      </c>
      <c r="M37" s="4">
        <f t="shared" ca="1" si="6"/>
        <v>3558253.9129748545</v>
      </c>
      <c r="N37" s="4"/>
      <c r="O37" s="4"/>
    </row>
    <row r="38" spans="1:15" x14ac:dyDescent="0.35">
      <c r="A38" s="1">
        <f>MonthlyData!A38</f>
        <v>42736</v>
      </c>
      <c r="B38" s="13">
        <f t="shared" si="4"/>
        <v>2017</v>
      </c>
      <c r="C38" s="13">
        <f t="shared" si="5"/>
        <v>1</v>
      </c>
      <c r="D38" s="4">
        <f>MonthlyData!F38</f>
        <v>4284025.074772466</v>
      </c>
      <c r="E38" s="4">
        <f t="shared" ca="1" si="7"/>
        <v>793.4846429373913</v>
      </c>
      <c r="F38">
        <f>MonthlyData!BP38</f>
        <v>0</v>
      </c>
      <c r="G38">
        <f>MonthlyData!BN38</f>
        <v>0</v>
      </c>
      <c r="H38" s="4"/>
      <c r="I38" s="4">
        <f t="shared" si="8"/>
        <v>2993597.51664689</v>
      </c>
      <c r="J38" s="4">
        <f t="shared" ca="1" si="9"/>
        <v>1500814.8697639715</v>
      </c>
      <c r="K38" s="4">
        <f t="shared" si="10"/>
        <v>0</v>
      </c>
      <c r="L38" s="4">
        <f t="shared" si="11"/>
        <v>0</v>
      </c>
      <c r="M38" s="4">
        <f t="shared" ca="1" si="6"/>
        <v>4494412.3864108613</v>
      </c>
      <c r="N38" s="4"/>
      <c r="O38" s="4"/>
    </row>
    <row r="39" spans="1:15" x14ac:dyDescent="0.35">
      <c r="A39" s="1">
        <f>MonthlyData!A39</f>
        <v>42767</v>
      </c>
      <c r="B39" s="13">
        <f t="shared" si="4"/>
        <v>2017</v>
      </c>
      <c r="C39" s="13">
        <f t="shared" si="5"/>
        <v>2</v>
      </c>
      <c r="D39" s="4">
        <f>MonthlyData!F39</f>
        <v>4141946.425713704</v>
      </c>
      <c r="E39" s="4">
        <f t="shared" ca="1" si="7"/>
        <v>736.10085614037712</v>
      </c>
      <c r="F39">
        <f>MonthlyData!BP39</f>
        <v>0</v>
      </c>
      <c r="G39">
        <f>MonthlyData!BN39</f>
        <v>0</v>
      </c>
      <c r="H39" s="4"/>
      <c r="I39" s="4">
        <f t="shared" si="8"/>
        <v>2993597.51664689</v>
      </c>
      <c r="J39" s="4">
        <f t="shared" ca="1" si="9"/>
        <v>1392277.8725140831</v>
      </c>
      <c r="K39" s="4">
        <f t="shared" si="10"/>
        <v>0</v>
      </c>
      <c r="L39" s="4">
        <f t="shared" si="11"/>
        <v>0</v>
      </c>
      <c r="M39" s="4">
        <f t="shared" ca="1" si="6"/>
        <v>4385875.389160973</v>
      </c>
      <c r="N39" s="4"/>
      <c r="O39" s="4"/>
    </row>
    <row r="40" spans="1:15" x14ac:dyDescent="0.35">
      <c r="A40" s="1">
        <f>MonthlyData!A40</f>
        <v>42795</v>
      </c>
      <c r="B40" s="13">
        <f t="shared" si="4"/>
        <v>2017</v>
      </c>
      <c r="C40" s="13">
        <f t="shared" si="5"/>
        <v>3</v>
      </c>
      <c r="D40" s="4">
        <f>MonthlyData!F40</f>
        <v>3631178.1721385596</v>
      </c>
      <c r="E40" s="4">
        <f t="shared" ca="1" si="7"/>
        <v>577.21697535249291</v>
      </c>
      <c r="F40">
        <f>MonthlyData!BP40</f>
        <v>0</v>
      </c>
      <c r="G40">
        <f>MonthlyData!BN40</f>
        <v>0</v>
      </c>
      <c r="H40" s="4"/>
      <c r="I40" s="4">
        <f t="shared" si="8"/>
        <v>2993597.51664689</v>
      </c>
      <c r="J40" s="4">
        <f t="shared" ca="1" si="9"/>
        <v>1091761.292924681</v>
      </c>
      <c r="K40" s="4">
        <f t="shared" si="10"/>
        <v>0</v>
      </c>
      <c r="L40" s="4">
        <f t="shared" si="11"/>
        <v>0</v>
      </c>
      <c r="M40" s="4">
        <f t="shared" ca="1" si="6"/>
        <v>4085358.8095715707</v>
      </c>
      <c r="N40" s="4"/>
      <c r="O40" s="4"/>
    </row>
    <row r="41" spans="1:15" x14ac:dyDescent="0.35">
      <c r="A41" s="1">
        <f>MonthlyData!A41</f>
        <v>42826</v>
      </c>
      <c r="B41" s="13">
        <f t="shared" si="4"/>
        <v>2017</v>
      </c>
      <c r="C41" s="13">
        <f t="shared" si="5"/>
        <v>4</v>
      </c>
      <c r="D41" s="4">
        <f>MonthlyData!F41</f>
        <v>3784627.5028657969</v>
      </c>
      <c r="E41" s="4">
        <f t="shared" ca="1" si="7"/>
        <v>307.33082472275549</v>
      </c>
      <c r="F41">
        <f>MonthlyData!BP41</f>
        <v>0</v>
      </c>
      <c r="G41">
        <f>MonthlyData!BN41</f>
        <v>0</v>
      </c>
      <c r="H41" s="4"/>
      <c r="I41" s="4">
        <f t="shared" si="8"/>
        <v>2993597.51664689</v>
      </c>
      <c r="J41" s="4">
        <f t="shared" ca="1" si="9"/>
        <v>581292.49984379369</v>
      </c>
      <c r="K41" s="4">
        <f t="shared" si="10"/>
        <v>0</v>
      </c>
      <c r="L41" s="4">
        <f t="shared" si="11"/>
        <v>0</v>
      </c>
      <c r="M41" s="4">
        <f t="shared" ca="1" si="6"/>
        <v>3574890.0164906839</v>
      </c>
      <c r="N41" s="4"/>
      <c r="O41" s="4"/>
    </row>
    <row r="42" spans="1:15" x14ac:dyDescent="0.35">
      <c r="A42" s="1">
        <f>MonthlyData!A42</f>
        <v>42856</v>
      </c>
      <c r="B42" s="13">
        <f t="shared" si="4"/>
        <v>2017</v>
      </c>
      <c r="C42" s="13">
        <f t="shared" si="5"/>
        <v>5</v>
      </c>
      <c r="D42" s="4">
        <f>MonthlyData!F42</f>
        <v>3010340.6759071886</v>
      </c>
      <c r="E42" s="4">
        <f t="shared" ca="1" si="7"/>
        <v>103.00647094808046</v>
      </c>
      <c r="F42">
        <f>MonthlyData!BP42</f>
        <v>0</v>
      </c>
      <c r="G42">
        <f>MonthlyData!BN42</f>
        <v>0</v>
      </c>
      <c r="H42" s="4"/>
      <c r="I42" s="4">
        <f t="shared" si="8"/>
        <v>2993597.51664689</v>
      </c>
      <c r="J42" s="4">
        <f t="shared" ca="1" si="9"/>
        <v>194828.77791875257</v>
      </c>
      <c r="K42" s="4">
        <f t="shared" si="10"/>
        <v>0</v>
      </c>
      <c r="L42" s="4">
        <f t="shared" si="11"/>
        <v>0</v>
      </c>
      <c r="M42" s="4">
        <f t="shared" ca="1" si="6"/>
        <v>3188426.2945656427</v>
      </c>
      <c r="N42" s="4"/>
      <c r="O42" s="4"/>
    </row>
    <row r="43" spans="1:15" x14ac:dyDescent="0.35">
      <c r="A43" s="1">
        <f>MonthlyData!A43</f>
        <v>42887</v>
      </c>
      <c r="B43" s="13">
        <f t="shared" si="4"/>
        <v>2017</v>
      </c>
      <c r="C43" s="13">
        <f t="shared" si="5"/>
        <v>6</v>
      </c>
      <c r="D43" s="4">
        <f>MonthlyData!F43</f>
        <v>2828775.0668538539</v>
      </c>
      <c r="E43" s="4">
        <f t="shared" ca="1" si="7"/>
        <v>5.5889105735385218</v>
      </c>
      <c r="F43">
        <f>MonthlyData!BP43</f>
        <v>0</v>
      </c>
      <c r="G43">
        <f>MonthlyData!BN43</f>
        <v>0</v>
      </c>
      <c r="H43" s="4"/>
      <c r="I43" s="4">
        <f t="shared" si="8"/>
        <v>2993597.51664689</v>
      </c>
      <c r="J43" s="4">
        <f t="shared" ca="1" si="9"/>
        <v>10570.992355310822</v>
      </c>
      <c r="K43" s="4">
        <f t="shared" si="10"/>
        <v>0</v>
      </c>
      <c r="L43" s="4">
        <f t="shared" si="11"/>
        <v>0</v>
      </c>
      <c r="M43" s="4">
        <f t="shared" ca="1" si="6"/>
        <v>3004168.5090022008</v>
      </c>
      <c r="N43" s="4"/>
      <c r="O43" s="4"/>
    </row>
    <row r="44" spans="1:15" x14ac:dyDescent="0.35">
      <c r="A44" s="1">
        <f>MonthlyData!A44</f>
        <v>42917</v>
      </c>
      <c r="B44" s="13">
        <f t="shared" si="4"/>
        <v>2017</v>
      </c>
      <c r="C44" s="13">
        <f t="shared" si="5"/>
        <v>7</v>
      </c>
      <c r="D44" s="4">
        <f>MonthlyData!F44</f>
        <v>2615197.0309777902</v>
      </c>
      <c r="E44" s="4">
        <f t="shared" ca="1" si="7"/>
        <v>0.28709633857318684</v>
      </c>
      <c r="F44">
        <f>MonthlyData!BP44</f>
        <v>0</v>
      </c>
      <c r="G44">
        <f>MonthlyData!BN44</f>
        <v>0</v>
      </c>
      <c r="H44" s="4"/>
      <c r="I44" s="4">
        <f t="shared" si="8"/>
        <v>2993597.51664689</v>
      </c>
      <c r="J44" s="4">
        <f t="shared" ca="1" si="9"/>
        <v>543.02053331538559</v>
      </c>
      <c r="K44" s="4">
        <f t="shared" si="10"/>
        <v>0</v>
      </c>
      <c r="L44" s="4">
        <f t="shared" si="11"/>
        <v>0</v>
      </c>
      <c r="M44" s="4">
        <f t="shared" ca="1" si="6"/>
        <v>2994140.5371802053</v>
      </c>
      <c r="N44" s="4"/>
      <c r="O44" s="4"/>
    </row>
    <row r="45" spans="1:15" x14ac:dyDescent="0.35">
      <c r="A45" s="1">
        <f>MonthlyData!A45</f>
        <v>42948</v>
      </c>
      <c r="B45" s="13">
        <f t="shared" si="4"/>
        <v>2017</v>
      </c>
      <c r="C45" s="13">
        <f t="shared" si="5"/>
        <v>8</v>
      </c>
      <c r="D45" s="4">
        <f>MonthlyData!F45</f>
        <v>2773486.081661527</v>
      </c>
      <c r="E45" s="4">
        <f t="shared" ca="1" si="7"/>
        <v>1.6761707873342053</v>
      </c>
      <c r="F45">
        <f>MonthlyData!BP45</f>
        <v>0</v>
      </c>
      <c r="G45">
        <f>MonthlyData!BN45</f>
        <v>0</v>
      </c>
      <c r="H45" s="4"/>
      <c r="I45" s="4">
        <f t="shared" si="8"/>
        <v>2993597.51664689</v>
      </c>
      <c r="J45" s="4">
        <f t="shared" ca="1" si="9"/>
        <v>3170.3474847132616</v>
      </c>
      <c r="K45" s="4">
        <f t="shared" si="10"/>
        <v>0</v>
      </c>
      <c r="L45" s="4">
        <f t="shared" si="11"/>
        <v>0</v>
      </c>
      <c r="M45" s="4">
        <f t="shared" ca="1" si="6"/>
        <v>2996767.8641316034</v>
      </c>
      <c r="N45" s="4"/>
      <c r="O45" s="4"/>
    </row>
    <row r="46" spans="1:15" x14ac:dyDescent="0.35">
      <c r="A46" s="1">
        <f>MonthlyData!A46</f>
        <v>42979</v>
      </c>
      <c r="B46" s="13">
        <f t="shared" si="4"/>
        <v>2017</v>
      </c>
      <c r="C46" s="13">
        <f t="shared" si="5"/>
        <v>9</v>
      </c>
      <c r="D46" s="4">
        <f>MonthlyData!F46</f>
        <v>2668600.8868638426</v>
      </c>
      <c r="E46" s="4">
        <f t="shared" ca="1" si="7"/>
        <v>28.222326899712005</v>
      </c>
      <c r="F46">
        <f>MonthlyData!BP46</f>
        <v>0</v>
      </c>
      <c r="G46">
        <f>MonthlyData!BN46</f>
        <v>0</v>
      </c>
      <c r="H46" s="4"/>
      <c r="I46" s="4">
        <f t="shared" si="8"/>
        <v>2993597.51664689</v>
      </c>
      <c r="J46" s="4">
        <f t="shared" ca="1" si="9"/>
        <v>53380.349887590171</v>
      </c>
      <c r="K46" s="4">
        <f t="shared" si="10"/>
        <v>0</v>
      </c>
      <c r="L46" s="4">
        <f t="shared" si="11"/>
        <v>0</v>
      </c>
      <c r="M46" s="4">
        <f t="shared" ca="1" si="6"/>
        <v>3046977.8665344804</v>
      </c>
      <c r="N46" s="4"/>
      <c r="O46" s="4"/>
    </row>
    <row r="47" spans="1:15" x14ac:dyDescent="0.35">
      <c r="A47" s="1">
        <f>MonthlyData!A47</f>
        <v>43009</v>
      </c>
      <c r="B47" s="13">
        <f t="shared" si="4"/>
        <v>2017</v>
      </c>
      <c r="C47" s="13">
        <f t="shared" si="5"/>
        <v>10</v>
      </c>
      <c r="D47" s="4">
        <f>MonthlyData!F47</f>
        <v>2649865.1236280049</v>
      </c>
      <c r="E47" s="4">
        <f t="shared" ca="1" si="7"/>
        <v>178.0244559176316</v>
      </c>
      <c r="F47">
        <f>MonthlyData!BP47</f>
        <v>1</v>
      </c>
      <c r="G47">
        <f>MonthlyData!BN47</f>
        <v>0</v>
      </c>
      <c r="H47" s="4"/>
      <c r="I47" s="4">
        <f t="shared" si="8"/>
        <v>2993597.51664689</v>
      </c>
      <c r="J47" s="4">
        <f t="shared" ca="1" si="9"/>
        <v>336719.49797761079</v>
      </c>
      <c r="K47" s="4">
        <f t="shared" si="10"/>
        <v>-602637.76155081904</v>
      </c>
      <c r="L47" s="4">
        <f t="shared" si="11"/>
        <v>0</v>
      </c>
      <c r="M47" s="4">
        <f t="shared" ca="1" si="6"/>
        <v>2727679.2530736816</v>
      </c>
      <c r="N47" s="4"/>
      <c r="O47" s="4"/>
    </row>
    <row r="48" spans="1:15" x14ac:dyDescent="0.35">
      <c r="A48" s="1">
        <f>MonthlyData!A48</f>
        <v>43040</v>
      </c>
      <c r="B48" s="13">
        <f t="shared" si="4"/>
        <v>2017</v>
      </c>
      <c r="C48" s="13">
        <f t="shared" si="5"/>
        <v>11</v>
      </c>
      <c r="D48" s="4">
        <f>MonthlyData!F48</f>
        <v>2903496.7581354552</v>
      </c>
      <c r="E48" s="4">
        <f t="shared" ca="1" si="7"/>
        <v>403.99833333333333</v>
      </c>
      <c r="F48">
        <f>MonthlyData!BP48</f>
        <v>1</v>
      </c>
      <c r="G48">
        <f>MonthlyData!BN48</f>
        <v>0</v>
      </c>
      <c r="H48" s="4"/>
      <c r="I48" s="4">
        <f t="shared" si="8"/>
        <v>2993597.51664689</v>
      </c>
      <c r="J48" s="4">
        <f t="shared" ca="1" si="9"/>
        <v>764131.62047090754</v>
      </c>
      <c r="K48" s="4">
        <f t="shared" si="10"/>
        <v>-602637.76155081904</v>
      </c>
      <c r="L48" s="4">
        <f t="shared" si="11"/>
        <v>0</v>
      </c>
      <c r="M48" s="4">
        <f t="shared" ca="1" si="6"/>
        <v>3155091.3755669785</v>
      </c>
      <c r="N48" s="4"/>
      <c r="O48" s="4"/>
    </row>
    <row r="49" spans="1:15" x14ac:dyDescent="0.35">
      <c r="A49" s="1">
        <f>MonthlyData!A49</f>
        <v>43070</v>
      </c>
      <c r="B49" s="13">
        <f t="shared" si="4"/>
        <v>2017</v>
      </c>
      <c r="C49" s="13">
        <f t="shared" si="5"/>
        <v>12</v>
      </c>
      <c r="D49" s="4">
        <f>MonthlyData!F49</f>
        <v>3605157.3879918298</v>
      </c>
      <c r="E49" s="4">
        <f t="shared" ca="1" si="7"/>
        <v>629.70466952460959</v>
      </c>
      <c r="F49">
        <f>MonthlyData!BP49</f>
        <v>0</v>
      </c>
      <c r="G49">
        <f>MonthlyData!BN49</f>
        <v>1</v>
      </c>
      <c r="H49" s="4"/>
      <c r="I49" s="4">
        <f t="shared" si="8"/>
        <v>2993597.51664689</v>
      </c>
      <c r="J49" s="4">
        <f t="shared" ca="1" si="9"/>
        <v>1191037.7094177876</v>
      </c>
      <c r="K49" s="4">
        <f t="shared" si="10"/>
        <v>0</v>
      </c>
      <c r="L49" s="4">
        <f t="shared" si="11"/>
        <v>-626381.313089823</v>
      </c>
      <c r="M49" s="4">
        <f t="shared" ca="1" si="6"/>
        <v>3558253.9129748545</v>
      </c>
      <c r="N49" s="4"/>
      <c r="O49" s="4"/>
    </row>
    <row r="50" spans="1:15" x14ac:dyDescent="0.35">
      <c r="A50" s="1">
        <f>MonthlyData!A50</f>
        <v>43101</v>
      </c>
      <c r="B50" s="13">
        <f t="shared" si="4"/>
        <v>2018</v>
      </c>
      <c r="C50" s="13">
        <f t="shared" si="5"/>
        <v>1</v>
      </c>
      <c r="D50" s="4">
        <f>MonthlyData!F50</f>
        <v>4536154.7431210773</v>
      </c>
      <c r="E50" s="4">
        <f t="shared" ca="1" si="7"/>
        <v>793.4846429373913</v>
      </c>
      <c r="F50">
        <f>MonthlyData!BP50</f>
        <v>0</v>
      </c>
      <c r="G50">
        <f>MonthlyData!BN50</f>
        <v>0</v>
      </c>
      <c r="H50" s="4"/>
      <c r="I50" s="4">
        <f t="shared" si="8"/>
        <v>2993597.51664689</v>
      </c>
      <c r="J50" s="4">
        <f t="shared" ca="1" si="9"/>
        <v>1500814.8697639715</v>
      </c>
      <c r="K50" s="4">
        <f t="shared" si="10"/>
        <v>0</v>
      </c>
      <c r="L50" s="4">
        <f t="shared" si="11"/>
        <v>0</v>
      </c>
      <c r="M50" s="4">
        <f t="shared" ca="1" si="6"/>
        <v>4494412.3864108613</v>
      </c>
      <c r="N50" s="4"/>
      <c r="O50" s="4"/>
    </row>
    <row r="51" spans="1:15" x14ac:dyDescent="0.35">
      <c r="A51" s="1">
        <f>MonthlyData!A51</f>
        <v>43132</v>
      </c>
      <c r="B51" s="13">
        <f t="shared" si="4"/>
        <v>2018</v>
      </c>
      <c r="C51" s="13">
        <f t="shared" si="5"/>
        <v>2</v>
      </c>
      <c r="D51" s="4">
        <f>MonthlyData!F51</f>
        <v>4527153.7188929524</v>
      </c>
      <c r="E51" s="4">
        <f t="shared" ca="1" si="7"/>
        <v>736.10085614037712</v>
      </c>
      <c r="F51">
        <f>MonthlyData!BP51</f>
        <v>0</v>
      </c>
      <c r="G51">
        <f>MonthlyData!BN51</f>
        <v>0</v>
      </c>
      <c r="H51" s="4"/>
      <c r="I51" s="4">
        <f t="shared" si="8"/>
        <v>2993597.51664689</v>
      </c>
      <c r="J51" s="4">
        <f t="shared" ca="1" si="9"/>
        <v>1392277.8725140831</v>
      </c>
      <c r="K51" s="4">
        <f t="shared" si="10"/>
        <v>0</v>
      </c>
      <c r="L51" s="4">
        <f t="shared" si="11"/>
        <v>0</v>
      </c>
      <c r="M51" s="4">
        <f t="shared" ca="1" si="6"/>
        <v>4385875.389160973</v>
      </c>
      <c r="N51" s="4"/>
      <c r="O51" s="4"/>
    </row>
    <row r="52" spans="1:15" x14ac:dyDescent="0.35">
      <c r="A52" s="1">
        <f>MonthlyData!A52</f>
        <v>43160</v>
      </c>
      <c r="B52" s="13">
        <f t="shared" si="4"/>
        <v>2018</v>
      </c>
      <c r="C52" s="13">
        <f t="shared" si="5"/>
        <v>3</v>
      </c>
      <c r="D52" s="4">
        <f>MonthlyData!F52</f>
        <v>3823633.2459336612</v>
      </c>
      <c r="E52" s="4">
        <f t="shared" ca="1" si="7"/>
        <v>577.21697535249291</v>
      </c>
      <c r="F52">
        <f>MonthlyData!BP52</f>
        <v>0</v>
      </c>
      <c r="G52">
        <f>MonthlyData!BN52</f>
        <v>0</v>
      </c>
      <c r="H52" s="4"/>
      <c r="I52" s="4">
        <f t="shared" si="8"/>
        <v>2993597.51664689</v>
      </c>
      <c r="J52" s="4">
        <f t="shared" ca="1" si="9"/>
        <v>1091761.292924681</v>
      </c>
      <c r="K52" s="4">
        <f t="shared" si="10"/>
        <v>0</v>
      </c>
      <c r="L52" s="4">
        <f t="shared" si="11"/>
        <v>0</v>
      </c>
      <c r="M52" s="4">
        <f t="shared" ca="1" si="6"/>
        <v>4085358.8095715707</v>
      </c>
      <c r="N52" s="4"/>
      <c r="O52" s="4"/>
    </row>
    <row r="53" spans="1:15" x14ac:dyDescent="0.35">
      <c r="A53" s="1">
        <f>MonthlyData!A53</f>
        <v>43191</v>
      </c>
      <c r="B53" s="13">
        <f t="shared" si="4"/>
        <v>2018</v>
      </c>
      <c r="C53" s="13">
        <f t="shared" si="5"/>
        <v>4</v>
      </c>
      <c r="D53" s="4">
        <f>MonthlyData!F53</f>
        <v>3577310.9818680743</v>
      </c>
      <c r="E53" s="4">
        <f t="shared" ca="1" si="7"/>
        <v>307.33082472275549</v>
      </c>
      <c r="F53">
        <f>MonthlyData!BP53</f>
        <v>0</v>
      </c>
      <c r="G53">
        <f>MonthlyData!BN53</f>
        <v>0</v>
      </c>
      <c r="H53" s="4"/>
      <c r="I53" s="4">
        <f t="shared" si="8"/>
        <v>2993597.51664689</v>
      </c>
      <c r="J53" s="4">
        <f t="shared" ca="1" si="9"/>
        <v>581292.49984379369</v>
      </c>
      <c r="K53" s="4">
        <f t="shared" si="10"/>
        <v>0</v>
      </c>
      <c r="L53" s="4">
        <f t="shared" si="11"/>
        <v>0</v>
      </c>
      <c r="M53" s="4">
        <f t="shared" ca="1" si="6"/>
        <v>3574890.0164906839</v>
      </c>
      <c r="N53" s="4"/>
      <c r="O53" s="4"/>
    </row>
    <row r="54" spans="1:15" x14ac:dyDescent="0.35">
      <c r="A54" s="1">
        <f>MonthlyData!A54</f>
        <v>43221</v>
      </c>
      <c r="B54" s="13">
        <f t="shared" si="4"/>
        <v>2018</v>
      </c>
      <c r="C54" s="13">
        <f t="shared" si="5"/>
        <v>5</v>
      </c>
      <c r="D54" s="4">
        <f>MonthlyData!F54</f>
        <v>3186058.7873352217</v>
      </c>
      <c r="E54" s="4">
        <f t="shared" ca="1" si="7"/>
        <v>103.00647094808046</v>
      </c>
      <c r="F54">
        <f>MonthlyData!BP54</f>
        <v>0</v>
      </c>
      <c r="G54">
        <f>MonthlyData!BN54</f>
        <v>0</v>
      </c>
      <c r="H54" s="4"/>
      <c r="I54" s="4">
        <f t="shared" si="8"/>
        <v>2993597.51664689</v>
      </c>
      <c r="J54" s="4">
        <f t="shared" ca="1" si="9"/>
        <v>194828.77791875257</v>
      </c>
      <c r="K54" s="4">
        <f t="shared" si="10"/>
        <v>0</v>
      </c>
      <c r="L54" s="4">
        <f t="shared" si="11"/>
        <v>0</v>
      </c>
      <c r="M54" s="4">
        <f t="shared" ca="1" si="6"/>
        <v>3188426.2945656427</v>
      </c>
      <c r="N54" s="4"/>
      <c r="O54" s="4"/>
    </row>
    <row r="55" spans="1:15" x14ac:dyDescent="0.35">
      <c r="A55" s="1">
        <f>MonthlyData!A55</f>
        <v>43252</v>
      </c>
      <c r="B55" s="13">
        <f t="shared" si="4"/>
        <v>2018</v>
      </c>
      <c r="C55" s="13">
        <f t="shared" si="5"/>
        <v>6</v>
      </c>
      <c r="D55" s="4">
        <f>MonthlyData!F55</f>
        <v>2724113.2649387745</v>
      </c>
      <c r="E55" s="4">
        <f t="shared" ca="1" si="7"/>
        <v>5.5889105735385218</v>
      </c>
      <c r="F55">
        <f>MonthlyData!BP55</f>
        <v>0</v>
      </c>
      <c r="G55">
        <f>MonthlyData!BN55</f>
        <v>0</v>
      </c>
      <c r="H55" s="4"/>
      <c r="I55" s="4">
        <f t="shared" si="8"/>
        <v>2993597.51664689</v>
      </c>
      <c r="J55" s="4">
        <f t="shared" ca="1" si="9"/>
        <v>10570.992355310822</v>
      </c>
      <c r="K55" s="4">
        <f t="shared" si="10"/>
        <v>0</v>
      </c>
      <c r="L55" s="4">
        <f t="shared" si="11"/>
        <v>0</v>
      </c>
      <c r="M55" s="4">
        <f t="shared" ca="1" si="6"/>
        <v>3004168.5090022008</v>
      </c>
      <c r="N55" s="4"/>
      <c r="O55" s="4"/>
    </row>
    <row r="56" spans="1:15" x14ac:dyDescent="0.35">
      <c r="A56" s="1">
        <f>MonthlyData!A56</f>
        <v>43282</v>
      </c>
      <c r="B56" s="13">
        <f t="shared" si="4"/>
        <v>2018</v>
      </c>
      <c r="C56" s="13">
        <f t="shared" si="5"/>
        <v>7</v>
      </c>
      <c r="D56" s="4">
        <f>MonthlyData!F56</f>
        <v>2667498.1877178443</v>
      </c>
      <c r="E56" s="4">
        <f t="shared" ca="1" si="7"/>
        <v>0.28709633857318684</v>
      </c>
      <c r="F56">
        <f>MonthlyData!BP56</f>
        <v>0</v>
      </c>
      <c r="G56">
        <f>MonthlyData!BN56</f>
        <v>0</v>
      </c>
      <c r="H56" s="4"/>
      <c r="I56" s="4">
        <f t="shared" si="8"/>
        <v>2993597.51664689</v>
      </c>
      <c r="J56" s="4">
        <f t="shared" ca="1" si="9"/>
        <v>543.02053331538559</v>
      </c>
      <c r="K56" s="4">
        <f t="shared" si="10"/>
        <v>0</v>
      </c>
      <c r="L56" s="4">
        <f t="shared" si="11"/>
        <v>0</v>
      </c>
      <c r="M56" s="4">
        <f t="shared" ca="1" si="6"/>
        <v>2994140.5371802053</v>
      </c>
      <c r="N56" s="4"/>
      <c r="O56" s="4"/>
    </row>
    <row r="57" spans="1:15" x14ac:dyDescent="0.35">
      <c r="A57" s="1">
        <f>MonthlyData!A57</f>
        <v>43313</v>
      </c>
      <c r="B57" s="13">
        <f t="shared" si="4"/>
        <v>2018</v>
      </c>
      <c r="C57" s="13">
        <f t="shared" si="5"/>
        <v>8</v>
      </c>
      <c r="D57" s="4">
        <f>MonthlyData!F57</f>
        <v>3163717.0850223936</v>
      </c>
      <c r="E57" s="4">
        <f t="shared" ca="1" si="7"/>
        <v>1.6761707873342053</v>
      </c>
      <c r="F57">
        <f>MonthlyData!BP57</f>
        <v>0</v>
      </c>
      <c r="G57">
        <f>MonthlyData!BN57</f>
        <v>0</v>
      </c>
      <c r="H57" s="4"/>
      <c r="I57" s="4">
        <f t="shared" si="8"/>
        <v>2993597.51664689</v>
      </c>
      <c r="J57" s="4">
        <f t="shared" ca="1" si="9"/>
        <v>3170.3474847132616</v>
      </c>
      <c r="K57" s="4">
        <f t="shared" si="10"/>
        <v>0</v>
      </c>
      <c r="L57" s="4">
        <f t="shared" si="11"/>
        <v>0</v>
      </c>
      <c r="M57" s="4">
        <f t="shared" ca="1" si="6"/>
        <v>2996767.8641316034</v>
      </c>
      <c r="N57" s="4"/>
      <c r="O57" s="4"/>
    </row>
    <row r="58" spans="1:15" x14ac:dyDescent="0.35">
      <c r="A58" s="1">
        <f>MonthlyData!A58</f>
        <v>43344</v>
      </c>
      <c r="B58" s="13">
        <f t="shared" si="4"/>
        <v>2018</v>
      </c>
      <c r="C58" s="13">
        <f t="shared" si="5"/>
        <v>9</v>
      </c>
      <c r="D58" s="4">
        <f>MonthlyData!F58</f>
        <v>2861088.3165282067</v>
      </c>
      <c r="E58" s="4">
        <f t="shared" ca="1" si="7"/>
        <v>28.222326899712005</v>
      </c>
      <c r="F58">
        <f>MonthlyData!BP58</f>
        <v>0</v>
      </c>
      <c r="G58">
        <f>MonthlyData!BN58</f>
        <v>0</v>
      </c>
      <c r="H58" s="4"/>
      <c r="I58" s="4">
        <f t="shared" si="8"/>
        <v>2993597.51664689</v>
      </c>
      <c r="J58" s="4">
        <f t="shared" ca="1" si="9"/>
        <v>53380.349887590171</v>
      </c>
      <c r="K58" s="4">
        <f t="shared" si="10"/>
        <v>0</v>
      </c>
      <c r="L58" s="4">
        <f t="shared" si="11"/>
        <v>0</v>
      </c>
      <c r="M58" s="4">
        <f t="shared" ca="1" si="6"/>
        <v>3046977.8665344804</v>
      </c>
      <c r="N58" s="4"/>
      <c r="O58" s="4"/>
    </row>
    <row r="59" spans="1:15" x14ac:dyDescent="0.35">
      <c r="A59" s="1">
        <f>MonthlyData!A59</f>
        <v>43374</v>
      </c>
      <c r="B59" s="13">
        <f t="shared" si="4"/>
        <v>2018</v>
      </c>
      <c r="C59" s="13">
        <f t="shared" si="5"/>
        <v>10</v>
      </c>
      <c r="D59" s="4">
        <f>MonthlyData!F59</f>
        <v>2699552.3326085135</v>
      </c>
      <c r="E59" s="4">
        <f t="shared" ca="1" si="7"/>
        <v>178.0244559176316</v>
      </c>
      <c r="F59">
        <f>MonthlyData!BP59</f>
        <v>1</v>
      </c>
      <c r="G59">
        <f>MonthlyData!BN59</f>
        <v>0</v>
      </c>
      <c r="H59" s="4"/>
      <c r="I59" s="4">
        <f t="shared" si="8"/>
        <v>2993597.51664689</v>
      </c>
      <c r="J59" s="4">
        <f t="shared" ca="1" si="9"/>
        <v>336719.49797761079</v>
      </c>
      <c r="K59" s="4">
        <f t="shared" si="10"/>
        <v>-602637.76155081904</v>
      </c>
      <c r="L59" s="4">
        <f t="shared" si="11"/>
        <v>0</v>
      </c>
      <c r="M59" s="4">
        <f t="shared" ca="1" si="6"/>
        <v>2727679.2530736816</v>
      </c>
      <c r="N59" s="4"/>
      <c r="O59" s="4"/>
    </row>
    <row r="60" spans="1:15" x14ac:dyDescent="0.35">
      <c r="A60" s="1">
        <f>MonthlyData!A60</f>
        <v>43405</v>
      </c>
      <c r="B60" s="13">
        <f t="shared" si="4"/>
        <v>2018</v>
      </c>
      <c r="C60" s="13">
        <f t="shared" si="5"/>
        <v>11</v>
      </c>
      <c r="D60" s="4">
        <f>MonthlyData!F60</f>
        <v>3237543.4805977391</v>
      </c>
      <c r="E60" s="4">
        <f t="shared" ca="1" si="7"/>
        <v>403.99833333333333</v>
      </c>
      <c r="F60">
        <f>MonthlyData!BP60</f>
        <v>1</v>
      </c>
      <c r="G60">
        <f>MonthlyData!BN60</f>
        <v>0</v>
      </c>
      <c r="H60" s="4"/>
      <c r="I60" s="4">
        <f t="shared" si="8"/>
        <v>2993597.51664689</v>
      </c>
      <c r="J60" s="4">
        <f t="shared" ca="1" si="9"/>
        <v>764131.62047090754</v>
      </c>
      <c r="K60" s="4">
        <f t="shared" si="10"/>
        <v>-602637.76155081904</v>
      </c>
      <c r="L60" s="4">
        <f t="shared" si="11"/>
        <v>0</v>
      </c>
      <c r="M60" s="4">
        <f t="shared" ca="1" si="6"/>
        <v>3155091.3755669785</v>
      </c>
      <c r="N60" s="4"/>
      <c r="O60" s="4"/>
    </row>
    <row r="61" spans="1:15" x14ac:dyDescent="0.35">
      <c r="A61" s="1">
        <f>MonthlyData!A61</f>
        <v>43435</v>
      </c>
      <c r="B61" s="13">
        <f t="shared" si="4"/>
        <v>2018</v>
      </c>
      <c r="C61" s="13">
        <f t="shared" si="5"/>
        <v>12</v>
      </c>
      <c r="D61" s="4">
        <f>MonthlyData!F61</f>
        <v>3603896.0650398619</v>
      </c>
      <c r="E61" s="4">
        <f t="shared" ca="1" si="7"/>
        <v>629.70466952460959</v>
      </c>
      <c r="F61">
        <f>MonthlyData!BP61</f>
        <v>0</v>
      </c>
      <c r="G61">
        <f>MonthlyData!BN61</f>
        <v>1</v>
      </c>
      <c r="H61" s="4"/>
      <c r="I61" s="4">
        <f t="shared" si="8"/>
        <v>2993597.51664689</v>
      </c>
      <c r="J61" s="4">
        <f t="shared" ca="1" si="9"/>
        <v>1191037.7094177876</v>
      </c>
      <c r="K61" s="4">
        <f t="shared" si="10"/>
        <v>0</v>
      </c>
      <c r="L61" s="4">
        <f t="shared" si="11"/>
        <v>-626381.313089823</v>
      </c>
      <c r="M61" s="4">
        <f t="shared" ca="1" si="6"/>
        <v>3558253.9129748545</v>
      </c>
      <c r="N61" s="4"/>
      <c r="O61" s="4"/>
    </row>
    <row r="62" spans="1:15" x14ac:dyDescent="0.35">
      <c r="A62" s="1">
        <f>MonthlyData!A62</f>
        <v>43466</v>
      </c>
      <c r="B62" s="13">
        <f t="shared" si="4"/>
        <v>2019</v>
      </c>
      <c r="C62" s="13">
        <f t="shared" si="5"/>
        <v>1</v>
      </c>
      <c r="D62" s="4">
        <f>MonthlyData!F62</f>
        <v>4201767.5984519115</v>
      </c>
      <c r="E62" s="4">
        <f t="shared" ca="1" si="7"/>
        <v>793.4846429373913</v>
      </c>
      <c r="F62">
        <f>MonthlyData!BP62</f>
        <v>0</v>
      </c>
      <c r="G62">
        <f>MonthlyData!BN62</f>
        <v>0</v>
      </c>
      <c r="H62" s="4"/>
      <c r="I62" s="4">
        <f t="shared" si="8"/>
        <v>2993597.51664689</v>
      </c>
      <c r="J62" s="4">
        <f t="shared" ca="1" si="9"/>
        <v>1500814.8697639715</v>
      </c>
      <c r="K62" s="4">
        <f t="shared" si="10"/>
        <v>0</v>
      </c>
      <c r="L62" s="4">
        <f t="shared" si="11"/>
        <v>0</v>
      </c>
      <c r="M62" s="4">
        <f t="shared" ca="1" si="6"/>
        <v>4494412.3864108613</v>
      </c>
      <c r="N62" s="4"/>
      <c r="O62" s="4"/>
    </row>
    <row r="63" spans="1:15" x14ac:dyDescent="0.35">
      <c r="A63" s="1">
        <f>MonthlyData!A63</f>
        <v>43497</v>
      </c>
      <c r="B63" s="13">
        <f t="shared" si="4"/>
        <v>2019</v>
      </c>
      <c r="C63" s="13">
        <f t="shared" si="5"/>
        <v>2</v>
      </c>
      <c r="D63" s="4">
        <f>MonthlyData!F63</f>
        <v>4731159.0052934075</v>
      </c>
      <c r="E63" s="4">
        <f t="shared" ca="1" si="7"/>
        <v>736.10085614037712</v>
      </c>
      <c r="F63">
        <f>MonthlyData!BP63</f>
        <v>0</v>
      </c>
      <c r="G63">
        <f>MonthlyData!BN63</f>
        <v>0</v>
      </c>
      <c r="H63" s="4"/>
      <c r="I63" s="4">
        <f t="shared" si="8"/>
        <v>2993597.51664689</v>
      </c>
      <c r="J63" s="4">
        <f t="shared" ca="1" si="9"/>
        <v>1392277.8725140831</v>
      </c>
      <c r="K63" s="4">
        <f t="shared" si="10"/>
        <v>0</v>
      </c>
      <c r="L63" s="4">
        <f t="shared" si="11"/>
        <v>0</v>
      </c>
      <c r="M63" s="4">
        <f t="shared" ca="1" si="6"/>
        <v>4385875.389160973</v>
      </c>
      <c r="N63" s="4"/>
      <c r="O63" s="4"/>
    </row>
    <row r="64" spans="1:15" x14ac:dyDescent="0.35">
      <c r="A64" s="1">
        <f>MonthlyData!A64</f>
        <v>43525</v>
      </c>
      <c r="B64" s="13">
        <f t="shared" si="4"/>
        <v>2019</v>
      </c>
      <c r="C64" s="13">
        <f t="shared" si="5"/>
        <v>3</v>
      </c>
      <c r="D64" s="4">
        <f>MonthlyData!F64</f>
        <v>3958865.8288539383</v>
      </c>
      <c r="E64" s="4">
        <f t="shared" ca="1" si="7"/>
        <v>577.21697535249291</v>
      </c>
      <c r="F64">
        <f>MonthlyData!BP64</f>
        <v>0</v>
      </c>
      <c r="G64">
        <f>MonthlyData!BN64</f>
        <v>0</v>
      </c>
      <c r="H64" s="4"/>
      <c r="I64" s="4">
        <f t="shared" si="8"/>
        <v>2993597.51664689</v>
      </c>
      <c r="J64" s="4">
        <f t="shared" ca="1" si="9"/>
        <v>1091761.292924681</v>
      </c>
      <c r="K64" s="4">
        <f t="shared" si="10"/>
        <v>0</v>
      </c>
      <c r="L64" s="4">
        <f t="shared" si="11"/>
        <v>0</v>
      </c>
      <c r="M64" s="4">
        <f t="shared" ca="1" si="6"/>
        <v>4085358.8095715707</v>
      </c>
      <c r="N64" s="4"/>
      <c r="O64" s="4"/>
    </row>
    <row r="65" spans="1:15" x14ac:dyDescent="0.35">
      <c r="A65" s="1">
        <f>MonthlyData!A65</f>
        <v>43556</v>
      </c>
      <c r="B65" s="13">
        <f t="shared" si="4"/>
        <v>2019</v>
      </c>
      <c r="C65" s="13">
        <f t="shared" si="5"/>
        <v>4</v>
      </c>
      <c r="D65" s="4">
        <f>MonthlyData!F65</f>
        <v>3717277.5404794915</v>
      </c>
      <c r="E65" s="4">
        <f t="shared" ca="1" si="7"/>
        <v>307.33082472275549</v>
      </c>
      <c r="F65">
        <f>MonthlyData!BP65</f>
        <v>0</v>
      </c>
      <c r="G65">
        <f>MonthlyData!BN65</f>
        <v>0</v>
      </c>
      <c r="H65" s="4"/>
      <c r="I65" s="4">
        <f t="shared" si="8"/>
        <v>2993597.51664689</v>
      </c>
      <c r="J65" s="4">
        <f t="shared" ca="1" si="9"/>
        <v>581292.49984379369</v>
      </c>
      <c r="K65" s="4">
        <f t="shared" si="10"/>
        <v>0</v>
      </c>
      <c r="L65" s="4">
        <f t="shared" si="11"/>
        <v>0</v>
      </c>
      <c r="M65" s="4">
        <f t="shared" ca="1" si="6"/>
        <v>3574890.0164906839</v>
      </c>
      <c r="N65" s="4"/>
      <c r="O65" s="4"/>
    </row>
    <row r="66" spans="1:15" x14ac:dyDescent="0.35">
      <c r="A66" s="1">
        <f>MonthlyData!A66</f>
        <v>43586</v>
      </c>
      <c r="B66" s="13">
        <f t="shared" si="4"/>
        <v>2019</v>
      </c>
      <c r="C66" s="13">
        <f t="shared" si="5"/>
        <v>5</v>
      </c>
      <c r="D66" s="4">
        <f>MonthlyData!F66</f>
        <v>3119229.5605003946</v>
      </c>
      <c r="E66" s="4">
        <f t="shared" ca="1" si="7"/>
        <v>103.00647094808046</v>
      </c>
      <c r="F66">
        <f>MonthlyData!BP66</f>
        <v>0</v>
      </c>
      <c r="G66">
        <f>MonthlyData!BN66</f>
        <v>0</v>
      </c>
      <c r="H66" s="4"/>
      <c r="I66" s="4">
        <f t="shared" ref="I66:I97" si="12">$P$8</f>
        <v>2993597.51664689</v>
      </c>
      <c r="J66" s="4">
        <f t="shared" ref="J66:J97" ca="1" si="13">E66*$P$9</f>
        <v>194828.77791875257</v>
      </c>
      <c r="K66" s="4">
        <f t="shared" ref="K66:K97" si="14">F66*$P$10</f>
        <v>0</v>
      </c>
      <c r="L66" s="4">
        <f t="shared" ref="L66:L97" si="15">G66*$P$11</f>
        <v>0</v>
      </c>
      <c r="M66" s="4">
        <f t="shared" ca="1" si="6"/>
        <v>3188426.2945656427</v>
      </c>
      <c r="N66" s="4"/>
      <c r="O66" s="4"/>
    </row>
    <row r="67" spans="1:15" x14ac:dyDescent="0.35">
      <c r="A67" s="1">
        <f>MonthlyData!A67</f>
        <v>43617</v>
      </c>
      <c r="B67" s="13">
        <f t="shared" ref="B67:B130" si="16">YEAR(A67)</f>
        <v>2019</v>
      </c>
      <c r="C67" s="13">
        <f t="shared" ref="C67:C130" si="17">MONTH(A67)</f>
        <v>6</v>
      </c>
      <c r="D67" s="4">
        <f>MonthlyData!F67</f>
        <v>2814109.7860574927</v>
      </c>
      <c r="E67" s="4">
        <f t="shared" ca="1" si="7"/>
        <v>5.5889105735385218</v>
      </c>
      <c r="F67">
        <f>MonthlyData!BP67</f>
        <v>0</v>
      </c>
      <c r="G67">
        <f>MonthlyData!BN67</f>
        <v>0</v>
      </c>
      <c r="H67" s="4"/>
      <c r="I67" s="4">
        <f t="shared" si="12"/>
        <v>2993597.51664689</v>
      </c>
      <c r="J67" s="4">
        <f t="shared" ca="1" si="13"/>
        <v>10570.992355310822</v>
      </c>
      <c r="K67" s="4">
        <f t="shared" si="14"/>
        <v>0</v>
      </c>
      <c r="L67" s="4">
        <f t="shared" si="15"/>
        <v>0</v>
      </c>
      <c r="M67" s="4">
        <f t="shared" ref="M67:M130" ca="1" si="18">SUM(I67:L67)</f>
        <v>3004168.5090022008</v>
      </c>
      <c r="N67" s="4"/>
      <c r="O67" s="4"/>
    </row>
    <row r="68" spans="1:15" x14ac:dyDescent="0.35">
      <c r="A68" s="1">
        <f>MonthlyData!A68</f>
        <v>43647</v>
      </c>
      <c r="B68" s="13">
        <f t="shared" si="16"/>
        <v>2019</v>
      </c>
      <c r="C68" s="13">
        <f t="shared" si="17"/>
        <v>7</v>
      </c>
      <c r="D68" s="4">
        <f>MonthlyData!F68</f>
        <v>2659220.8806687742</v>
      </c>
      <c r="E68" s="4">
        <f t="shared" ca="1" si="7"/>
        <v>0.28709633857318684</v>
      </c>
      <c r="F68">
        <f>MonthlyData!BP68</f>
        <v>0</v>
      </c>
      <c r="G68">
        <f>MonthlyData!BN68</f>
        <v>0</v>
      </c>
      <c r="H68" s="4"/>
      <c r="I68" s="4">
        <f t="shared" si="12"/>
        <v>2993597.51664689</v>
      </c>
      <c r="J68" s="4">
        <f t="shared" ca="1" si="13"/>
        <v>543.02053331538559</v>
      </c>
      <c r="K68" s="4">
        <f t="shared" si="14"/>
        <v>0</v>
      </c>
      <c r="L68" s="4">
        <f t="shared" si="15"/>
        <v>0</v>
      </c>
      <c r="M68" s="4">
        <f t="shared" ca="1" si="18"/>
        <v>2994140.5371802053</v>
      </c>
      <c r="N68" s="4"/>
      <c r="O68" s="4"/>
    </row>
    <row r="69" spans="1:15" x14ac:dyDescent="0.35">
      <c r="A69" s="1">
        <f>MonthlyData!A69</f>
        <v>43678</v>
      </c>
      <c r="B69" s="13">
        <f t="shared" si="16"/>
        <v>2019</v>
      </c>
      <c r="C69" s="13">
        <f t="shared" si="17"/>
        <v>8</v>
      </c>
      <c r="D69" s="4">
        <f>MonthlyData!F69</f>
        <v>3150272.9022329389</v>
      </c>
      <c r="E69" s="4">
        <f t="shared" ca="1" si="7"/>
        <v>1.6761707873342053</v>
      </c>
      <c r="F69">
        <f>MonthlyData!BP69</f>
        <v>0</v>
      </c>
      <c r="G69">
        <f>MonthlyData!BN69</f>
        <v>0</v>
      </c>
      <c r="H69" s="4"/>
      <c r="I69" s="4">
        <f t="shared" si="12"/>
        <v>2993597.51664689</v>
      </c>
      <c r="J69" s="4">
        <f t="shared" ca="1" si="13"/>
        <v>3170.3474847132616</v>
      </c>
      <c r="K69" s="4">
        <f t="shared" si="14"/>
        <v>0</v>
      </c>
      <c r="L69" s="4">
        <f t="shared" si="15"/>
        <v>0</v>
      </c>
      <c r="M69" s="4">
        <f t="shared" ca="1" si="18"/>
        <v>2996767.8641316034</v>
      </c>
      <c r="N69" s="4"/>
      <c r="O69" s="4"/>
    </row>
    <row r="70" spans="1:15" x14ac:dyDescent="0.35">
      <c r="A70" s="1">
        <f>MonthlyData!A70</f>
        <v>43709</v>
      </c>
      <c r="B70" s="13">
        <f t="shared" si="16"/>
        <v>2019</v>
      </c>
      <c r="C70" s="13">
        <f t="shared" si="17"/>
        <v>9</v>
      </c>
      <c r="D70" s="4">
        <f>MonthlyData!F70</f>
        <v>2819850.5793669079</v>
      </c>
      <c r="E70" s="4">
        <f t="shared" ca="1" si="7"/>
        <v>28.222326899712005</v>
      </c>
      <c r="F70">
        <f>MonthlyData!BP70</f>
        <v>0</v>
      </c>
      <c r="G70">
        <f>MonthlyData!BN70</f>
        <v>0</v>
      </c>
      <c r="H70" s="4"/>
      <c r="I70" s="4">
        <f t="shared" si="12"/>
        <v>2993597.51664689</v>
      </c>
      <c r="J70" s="4">
        <f t="shared" ca="1" si="13"/>
        <v>53380.349887590171</v>
      </c>
      <c r="K70" s="4">
        <f t="shared" si="14"/>
        <v>0</v>
      </c>
      <c r="L70" s="4">
        <f t="shared" si="15"/>
        <v>0</v>
      </c>
      <c r="M70" s="4">
        <f t="shared" ca="1" si="18"/>
        <v>3046977.8665344804</v>
      </c>
      <c r="N70" s="4"/>
      <c r="O70" s="4"/>
    </row>
    <row r="71" spans="1:15" x14ac:dyDescent="0.35">
      <c r="A71" s="1">
        <f>MonthlyData!A71</f>
        <v>43739</v>
      </c>
      <c r="B71" s="13">
        <f t="shared" si="16"/>
        <v>2019</v>
      </c>
      <c r="C71" s="13">
        <f t="shared" si="17"/>
        <v>10</v>
      </c>
      <c r="D71" s="4">
        <f>MonthlyData!F71</f>
        <v>2715126.9884351878</v>
      </c>
      <c r="E71" s="4">
        <f t="shared" ca="1" si="7"/>
        <v>178.0244559176316</v>
      </c>
      <c r="F71">
        <f>MonthlyData!BP71</f>
        <v>1</v>
      </c>
      <c r="G71">
        <f>MonthlyData!BN71</f>
        <v>0</v>
      </c>
      <c r="H71" s="4"/>
      <c r="I71" s="4">
        <f t="shared" si="12"/>
        <v>2993597.51664689</v>
      </c>
      <c r="J71" s="4">
        <f t="shared" ca="1" si="13"/>
        <v>336719.49797761079</v>
      </c>
      <c r="K71" s="4">
        <f t="shared" si="14"/>
        <v>-602637.76155081904</v>
      </c>
      <c r="L71" s="4">
        <f t="shared" si="15"/>
        <v>0</v>
      </c>
      <c r="M71" s="4">
        <f t="shared" ca="1" si="18"/>
        <v>2727679.2530736816</v>
      </c>
      <c r="N71" s="4"/>
      <c r="O71" s="4"/>
    </row>
    <row r="72" spans="1:15" x14ac:dyDescent="0.35">
      <c r="A72" s="1">
        <f>MonthlyData!A72</f>
        <v>43770</v>
      </c>
      <c r="B72" s="13">
        <f t="shared" si="16"/>
        <v>2019</v>
      </c>
      <c r="C72" s="13">
        <f t="shared" si="17"/>
        <v>11</v>
      </c>
      <c r="D72" s="4">
        <f>MonthlyData!F72</f>
        <v>3069611.5170936594</v>
      </c>
      <c r="E72" s="4">
        <f t="shared" ca="1" si="7"/>
        <v>403.99833333333333</v>
      </c>
      <c r="F72">
        <f>MonthlyData!BP72</f>
        <v>1</v>
      </c>
      <c r="G72">
        <f>MonthlyData!BN72</f>
        <v>0</v>
      </c>
      <c r="H72" s="4"/>
      <c r="I72" s="4">
        <f t="shared" si="12"/>
        <v>2993597.51664689</v>
      </c>
      <c r="J72" s="4">
        <f t="shared" ca="1" si="13"/>
        <v>764131.62047090754</v>
      </c>
      <c r="K72" s="4">
        <f t="shared" si="14"/>
        <v>-602637.76155081904</v>
      </c>
      <c r="L72" s="4">
        <f t="shared" si="15"/>
        <v>0</v>
      </c>
      <c r="M72" s="4">
        <f t="shared" ca="1" si="18"/>
        <v>3155091.3755669785</v>
      </c>
      <c r="N72" s="4"/>
      <c r="O72" s="4"/>
    </row>
    <row r="73" spans="1:15" x14ac:dyDescent="0.35">
      <c r="A73" s="1">
        <f>MonthlyData!A73</f>
        <v>43800</v>
      </c>
      <c r="B73" s="13">
        <f t="shared" si="16"/>
        <v>2019</v>
      </c>
      <c r="C73" s="13">
        <f t="shared" si="17"/>
        <v>12</v>
      </c>
      <c r="D73" s="4">
        <f>MonthlyData!F73</f>
        <v>3682927.0591493947</v>
      </c>
      <c r="E73" s="4">
        <f t="shared" ca="1" si="7"/>
        <v>629.70466952460959</v>
      </c>
      <c r="F73">
        <f>MonthlyData!BP73</f>
        <v>0</v>
      </c>
      <c r="G73">
        <f>MonthlyData!BN73</f>
        <v>1</v>
      </c>
      <c r="H73" s="4"/>
      <c r="I73" s="4">
        <f t="shared" si="12"/>
        <v>2993597.51664689</v>
      </c>
      <c r="J73" s="4">
        <f t="shared" ca="1" si="13"/>
        <v>1191037.7094177876</v>
      </c>
      <c r="K73" s="4">
        <f t="shared" si="14"/>
        <v>0</v>
      </c>
      <c r="L73" s="4">
        <f t="shared" si="15"/>
        <v>-626381.313089823</v>
      </c>
      <c r="M73" s="4">
        <f t="shared" ca="1" si="18"/>
        <v>3558253.9129748545</v>
      </c>
      <c r="N73" s="4"/>
      <c r="O73" s="4"/>
    </row>
    <row r="74" spans="1:15" x14ac:dyDescent="0.35">
      <c r="A74" s="1">
        <f>MonthlyData!A74</f>
        <v>43831</v>
      </c>
      <c r="B74" s="13">
        <f t="shared" si="16"/>
        <v>2020</v>
      </c>
      <c r="C74" s="13">
        <f t="shared" si="17"/>
        <v>1</v>
      </c>
      <c r="D74" s="4">
        <f>MonthlyData!F74</f>
        <v>4335064.0073985169</v>
      </c>
      <c r="E74" s="4">
        <f t="shared" ca="1" si="7"/>
        <v>793.4846429373913</v>
      </c>
      <c r="F74">
        <f>MonthlyData!BP74</f>
        <v>0</v>
      </c>
      <c r="G74">
        <f>MonthlyData!BN74</f>
        <v>0</v>
      </c>
      <c r="H74" s="4"/>
      <c r="I74" s="4">
        <f t="shared" si="12"/>
        <v>2993597.51664689</v>
      </c>
      <c r="J74" s="4">
        <f t="shared" ca="1" si="13"/>
        <v>1500814.8697639715</v>
      </c>
      <c r="K74" s="4">
        <f t="shared" si="14"/>
        <v>0</v>
      </c>
      <c r="L74" s="4">
        <f t="shared" si="15"/>
        <v>0</v>
      </c>
      <c r="M74" s="4">
        <f t="shared" ca="1" si="18"/>
        <v>4494412.3864108613</v>
      </c>
      <c r="N74" s="4"/>
      <c r="O74" s="4"/>
    </row>
    <row r="75" spans="1:15" x14ac:dyDescent="0.35">
      <c r="A75" s="1">
        <f>MonthlyData!A75</f>
        <v>43862</v>
      </c>
      <c r="B75" s="13">
        <f t="shared" si="16"/>
        <v>2020</v>
      </c>
      <c r="C75" s="13">
        <f t="shared" si="17"/>
        <v>2</v>
      </c>
      <c r="D75" s="4">
        <f>MonthlyData!F75</f>
        <v>4140385.8750499859</v>
      </c>
      <c r="E75" s="4">
        <f t="shared" ca="1" si="7"/>
        <v>736.10085614037712</v>
      </c>
      <c r="F75">
        <f>MonthlyData!BP75</f>
        <v>0</v>
      </c>
      <c r="G75">
        <f>MonthlyData!BN75</f>
        <v>0</v>
      </c>
      <c r="H75" s="4"/>
      <c r="I75" s="4">
        <f t="shared" si="12"/>
        <v>2993597.51664689</v>
      </c>
      <c r="J75" s="4">
        <f t="shared" ca="1" si="13"/>
        <v>1392277.8725140831</v>
      </c>
      <c r="K75" s="4">
        <f t="shared" si="14"/>
        <v>0</v>
      </c>
      <c r="L75" s="4">
        <f t="shared" si="15"/>
        <v>0</v>
      </c>
      <c r="M75" s="4">
        <f t="shared" ca="1" si="18"/>
        <v>4385875.389160973</v>
      </c>
      <c r="N75" s="4"/>
      <c r="O75" s="4"/>
    </row>
    <row r="76" spans="1:15" x14ac:dyDescent="0.35">
      <c r="A76" s="1">
        <f>MonthlyData!A76</f>
        <v>43891</v>
      </c>
      <c r="B76" s="13">
        <f t="shared" si="16"/>
        <v>2020</v>
      </c>
      <c r="C76" s="13">
        <f t="shared" si="17"/>
        <v>3</v>
      </c>
      <c r="D76" s="4">
        <f>MonthlyData!F76</f>
        <v>3848248.3152240166</v>
      </c>
      <c r="E76" s="4">
        <f t="shared" ca="1" si="7"/>
        <v>577.21697535249291</v>
      </c>
      <c r="F76">
        <f>MonthlyData!BP76</f>
        <v>0</v>
      </c>
      <c r="G76">
        <f>MonthlyData!BN76</f>
        <v>0</v>
      </c>
      <c r="H76" s="4"/>
      <c r="I76" s="4">
        <f t="shared" si="12"/>
        <v>2993597.51664689</v>
      </c>
      <c r="J76" s="4">
        <f t="shared" ca="1" si="13"/>
        <v>1091761.292924681</v>
      </c>
      <c r="K76" s="4">
        <f t="shared" si="14"/>
        <v>0</v>
      </c>
      <c r="L76" s="4">
        <f t="shared" si="15"/>
        <v>0</v>
      </c>
      <c r="M76" s="4">
        <f t="shared" ca="1" si="18"/>
        <v>4085358.8095715707</v>
      </c>
      <c r="N76" s="4"/>
      <c r="O76" s="4"/>
    </row>
    <row r="77" spans="1:15" x14ac:dyDescent="0.35">
      <c r="A77" s="1">
        <f>MonthlyData!A77</f>
        <v>43922</v>
      </c>
      <c r="B77" s="13">
        <f t="shared" si="16"/>
        <v>2020</v>
      </c>
      <c r="C77" s="13">
        <f t="shared" si="17"/>
        <v>4</v>
      </c>
      <c r="D77" s="4">
        <f>MonthlyData!F77</f>
        <v>3687997.4999043434</v>
      </c>
      <c r="E77" s="4">
        <f t="shared" ca="1" si="7"/>
        <v>307.33082472275549</v>
      </c>
      <c r="F77">
        <f>MonthlyData!BP77</f>
        <v>0</v>
      </c>
      <c r="G77">
        <f>MonthlyData!BN77</f>
        <v>0</v>
      </c>
      <c r="H77" s="4"/>
      <c r="I77" s="4">
        <f t="shared" si="12"/>
        <v>2993597.51664689</v>
      </c>
      <c r="J77" s="4">
        <f t="shared" ca="1" si="13"/>
        <v>581292.49984379369</v>
      </c>
      <c r="K77" s="4">
        <f t="shared" si="14"/>
        <v>0</v>
      </c>
      <c r="L77" s="4">
        <f t="shared" si="15"/>
        <v>0</v>
      </c>
      <c r="M77" s="4">
        <f t="shared" ca="1" si="18"/>
        <v>3574890.0164906839</v>
      </c>
      <c r="N77" s="4"/>
      <c r="O77" s="4"/>
    </row>
    <row r="78" spans="1:15" x14ac:dyDescent="0.35">
      <c r="A78" s="1">
        <f>MonthlyData!A78</f>
        <v>43952</v>
      </c>
      <c r="B78" s="13">
        <f t="shared" si="16"/>
        <v>2020</v>
      </c>
      <c r="C78" s="13">
        <f t="shared" si="17"/>
        <v>5</v>
      </c>
      <c r="D78" s="4">
        <f>MonthlyData!F78</f>
        <v>3326415.6707476983</v>
      </c>
      <c r="E78" s="4">
        <f t="shared" ca="1" si="7"/>
        <v>103.00647094808046</v>
      </c>
      <c r="F78">
        <f>MonthlyData!BP78</f>
        <v>0</v>
      </c>
      <c r="G78">
        <f>MonthlyData!BN78</f>
        <v>0</v>
      </c>
      <c r="H78" s="4"/>
      <c r="I78" s="4">
        <f t="shared" si="12"/>
        <v>2993597.51664689</v>
      </c>
      <c r="J78" s="4">
        <f t="shared" ca="1" si="13"/>
        <v>194828.77791875257</v>
      </c>
      <c r="K78" s="4">
        <f t="shared" si="14"/>
        <v>0</v>
      </c>
      <c r="L78" s="4">
        <f t="shared" si="15"/>
        <v>0</v>
      </c>
      <c r="M78" s="4">
        <f t="shared" ca="1" si="18"/>
        <v>3188426.2945656427</v>
      </c>
      <c r="N78" s="4"/>
      <c r="O78" s="4"/>
    </row>
    <row r="79" spans="1:15" x14ac:dyDescent="0.35">
      <c r="A79" s="1">
        <f>MonthlyData!A79</f>
        <v>43983</v>
      </c>
      <c r="B79" s="13">
        <f t="shared" si="16"/>
        <v>2020</v>
      </c>
      <c r="C79" s="13">
        <f t="shared" si="17"/>
        <v>6</v>
      </c>
      <c r="D79" s="4">
        <f>MonthlyData!F79</f>
        <v>3154968.7690774924</v>
      </c>
      <c r="E79" s="4">
        <f t="shared" ref="E79:G142" ca="1" si="19">E67</f>
        <v>5.5889105735385218</v>
      </c>
      <c r="F79">
        <f>MonthlyData!BP79</f>
        <v>0</v>
      </c>
      <c r="G79">
        <f>MonthlyData!BN79</f>
        <v>0</v>
      </c>
      <c r="H79" s="4"/>
      <c r="I79" s="4">
        <f t="shared" si="12"/>
        <v>2993597.51664689</v>
      </c>
      <c r="J79" s="4">
        <f t="shared" ca="1" si="13"/>
        <v>10570.992355310822</v>
      </c>
      <c r="K79" s="4">
        <f t="shared" si="14"/>
        <v>0</v>
      </c>
      <c r="L79" s="4">
        <f t="shared" si="15"/>
        <v>0</v>
      </c>
      <c r="M79" s="4">
        <f t="shared" ca="1" si="18"/>
        <v>3004168.5090022008</v>
      </c>
      <c r="N79" s="4"/>
      <c r="O79" s="4"/>
    </row>
    <row r="80" spans="1:15" x14ac:dyDescent="0.35">
      <c r="A80" s="1">
        <f>MonthlyData!A80</f>
        <v>44013</v>
      </c>
      <c r="B80" s="13">
        <f t="shared" si="16"/>
        <v>2020</v>
      </c>
      <c r="C80" s="13">
        <f t="shared" si="17"/>
        <v>7</v>
      </c>
      <c r="D80" s="4">
        <f>MonthlyData!F80</f>
        <v>3122567.0435269368</v>
      </c>
      <c r="E80" s="4">
        <f t="shared" ca="1" si="19"/>
        <v>0.28709633857318684</v>
      </c>
      <c r="F80">
        <f>MonthlyData!BP80</f>
        <v>0</v>
      </c>
      <c r="G80">
        <f>MonthlyData!BN80</f>
        <v>0</v>
      </c>
      <c r="H80" s="4"/>
      <c r="I80" s="4">
        <f t="shared" si="12"/>
        <v>2993597.51664689</v>
      </c>
      <c r="J80" s="4">
        <f t="shared" ca="1" si="13"/>
        <v>543.02053331538559</v>
      </c>
      <c r="K80" s="4">
        <f t="shared" si="14"/>
        <v>0</v>
      </c>
      <c r="L80" s="4">
        <f t="shared" si="15"/>
        <v>0</v>
      </c>
      <c r="M80" s="4">
        <f t="shared" ca="1" si="18"/>
        <v>2994140.5371802053</v>
      </c>
      <c r="N80" s="4"/>
      <c r="O80" s="4"/>
    </row>
    <row r="81" spans="1:15" x14ac:dyDescent="0.35">
      <c r="A81" s="1">
        <f>MonthlyData!A81</f>
        <v>44044</v>
      </c>
      <c r="B81" s="13">
        <f t="shared" si="16"/>
        <v>2020</v>
      </c>
      <c r="C81" s="13">
        <f t="shared" si="17"/>
        <v>8</v>
      </c>
      <c r="D81" s="4">
        <f>MonthlyData!F81</f>
        <v>3663341.6855258569</v>
      </c>
      <c r="E81" s="4">
        <f t="shared" ca="1" si="19"/>
        <v>1.6761707873342053</v>
      </c>
      <c r="F81">
        <f>MonthlyData!BP81</f>
        <v>0</v>
      </c>
      <c r="G81">
        <f>MonthlyData!BN81</f>
        <v>0</v>
      </c>
      <c r="H81" s="4"/>
      <c r="I81" s="4">
        <f t="shared" si="12"/>
        <v>2993597.51664689</v>
      </c>
      <c r="J81" s="4">
        <f t="shared" ca="1" si="13"/>
        <v>3170.3474847132616</v>
      </c>
      <c r="K81" s="4">
        <f t="shared" si="14"/>
        <v>0</v>
      </c>
      <c r="L81" s="4">
        <f t="shared" si="15"/>
        <v>0</v>
      </c>
      <c r="M81" s="4">
        <f t="shared" ca="1" si="18"/>
        <v>2996767.8641316034</v>
      </c>
      <c r="N81" s="4"/>
      <c r="O81" s="4"/>
    </row>
    <row r="82" spans="1:15" x14ac:dyDescent="0.35">
      <c r="A82" s="1">
        <f>MonthlyData!A82</f>
        <v>44075</v>
      </c>
      <c r="B82" s="13">
        <f t="shared" si="16"/>
        <v>2020</v>
      </c>
      <c r="C82" s="13">
        <f t="shared" si="17"/>
        <v>9</v>
      </c>
      <c r="D82" s="4">
        <f>MonthlyData!F82</f>
        <v>3155144.2023287057</v>
      </c>
      <c r="E82" s="4">
        <f t="shared" ca="1" si="19"/>
        <v>28.222326899712005</v>
      </c>
      <c r="F82">
        <f>MonthlyData!BP82</f>
        <v>0</v>
      </c>
      <c r="G82">
        <f>MonthlyData!BN82</f>
        <v>0</v>
      </c>
      <c r="H82" s="4"/>
      <c r="I82" s="4">
        <f t="shared" si="12"/>
        <v>2993597.51664689</v>
      </c>
      <c r="J82" s="4">
        <f t="shared" ca="1" si="13"/>
        <v>53380.349887590171</v>
      </c>
      <c r="K82" s="4">
        <f t="shared" si="14"/>
        <v>0</v>
      </c>
      <c r="L82" s="4">
        <f t="shared" si="15"/>
        <v>0</v>
      </c>
      <c r="M82" s="4">
        <f t="shared" ca="1" si="18"/>
        <v>3046977.8665344804</v>
      </c>
      <c r="N82" s="4"/>
      <c r="O82" s="4"/>
    </row>
    <row r="83" spans="1:15" x14ac:dyDescent="0.35">
      <c r="A83" s="1">
        <f>MonthlyData!A83</f>
        <v>44105</v>
      </c>
      <c r="B83" s="13">
        <f t="shared" si="16"/>
        <v>2020</v>
      </c>
      <c r="C83" s="13">
        <f t="shared" si="17"/>
        <v>10</v>
      </c>
      <c r="D83" s="4">
        <f>MonthlyData!F83</f>
        <v>2719754.2042069854</v>
      </c>
      <c r="E83" s="4">
        <f t="shared" ca="1" si="19"/>
        <v>178.0244559176316</v>
      </c>
      <c r="F83">
        <f>MonthlyData!BP83</f>
        <v>1</v>
      </c>
      <c r="G83">
        <f>MonthlyData!BN83</f>
        <v>0</v>
      </c>
      <c r="H83" s="4"/>
      <c r="I83" s="4">
        <f t="shared" si="12"/>
        <v>2993597.51664689</v>
      </c>
      <c r="J83" s="4">
        <f t="shared" ca="1" si="13"/>
        <v>336719.49797761079</v>
      </c>
      <c r="K83" s="4">
        <f t="shared" si="14"/>
        <v>-602637.76155081904</v>
      </c>
      <c r="L83" s="4">
        <f t="shared" si="15"/>
        <v>0</v>
      </c>
      <c r="M83" s="4">
        <f t="shared" ca="1" si="18"/>
        <v>2727679.2530736816</v>
      </c>
      <c r="N83" s="4"/>
      <c r="O83" s="4"/>
    </row>
    <row r="84" spans="1:15" x14ac:dyDescent="0.35">
      <c r="A84" s="1">
        <f>MonthlyData!A84</f>
        <v>44136</v>
      </c>
      <c r="B84" s="13">
        <f t="shared" si="16"/>
        <v>2020</v>
      </c>
      <c r="C84" s="13">
        <f t="shared" si="17"/>
        <v>11</v>
      </c>
      <c r="D84" s="4">
        <f>MonthlyData!F84</f>
        <v>3265883.4528217777</v>
      </c>
      <c r="E84" s="4">
        <f t="shared" ca="1" si="19"/>
        <v>403.99833333333333</v>
      </c>
      <c r="F84">
        <f>MonthlyData!BP84</f>
        <v>1</v>
      </c>
      <c r="G84">
        <f>MonthlyData!BN84</f>
        <v>0</v>
      </c>
      <c r="H84" s="4"/>
      <c r="I84" s="4">
        <f t="shared" si="12"/>
        <v>2993597.51664689</v>
      </c>
      <c r="J84" s="4">
        <f t="shared" ca="1" si="13"/>
        <v>764131.62047090754</v>
      </c>
      <c r="K84" s="4">
        <f t="shared" si="14"/>
        <v>-602637.76155081904</v>
      </c>
      <c r="L84" s="4">
        <f t="shared" si="15"/>
        <v>0</v>
      </c>
      <c r="M84" s="4">
        <f t="shared" ca="1" si="18"/>
        <v>3155091.3755669785</v>
      </c>
      <c r="N84" s="4"/>
      <c r="O84" s="4"/>
    </row>
    <row r="85" spans="1:15" x14ac:dyDescent="0.35">
      <c r="A85" s="1">
        <f>MonthlyData!A85</f>
        <v>44166</v>
      </c>
      <c r="B85" s="13">
        <f t="shared" si="16"/>
        <v>2020</v>
      </c>
      <c r="C85" s="13">
        <f t="shared" si="17"/>
        <v>12</v>
      </c>
      <c r="D85" s="4">
        <f>MonthlyData!F85</f>
        <v>3509586.6747843111</v>
      </c>
      <c r="E85" s="4">
        <f t="shared" ca="1" si="19"/>
        <v>629.70466952460959</v>
      </c>
      <c r="F85">
        <f>MonthlyData!BP85</f>
        <v>0</v>
      </c>
      <c r="G85">
        <f>MonthlyData!BN85</f>
        <v>1</v>
      </c>
      <c r="H85" s="4"/>
      <c r="I85" s="4">
        <f t="shared" si="12"/>
        <v>2993597.51664689</v>
      </c>
      <c r="J85" s="4">
        <f t="shared" ca="1" si="13"/>
        <v>1191037.7094177876</v>
      </c>
      <c r="K85" s="4">
        <f t="shared" si="14"/>
        <v>0</v>
      </c>
      <c r="L85" s="4">
        <f t="shared" si="15"/>
        <v>-626381.313089823</v>
      </c>
      <c r="M85" s="4">
        <f t="shared" ca="1" si="18"/>
        <v>3558253.9129748545</v>
      </c>
      <c r="N85" s="4"/>
      <c r="O85" s="4"/>
    </row>
    <row r="86" spans="1:15" x14ac:dyDescent="0.35">
      <c r="A86" s="1">
        <f>MonthlyData!A86</f>
        <v>44197</v>
      </c>
      <c r="B86" s="13">
        <f t="shared" si="16"/>
        <v>2021</v>
      </c>
      <c r="C86" s="13">
        <f t="shared" si="17"/>
        <v>1</v>
      </c>
      <c r="D86" s="4">
        <f>MonthlyData!F86</f>
        <v>4263190.1574048484</v>
      </c>
      <c r="E86" s="4">
        <f t="shared" ca="1" si="19"/>
        <v>793.4846429373913</v>
      </c>
      <c r="F86">
        <f>MonthlyData!BP86</f>
        <v>0</v>
      </c>
      <c r="G86">
        <f>MonthlyData!BN86</f>
        <v>0</v>
      </c>
      <c r="H86" s="4"/>
      <c r="I86" s="4">
        <f t="shared" si="12"/>
        <v>2993597.51664689</v>
      </c>
      <c r="J86" s="4">
        <f t="shared" ca="1" si="13"/>
        <v>1500814.8697639715</v>
      </c>
      <c r="K86" s="4">
        <f t="shared" si="14"/>
        <v>0</v>
      </c>
      <c r="L86" s="4">
        <f t="shared" si="15"/>
        <v>0</v>
      </c>
      <c r="M86" s="4">
        <f t="shared" ca="1" si="18"/>
        <v>4494412.3864108613</v>
      </c>
      <c r="N86" s="4"/>
      <c r="O86" s="4"/>
    </row>
    <row r="87" spans="1:15" x14ac:dyDescent="0.35">
      <c r="A87" s="1">
        <f>MonthlyData!A87</f>
        <v>44228</v>
      </c>
      <c r="B87" s="13">
        <f t="shared" si="16"/>
        <v>2021</v>
      </c>
      <c r="C87" s="13">
        <f t="shared" si="17"/>
        <v>2</v>
      </c>
      <c r="D87" s="4">
        <f>MonthlyData!F87</f>
        <v>4226829.1876737475</v>
      </c>
      <c r="E87" s="4">
        <f t="shared" ca="1" si="19"/>
        <v>736.10085614037712</v>
      </c>
      <c r="F87">
        <f>MonthlyData!BP87</f>
        <v>0</v>
      </c>
      <c r="G87">
        <f>MonthlyData!BN87</f>
        <v>0</v>
      </c>
      <c r="H87" s="4"/>
      <c r="I87" s="4">
        <f t="shared" si="12"/>
        <v>2993597.51664689</v>
      </c>
      <c r="J87" s="4">
        <f t="shared" ca="1" si="13"/>
        <v>1392277.8725140831</v>
      </c>
      <c r="K87" s="4">
        <f t="shared" si="14"/>
        <v>0</v>
      </c>
      <c r="L87" s="4">
        <f t="shared" si="15"/>
        <v>0</v>
      </c>
      <c r="M87" s="4">
        <f t="shared" ca="1" si="18"/>
        <v>4385875.389160973</v>
      </c>
      <c r="N87" s="4"/>
      <c r="O87" s="4"/>
    </row>
    <row r="88" spans="1:15" x14ac:dyDescent="0.35">
      <c r="A88" s="1">
        <f>MonthlyData!A88</f>
        <v>44256</v>
      </c>
      <c r="B88" s="13">
        <f t="shared" si="16"/>
        <v>2021</v>
      </c>
      <c r="C88" s="13">
        <f t="shared" si="17"/>
        <v>3</v>
      </c>
      <c r="D88" s="4">
        <f>MonthlyData!F88</f>
        <v>4039244.4894530168</v>
      </c>
      <c r="E88" s="4">
        <f t="shared" ca="1" si="19"/>
        <v>577.21697535249291</v>
      </c>
      <c r="F88">
        <f>MonthlyData!BP88</f>
        <v>0</v>
      </c>
      <c r="G88">
        <f>MonthlyData!BN88</f>
        <v>0</v>
      </c>
      <c r="H88" s="4"/>
      <c r="I88" s="4">
        <f t="shared" si="12"/>
        <v>2993597.51664689</v>
      </c>
      <c r="J88" s="4">
        <f t="shared" ca="1" si="13"/>
        <v>1091761.292924681</v>
      </c>
      <c r="K88" s="4">
        <f t="shared" si="14"/>
        <v>0</v>
      </c>
      <c r="L88" s="4">
        <f t="shared" si="15"/>
        <v>0</v>
      </c>
      <c r="M88" s="4">
        <f t="shared" ca="1" si="18"/>
        <v>4085358.8095715707</v>
      </c>
      <c r="N88" s="4"/>
      <c r="O88" s="4"/>
    </row>
    <row r="89" spans="1:15" x14ac:dyDescent="0.35">
      <c r="A89" s="1">
        <f>MonthlyData!A89</f>
        <v>44287</v>
      </c>
      <c r="B89" s="13">
        <f t="shared" si="16"/>
        <v>2021</v>
      </c>
      <c r="C89" s="13">
        <f t="shared" si="17"/>
        <v>4</v>
      </c>
      <c r="D89" s="4">
        <f>MonthlyData!F89</f>
        <v>3794108.820810948</v>
      </c>
      <c r="E89" s="4">
        <f t="shared" ca="1" si="19"/>
        <v>307.33082472275549</v>
      </c>
      <c r="F89">
        <f>MonthlyData!BP89</f>
        <v>0</v>
      </c>
      <c r="G89">
        <f>MonthlyData!BN89</f>
        <v>0</v>
      </c>
      <c r="H89" s="4"/>
      <c r="I89" s="4">
        <f t="shared" si="12"/>
        <v>2993597.51664689</v>
      </c>
      <c r="J89" s="4">
        <f t="shared" ca="1" si="13"/>
        <v>581292.49984379369</v>
      </c>
      <c r="K89" s="4">
        <f t="shared" si="14"/>
        <v>0</v>
      </c>
      <c r="L89" s="4">
        <f t="shared" si="15"/>
        <v>0</v>
      </c>
      <c r="M89" s="4">
        <f t="shared" ca="1" si="18"/>
        <v>3574890.0164906839</v>
      </c>
      <c r="N89" s="4"/>
      <c r="O89" s="4"/>
    </row>
    <row r="90" spans="1:15" x14ac:dyDescent="0.35">
      <c r="A90" s="1">
        <f>MonthlyData!A90</f>
        <v>44317</v>
      </c>
      <c r="B90" s="13">
        <f t="shared" si="16"/>
        <v>2021</v>
      </c>
      <c r="C90" s="13">
        <f t="shared" si="17"/>
        <v>5</v>
      </c>
      <c r="D90" s="4">
        <f>MonthlyData!F90</f>
        <v>3101868.9257601164</v>
      </c>
      <c r="E90" s="4">
        <f t="shared" ca="1" si="19"/>
        <v>103.00647094808046</v>
      </c>
      <c r="F90">
        <f>MonthlyData!BP90</f>
        <v>0</v>
      </c>
      <c r="G90">
        <f>MonthlyData!BN90</f>
        <v>0</v>
      </c>
      <c r="H90" s="4"/>
      <c r="I90" s="4">
        <f t="shared" si="12"/>
        <v>2993597.51664689</v>
      </c>
      <c r="J90" s="4">
        <f t="shared" ca="1" si="13"/>
        <v>194828.77791875257</v>
      </c>
      <c r="K90" s="4">
        <f t="shared" si="14"/>
        <v>0</v>
      </c>
      <c r="L90" s="4">
        <f t="shared" si="15"/>
        <v>0</v>
      </c>
      <c r="M90" s="4">
        <f t="shared" ca="1" si="18"/>
        <v>3188426.2945656427</v>
      </c>
      <c r="N90" s="4"/>
      <c r="O90" s="4"/>
    </row>
    <row r="91" spans="1:15" x14ac:dyDescent="0.35">
      <c r="A91" s="1">
        <f>MonthlyData!A91</f>
        <v>44348</v>
      </c>
      <c r="B91" s="13">
        <f t="shared" si="16"/>
        <v>2021</v>
      </c>
      <c r="C91" s="13">
        <f t="shared" si="17"/>
        <v>6</v>
      </c>
      <c r="D91" s="4">
        <f>MonthlyData!F91</f>
        <v>2965128.7299124626</v>
      </c>
      <c r="E91" s="4">
        <f t="shared" ca="1" si="19"/>
        <v>5.5889105735385218</v>
      </c>
      <c r="F91">
        <f>MonthlyData!BP91</f>
        <v>0</v>
      </c>
      <c r="G91">
        <f>MonthlyData!BN91</f>
        <v>0</v>
      </c>
      <c r="H91" s="4"/>
      <c r="I91" s="4">
        <f t="shared" si="12"/>
        <v>2993597.51664689</v>
      </c>
      <c r="J91" s="4">
        <f t="shared" ca="1" si="13"/>
        <v>10570.992355310822</v>
      </c>
      <c r="K91" s="4">
        <f t="shared" si="14"/>
        <v>0</v>
      </c>
      <c r="L91" s="4">
        <f t="shared" si="15"/>
        <v>0</v>
      </c>
      <c r="M91" s="4">
        <f t="shared" ca="1" si="18"/>
        <v>3004168.5090022008</v>
      </c>
      <c r="N91" s="4"/>
      <c r="O91" s="4"/>
    </row>
    <row r="92" spans="1:15" x14ac:dyDescent="0.35">
      <c r="A92" s="1">
        <f>MonthlyData!A92</f>
        <v>44378</v>
      </c>
      <c r="B92" s="13">
        <f t="shared" si="16"/>
        <v>2021</v>
      </c>
      <c r="C92" s="13">
        <f t="shared" si="17"/>
        <v>7</v>
      </c>
      <c r="D92" s="4">
        <f>MonthlyData!F92</f>
        <v>2919562.1742881173</v>
      </c>
      <c r="E92" s="4">
        <f t="shared" ca="1" si="19"/>
        <v>0.28709633857318684</v>
      </c>
      <c r="F92">
        <f>MonthlyData!BP92</f>
        <v>0</v>
      </c>
      <c r="G92">
        <f>MonthlyData!BN92</f>
        <v>0</v>
      </c>
      <c r="H92" s="4"/>
      <c r="I92" s="4">
        <f t="shared" si="12"/>
        <v>2993597.51664689</v>
      </c>
      <c r="J92" s="4">
        <f t="shared" ca="1" si="13"/>
        <v>543.02053331538559</v>
      </c>
      <c r="K92" s="4">
        <f t="shared" si="14"/>
        <v>0</v>
      </c>
      <c r="L92" s="4">
        <f t="shared" si="15"/>
        <v>0</v>
      </c>
      <c r="M92" s="4">
        <f t="shared" ca="1" si="18"/>
        <v>2994140.5371802053</v>
      </c>
      <c r="N92" s="4"/>
      <c r="O92" s="4"/>
    </row>
    <row r="93" spans="1:15" x14ac:dyDescent="0.35">
      <c r="A93" s="1">
        <f>MonthlyData!A93</f>
        <v>44409</v>
      </c>
      <c r="B93" s="13">
        <f t="shared" si="16"/>
        <v>2021</v>
      </c>
      <c r="C93" s="13">
        <f t="shared" si="17"/>
        <v>8</v>
      </c>
      <c r="D93" s="4">
        <f>MonthlyData!F93</f>
        <v>3078894.175760556</v>
      </c>
      <c r="E93" s="4">
        <f t="shared" ca="1" si="19"/>
        <v>1.6761707873342053</v>
      </c>
      <c r="F93">
        <f>MonthlyData!BP93</f>
        <v>0</v>
      </c>
      <c r="G93">
        <f>MonthlyData!BN93</f>
        <v>0</v>
      </c>
      <c r="H93" s="4"/>
      <c r="I93" s="4">
        <f t="shared" si="12"/>
        <v>2993597.51664689</v>
      </c>
      <c r="J93" s="4">
        <f t="shared" ca="1" si="13"/>
        <v>3170.3474847132616</v>
      </c>
      <c r="K93" s="4">
        <f t="shared" si="14"/>
        <v>0</v>
      </c>
      <c r="L93" s="4">
        <f t="shared" si="15"/>
        <v>0</v>
      </c>
      <c r="M93" s="4">
        <f t="shared" ca="1" si="18"/>
        <v>2996767.8641316034</v>
      </c>
      <c r="N93" s="4"/>
      <c r="O93" s="4"/>
    </row>
    <row r="94" spans="1:15" x14ac:dyDescent="0.35">
      <c r="A94" s="1">
        <f>MonthlyData!A94</f>
        <v>44440</v>
      </c>
      <c r="B94" s="13">
        <f t="shared" si="16"/>
        <v>2021</v>
      </c>
      <c r="C94" s="13">
        <f t="shared" si="17"/>
        <v>9</v>
      </c>
      <c r="D94" s="4">
        <f>MonthlyData!F94</f>
        <v>3326739.1100639156</v>
      </c>
      <c r="E94" s="4">
        <f t="shared" ca="1" si="19"/>
        <v>28.222326899712005</v>
      </c>
      <c r="F94">
        <f>MonthlyData!BP94</f>
        <v>0</v>
      </c>
      <c r="G94">
        <f>MonthlyData!BN94</f>
        <v>0</v>
      </c>
      <c r="H94" s="4"/>
      <c r="I94" s="4">
        <f t="shared" si="12"/>
        <v>2993597.51664689</v>
      </c>
      <c r="J94" s="4">
        <f t="shared" ca="1" si="13"/>
        <v>53380.349887590171</v>
      </c>
      <c r="K94" s="4">
        <f t="shared" si="14"/>
        <v>0</v>
      </c>
      <c r="L94" s="4">
        <f t="shared" si="15"/>
        <v>0</v>
      </c>
      <c r="M94" s="4">
        <f t="shared" ca="1" si="18"/>
        <v>3046977.8665344804</v>
      </c>
      <c r="N94" s="4"/>
      <c r="O94" s="4"/>
    </row>
    <row r="95" spans="1:15" x14ac:dyDescent="0.35">
      <c r="A95" s="1">
        <f>MonthlyData!A95</f>
        <v>44470</v>
      </c>
      <c r="B95" s="13">
        <f t="shared" si="16"/>
        <v>2021</v>
      </c>
      <c r="C95" s="13">
        <f t="shared" si="17"/>
        <v>10</v>
      </c>
      <c r="D95" s="4">
        <f>MonthlyData!F95</f>
        <v>2700605.3984909002</v>
      </c>
      <c r="E95" s="4">
        <f t="shared" ca="1" si="19"/>
        <v>178.0244559176316</v>
      </c>
      <c r="F95">
        <f>MonthlyData!BP95</f>
        <v>1</v>
      </c>
      <c r="G95">
        <f>MonthlyData!BN95</f>
        <v>0</v>
      </c>
      <c r="H95" s="4"/>
      <c r="I95" s="4">
        <f t="shared" si="12"/>
        <v>2993597.51664689</v>
      </c>
      <c r="J95" s="4">
        <f t="shared" ca="1" si="13"/>
        <v>336719.49797761079</v>
      </c>
      <c r="K95" s="4">
        <f t="shared" si="14"/>
        <v>-602637.76155081904</v>
      </c>
      <c r="L95" s="4">
        <f t="shared" si="15"/>
        <v>0</v>
      </c>
      <c r="M95" s="4">
        <f t="shared" ca="1" si="18"/>
        <v>2727679.2530736816</v>
      </c>
      <c r="N95" s="4"/>
      <c r="O95" s="4"/>
    </row>
    <row r="96" spans="1:15" x14ac:dyDescent="0.35">
      <c r="A96" s="1">
        <f>MonthlyData!A96</f>
        <v>44501</v>
      </c>
      <c r="B96" s="13">
        <f t="shared" si="16"/>
        <v>2021</v>
      </c>
      <c r="C96" s="13">
        <f t="shared" si="17"/>
        <v>11</v>
      </c>
      <c r="D96" s="4">
        <f>MonthlyData!F96</f>
        <v>2951575.7355931653</v>
      </c>
      <c r="E96" s="4">
        <f t="shared" ca="1" si="19"/>
        <v>403.99833333333333</v>
      </c>
      <c r="F96">
        <f>MonthlyData!BP96</f>
        <v>1</v>
      </c>
      <c r="G96">
        <f>MonthlyData!BN96</f>
        <v>0</v>
      </c>
      <c r="H96" s="4"/>
      <c r="I96" s="4">
        <f t="shared" si="12"/>
        <v>2993597.51664689</v>
      </c>
      <c r="J96" s="4">
        <f t="shared" ca="1" si="13"/>
        <v>764131.62047090754</v>
      </c>
      <c r="K96" s="4">
        <f t="shared" si="14"/>
        <v>-602637.76155081904</v>
      </c>
      <c r="L96" s="4">
        <f t="shared" si="15"/>
        <v>0</v>
      </c>
      <c r="M96" s="4">
        <f t="shared" ca="1" si="18"/>
        <v>3155091.3755669785</v>
      </c>
      <c r="N96" s="4"/>
      <c r="O96" s="4"/>
    </row>
    <row r="97" spans="1:15" x14ac:dyDescent="0.35">
      <c r="A97" s="1">
        <f>MonthlyData!A97</f>
        <v>44531</v>
      </c>
      <c r="B97" s="13">
        <f t="shared" si="16"/>
        <v>2021</v>
      </c>
      <c r="C97" s="13">
        <f t="shared" si="17"/>
        <v>12</v>
      </c>
      <c r="D97" s="4">
        <f>MonthlyData!F97</f>
        <v>3487610.1075561787</v>
      </c>
      <c r="E97" s="4">
        <f t="shared" ca="1" si="19"/>
        <v>629.70466952460959</v>
      </c>
      <c r="F97">
        <f>MonthlyData!BP97</f>
        <v>0</v>
      </c>
      <c r="G97">
        <f>MonthlyData!BN97</f>
        <v>1</v>
      </c>
      <c r="H97" s="4"/>
      <c r="I97" s="4">
        <f t="shared" si="12"/>
        <v>2993597.51664689</v>
      </c>
      <c r="J97" s="4">
        <f t="shared" ca="1" si="13"/>
        <v>1191037.7094177876</v>
      </c>
      <c r="K97" s="4">
        <f t="shared" si="14"/>
        <v>0</v>
      </c>
      <c r="L97" s="4">
        <f t="shared" si="15"/>
        <v>-626381.313089823</v>
      </c>
      <c r="M97" s="4">
        <f t="shared" ca="1" si="18"/>
        <v>3558253.9129748545</v>
      </c>
      <c r="N97" s="4"/>
      <c r="O97" s="4"/>
    </row>
    <row r="98" spans="1:15" x14ac:dyDescent="0.35">
      <c r="A98" s="1">
        <f>MonthlyData!A98</f>
        <v>44562</v>
      </c>
      <c r="B98" s="13">
        <f t="shared" si="16"/>
        <v>2022</v>
      </c>
      <c r="C98" s="13">
        <f t="shared" si="17"/>
        <v>1</v>
      </c>
      <c r="D98" s="4">
        <f>MonthlyData!F98</f>
        <v>4371204.1273712702</v>
      </c>
      <c r="E98" s="4">
        <f t="shared" ca="1" si="19"/>
        <v>793.4846429373913</v>
      </c>
      <c r="F98">
        <f>MonthlyData!BP98</f>
        <v>0</v>
      </c>
      <c r="G98">
        <f>MonthlyData!BN98</f>
        <v>0</v>
      </c>
      <c r="H98" s="4"/>
      <c r="I98" s="4">
        <f t="shared" ref="I98:I129" si="20">$P$8</f>
        <v>2993597.51664689</v>
      </c>
      <c r="J98" s="4">
        <f t="shared" ref="J98:J129" ca="1" si="21">E98*$P$9</f>
        <v>1500814.8697639715</v>
      </c>
      <c r="K98" s="4">
        <f t="shared" ref="K98:K129" si="22">F98*$P$10</f>
        <v>0</v>
      </c>
      <c r="L98" s="4">
        <f t="shared" ref="L98:L129" si="23">G98*$P$11</f>
        <v>0</v>
      </c>
      <c r="M98" s="4">
        <f t="shared" ca="1" si="18"/>
        <v>4494412.3864108613</v>
      </c>
      <c r="N98" s="4"/>
      <c r="O98" s="4"/>
    </row>
    <row r="99" spans="1:15" x14ac:dyDescent="0.35">
      <c r="A99" s="1">
        <f>MonthlyData!A99</f>
        <v>44593</v>
      </c>
      <c r="B99" s="13">
        <f t="shared" si="16"/>
        <v>2022</v>
      </c>
      <c r="C99" s="13">
        <f t="shared" si="17"/>
        <v>2</v>
      </c>
      <c r="D99" s="4">
        <f>MonthlyData!F99</f>
        <v>5039152.9107136903</v>
      </c>
      <c r="E99" s="4">
        <f t="shared" ca="1" si="19"/>
        <v>736.10085614037712</v>
      </c>
      <c r="F99">
        <f>MonthlyData!BP99</f>
        <v>0</v>
      </c>
      <c r="G99">
        <f>MonthlyData!BN99</f>
        <v>0</v>
      </c>
      <c r="H99" s="4"/>
      <c r="I99" s="4">
        <f t="shared" si="20"/>
        <v>2993597.51664689</v>
      </c>
      <c r="J99" s="4">
        <f t="shared" ca="1" si="21"/>
        <v>1392277.8725140831</v>
      </c>
      <c r="K99" s="4">
        <f t="shared" si="22"/>
        <v>0</v>
      </c>
      <c r="L99" s="4">
        <f t="shared" si="23"/>
        <v>0</v>
      </c>
      <c r="M99" s="4">
        <f t="shared" ca="1" si="18"/>
        <v>4385875.389160973</v>
      </c>
      <c r="N99" s="4"/>
      <c r="O99" s="4"/>
    </row>
    <row r="100" spans="1:15" x14ac:dyDescent="0.35">
      <c r="A100" s="1">
        <f>MonthlyData!A100</f>
        <v>44621</v>
      </c>
      <c r="B100" s="13">
        <f t="shared" si="16"/>
        <v>2022</v>
      </c>
      <c r="C100" s="13">
        <f t="shared" si="17"/>
        <v>3</v>
      </c>
      <c r="D100" s="4">
        <f>MonthlyData!F100</f>
        <v>4211552.0037224032</v>
      </c>
      <c r="E100" s="4">
        <f t="shared" ca="1" si="19"/>
        <v>577.21697535249291</v>
      </c>
      <c r="F100">
        <f>MonthlyData!BP100</f>
        <v>0</v>
      </c>
      <c r="G100">
        <f>MonthlyData!BN100</f>
        <v>0</v>
      </c>
      <c r="H100" s="4"/>
      <c r="I100" s="4">
        <f t="shared" si="20"/>
        <v>2993597.51664689</v>
      </c>
      <c r="J100" s="4">
        <f t="shared" ca="1" si="21"/>
        <v>1091761.292924681</v>
      </c>
      <c r="K100" s="4">
        <f t="shared" si="22"/>
        <v>0</v>
      </c>
      <c r="L100" s="4">
        <f t="shared" si="23"/>
        <v>0</v>
      </c>
      <c r="M100" s="4">
        <f t="shared" ca="1" si="18"/>
        <v>4085358.8095715707</v>
      </c>
      <c r="N100" s="4"/>
      <c r="O100" s="4"/>
    </row>
    <row r="101" spans="1:15" x14ac:dyDescent="0.35">
      <c r="A101" s="1">
        <f>MonthlyData!A101</f>
        <v>44652</v>
      </c>
      <c r="B101" s="13">
        <f t="shared" si="16"/>
        <v>2022</v>
      </c>
      <c r="C101" s="13">
        <f t="shared" si="17"/>
        <v>4</v>
      </c>
      <c r="D101" s="4">
        <f>MonthlyData!F101</f>
        <v>3799695.9318750687</v>
      </c>
      <c r="E101" s="4">
        <f t="shared" ca="1" si="19"/>
        <v>307.33082472275549</v>
      </c>
      <c r="F101">
        <f>MonthlyData!BP101</f>
        <v>0</v>
      </c>
      <c r="G101">
        <f>MonthlyData!BN101</f>
        <v>0</v>
      </c>
      <c r="H101" s="4"/>
      <c r="I101" s="4">
        <f t="shared" si="20"/>
        <v>2993597.51664689</v>
      </c>
      <c r="J101" s="4">
        <f t="shared" ca="1" si="21"/>
        <v>581292.49984379369</v>
      </c>
      <c r="K101" s="4">
        <f t="shared" si="22"/>
        <v>0</v>
      </c>
      <c r="L101" s="4">
        <f t="shared" si="23"/>
        <v>0</v>
      </c>
      <c r="M101" s="4">
        <f t="shared" ca="1" si="18"/>
        <v>3574890.0164906839</v>
      </c>
      <c r="N101" s="4"/>
      <c r="O101" s="4"/>
    </row>
    <row r="102" spans="1:15" x14ac:dyDescent="0.35">
      <c r="A102" s="1">
        <f>MonthlyData!A102</f>
        <v>44682</v>
      </c>
      <c r="B102" s="13">
        <f t="shared" si="16"/>
        <v>2022</v>
      </c>
      <c r="C102" s="13">
        <f t="shared" si="17"/>
        <v>5</v>
      </c>
      <c r="D102" s="4">
        <f>MonthlyData!F102</f>
        <v>3175119.6492238664</v>
      </c>
      <c r="E102" s="4">
        <f t="shared" ca="1" si="19"/>
        <v>103.00647094808046</v>
      </c>
      <c r="F102">
        <f>MonthlyData!BP102</f>
        <v>0</v>
      </c>
      <c r="G102">
        <f>MonthlyData!BN102</f>
        <v>0</v>
      </c>
      <c r="H102" s="4"/>
      <c r="I102" s="4">
        <f t="shared" si="20"/>
        <v>2993597.51664689</v>
      </c>
      <c r="J102" s="4">
        <f t="shared" ca="1" si="21"/>
        <v>194828.77791875257</v>
      </c>
      <c r="K102" s="4">
        <f t="shared" si="22"/>
        <v>0</v>
      </c>
      <c r="L102" s="4">
        <f t="shared" si="23"/>
        <v>0</v>
      </c>
      <c r="M102" s="4">
        <f t="shared" ca="1" si="18"/>
        <v>3188426.2945656427</v>
      </c>
      <c r="N102" s="4"/>
      <c r="O102" s="4"/>
    </row>
    <row r="103" spans="1:15" x14ac:dyDescent="0.35">
      <c r="A103" s="1">
        <f>MonthlyData!A103</f>
        <v>44713</v>
      </c>
      <c r="B103" s="13">
        <f t="shared" si="16"/>
        <v>2022</v>
      </c>
      <c r="C103" s="13">
        <f t="shared" si="17"/>
        <v>6</v>
      </c>
      <c r="D103" s="4">
        <f>MonthlyData!F103</f>
        <v>2854775.0126316771</v>
      </c>
      <c r="E103" s="4">
        <f t="shared" ca="1" si="19"/>
        <v>5.5889105735385218</v>
      </c>
      <c r="F103">
        <f>MonthlyData!BP103</f>
        <v>0</v>
      </c>
      <c r="G103">
        <f>MonthlyData!BN103</f>
        <v>0</v>
      </c>
      <c r="H103" s="4"/>
      <c r="I103" s="4">
        <f t="shared" si="20"/>
        <v>2993597.51664689</v>
      </c>
      <c r="J103" s="4">
        <f t="shared" ca="1" si="21"/>
        <v>10570.992355310822</v>
      </c>
      <c r="K103" s="4">
        <f t="shared" si="22"/>
        <v>0</v>
      </c>
      <c r="L103" s="4">
        <f t="shared" si="23"/>
        <v>0</v>
      </c>
      <c r="M103" s="4">
        <f t="shared" ca="1" si="18"/>
        <v>3004168.5090022008</v>
      </c>
      <c r="N103" s="4"/>
      <c r="O103" s="4"/>
    </row>
    <row r="104" spans="1:15" x14ac:dyDescent="0.35">
      <c r="A104" s="1">
        <f>MonthlyData!A104</f>
        <v>44743</v>
      </c>
      <c r="B104" s="13">
        <f t="shared" si="16"/>
        <v>2022</v>
      </c>
      <c r="C104" s="13">
        <f t="shared" si="17"/>
        <v>7</v>
      </c>
      <c r="D104" s="4">
        <f>MonthlyData!F104</f>
        <v>2826823.9241817086</v>
      </c>
      <c r="E104" s="4">
        <f t="shared" ca="1" si="19"/>
        <v>0.28709633857318684</v>
      </c>
      <c r="F104">
        <f>MonthlyData!BP104</f>
        <v>0</v>
      </c>
      <c r="G104">
        <f>MonthlyData!BN104</f>
        <v>0</v>
      </c>
      <c r="H104" s="4"/>
      <c r="I104" s="4">
        <f t="shared" si="20"/>
        <v>2993597.51664689</v>
      </c>
      <c r="J104" s="4">
        <f t="shared" ca="1" si="21"/>
        <v>543.02053331538559</v>
      </c>
      <c r="K104" s="4">
        <f t="shared" si="22"/>
        <v>0</v>
      </c>
      <c r="L104" s="4">
        <f t="shared" si="23"/>
        <v>0</v>
      </c>
      <c r="M104" s="4">
        <f t="shared" ca="1" si="18"/>
        <v>2994140.5371802053</v>
      </c>
      <c r="N104" s="4"/>
      <c r="O104" s="4"/>
    </row>
    <row r="105" spans="1:15" x14ac:dyDescent="0.35">
      <c r="A105" s="1">
        <f>MonthlyData!A105</f>
        <v>44774</v>
      </c>
      <c r="B105" s="13">
        <f t="shared" si="16"/>
        <v>2022</v>
      </c>
      <c r="C105" s="13">
        <f t="shared" si="17"/>
        <v>8</v>
      </c>
      <c r="D105" s="4">
        <f>MonthlyData!F105</f>
        <v>2984810.1592924753</v>
      </c>
      <c r="E105" s="4">
        <f t="shared" ca="1" si="19"/>
        <v>1.6761707873342053</v>
      </c>
      <c r="F105">
        <f>MonthlyData!BP105</f>
        <v>0</v>
      </c>
      <c r="G105">
        <f>MonthlyData!BN105</f>
        <v>0</v>
      </c>
      <c r="H105" s="4"/>
      <c r="I105" s="4">
        <f t="shared" si="20"/>
        <v>2993597.51664689</v>
      </c>
      <c r="J105" s="4">
        <f t="shared" ca="1" si="21"/>
        <v>3170.3474847132616</v>
      </c>
      <c r="K105" s="4">
        <f t="shared" si="22"/>
        <v>0</v>
      </c>
      <c r="L105" s="4">
        <f t="shared" si="23"/>
        <v>0</v>
      </c>
      <c r="M105" s="4">
        <f t="shared" ca="1" si="18"/>
        <v>2996767.8641316034</v>
      </c>
      <c r="N105" s="4"/>
      <c r="O105" s="4"/>
    </row>
    <row r="106" spans="1:15" x14ac:dyDescent="0.35">
      <c r="A106" s="1">
        <f>MonthlyData!A106</f>
        <v>44805</v>
      </c>
      <c r="B106" s="13">
        <f t="shared" si="16"/>
        <v>2022</v>
      </c>
      <c r="C106" s="13">
        <f t="shared" si="17"/>
        <v>9</v>
      </c>
      <c r="D106" s="4">
        <f>MonthlyData!F106</f>
        <v>2963730.8451401889</v>
      </c>
      <c r="E106" s="4">
        <f t="shared" ca="1" si="19"/>
        <v>28.222326899712005</v>
      </c>
      <c r="F106">
        <f>MonthlyData!BP106</f>
        <v>0</v>
      </c>
      <c r="G106">
        <f>MonthlyData!BN106</f>
        <v>0</v>
      </c>
      <c r="H106" s="4"/>
      <c r="I106" s="4">
        <f t="shared" si="20"/>
        <v>2993597.51664689</v>
      </c>
      <c r="J106" s="4">
        <f t="shared" ca="1" si="21"/>
        <v>53380.349887590171</v>
      </c>
      <c r="K106" s="4">
        <f t="shared" si="22"/>
        <v>0</v>
      </c>
      <c r="L106" s="4">
        <f t="shared" si="23"/>
        <v>0</v>
      </c>
      <c r="M106" s="4">
        <f t="shared" ca="1" si="18"/>
        <v>3046977.8665344804</v>
      </c>
      <c r="N106" s="4"/>
      <c r="O106" s="4"/>
    </row>
    <row r="107" spans="1:15" x14ac:dyDescent="0.35">
      <c r="A107" s="1">
        <f>MonthlyData!A107</f>
        <v>44835</v>
      </c>
      <c r="B107" s="13">
        <f t="shared" si="16"/>
        <v>2022</v>
      </c>
      <c r="C107" s="13">
        <f t="shared" si="17"/>
        <v>10</v>
      </c>
      <c r="D107" s="4">
        <f>MonthlyData!F107</f>
        <v>2727687.2112562652</v>
      </c>
      <c r="E107" s="4">
        <f t="shared" ca="1" si="19"/>
        <v>178.0244559176316</v>
      </c>
      <c r="F107">
        <f>MonthlyData!BP107</f>
        <v>1</v>
      </c>
      <c r="G107">
        <f>MonthlyData!BN107</f>
        <v>0</v>
      </c>
      <c r="H107" s="4"/>
      <c r="I107" s="4">
        <f t="shared" si="20"/>
        <v>2993597.51664689</v>
      </c>
      <c r="J107" s="4">
        <f t="shared" ca="1" si="21"/>
        <v>336719.49797761079</v>
      </c>
      <c r="K107" s="4">
        <f t="shared" si="22"/>
        <v>-602637.76155081904</v>
      </c>
      <c r="L107" s="4">
        <f t="shared" si="23"/>
        <v>0</v>
      </c>
      <c r="M107" s="4">
        <f t="shared" ca="1" si="18"/>
        <v>2727679.2530736816</v>
      </c>
      <c r="N107" s="4"/>
      <c r="O107" s="4"/>
    </row>
    <row r="108" spans="1:15" x14ac:dyDescent="0.35">
      <c r="A108" s="1">
        <f>MonthlyData!A108</f>
        <v>44866</v>
      </c>
      <c r="B108" s="13">
        <f t="shared" si="16"/>
        <v>2022</v>
      </c>
      <c r="C108" s="13">
        <f t="shared" si="17"/>
        <v>11</v>
      </c>
      <c r="D108" s="4">
        <f>MonthlyData!F108</f>
        <v>3025375.9504829473</v>
      </c>
      <c r="E108" s="4">
        <f t="shared" ca="1" si="19"/>
        <v>403.99833333333333</v>
      </c>
      <c r="F108">
        <f>MonthlyData!BP108</f>
        <v>1</v>
      </c>
      <c r="G108">
        <f>MonthlyData!BN108</f>
        <v>0</v>
      </c>
      <c r="H108" s="4"/>
      <c r="I108" s="4">
        <f t="shared" si="20"/>
        <v>2993597.51664689</v>
      </c>
      <c r="J108" s="4">
        <f t="shared" ca="1" si="21"/>
        <v>764131.62047090754</v>
      </c>
      <c r="K108" s="4">
        <f t="shared" si="22"/>
        <v>-602637.76155081904</v>
      </c>
      <c r="L108" s="4">
        <f t="shared" si="23"/>
        <v>0</v>
      </c>
      <c r="M108" s="4">
        <f t="shared" ca="1" si="18"/>
        <v>3155091.3755669785</v>
      </c>
      <c r="N108" s="4"/>
      <c r="O108" s="4"/>
    </row>
    <row r="109" spans="1:15" x14ac:dyDescent="0.35">
      <c r="A109" s="1">
        <f>MonthlyData!A109</f>
        <v>44896</v>
      </c>
      <c r="B109" s="13">
        <f t="shared" si="16"/>
        <v>2022</v>
      </c>
      <c r="C109" s="13">
        <f t="shared" si="17"/>
        <v>12</v>
      </c>
      <c r="D109" s="4">
        <f>MonthlyData!F109</f>
        <v>3450879.2932250476</v>
      </c>
      <c r="E109" s="4">
        <f t="shared" ca="1" si="19"/>
        <v>629.70466952460959</v>
      </c>
      <c r="F109">
        <f>MonthlyData!BP109</f>
        <v>0</v>
      </c>
      <c r="G109">
        <f>MonthlyData!BN109</f>
        <v>1</v>
      </c>
      <c r="H109" s="4"/>
      <c r="I109" s="4">
        <f t="shared" si="20"/>
        <v>2993597.51664689</v>
      </c>
      <c r="J109" s="4">
        <f t="shared" ca="1" si="21"/>
        <v>1191037.7094177876</v>
      </c>
      <c r="K109" s="4">
        <f t="shared" si="22"/>
        <v>0</v>
      </c>
      <c r="L109" s="4">
        <f t="shared" si="23"/>
        <v>-626381.313089823</v>
      </c>
      <c r="M109" s="4">
        <f t="shared" ca="1" si="18"/>
        <v>3558253.9129748545</v>
      </c>
      <c r="N109" s="4"/>
      <c r="O109" s="4"/>
    </row>
    <row r="110" spans="1:15" x14ac:dyDescent="0.35">
      <c r="A110" s="1">
        <f>MonthlyData!A110</f>
        <v>44927</v>
      </c>
      <c r="B110" s="13">
        <f t="shared" si="16"/>
        <v>2023</v>
      </c>
      <c r="C110" s="13">
        <f t="shared" si="17"/>
        <v>1</v>
      </c>
      <c r="D110" s="4">
        <f>MonthlyData!F110</f>
        <v>4207177.010986764</v>
      </c>
      <c r="E110" s="4">
        <f t="shared" ca="1" si="19"/>
        <v>793.4846429373913</v>
      </c>
      <c r="F110">
        <f>MonthlyData!BP110</f>
        <v>0</v>
      </c>
      <c r="G110">
        <f>MonthlyData!BN110</f>
        <v>0</v>
      </c>
      <c r="H110" s="4"/>
      <c r="I110" s="4">
        <f t="shared" si="20"/>
        <v>2993597.51664689</v>
      </c>
      <c r="J110" s="4">
        <f t="shared" ca="1" si="21"/>
        <v>1500814.8697639715</v>
      </c>
      <c r="K110" s="4">
        <f t="shared" si="22"/>
        <v>0</v>
      </c>
      <c r="L110" s="4">
        <f t="shared" si="23"/>
        <v>0</v>
      </c>
      <c r="M110" s="4">
        <f t="shared" ca="1" si="18"/>
        <v>4494412.3864108613</v>
      </c>
      <c r="N110" s="4"/>
      <c r="O110" s="4"/>
    </row>
    <row r="111" spans="1:15" x14ac:dyDescent="0.35">
      <c r="A111" s="1">
        <f>MonthlyData!A111</f>
        <v>44958</v>
      </c>
      <c r="B111" s="13">
        <f t="shared" si="16"/>
        <v>2023</v>
      </c>
      <c r="C111" s="13">
        <f t="shared" si="17"/>
        <v>2</v>
      </c>
      <c r="D111" s="4">
        <f>MonthlyData!F111</f>
        <v>4233347.46244244</v>
      </c>
      <c r="E111" s="4">
        <f t="shared" ca="1" si="19"/>
        <v>736.10085614037712</v>
      </c>
      <c r="F111">
        <f>MonthlyData!BP111</f>
        <v>0</v>
      </c>
      <c r="G111">
        <f>MonthlyData!BN111</f>
        <v>0</v>
      </c>
      <c r="H111" s="4"/>
      <c r="I111" s="4">
        <f t="shared" si="20"/>
        <v>2993597.51664689</v>
      </c>
      <c r="J111" s="4">
        <f t="shared" ca="1" si="21"/>
        <v>1392277.8725140831</v>
      </c>
      <c r="K111" s="4">
        <f t="shared" si="22"/>
        <v>0</v>
      </c>
      <c r="L111" s="4">
        <f t="shared" si="23"/>
        <v>0</v>
      </c>
      <c r="M111" s="4">
        <f t="shared" ca="1" si="18"/>
        <v>4385875.389160973</v>
      </c>
      <c r="N111" s="4"/>
      <c r="O111" s="4"/>
    </row>
    <row r="112" spans="1:15" x14ac:dyDescent="0.35">
      <c r="A112" s="1">
        <f>MonthlyData!A112</f>
        <v>44986</v>
      </c>
      <c r="B112" s="13">
        <f t="shared" si="16"/>
        <v>2023</v>
      </c>
      <c r="C112" s="13">
        <f t="shared" si="17"/>
        <v>3</v>
      </c>
      <c r="D112" s="4">
        <f>MonthlyData!F112</f>
        <v>3958712.948354044</v>
      </c>
      <c r="E112" s="4">
        <f t="shared" ca="1" si="19"/>
        <v>577.21697535249291</v>
      </c>
      <c r="F112">
        <f>MonthlyData!BP112</f>
        <v>0</v>
      </c>
      <c r="G112">
        <f>MonthlyData!BN112</f>
        <v>0</v>
      </c>
      <c r="H112" s="4"/>
      <c r="I112" s="4">
        <f t="shared" si="20"/>
        <v>2993597.51664689</v>
      </c>
      <c r="J112" s="4">
        <f t="shared" ca="1" si="21"/>
        <v>1091761.292924681</v>
      </c>
      <c r="K112" s="4">
        <f t="shared" si="22"/>
        <v>0</v>
      </c>
      <c r="L112" s="4">
        <f t="shared" si="23"/>
        <v>0</v>
      </c>
      <c r="M112" s="4">
        <f t="shared" ca="1" si="18"/>
        <v>4085358.8095715707</v>
      </c>
      <c r="N112" s="4"/>
      <c r="O112" s="4"/>
    </row>
    <row r="113" spans="1:15" x14ac:dyDescent="0.35">
      <c r="A113" s="1">
        <f>MonthlyData!A113</f>
        <v>45017</v>
      </c>
      <c r="B113" s="13">
        <f t="shared" si="16"/>
        <v>2023</v>
      </c>
      <c r="C113" s="13">
        <f t="shared" si="17"/>
        <v>4</v>
      </c>
      <c r="D113" s="4">
        <f>MonthlyData!F113</f>
        <v>3784505.644967339</v>
      </c>
      <c r="E113" s="4">
        <f t="shared" ca="1" si="19"/>
        <v>307.33082472275549</v>
      </c>
      <c r="F113">
        <f>MonthlyData!BP113</f>
        <v>0</v>
      </c>
      <c r="G113">
        <f>MonthlyData!BN113</f>
        <v>0</v>
      </c>
      <c r="H113" s="4"/>
      <c r="I113" s="4">
        <f t="shared" si="20"/>
        <v>2993597.51664689</v>
      </c>
      <c r="J113" s="4">
        <f t="shared" ca="1" si="21"/>
        <v>581292.49984379369</v>
      </c>
      <c r="K113" s="4">
        <f t="shared" si="22"/>
        <v>0</v>
      </c>
      <c r="L113" s="4">
        <f t="shared" si="23"/>
        <v>0</v>
      </c>
      <c r="M113" s="4">
        <f t="shared" ca="1" si="18"/>
        <v>3574890.0164906839</v>
      </c>
      <c r="N113" s="4"/>
      <c r="O113" s="4"/>
    </row>
    <row r="114" spans="1:15" x14ac:dyDescent="0.35">
      <c r="A114" s="1">
        <f>MonthlyData!A114</f>
        <v>45047</v>
      </c>
      <c r="B114" s="13">
        <f t="shared" si="16"/>
        <v>2023</v>
      </c>
      <c r="C114" s="13">
        <f t="shared" si="17"/>
        <v>5</v>
      </c>
      <c r="D114" s="4">
        <f>MonthlyData!F114</f>
        <v>3224377.6879194174</v>
      </c>
      <c r="E114" s="4">
        <f t="shared" ca="1" si="19"/>
        <v>103.00647094808046</v>
      </c>
      <c r="F114">
        <f>MonthlyData!BP114</f>
        <v>0</v>
      </c>
      <c r="G114">
        <f>MonthlyData!BN114</f>
        <v>0</v>
      </c>
      <c r="H114" s="4"/>
      <c r="I114" s="4">
        <f t="shared" si="20"/>
        <v>2993597.51664689</v>
      </c>
      <c r="J114" s="4">
        <f t="shared" ca="1" si="21"/>
        <v>194828.77791875257</v>
      </c>
      <c r="K114" s="4">
        <f t="shared" si="22"/>
        <v>0</v>
      </c>
      <c r="L114" s="4">
        <f t="shared" si="23"/>
        <v>0</v>
      </c>
      <c r="M114" s="4">
        <f t="shared" ca="1" si="18"/>
        <v>3188426.2945656427</v>
      </c>
      <c r="N114" s="4"/>
      <c r="O114" s="4"/>
    </row>
    <row r="115" spans="1:15" x14ac:dyDescent="0.35">
      <c r="A115" s="1">
        <f>MonthlyData!A115</f>
        <v>45078</v>
      </c>
      <c r="B115" s="13">
        <f t="shared" si="16"/>
        <v>2023</v>
      </c>
      <c r="C115" s="13">
        <f t="shared" si="17"/>
        <v>6</v>
      </c>
      <c r="D115" s="4">
        <f>MonthlyData!F115</f>
        <v>2928667.7868225626</v>
      </c>
      <c r="E115" s="4">
        <f t="shared" ca="1" si="19"/>
        <v>5.5889105735385218</v>
      </c>
      <c r="F115">
        <f>MonthlyData!BP115</f>
        <v>0</v>
      </c>
      <c r="G115">
        <f>MonthlyData!BN115</f>
        <v>0</v>
      </c>
      <c r="H115" s="4"/>
      <c r="I115" s="4">
        <f t="shared" si="20"/>
        <v>2993597.51664689</v>
      </c>
      <c r="J115" s="4">
        <f t="shared" ca="1" si="21"/>
        <v>10570.992355310822</v>
      </c>
      <c r="K115" s="4">
        <f t="shared" si="22"/>
        <v>0</v>
      </c>
      <c r="L115" s="4">
        <f t="shared" si="23"/>
        <v>0</v>
      </c>
      <c r="M115" s="4">
        <f t="shared" ca="1" si="18"/>
        <v>3004168.5090022008</v>
      </c>
      <c r="N115" s="4"/>
      <c r="O115" s="4"/>
    </row>
    <row r="116" spans="1:15" x14ac:dyDescent="0.35">
      <c r="A116" s="1">
        <f>MonthlyData!A116</f>
        <v>45108</v>
      </c>
      <c r="B116" s="13">
        <f t="shared" si="16"/>
        <v>2023</v>
      </c>
      <c r="C116" s="13">
        <f t="shared" si="17"/>
        <v>7</v>
      </c>
      <c r="D116" s="4">
        <f>MonthlyData!F116</f>
        <v>3049940.460207012</v>
      </c>
      <c r="E116" s="4">
        <f t="shared" ca="1" si="19"/>
        <v>0.28709633857318684</v>
      </c>
      <c r="F116">
        <f>MonthlyData!BP116</f>
        <v>0</v>
      </c>
      <c r="G116">
        <f>MonthlyData!BN116</f>
        <v>0</v>
      </c>
      <c r="H116" s="4"/>
      <c r="I116" s="4">
        <f t="shared" si="20"/>
        <v>2993597.51664689</v>
      </c>
      <c r="J116" s="4">
        <f t="shared" ca="1" si="21"/>
        <v>543.02053331538559</v>
      </c>
      <c r="K116" s="4">
        <f t="shared" si="22"/>
        <v>0</v>
      </c>
      <c r="L116" s="4">
        <f t="shared" si="23"/>
        <v>0</v>
      </c>
      <c r="M116" s="4">
        <f t="shared" ca="1" si="18"/>
        <v>2994140.5371802053</v>
      </c>
      <c r="N116" s="4"/>
      <c r="O116" s="4"/>
    </row>
    <row r="117" spans="1:15" x14ac:dyDescent="0.35">
      <c r="A117" s="1">
        <f>MonthlyData!A117</f>
        <v>45139</v>
      </c>
      <c r="B117" s="13">
        <f t="shared" si="16"/>
        <v>2023</v>
      </c>
      <c r="C117" s="13">
        <f t="shared" si="17"/>
        <v>8</v>
      </c>
      <c r="D117" s="4">
        <f>MonthlyData!F117</f>
        <v>3144453.271902944</v>
      </c>
      <c r="E117" s="4">
        <f t="shared" ca="1" si="19"/>
        <v>1.6761707873342053</v>
      </c>
      <c r="F117">
        <f>MonthlyData!BP117</f>
        <v>0</v>
      </c>
      <c r="G117">
        <f>MonthlyData!BN117</f>
        <v>0</v>
      </c>
      <c r="H117" s="4"/>
      <c r="I117" s="4">
        <f t="shared" si="20"/>
        <v>2993597.51664689</v>
      </c>
      <c r="J117" s="4">
        <f t="shared" ca="1" si="21"/>
        <v>3170.3474847132616</v>
      </c>
      <c r="K117" s="4">
        <f t="shared" si="22"/>
        <v>0</v>
      </c>
      <c r="L117" s="4">
        <f t="shared" si="23"/>
        <v>0</v>
      </c>
      <c r="M117" s="4">
        <f t="shared" ca="1" si="18"/>
        <v>2996767.8641316034</v>
      </c>
      <c r="N117" s="4"/>
      <c r="O117" s="4"/>
    </row>
    <row r="118" spans="1:15" x14ac:dyDescent="0.35">
      <c r="A118" s="1">
        <f>MonthlyData!A118</f>
        <v>45170</v>
      </c>
      <c r="B118" s="13">
        <f t="shared" si="16"/>
        <v>2023</v>
      </c>
      <c r="C118" s="13">
        <f t="shared" si="17"/>
        <v>9</v>
      </c>
      <c r="D118" s="4">
        <f>MonthlyData!F118</f>
        <v>2865887.9762289687</v>
      </c>
      <c r="E118" s="4">
        <f t="shared" ca="1" si="19"/>
        <v>28.222326899712005</v>
      </c>
      <c r="F118">
        <f>MonthlyData!BP118</f>
        <v>0</v>
      </c>
      <c r="G118">
        <f>MonthlyData!BN118</f>
        <v>0</v>
      </c>
      <c r="H118" s="4"/>
      <c r="I118" s="4">
        <f t="shared" si="20"/>
        <v>2993597.51664689</v>
      </c>
      <c r="J118" s="4">
        <f t="shared" ca="1" si="21"/>
        <v>53380.349887590171</v>
      </c>
      <c r="K118" s="4">
        <f t="shared" si="22"/>
        <v>0</v>
      </c>
      <c r="L118" s="4">
        <f t="shared" si="23"/>
        <v>0</v>
      </c>
      <c r="M118" s="4">
        <f t="shared" ca="1" si="18"/>
        <v>3046977.8665344804</v>
      </c>
      <c r="N118" s="4"/>
      <c r="O118" s="4"/>
    </row>
    <row r="119" spans="1:15" x14ac:dyDescent="0.35">
      <c r="A119" s="1">
        <f>MonthlyData!A119</f>
        <v>45200</v>
      </c>
      <c r="B119" s="13">
        <f t="shared" si="16"/>
        <v>2023</v>
      </c>
      <c r="C119" s="13">
        <f t="shared" si="17"/>
        <v>10</v>
      </c>
      <c r="D119" s="4">
        <f>MonthlyData!F119</f>
        <v>2795555.4664380746</v>
      </c>
      <c r="E119" s="4">
        <f t="shared" ca="1" si="19"/>
        <v>178.0244559176316</v>
      </c>
      <c r="F119">
        <f>MonthlyData!BP119</f>
        <v>1</v>
      </c>
      <c r="G119">
        <f>MonthlyData!BN119</f>
        <v>0</v>
      </c>
      <c r="H119" s="4"/>
      <c r="I119" s="4">
        <f t="shared" si="20"/>
        <v>2993597.51664689</v>
      </c>
      <c r="J119" s="4">
        <f t="shared" ca="1" si="21"/>
        <v>336719.49797761079</v>
      </c>
      <c r="K119" s="4">
        <f t="shared" si="22"/>
        <v>-602637.76155081904</v>
      </c>
      <c r="L119" s="4">
        <f t="shared" si="23"/>
        <v>0</v>
      </c>
      <c r="M119" s="4">
        <f t="shared" ca="1" si="18"/>
        <v>2727679.2530736816</v>
      </c>
      <c r="N119" s="4"/>
      <c r="O119" s="4"/>
    </row>
    <row r="120" spans="1:15" x14ac:dyDescent="0.35">
      <c r="A120" s="1">
        <f>MonthlyData!A120</f>
        <v>45231</v>
      </c>
      <c r="B120" s="13">
        <f t="shared" si="16"/>
        <v>2023</v>
      </c>
      <c r="C120" s="13">
        <f t="shared" si="17"/>
        <v>11</v>
      </c>
      <c r="D120" s="4">
        <f>MonthlyData!F120</f>
        <v>3136774.019911529</v>
      </c>
      <c r="E120" s="4">
        <f t="shared" ca="1" si="19"/>
        <v>403.99833333333333</v>
      </c>
      <c r="F120">
        <f>MonthlyData!BP120</f>
        <v>1</v>
      </c>
      <c r="G120">
        <f>MonthlyData!BN120</f>
        <v>0</v>
      </c>
      <c r="H120" s="4"/>
      <c r="I120" s="4">
        <f t="shared" si="20"/>
        <v>2993597.51664689</v>
      </c>
      <c r="J120" s="4">
        <f t="shared" ca="1" si="21"/>
        <v>764131.62047090754</v>
      </c>
      <c r="K120" s="4">
        <f t="shared" si="22"/>
        <v>-602637.76155081904</v>
      </c>
      <c r="L120" s="4">
        <f t="shared" si="23"/>
        <v>0</v>
      </c>
      <c r="M120" s="4">
        <f t="shared" ca="1" si="18"/>
        <v>3155091.3755669785</v>
      </c>
      <c r="N120" s="4"/>
      <c r="O120" s="4"/>
    </row>
    <row r="121" spans="1:15" x14ac:dyDescent="0.35">
      <c r="A121" s="1">
        <f>MonthlyData!A121</f>
        <v>45261</v>
      </c>
      <c r="B121" s="13">
        <f t="shared" si="16"/>
        <v>2023</v>
      </c>
      <c r="C121" s="13">
        <f t="shared" si="17"/>
        <v>12</v>
      </c>
      <c r="D121" s="4">
        <f>MonthlyData!F121</f>
        <v>3571711.2463362389</v>
      </c>
      <c r="E121" s="4">
        <f t="shared" ca="1" si="19"/>
        <v>629.70466952460959</v>
      </c>
      <c r="F121">
        <f>MonthlyData!BP121</f>
        <v>0</v>
      </c>
      <c r="G121">
        <f>MonthlyData!BN121</f>
        <v>1</v>
      </c>
      <c r="H121" s="4"/>
      <c r="I121" s="4">
        <f t="shared" si="20"/>
        <v>2993597.51664689</v>
      </c>
      <c r="J121" s="4">
        <f t="shared" ca="1" si="21"/>
        <v>1191037.7094177876</v>
      </c>
      <c r="K121" s="4">
        <f t="shared" si="22"/>
        <v>0</v>
      </c>
      <c r="L121" s="4">
        <f t="shared" si="23"/>
        <v>-626381.313089823</v>
      </c>
      <c r="M121" s="4">
        <f t="shared" ca="1" si="18"/>
        <v>3558253.9129748545</v>
      </c>
      <c r="N121" s="4"/>
      <c r="O121" s="4"/>
    </row>
    <row r="122" spans="1:15" x14ac:dyDescent="0.35">
      <c r="A122" s="1">
        <f>EOMONTH(A121,0)+1</f>
        <v>45292</v>
      </c>
      <c r="B122" s="13">
        <f t="shared" si="16"/>
        <v>2024</v>
      </c>
      <c r="C122" s="13">
        <f t="shared" si="17"/>
        <v>1</v>
      </c>
      <c r="D122" s="4">
        <f>MonthlyData!F122</f>
        <v>4005895.2953150608</v>
      </c>
      <c r="E122" s="4">
        <f t="shared" ca="1" si="19"/>
        <v>793.4846429373913</v>
      </c>
      <c r="F122">
        <f>F110</f>
        <v>0</v>
      </c>
      <c r="G122">
        <f>G110</f>
        <v>0</v>
      </c>
      <c r="I122" s="4">
        <f t="shared" si="20"/>
        <v>2993597.51664689</v>
      </c>
      <c r="J122" s="4">
        <f t="shared" ca="1" si="21"/>
        <v>1500814.8697639715</v>
      </c>
      <c r="K122" s="4">
        <f t="shared" si="22"/>
        <v>0</v>
      </c>
      <c r="L122" s="4">
        <f t="shared" si="23"/>
        <v>0</v>
      </c>
      <c r="M122" s="4">
        <f t="shared" ca="1" si="18"/>
        <v>4494412.3864108613</v>
      </c>
      <c r="N122" s="4"/>
    </row>
    <row r="123" spans="1:15" x14ac:dyDescent="0.35">
      <c r="A123" s="1">
        <f t="shared" ref="A123:A145" si="24">EOMONTH(A122,0)+1</f>
        <v>45323</v>
      </c>
      <c r="B123" s="13">
        <f t="shared" si="16"/>
        <v>2024</v>
      </c>
      <c r="C123" s="13">
        <f t="shared" si="17"/>
        <v>2</v>
      </c>
      <c r="D123" s="4">
        <f>MonthlyData!F123</f>
        <v>4302730.3482179875</v>
      </c>
      <c r="E123" s="4">
        <f t="shared" ca="1" si="19"/>
        <v>736.10085614037712</v>
      </c>
      <c r="F123">
        <f t="shared" si="19"/>
        <v>0</v>
      </c>
      <c r="G123">
        <f t="shared" si="19"/>
        <v>0</v>
      </c>
      <c r="I123" s="4">
        <f t="shared" si="20"/>
        <v>2993597.51664689</v>
      </c>
      <c r="J123" s="4">
        <f t="shared" ca="1" si="21"/>
        <v>1392277.8725140831</v>
      </c>
      <c r="K123" s="4">
        <f t="shared" si="22"/>
        <v>0</v>
      </c>
      <c r="L123" s="4">
        <f t="shared" si="23"/>
        <v>0</v>
      </c>
      <c r="M123" s="4">
        <f t="shared" ca="1" si="18"/>
        <v>4385875.389160973</v>
      </c>
      <c r="N123" s="4"/>
    </row>
    <row r="124" spans="1:15" x14ac:dyDescent="0.35">
      <c r="A124" s="1">
        <f t="shared" si="24"/>
        <v>45352</v>
      </c>
      <c r="B124" s="13">
        <f t="shared" si="16"/>
        <v>2024</v>
      </c>
      <c r="C124" s="13">
        <f t="shared" si="17"/>
        <v>3</v>
      </c>
      <c r="D124" s="4">
        <f>MonthlyData!F124</f>
        <v>3768112.4011209141</v>
      </c>
      <c r="E124" s="4">
        <f t="shared" ca="1" si="19"/>
        <v>577.21697535249291</v>
      </c>
      <c r="F124">
        <f t="shared" si="19"/>
        <v>0</v>
      </c>
      <c r="G124">
        <f t="shared" si="19"/>
        <v>0</v>
      </c>
      <c r="I124" s="4">
        <f t="shared" si="20"/>
        <v>2993597.51664689</v>
      </c>
      <c r="J124" s="4">
        <f t="shared" ca="1" si="21"/>
        <v>1091761.292924681</v>
      </c>
      <c r="K124" s="4">
        <f t="shared" si="22"/>
        <v>0</v>
      </c>
      <c r="L124" s="4">
        <f t="shared" si="23"/>
        <v>0</v>
      </c>
      <c r="M124" s="4">
        <f t="shared" ca="1" si="18"/>
        <v>4085358.8095715707</v>
      </c>
      <c r="N124" s="4"/>
    </row>
    <row r="125" spans="1:15" x14ac:dyDescent="0.35">
      <c r="A125" s="1">
        <f t="shared" si="24"/>
        <v>45383</v>
      </c>
      <c r="B125" s="13">
        <f t="shared" si="16"/>
        <v>2024</v>
      </c>
      <c r="C125" s="13">
        <f t="shared" si="17"/>
        <v>4</v>
      </c>
      <c r="D125" s="4">
        <f>MonthlyData!F125</f>
        <v>3682543.4540238408</v>
      </c>
      <c r="E125" s="4">
        <f t="shared" ca="1" si="19"/>
        <v>307.33082472275549</v>
      </c>
      <c r="F125">
        <f t="shared" si="19"/>
        <v>0</v>
      </c>
      <c r="G125">
        <f t="shared" si="19"/>
        <v>0</v>
      </c>
      <c r="I125" s="4">
        <f t="shared" si="20"/>
        <v>2993597.51664689</v>
      </c>
      <c r="J125" s="4">
        <f t="shared" ca="1" si="21"/>
        <v>581292.49984379369</v>
      </c>
      <c r="K125" s="4">
        <f t="shared" si="22"/>
        <v>0</v>
      </c>
      <c r="L125" s="4">
        <f t="shared" si="23"/>
        <v>0</v>
      </c>
      <c r="M125" s="4">
        <f t="shared" ca="1" si="18"/>
        <v>3574890.0164906839</v>
      </c>
      <c r="N125" s="4"/>
    </row>
    <row r="126" spans="1:15" x14ac:dyDescent="0.35">
      <c r="A126" s="1">
        <f t="shared" si="24"/>
        <v>45413</v>
      </c>
      <c r="B126" s="13">
        <f t="shared" si="16"/>
        <v>2024</v>
      </c>
      <c r="C126" s="13">
        <f t="shared" si="17"/>
        <v>5</v>
      </c>
      <c r="D126" s="4">
        <f>MonthlyData!F126</f>
        <v>3154863.5069267675</v>
      </c>
      <c r="E126" s="4">
        <f t="shared" ca="1" si="19"/>
        <v>103.00647094808046</v>
      </c>
      <c r="F126">
        <f t="shared" si="19"/>
        <v>0</v>
      </c>
      <c r="G126">
        <f t="shared" si="19"/>
        <v>0</v>
      </c>
      <c r="I126" s="4">
        <f t="shared" si="20"/>
        <v>2993597.51664689</v>
      </c>
      <c r="J126" s="4">
        <f t="shared" ca="1" si="21"/>
        <v>194828.77791875257</v>
      </c>
      <c r="K126" s="4">
        <f t="shared" si="22"/>
        <v>0</v>
      </c>
      <c r="L126" s="4">
        <f t="shared" si="23"/>
        <v>0</v>
      </c>
      <c r="M126" s="4">
        <f t="shared" ca="1" si="18"/>
        <v>3188426.2945656427</v>
      </c>
      <c r="N126" s="4"/>
    </row>
    <row r="127" spans="1:15" x14ac:dyDescent="0.35">
      <c r="A127" s="1">
        <f t="shared" si="24"/>
        <v>45444</v>
      </c>
      <c r="B127" s="13">
        <f t="shared" si="16"/>
        <v>2024</v>
      </c>
      <c r="C127" s="13">
        <f t="shared" si="17"/>
        <v>6</v>
      </c>
      <c r="D127" s="4">
        <f>MonthlyData!F127</f>
        <v>2833887.5598296942</v>
      </c>
      <c r="E127" s="4">
        <f t="shared" ca="1" si="19"/>
        <v>5.5889105735385218</v>
      </c>
      <c r="F127">
        <f t="shared" si="19"/>
        <v>0</v>
      </c>
      <c r="G127">
        <f t="shared" si="19"/>
        <v>0</v>
      </c>
      <c r="I127" s="4">
        <f t="shared" si="20"/>
        <v>2993597.51664689</v>
      </c>
      <c r="J127" s="4">
        <f t="shared" ca="1" si="21"/>
        <v>10570.992355310822</v>
      </c>
      <c r="K127" s="4">
        <f t="shared" si="22"/>
        <v>0</v>
      </c>
      <c r="L127" s="4">
        <f t="shared" si="23"/>
        <v>0</v>
      </c>
      <c r="M127" s="4">
        <f t="shared" ca="1" si="18"/>
        <v>3004168.5090022008</v>
      </c>
      <c r="N127" s="4"/>
    </row>
    <row r="128" spans="1:15" x14ac:dyDescent="0.35">
      <c r="A128" s="1">
        <f t="shared" si="24"/>
        <v>45474</v>
      </c>
      <c r="B128" s="13">
        <f t="shared" si="16"/>
        <v>2024</v>
      </c>
      <c r="C128" s="13">
        <f t="shared" si="17"/>
        <v>7</v>
      </c>
      <c r="D128" s="4">
        <f>MonthlyData!F128</f>
        <v>3089982.6127326209</v>
      </c>
      <c r="E128" s="4">
        <f t="shared" ca="1" si="19"/>
        <v>0.28709633857318684</v>
      </c>
      <c r="F128">
        <f t="shared" si="19"/>
        <v>0</v>
      </c>
      <c r="G128">
        <f t="shared" si="19"/>
        <v>0</v>
      </c>
      <c r="I128" s="4">
        <f t="shared" si="20"/>
        <v>2993597.51664689</v>
      </c>
      <c r="J128" s="4">
        <f t="shared" ca="1" si="21"/>
        <v>543.02053331538559</v>
      </c>
      <c r="K128" s="4">
        <f t="shared" si="22"/>
        <v>0</v>
      </c>
      <c r="L128" s="4">
        <f t="shared" si="23"/>
        <v>0</v>
      </c>
      <c r="M128" s="4">
        <f t="shared" ca="1" si="18"/>
        <v>2994140.5371802053</v>
      </c>
      <c r="N128" s="4"/>
    </row>
    <row r="129" spans="1:14" x14ac:dyDescent="0.35">
      <c r="A129" s="1">
        <f t="shared" si="24"/>
        <v>45505</v>
      </c>
      <c r="B129" s="13">
        <f t="shared" si="16"/>
        <v>2024</v>
      </c>
      <c r="C129" s="13">
        <f t="shared" si="17"/>
        <v>8</v>
      </c>
      <c r="D129" s="4">
        <f>MonthlyData!F129</f>
        <v>3416128.6656355476</v>
      </c>
      <c r="E129" s="4">
        <f t="shared" ca="1" si="19"/>
        <v>1.6761707873342053</v>
      </c>
      <c r="F129">
        <f t="shared" si="19"/>
        <v>0</v>
      </c>
      <c r="G129">
        <f t="shared" si="19"/>
        <v>0</v>
      </c>
      <c r="I129" s="4">
        <f t="shared" si="20"/>
        <v>2993597.51664689</v>
      </c>
      <c r="J129" s="4">
        <f t="shared" ca="1" si="21"/>
        <v>3170.3474847132616</v>
      </c>
      <c r="K129" s="4">
        <f t="shared" si="22"/>
        <v>0</v>
      </c>
      <c r="L129" s="4">
        <f t="shared" si="23"/>
        <v>0</v>
      </c>
      <c r="M129" s="4">
        <f t="shared" ca="1" si="18"/>
        <v>2996767.8641316034</v>
      </c>
      <c r="N129" s="4"/>
    </row>
    <row r="130" spans="1:14" x14ac:dyDescent="0.35">
      <c r="A130" s="1">
        <f t="shared" si="24"/>
        <v>45536</v>
      </c>
      <c r="B130" s="13">
        <f t="shared" si="16"/>
        <v>2024</v>
      </c>
      <c r="C130" s="13">
        <f t="shared" si="17"/>
        <v>9</v>
      </c>
      <c r="D130" s="4">
        <f>MonthlyData!F130</f>
        <v>3265561.7185384743</v>
      </c>
      <c r="E130" s="4">
        <f t="shared" ca="1" si="19"/>
        <v>28.222326899712005</v>
      </c>
      <c r="F130">
        <f t="shared" si="19"/>
        <v>0</v>
      </c>
      <c r="G130">
        <f t="shared" si="19"/>
        <v>0</v>
      </c>
      <c r="I130" s="4">
        <f t="shared" ref="I130:I145" si="25">$P$8</f>
        <v>2993597.51664689</v>
      </c>
      <c r="J130" s="4">
        <f t="shared" ref="J130:J145" ca="1" si="26">E130*$P$9</f>
        <v>53380.349887590171</v>
      </c>
      <c r="K130" s="4">
        <f t="shared" ref="K130:K145" si="27">F130*$P$10</f>
        <v>0</v>
      </c>
      <c r="L130" s="4">
        <f t="shared" ref="L130:L145" si="28">G130*$P$11</f>
        <v>0</v>
      </c>
      <c r="M130" s="4">
        <f t="shared" ca="1" si="18"/>
        <v>3046977.8665344804</v>
      </c>
      <c r="N130" s="4"/>
    </row>
    <row r="131" spans="1:14" x14ac:dyDescent="0.35">
      <c r="A131" s="1">
        <f t="shared" si="24"/>
        <v>45566</v>
      </c>
      <c r="B131" s="13">
        <f t="shared" ref="B131:B145" si="29">YEAR(A131)</f>
        <v>2024</v>
      </c>
      <c r="C131" s="13">
        <f t="shared" ref="C131:C145" si="30">MONTH(A131)</f>
        <v>10</v>
      </c>
      <c r="D131" s="4">
        <f>MonthlyData!F131</f>
        <v>2994047.771441401</v>
      </c>
      <c r="E131" s="4">
        <f t="shared" ca="1" si="19"/>
        <v>178.0244559176316</v>
      </c>
      <c r="F131">
        <f t="shared" si="19"/>
        <v>1</v>
      </c>
      <c r="G131">
        <f t="shared" si="19"/>
        <v>0</v>
      </c>
      <c r="I131" s="4">
        <f t="shared" si="25"/>
        <v>2993597.51664689</v>
      </c>
      <c r="J131" s="4">
        <f t="shared" ca="1" si="26"/>
        <v>336719.49797761079</v>
      </c>
      <c r="K131" s="4">
        <f t="shared" si="27"/>
        <v>-602637.76155081904</v>
      </c>
      <c r="L131" s="4">
        <f t="shared" si="28"/>
        <v>0</v>
      </c>
      <c r="M131" s="4">
        <f t="shared" ref="M131:M145" ca="1" si="31">SUM(I131:L131)</f>
        <v>2727679.2530736816</v>
      </c>
      <c r="N131" s="4"/>
    </row>
    <row r="132" spans="1:14" x14ac:dyDescent="0.35">
      <c r="A132" s="1">
        <f t="shared" si="24"/>
        <v>45597</v>
      </c>
      <c r="B132" s="13">
        <f t="shared" si="29"/>
        <v>2024</v>
      </c>
      <c r="C132" s="13">
        <f t="shared" si="30"/>
        <v>11</v>
      </c>
      <c r="E132" s="4">
        <f t="shared" ca="1" si="19"/>
        <v>403.99833333333333</v>
      </c>
      <c r="F132">
        <f t="shared" si="19"/>
        <v>1</v>
      </c>
      <c r="G132">
        <f t="shared" si="19"/>
        <v>0</v>
      </c>
      <c r="I132" s="4">
        <f t="shared" si="25"/>
        <v>2993597.51664689</v>
      </c>
      <c r="J132" s="4">
        <f t="shared" ca="1" si="26"/>
        <v>764131.62047090754</v>
      </c>
      <c r="K132" s="4">
        <f t="shared" si="27"/>
        <v>-602637.76155081904</v>
      </c>
      <c r="L132" s="4">
        <f t="shared" si="28"/>
        <v>0</v>
      </c>
      <c r="M132" s="4">
        <f t="shared" ca="1" si="31"/>
        <v>3155091.3755669785</v>
      </c>
      <c r="N132" s="4"/>
    </row>
    <row r="133" spans="1:14" x14ac:dyDescent="0.35">
      <c r="A133" s="1">
        <f t="shared" si="24"/>
        <v>45627</v>
      </c>
      <c r="B133" s="13">
        <f t="shared" si="29"/>
        <v>2024</v>
      </c>
      <c r="C133" s="13">
        <f t="shared" si="30"/>
        <v>12</v>
      </c>
      <c r="E133" s="4">
        <f t="shared" ca="1" si="19"/>
        <v>629.70466952460959</v>
      </c>
      <c r="F133">
        <f t="shared" si="19"/>
        <v>0</v>
      </c>
      <c r="G133">
        <f t="shared" si="19"/>
        <v>1</v>
      </c>
      <c r="I133" s="4">
        <f t="shared" si="25"/>
        <v>2993597.51664689</v>
      </c>
      <c r="J133" s="4">
        <f t="shared" ca="1" si="26"/>
        <v>1191037.7094177876</v>
      </c>
      <c r="K133" s="4">
        <f t="shared" si="27"/>
        <v>0</v>
      </c>
      <c r="L133" s="4">
        <f t="shared" si="28"/>
        <v>-626381.313089823</v>
      </c>
      <c r="M133" s="4">
        <f t="shared" ca="1" si="31"/>
        <v>3558253.9129748545</v>
      </c>
      <c r="N133" s="4"/>
    </row>
    <row r="134" spans="1:14" x14ac:dyDescent="0.35">
      <c r="A134" s="1">
        <f t="shared" si="24"/>
        <v>45658</v>
      </c>
      <c r="B134" s="13">
        <f t="shared" si="29"/>
        <v>2025</v>
      </c>
      <c r="C134" s="13">
        <f t="shared" si="30"/>
        <v>1</v>
      </c>
      <c r="E134" s="4">
        <f t="shared" ca="1" si="19"/>
        <v>793.4846429373913</v>
      </c>
      <c r="F134">
        <f t="shared" si="19"/>
        <v>0</v>
      </c>
      <c r="G134">
        <f t="shared" si="19"/>
        <v>0</v>
      </c>
      <c r="I134" s="4">
        <f t="shared" si="25"/>
        <v>2993597.51664689</v>
      </c>
      <c r="J134" s="4">
        <f t="shared" ca="1" si="26"/>
        <v>1500814.8697639715</v>
      </c>
      <c r="K134" s="4">
        <f t="shared" si="27"/>
        <v>0</v>
      </c>
      <c r="L134" s="4">
        <f t="shared" si="28"/>
        <v>0</v>
      </c>
      <c r="M134" s="4">
        <f t="shared" ca="1" si="31"/>
        <v>4494412.3864108613</v>
      </c>
      <c r="N134" s="4"/>
    </row>
    <row r="135" spans="1:14" x14ac:dyDescent="0.35">
      <c r="A135" s="1">
        <f t="shared" si="24"/>
        <v>45689</v>
      </c>
      <c r="B135" s="13">
        <f t="shared" si="29"/>
        <v>2025</v>
      </c>
      <c r="C135" s="13">
        <f t="shared" si="30"/>
        <v>2</v>
      </c>
      <c r="E135" s="4">
        <f t="shared" ca="1" si="19"/>
        <v>736.10085614037712</v>
      </c>
      <c r="F135">
        <f t="shared" si="19"/>
        <v>0</v>
      </c>
      <c r="G135">
        <f t="shared" si="19"/>
        <v>0</v>
      </c>
      <c r="I135" s="4">
        <f t="shared" si="25"/>
        <v>2993597.51664689</v>
      </c>
      <c r="J135" s="4">
        <f t="shared" ca="1" si="26"/>
        <v>1392277.8725140831</v>
      </c>
      <c r="K135" s="4">
        <f t="shared" si="27"/>
        <v>0</v>
      </c>
      <c r="L135" s="4">
        <f t="shared" si="28"/>
        <v>0</v>
      </c>
      <c r="M135" s="4">
        <f t="shared" ca="1" si="31"/>
        <v>4385875.389160973</v>
      </c>
      <c r="N135" s="4"/>
    </row>
    <row r="136" spans="1:14" x14ac:dyDescent="0.35">
      <c r="A136" s="1">
        <f t="shared" si="24"/>
        <v>45717</v>
      </c>
      <c r="B136" s="13">
        <f t="shared" si="29"/>
        <v>2025</v>
      </c>
      <c r="C136" s="13">
        <f t="shared" si="30"/>
        <v>3</v>
      </c>
      <c r="E136" s="4">
        <f t="shared" ca="1" si="19"/>
        <v>577.21697535249291</v>
      </c>
      <c r="F136">
        <f t="shared" si="19"/>
        <v>0</v>
      </c>
      <c r="G136">
        <f t="shared" si="19"/>
        <v>0</v>
      </c>
      <c r="I136" s="4">
        <f t="shared" si="25"/>
        <v>2993597.51664689</v>
      </c>
      <c r="J136" s="4">
        <f t="shared" ca="1" si="26"/>
        <v>1091761.292924681</v>
      </c>
      <c r="K136" s="4">
        <f t="shared" si="27"/>
        <v>0</v>
      </c>
      <c r="L136" s="4">
        <f t="shared" si="28"/>
        <v>0</v>
      </c>
      <c r="M136" s="4">
        <f t="shared" ca="1" si="31"/>
        <v>4085358.8095715707</v>
      </c>
      <c r="N136" s="4"/>
    </row>
    <row r="137" spans="1:14" x14ac:dyDescent="0.35">
      <c r="A137" s="1">
        <f t="shared" si="24"/>
        <v>45748</v>
      </c>
      <c r="B137" s="13">
        <f t="shared" si="29"/>
        <v>2025</v>
      </c>
      <c r="C137" s="13">
        <f t="shared" si="30"/>
        <v>4</v>
      </c>
      <c r="E137" s="4">
        <f t="shared" ca="1" si="19"/>
        <v>307.33082472275549</v>
      </c>
      <c r="F137">
        <f t="shared" si="19"/>
        <v>0</v>
      </c>
      <c r="G137">
        <f t="shared" si="19"/>
        <v>0</v>
      </c>
      <c r="I137" s="4">
        <f t="shared" si="25"/>
        <v>2993597.51664689</v>
      </c>
      <c r="J137" s="4">
        <f t="shared" ca="1" si="26"/>
        <v>581292.49984379369</v>
      </c>
      <c r="K137" s="4">
        <f t="shared" si="27"/>
        <v>0</v>
      </c>
      <c r="L137" s="4">
        <f t="shared" si="28"/>
        <v>0</v>
      </c>
      <c r="M137" s="4">
        <f t="shared" ca="1" si="31"/>
        <v>3574890.0164906839</v>
      </c>
      <c r="N137" s="4"/>
    </row>
    <row r="138" spans="1:14" x14ac:dyDescent="0.35">
      <c r="A138" s="1">
        <f t="shared" si="24"/>
        <v>45778</v>
      </c>
      <c r="B138" s="13">
        <f t="shared" si="29"/>
        <v>2025</v>
      </c>
      <c r="C138" s="13">
        <f t="shared" si="30"/>
        <v>5</v>
      </c>
      <c r="E138" s="4">
        <f t="shared" ca="1" si="19"/>
        <v>103.00647094808046</v>
      </c>
      <c r="F138">
        <f t="shared" si="19"/>
        <v>0</v>
      </c>
      <c r="G138">
        <f t="shared" si="19"/>
        <v>0</v>
      </c>
      <c r="I138" s="4">
        <f t="shared" si="25"/>
        <v>2993597.51664689</v>
      </c>
      <c r="J138" s="4">
        <f t="shared" ca="1" si="26"/>
        <v>194828.77791875257</v>
      </c>
      <c r="K138" s="4">
        <f t="shared" si="27"/>
        <v>0</v>
      </c>
      <c r="L138" s="4">
        <f t="shared" si="28"/>
        <v>0</v>
      </c>
      <c r="M138" s="4">
        <f t="shared" ca="1" si="31"/>
        <v>3188426.2945656427</v>
      </c>
      <c r="N138" s="4"/>
    </row>
    <row r="139" spans="1:14" x14ac:dyDescent="0.35">
      <c r="A139" s="1">
        <f t="shared" si="24"/>
        <v>45809</v>
      </c>
      <c r="B139" s="13">
        <f t="shared" si="29"/>
        <v>2025</v>
      </c>
      <c r="C139" s="13">
        <f t="shared" si="30"/>
        <v>6</v>
      </c>
      <c r="E139" s="4">
        <f t="shared" ca="1" si="19"/>
        <v>5.5889105735385218</v>
      </c>
      <c r="F139">
        <f t="shared" si="19"/>
        <v>0</v>
      </c>
      <c r="G139">
        <f t="shared" si="19"/>
        <v>0</v>
      </c>
      <c r="I139" s="4">
        <f t="shared" si="25"/>
        <v>2993597.51664689</v>
      </c>
      <c r="J139" s="4">
        <f t="shared" ca="1" si="26"/>
        <v>10570.992355310822</v>
      </c>
      <c r="K139" s="4">
        <f t="shared" si="27"/>
        <v>0</v>
      </c>
      <c r="L139" s="4">
        <f t="shared" si="28"/>
        <v>0</v>
      </c>
      <c r="M139" s="4">
        <f t="shared" ca="1" si="31"/>
        <v>3004168.5090022008</v>
      </c>
      <c r="N139" s="4"/>
    </row>
    <row r="140" spans="1:14" x14ac:dyDescent="0.35">
      <c r="A140" s="1">
        <f t="shared" si="24"/>
        <v>45839</v>
      </c>
      <c r="B140" s="13">
        <f t="shared" si="29"/>
        <v>2025</v>
      </c>
      <c r="C140" s="13">
        <f t="shared" si="30"/>
        <v>7</v>
      </c>
      <c r="E140" s="4">
        <f t="shared" ca="1" si="19"/>
        <v>0.28709633857318684</v>
      </c>
      <c r="F140">
        <f t="shared" si="19"/>
        <v>0</v>
      </c>
      <c r="G140">
        <f t="shared" si="19"/>
        <v>0</v>
      </c>
      <c r="I140" s="4">
        <f t="shared" si="25"/>
        <v>2993597.51664689</v>
      </c>
      <c r="J140" s="4">
        <f t="shared" ca="1" si="26"/>
        <v>543.02053331538559</v>
      </c>
      <c r="K140" s="4">
        <f t="shared" si="27"/>
        <v>0</v>
      </c>
      <c r="L140" s="4">
        <f t="shared" si="28"/>
        <v>0</v>
      </c>
      <c r="M140" s="4">
        <f t="shared" ca="1" si="31"/>
        <v>2994140.5371802053</v>
      </c>
      <c r="N140" s="4"/>
    </row>
    <row r="141" spans="1:14" x14ac:dyDescent="0.35">
      <c r="A141" s="1">
        <f t="shared" si="24"/>
        <v>45870</v>
      </c>
      <c r="B141" s="13">
        <f t="shared" si="29"/>
        <v>2025</v>
      </c>
      <c r="C141" s="13">
        <f t="shared" si="30"/>
        <v>8</v>
      </c>
      <c r="E141" s="4">
        <f t="shared" ca="1" si="19"/>
        <v>1.6761707873342053</v>
      </c>
      <c r="F141">
        <f t="shared" si="19"/>
        <v>0</v>
      </c>
      <c r="G141">
        <f t="shared" si="19"/>
        <v>0</v>
      </c>
      <c r="I141" s="4">
        <f t="shared" si="25"/>
        <v>2993597.51664689</v>
      </c>
      <c r="J141" s="4">
        <f t="shared" ca="1" si="26"/>
        <v>3170.3474847132616</v>
      </c>
      <c r="K141" s="4">
        <f t="shared" si="27"/>
        <v>0</v>
      </c>
      <c r="L141" s="4">
        <f t="shared" si="28"/>
        <v>0</v>
      </c>
      <c r="M141" s="4">
        <f t="shared" ca="1" si="31"/>
        <v>2996767.8641316034</v>
      </c>
      <c r="N141" s="4"/>
    </row>
    <row r="142" spans="1:14" x14ac:dyDescent="0.35">
      <c r="A142" s="1">
        <f t="shared" si="24"/>
        <v>45901</v>
      </c>
      <c r="B142" s="13">
        <f t="shared" si="29"/>
        <v>2025</v>
      </c>
      <c r="C142" s="13">
        <f t="shared" si="30"/>
        <v>9</v>
      </c>
      <c r="E142" s="4">
        <f t="shared" ca="1" si="19"/>
        <v>28.222326899712005</v>
      </c>
      <c r="F142">
        <f t="shared" si="19"/>
        <v>0</v>
      </c>
      <c r="G142">
        <f t="shared" si="19"/>
        <v>0</v>
      </c>
      <c r="I142" s="4">
        <f t="shared" si="25"/>
        <v>2993597.51664689</v>
      </c>
      <c r="J142" s="4">
        <f t="shared" ca="1" si="26"/>
        <v>53380.349887590171</v>
      </c>
      <c r="K142" s="4">
        <f t="shared" si="27"/>
        <v>0</v>
      </c>
      <c r="L142" s="4">
        <f t="shared" si="28"/>
        <v>0</v>
      </c>
      <c r="M142" s="4">
        <f t="shared" ca="1" si="31"/>
        <v>3046977.8665344804</v>
      </c>
      <c r="N142" s="4"/>
    </row>
    <row r="143" spans="1:14" x14ac:dyDescent="0.35">
      <c r="A143" s="1">
        <f t="shared" si="24"/>
        <v>45931</v>
      </c>
      <c r="B143" s="13">
        <f t="shared" si="29"/>
        <v>2025</v>
      </c>
      <c r="C143" s="13">
        <f t="shared" si="30"/>
        <v>10</v>
      </c>
      <c r="E143" s="4">
        <f ca="1">E131</f>
        <v>178.0244559176316</v>
      </c>
      <c r="F143">
        <f t="shared" ref="F143:G143" si="32">F131</f>
        <v>1</v>
      </c>
      <c r="G143">
        <f t="shared" si="32"/>
        <v>0</v>
      </c>
      <c r="I143" s="4">
        <f t="shared" si="25"/>
        <v>2993597.51664689</v>
      </c>
      <c r="J143" s="4">
        <f t="shared" ca="1" si="26"/>
        <v>336719.49797761079</v>
      </c>
      <c r="K143" s="4">
        <f t="shared" si="27"/>
        <v>-602637.76155081904</v>
      </c>
      <c r="L143" s="4">
        <f t="shared" si="28"/>
        <v>0</v>
      </c>
      <c r="M143" s="4">
        <f t="shared" ca="1" si="31"/>
        <v>2727679.2530736816</v>
      </c>
      <c r="N143" s="4"/>
    </row>
    <row r="144" spans="1:14" x14ac:dyDescent="0.35">
      <c r="A144" s="1">
        <f t="shared" si="24"/>
        <v>45962</v>
      </c>
      <c r="B144" s="13">
        <f t="shared" si="29"/>
        <v>2025</v>
      </c>
      <c r="C144" s="13">
        <f t="shared" si="30"/>
        <v>11</v>
      </c>
      <c r="E144" s="4">
        <f ca="1">E132</f>
        <v>403.99833333333333</v>
      </c>
      <c r="F144">
        <f t="shared" ref="F144:G144" si="33">F132</f>
        <v>1</v>
      </c>
      <c r="G144">
        <f t="shared" si="33"/>
        <v>0</v>
      </c>
      <c r="I144" s="4">
        <f t="shared" si="25"/>
        <v>2993597.51664689</v>
      </c>
      <c r="J144" s="4">
        <f t="shared" ca="1" si="26"/>
        <v>764131.62047090754</v>
      </c>
      <c r="K144" s="4">
        <f t="shared" si="27"/>
        <v>-602637.76155081904</v>
      </c>
      <c r="L144" s="4">
        <f t="shared" si="28"/>
        <v>0</v>
      </c>
      <c r="M144" s="4">
        <f t="shared" ca="1" si="31"/>
        <v>3155091.3755669785</v>
      </c>
      <c r="N144" s="4"/>
    </row>
    <row r="145" spans="1:15" x14ac:dyDescent="0.35">
      <c r="A145" s="1">
        <f t="shared" si="24"/>
        <v>45992</v>
      </c>
      <c r="B145" s="13">
        <f t="shared" si="29"/>
        <v>2025</v>
      </c>
      <c r="C145" s="13">
        <f t="shared" si="30"/>
        <v>12</v>
      </c>
      <c r="E145" s="4">
        <f ca="1">E133</f>
        <v>629.70466952460959</v>
      </c>
      <c r="F145">
        <f t="shared" ref="F145:G145" si="34">F133</f>
        <v>0</v>
      </c>
      <c r="G145">
        <f t="shared" si="34"/>
        <v>1</v>
      </c>
      <c r="I145" s="4">
        <f t="shared" si="25"/>
        <v>2993597.51664689</v>
      </c>
      <c r="J145" s="4">
        <f t="shared" ca="1" si="26"/>
        <v>1191037.7094177876</v>
      </c>
      <c r="K145" s="4">
        <f t="shared" si="27"/>
        <v>0</v>
      </c>
      <c r="L145" s="4">
        <f t="shared" si="28"/>
        <v>-626381.313089823</v>
      </c>
      <c r="M145" s="4">
        <f t="shared" ca="1" si="31"/>
        <v>3558253.9129748545</v>
      </c>
      <c r="N145" s="4"/>
      <c r="O145" s="17"/>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2CF4-7DBC-4F71-B69F-4DCB16CD7345}">
  <sheetPr codeName="Sheet14"/>
  <dimension ref="A1:W145"/>
  <sheetViews>
    <sheetView workbookViewId="0">
      <selection activeCell="D34" sqref="D34"/>
    </sheetView>
  </sheetViews>
  <sheetFormatPr defaultRowHeight="14.5" x14ac:dyDescent="0.35"/>
  <cols>
    <col min="1" max="1" width="13.81640625" customWidth="1"/>
    <col min="2" max="3" width="12.453125" customWidth="1"/>
    <col min="4" max="4" width="11.26953125" customWidth="1"/>
    <col min="5" max="5" width="8.81640625" bestFit="1" customWidth="1"/>
    <col min="10" max="10" width="12.7265625" bestFit="1" customWidth="1"/>
    <col min="11" max="12" width="11.1796875" bestFit="1" customWidth="1"/>
    <col min="13" max="13" width="11.1796875" customWidth="1"/>
    <col min="14" max="14" width="11.1796875" bestFit="1" customWidth="1"/>
    <col min="15" max="15" width="12.7265625" bestFit="1" customWidth="1"/>
    <col min="16" max="16" width="11.1796875" bestFit="1" customWidth="1"/>
    <col min="17" max="17" width="12.1796875" style="19" customWidth="1"/>
  </cols>
  <sheetData>
    <row r="1" spans="1:23" x14ac:dyDescent="0.35">
      <c r="A1" s="1" t="str">
        <f>MonthlyData!A1</f>
        <v>Date</v>
      </c>
      <c r="B1" s="1" t="s">
        <v>1</v>
      </c>
      <c r="C1" s="1" t="s">
        <v>2</v>
      </c>
      <c r="D1" s="4" t="str">
        <f>MonthlyData!I1</f>
        <v>GSlt50_NoCDM</v>
      </c>
      <c r="E1" t="str">
        <f>MonthlyData!AF1</f>
        <v>HDD10</v>
      </c>
      <c r="F1" t="str">
        <f>MonthlyData!BP1</f>
        <v>Fall</v>
      </c>
      <c r="G1" s="4" t="str">
        <f>MonthlyData!R1</f>
        <v>GSlt50Count</v>
      </c>
      <c r="H1" t="str">
        <f>MonthlyData!BN1</f>
        <v>Dec</v>
      </c>
      <c r="K1" t="str">
        <f>E1</f>
        <v>HDD10</v>
      </c>
      <c r="L1" t="str">
        <f>F1</f>
        <v>Fall</v>
      </c>
      <c r="M1" t="str">
        <f>G1</f>
        <v>GSlt50Count</v>
      </c>
      <c r="N1" t="str">
        <f>H1</f>
        <v>Dec</v>
      </c>
      <c r="O1" t="s">
        <v>460</v>
      </c>
    </row>
    <row r="2" spans="1:23" x14ac:dyDescent="0.35">
      <c r="A2" s="1">
        <f>MonthlyData!A2</f>
        <v>41640</v>
      </c>
      <c r="B2" s="13">
        <f>YEAR(A2)</f>
        <v>2014</v>
      </c>
      <c r="C2" s="13">
        <f>MONTH(A2)</f>
        <v>1</v>
      </c>
      <c r="D2" s="4">
        <f>MonthlyData!I2</f>
        <v>2267712.5500153434</v>
      </c>
      <c r="E2" s="200">
        <f ca="1">Weather!CT38</f>
        <v>793.4846429373913</v>
      </c>
      <c r="F2">
        <f>MonthlyData!BP2</f>
        <v>0</v>
      </c>
      <c r="G2" s="4">
        <f>MonthlyData!R2</f>
        <v>767</v>
      </c>
      <c r="H2">
        <f>MonthlyData!BN2</f>
        <v>0</v>
      </c>
      <c r="J2" s="4">
        <f>$T$7</f>
        <v>231360.027765729</v>
      </c>
      <c r="K2" s="4">
        <f t="shared" ref="K2:K33" ca="1" si="0">E2*$T$8</f>
        <v>512843.0347352681</v>
      </c>
      <c r="L2" s="4">
        <f>F2*$T$9</f>
        <v>0</v>
      </c>
      <c r="M2" s="4">
        <f>G2*$T$10</f>
        <v>1356972.8568785978</v>
      </c>
      <c r="N2" s="4">
        <f>H2*$T$11</f>
        <v>0</v>
      </c>
      <c r="O2" s="4">
        <f t="shared" ref="O2:O33" ca="1" si="1">SUM(J2:N2)</f>
        <v>2101175.9193795947</v>
      </c>
      <c r="P2" s="4">
        <f t="shared" ref="P2:P33" ca="1" si="2">O2-D2</f>
        <v>-166536.63063574862</v>
      </c>
      <c r="Q2" s="19">
        <f t="shared" ref="Q2:Q33" ca="1" si="3">ABS(P2/D2)</f>
        <v>7.3438157157361864E-2</v>
      </c>
      <c r="S2" t="s">
        <v>491</v>
      </c>
    </row>
    <row r="3" spans="1:23" x14ac:dyDescent="0.35">
      <c r="A3" s="1">
        <f>MonthlyData!A3</f>
        <v>41671</v>
      </c>
      <c r="B3" s="13">
        <f t="shared" ref="B3:B66" si="4">YEAR(A3)</f>
        <v>2014</v>
      </c>
      <c r="C3" s="13">
        <f t="shared" ref="C3:C66" si="5">MONTH(A3)</f>
        <v>2</v>
      </c>
      <c r="D3" s="4">
        <f>MonthlyData!I3</f>
        <v>2304412.939825864</v>
      </c>
      <c r="E3" s="200">
        <f ca="1">Weather!CT39</f>
        <v>736.10085614037712</v>
      </c>
      <c r="F3">
        <f>MonthlyData!BP3</f>
        <v>0</v>
      </c>
      <c r="G3" s="4">
        <f>MonthlyData!R3</f>
        <v>759</v>
      </c>
      <c r="H3">
        <f>MonthlyData!BN3</f>
        <v>0</v>
      </c>
      <c r="J3" s="4">
        <f t="shared" ref="J3:J66" si="6">$T$7</f>
        <v>231360.027765729</v>
      </c>
      <c r="K3" s="4">
        <f t="shared" ca="1" si="0"/>
        <v>475754.88737473451</v>
      </c>
      <c r="L3" s="4">
        <f t="shared" ref="L3:L66" si="7">F3*$T$9</f>
        <v>0</v>
      </c>
      <c r="M3" s="4">
        <f t="shared" ref="M3:M66" si="8">G3*$T$10</f>
        <v>1342819.2938342318</v>
      </c>
      <c r="N3" s="4">
        <f t="shared" ref="N3:N66" si="9">H3*$T$11</f>
        <v>0</v>
      </c>
      <c r="O3" s="4">
        <f t="shared" ca="1" si="1"/>
        <v>2049934.2089746953</v>
      </c>
      <c r="P3" s="4">
        <f t="shared" ca="1" si="2"/>
        <v>-254478.73085116874</v>
      </c>
      <c r="Q3" s="19">
        <f t="shared" ca="1" si="3"/>
        <v>0.11043104577879985</v>
      </c>
      <c r="S3" t="s">
        <v>462</v>
      </c>
    </row>
    <row r="4" spans="1:23" x14ac:dyDescent="0.35">
      <c r="A4" s="1">
        <f>MonthlyData!A4</f>
        <v>41699</v>
      </c>
      <c r="B4" s="13">
        <f t="shared" si="4"/>
        <v>2014</v>
      </c>
      <c r="C4" s="13">
        <f t="shared" si="5"/>
        <v>3</v>
      </c>
      <c r="D4" s="4">
        <f>MonthlyData!I4</f>
        <v>1997865.6359274124</v>
      </c>
      <c r="E4" s="200">
        <f ca="1">Weather!CT40</f>
        <v>577.21697535249291</v>
      </c>
      <c r="F4">
        <f>MonthlyData!BP4</f>
        <v>0</v>
      </c>
      <c r="G4" s="4">
        <f>MonthlyData!R4</f>
        <v>767</v>
      </c>
      <c r="H4">
        <f>MonthlyData!BN4</f>
        <v>0</v>
      </c>
      <c r="J4" s="4">
        <f t="shared" si="6"/>
        <v>231360.027765729</v>
      </c>
      <c r="K4" s="4">
        <f t="shared" ca="1" si="0"/>
        <v>373065.44994323485</v>
      </c>
      <c r="L4" s="4">
        <f t="shared" si="7"/>
        <v>0</v>
      </c>
      <c r="M4" s="4">
        <f t="shared" si="8"/>
        <v>1356972.8568785978</v>
      </c>
      <c r="N4" s="4">
        <f t="shared" si="9"/>
        <v>0</v>
      </c>
      <c r="O4" s="4">
        <f t="shared" ca="1" si="1"/>
        <v>1961398.3345875617</v>
      </c>
      <c r="P4" s="4">
        <f t="shared" ca="1" si="2"/>
        <v>-36467.301339850761</v>
      </c>
      <c r="Q4" s="19">
        <f t="shared" ca="1" si="3"/>
        <v>1.8253130082455511E-2</v>
      </c>
      <c r="S4" t="s">
        <v>492</v>
      </c>
    </row>
    <row r="5" spans="1:23" x14ac:dyDescent="0.35">
      <c r="A5" s="1">
        <f>MonthlyData!A5</f>
        <v>41730</v>
      </c>
      <c r="B5" s="13">
        <f t="shared" si="4"/>
        <v>2014</v>
      </c>
      <c r="C5" s="13">
        <f t="shared" si="5"/>
        <v>4</v>
      </c>
      <c r="D5" s="4">
        <f>MonthlyData!I5</f>
        <v>2043121.1177997903</v>
      </c>
      <c r="E5" s="200">
        <f ca="1">Weather!CT41</f>
        <v>307.33082472275549</v>
      </c>
      <c r="F5">
        <f>MonthlyData!BP5</f>
        <v>0</v>
      </c>
      <c r="G5" s="4">
        <f>MonthlyData!R5</f>
        <v>762</v>
      </c>
      <c r="H5">
        <f>MonthlyData!BN5</f>
        <v>0</v>
      </c>
      <c r="J5" s="4">
        <f t="shared" si="6"/>
        <v>231360.027765729</v>
      </c>
      <c r="K5" s="4">
        <f t="shared" ca="1" si="0"/>
        <v>198633.29961251293</v>
      </c>
      <c r="L5" s="4">
        <f t="shared" si="7"/>
        <v>0</v>
      </c>
      <c r="M5" s="4">
        <f t="shared" si="8"/>
        <v>1348126.8799758691</v>
      </c>
      <c r="N5" s="4">
        <f t="shared" si="9"/>
        <v>0</v>
      </c>
      <c r="O5" s="4">
        <f t="shared" ca="1" si="1"/>
        <v>1778120.2073541111</v>
      </c>
      <c r="P5" s="4">
        <f t="shared" ca="1" si="2"/>
        <v>-265000.91044567921</v>
      </c>
      <c r="Q5" s="19">
        <f t="shared" ca="1" si="3"/>
        <v>0.12970396524071717</v>
      </c>
    </row>
    <row r="6" spans="1:23" x14ac:dyDescent="0.35">
      <c r="A6" s="1">
        <f>MonthlyData!A6</f>
        <v>41760</v>
      </c>
      <c r="B6" s="13">
        <f t="shared" si="4"/>
        <v>2014</v>
      </c>
      <c r="C6" s="13">
        <f t="shared" si="5"/>
        <v>5</v>
      </c>
      <c r="D6" s="4">
        <f>MonthlyData!I6</f>
        <v>1681225.2182917895</v>
      </c>
      <c r="E6" s="200">
        <f ca="1">Weather!CT42</f>
        <v>103.00647094808046</v>
      </c>
      <c r="F6">
        <f>MonthlyData!BP6</f>
        <v>0</v>
      </c>
      <c r="G6" s="4">
        <f>MonthlyData!R6</f>
        <v>755</v>
      </c>
      <c r="H6">
        <f>MonthlyData!BN6</f>
        <v>0</v>
      </c>
      <c r="J6" s="4">
        <f t="shared" si="6"/>
        <v>231360.027765729</v>
      </c>
      <c r="K6" s="4">
        <f t="shared" ca="1" si="0"/>
        <v>66574.887905615062</v>
      </c>
      <c r="L6" s="4">
        <f t="shared" si="7"/>
        <v>0</v>
      </c>
      <c r="M6" s="4">
        <f t="shared" si="8"/>
        <v>1335742.5123120488</v>
      </c>
      <c r="N6" s="4">
        <f t="shared" si="9"/>
        <v>0</v>
      </c>
      <c r="O6" s="4">
        <f t="shared" ca="1" si="1"/>
        <v>1633677.427983393</v>
      </c>
      <c r="P6" s="4">
        <f t="shared" ca="1" si="2"/>
        <v>-47547.790308396565</v>
      </c>
      <c r="Q6" s="19">
        <f t="shared" ca="1" si="3"/>
        <v>2.828163043896495E-2</v>
      </c>
      <c r="T6" t="s">
        <v>84</v>
      </c>
      <c r="U6" t="s">
        <v>85</v>
      </c>
      <c r="V6" t="s">
        <v>86</v>
      </c>
      <c r="W6" t="s">
        <v>87</v>
      </c>
    </row>
    <row r="7" spans="1:23" x14ac:dyDescent="0.35">
      <c r="A7" s="1">
        <f>MonthlyData!A7</f>
        <v>41791</v>
      </c>
      <c r="B7" s="13">
        <f t="shared" si="4"/>
        <v>2014</v>
      </c>
      <c r="C7" s="13">
        <f t="shared" si="5"/>
        <v>6</v>
      </c>
      <c r="D7" s="4">
        <f>MonthlyData!I7</f>
        <v>1602762.3688238007</v>
      </c>
      <c r="E7" s="200">
        <f ca="1">Weather!CT43</f>
        <v>5.5889105735385218</v>
      </c>
      <c r="F7">
        <f>MonthlyData!BP7</f>
        <v>0</v>
      </c>
      <c r="G7" s="4">
        <f>MonthlyData!R7</f>
        <v>760</v>
      </c>
      <c r="H7">
        <f>MonthlyData!BN7</f>
        <v>0</v>
      </c>
      <c r="J7" s="4">
        <f t="shared" si="6"/>
        <v>231360.027765729</v>
      </c>
      <c r="K7" s="4">
        <f t="shared" ca="1" si="0"/>
        <v>3612.2108788231194</v>
      </c>
      <c r="L7" s="4">
        <f t="shared" si="7"/>
        <v>0</v>
      </c>
      <c r="M7" s="4">
        <f t="shared" si="8"/>
        <v>1344588.4892147775</v>
      </c>
      <c r="N7" s="4">
        <f t="shared" si="9"/>
        <v>0</v>
      </c>
      <c r="O7" s="4">
        <f t="shared" ca="1" si="1"/>
        <v>1579560.7278593297</v>
      </c>
      <c r="P7" s="4">
        <f t="shared" ca="1" si="2"/>
        <v>-23201.640964471037</v>
      </c>
      <c r="Q7" s="19">
        <f t="shared" ca="1" si="3"/>
        <v>1.4476033013863269E-2</v>
      </c>
      <c r="S7" t="s">
        <v>88</v>
      </c>
      <c r="T7" s="4">
        <v>231360.027765729</v>
      </c>
      <c r="U7" s="4">
        <v>298937.33179088199</v>
      </c>
      <c r="V7" s="214">
        <v>0.77394156955804605</v>
      </c>
      <c r="W7" s="188">
        <v>0.440426647632084</v>
      </c>
    </row>
    <row r="8" spans="1:23" x14ac:dyDescent="0.35">
      <c r="A8" s="1">
        <f>MonthlyData!A8</f>
        <v>41821</v>
      </c>
      <c r="B8" s="13">
        <f t="shared" si="4"/>
        <v>2014</v>
      </c>
      <c r="C8" s="13">
        <f t="shared" si="5"/>
        <v>7</v>
      </c>
      <c r="D8" s="4">
        <f>MonthlyData!I8</f>
        <v>1541187.7010905463</v>
      </c>
      <c r="E8" s="200">
        <f ca="1">Weather!CT44</f>
        <v>0.28709633857318684</v>
      </c>
      <c r="F8">
        <f>MonthlyData!BP8</f>
        <v>0</v>
      </c>
      <c r="G8" s="4">
        <f>MonthlyData!R8</f>
        <v>757</v>
      </c>
      <c r="H8">
        <f>MonthlyData!BN8</f>
        <v>0</v>
      </c>
      <c r="J8" s="4">
        <f t="shared" si="6"/>
        <v>231360.027765729</v>
      </c>
      <c r="K8" s="4">
        <f t="shared" ca="1" si="0"/>
        <v>185.55539649791879</v>
      </c>
      <c r="L8" s="4">
        <f t="shared" si="7"/>
        <v>0</v>
      </c>
      <c r="M8" s="4">
        <f t="shared" si="8"/>
        <v>1339280.9030731402</v>
      </c>
      <c r="N8" s="4">
        <f t="shared" si="9"/>
        <v>0</v>
      </c>
      <c r="O8" s="4">
        <f t="shared" ca="1" si="1"/>
        <v>1570826.4862353671</v>
      </c>
      <c r="P8" s="4">
        <f t="shared" ca="1" si="2"/>
        <v>29638.785144820809</v>
      </c>
      <c r="Q8" s="19">
        <f t="shared" ca="1" si="3"/>
        <v>1.9231132667259392E-2</v>
      </c>
      <c r="S8" t="s">
        <v>13</v>
      </c>
      <c r="T8" s="4">
        <v>646.31753027604998</v>
      </c>
      <c r="U8" s="4">
        <v>32.822570412599703</v>
      </c>
      <c r="V8" s="214">
        <v>19.6912527614823</v>
      </c>
      <c r="W8" s="188">
        <v>3.9830113245502397E-40</v>
      </c>
    </row>
    <row r="9" spans="1:23" x14ac:dyDescent="0.35">
      <c r="A9" s="1">
        <f>MonthlyData!A9</f>
        <v>41852</v>
      </c>
      <c r="B9" s="13">
        <f t="shared" si="4"/>
        <v>2014</v>
      </c>
      <c r="C9" s="13">
        <f t="shared" si="5"/>
        <v>8</v>
      </c>
      <c r="D9" s="4">
        <f>MonthlyData!I9</f>
        <v>1575263.0626529807</v>
      </c>
      <c r="E9" s="200">
        <f ca="1">Weather!CT45</f>
        <v>1.6761707873342053</v>
      </c>
      <c r="F9">
        <f>MonthlyData!BP9</f>
        <v>0</v>
      </c>
      <c r="G9" s="4">
        <f>MonthlyData!R9</f>
        <v>748</v>
      </c>
      <c r="H9">
        <f>MonthlyData!BN9</f>
        <v>0</v>
      </c>
      <c r="J9" s="4">
        <f t="shared" si="6"/>
        <v>231360.027765729</v>
      </c>
      <c r="K9" s="4">
        <f t="shared" ca="1" si="0"/>
        <v>1083.3385635907057</v>
      </c>
      <c r="L9" s="4">
        <f t="shared" si="7"/>
        <v>0</v>
      </c>
      <c r="M9" s="4">
        <f t="shared" si="8"/>
        <v>1323358.1446482283</v>
      </c>
      <c r="N9" s="4">
        <f t="shared" si="9"/>
        <v>0</v>
      </c>
      <c r="O9" s="4">
        <f t="shared" ca="1" si="1"/>
        <v>1555801.5109775481</v>
      </c>
      <c r="P9" s="4">
        <f t="shared" ca="1" si="2"/>
        <v>-19461.551675432594</v>
      </c>
      <c r="Q9" s="19">
        <f t="shared" ca="1" si="3"/>
        <v>1.2354477253250899E-2</v>
      </c>
      <c r="S9" t="s">
        <v>62</v>
      </c>
      <c r="T9" s="4">
        <v>-257897.88627322801</v>
      </c>
      <c r="U9" s="4">
        <v>24712.8830540696</v>
      </c>
      <c r="V9" s="214">
        <v>-10.435766871431801</v>
      </c>
      <c r="W9" s="188">
        <v>1.01543132928948E-18</v>
      </c>
    </row>
    <row r="10" spans="1:23" x14ac:dyDescent="0.35">
      <c r="A10" s="1">
        <f>MonthlyData!A10</f>
        <v>41883</v>
      </c>
      <c r="B10" s="13">
        <f t="shared" si="4"/>
        <v>2014</v>
      </c>
      <c r="C10" s="13">
        <f t="shared" si="5"/>
        <v>9</v>
      </c>
      <c r="D10" s="4">
        <f>MonthlyData!I10</f>
        <v>1527288.541271715</v>
      </c>
      <c r="E10" s="200">
        <f ca="1">Weather!CT46</f>
        <v>28.222326899712005</v>
      </c>
      <c r="F10">
        <f>MonthlyData!BP10</f>
        <v>0</v>
      </c>
      <c r="G10" s="4">
        <f>MonthlyData!R10</f>
        <v>753</v>
      </c>
      <c r="H10">
        <f>MonthlyData!BN10</f>
        <v>0</v>
      </c>
      <c r="J10" s="4">
        <f t="shared" si="6"/>
        <v>231360.027765729</v>
      </c>
      <c r="K10" s="4">
        <f t="shared" ca="1" si="0"/>
        <v>18240.584620465193</v>
      </c>
      <c r="L10" s="4">
        <f t="shared" si="7"/>
        <v>0</v>
      </c>
      <c r="M10" s="4">
        <f t="shared" si="8"/>
        <v>1332204.1215509572</v>
      </c>
      <c r="N10" s="4">
        <f t="shared" si="9"/>
        <v>0</v>
      </c>
      <c r="O10" s="4">
        <f t="shared" ca="1" si="1"/>
        <v>1581804.7339371515</v>
      </c>
      <c r="P10" s="4">
        <f t="shared" ca="1" si="2"/>
        <v>54516.192665436538</v>
      </c>
      <c r="Q10" s="19">
        <f t="shared" ca="1" si="3"/>
        <v>3.5694756552054653E-2</v>
      </c>
      <c r="S10" t="s">
        <v>455</v>
      </c>
      <c r="T10" s="4">
        <v>1769.1953805457599</v>
      </c>
      <c r="U10" s="4">
        <v>410.43423312221398</v>
      </c>
      <c r="V10" s="214">
        <v>4.3105453633516797</v>
      </c>
      <c r="W10" s="188">
        <v>3.2689241255142903E-5</v>
      </c>
    </row>
    <row r="11" spans="1:23" x14ac:dyDescent="0.35">
      <c r="A11" s="1">
        <f>MonthlyData!A11</f>
        <v>41913</v>
      </c>
      <c r="B11" s="13">
        <f t="shared" si="4"/>
        <v>2014</v>
      </c>
      <c r="C11" s="13">
        <f t="shared" si="5"/>
        <v>10</v>
      </c>
      <c r="D11" s="4">
        <f>MonthlyData!I11</f>
        <v>1466818.8854295593</v>
      </c>
      <c r="E11" s="200">
        <f ca="1">Weather!CT47</f>
        <v>178.0244559176316</v>
      </c>
      <c r="F11">
        <f>MonthlyData!BP11</f>
        <v>1</v>
      </c>
      <c r="G11" s="4">
        <f>MonthlyData!R11</f>
        <v>754</v>
      </c>
      <c r="H11">
        <f>MonthlyData!BN11</f>
        <v>0</v>
      </c>
      <c r="J11" s="4">
        <f t="shared" si="6"/>
        <v>231360.027765729</v>
      </c>
      <c r="K11" s="4">
        <f t="shared" ca="1" si="0"/>
        <v>115060.32667742118</v>
      </c>
      <c r="L11" s="4">
        <f t="shared" si="7"/>
        <v>-257897.88627322801</v>
      </c>
      <c r="M11" s="4">
        <f t="shared" si="8"/>
        <v>1333973.3169315029</v>
      </c>
      <c r="N11" s="4">
        <f t="shared" si="9"/>
        <v>0</v>
      </c>
      <c r="O11" s="4">
        <f t="shared" ca="1" si="1"/>
        <v>1422495.7851014251</v>
      </c>
      <c r="P11" s="4">
        <f t="shared" ca="1" si="2"/>
        <v>-44323.10032813414</v>
      </c>
      <c r="Q11" s="19">
        <f t="shared" ca="1" si="3"/>
        <v>3.0217159574649245E-2</v>
      </c>
      <c r="S11" t="s">
        <v>28</v>
      </c>
      <c r="T11" s="4">
        <v>-216631.706472586</v>
      </c>
      <c r="U11" s="4">
        <v>34112.716282946698</v>
      </c>
      <c r="V11" s="214">
        <v>-6.3504678043150298</v>
      </c>
      <c r="W11" s="188">
        <v>3.6233378564353599E-9</v>
      </c>
    </row>
    <row r="12" spans="1:23" x14ac:dyDescent="0.35">
      <c r="A12" s="1">
        <f>MonthlyData!A12</f>
        <v>41944</v>
      </c>
      <c r="B12" s="13">
        <f t="shared" si="4"/>
        <v>2014</v>
      </c>
      <c r="C12" s="13">
        <f t="shared" si="5"/>
        <v>11</v>
      </c>
      <c r="D12" s="4">
        <f>MonthlyData!I12</f>
        <v>1618423.5117314449</v>
      </c>
      <c r="E12" s="200">
        <f ca="1">Weather!CT48</f>
        <v>403.99833333333333</v>
      </c>
      <c r="F12">
        <f>MonthlyData!BP12</f>
        <v>1</v>
      </c>
      <c r="G12" s="4">
        <f>MonthlyData!R12</f>
        <v>754</v>
      </c>
      <c r="H12">
        <f>MonthlyData!BN12</f>
        <v>0</v>
      </c>
      <c r="J12" s="4">
        <f t="shared" si="6"/>
        <v>231360.027765729</v>
      </c>
      <c r="K12" s="4">
        <f t="shared" ca="1" si="0"/>
        <v>261111.20503564039</v>
      </c>
      <c r="L12" s="4">
        <f t="shared" si="7"/>
        <v>-257897.88627322801</v>
      </c>
      <c r="M12" s="4">
        <f t="shared" si="8"/>
        <v>1333973.3169315029</v>
      </c>
      <c r="N12" s="4">
        <f t="shared" si="9"/>
        <v>0</v>
      </c>
      <c r="O12" s="4">
        <f t="shared" ca="1" si="1"/>
        <v>1568546.6634596442</v>
      </c>
      <c r="P12" s="4">
        <f t="shared" ca="1" si="2"/>
        <v>-49876.848271800671</v>
      </c>
      <c r="Q12" s="19">
        <f t="shared" ca="1" si="3"/>
        <v>3.0818168365856668E-2</v>
      </c>
      <c r="T12" s="4"/>
      <c r="U12" s="4"/>
      <c r="V12" s="214"/>
      <c r="W12" s="188"/>
    </row>
    <row r="13" spans="1:23" x14ac:dyDescent="0.35">
      <c r="A13" s="1">
        <f>MonthlyData!A13</f>
        <v>41974</v>
      </c>
      <c r="B13" s="13">
        <f t="shared" si="4"/>
        <v>2014</v>
      </c>
      <c r="C13" s="13">
        <f t="shared" si="5"/>
        <v>12</v>
      </c>
      <c r="D13" s="4">
        <f>MonthlyData!I13</f>
        <v>1844041.9345002228</v>
      </c>
      <c r="E13" s="200">
        <f ca="1">Weather!CT49</f>
        <v>629.70466952460959</v>
      </c>
      <c r="F13">
        <f>MonthlyData!BP13</f>
        <v>0</v>
      </c>
      <c r="G13" s="4">
        <f>MonthlyData!R13</f>
        <v>755</v>
      </c>
      <c r="H13">
        <f>MonthlyData!BN13</f>
        <v>1</v>
      </c>
      <c r="J13" s="4">
        <f t="shared" si="6"/>
        <v>231360.027765729</v>
      </c>
      <c r="K13" s="4">
        <f t="shared" ca="1" si="0"/>
        <v>406989.16681044188</v>
      </c>
      <c r="L13" s="4">
        <f t="shared" si="7"/>
        <v>0</v>
      </c>
      <c r="M13" s="4">
        <f t="shared" si="8"/>
        <v>1335742.5123120488</v>
      </c>
      <c r="N13" s="4">
        <f t="shared" si="9"/>
        <v>-216631.706472586</v>
      </c>
      <c r="O13" s="4">
        <f t="shared" ca="1" si="1"/>
        <v>1757460.0004156339</v>
      </c>
      <c r="P13" s="4">
        <f t="shared" ca="1" si="2"/>
        <v>-86581.934084588895</v>
      </c>
      <c r="Q13" s="19">
        <f t="shared" ca="1" si="3"/>
        <v>4.6952258766314099E-2</v>
      </c>
      <c r="S13" t="s">
        <v>89</v>
      </c>
    </row>
    <row r="14" spans="1:23" x14ac:dyDescent="0.35">
      <c r="A14" s="1">
        <f>MonthlyData!A14</f>
        <v>42005</v>
      </c>
      <c r="B14" s="13">
        <f t="shared" si="4"/>
        <v>2015</v>
      </c>
      <c r="C14" s="13">
        <f t="shared" si="5"/>
        <v>1</v>
      </c>
      <c r="D14" s="4">
        <f>MonthlyData!I14</f>
        <v>2088625.4302792484</v>
      </c>
      <c r="E14" s="4">
        <f ca="1">E2</f>
        <v>793.4846429373913</v>
      </c>
      <c r="F14">
        <f>MonthlyData!BP14</f>
        <v>0</v>
      </c>
      <c r="G14" s="4">
        <f>MonthlyData!R14</f>
        <v>773</v>
      </c>
      <c r="H14">
        <f>MonthlyData!BN14</f>
        <v>0</v>
      </c>
      <c r="J14" s="4">
        <f t="shared" si="6"/>
        <v>231360.027765729</v>
      </c>
      <c r="K14" s="4">
        <f t="shared" ca="1" si="0"/>
        <v>512843.0347352681</v>
      </c>
      <c r="L14" s="4">
        <f t="shared" si="7"/>
        <v>0</v>
      </c>
      <c r="M14" s="4">
        <f t="shared" si="8"/>
        <v>1367588.0291618723</v>
      </c>
      <c r="N14" s="4">
        <f t="shared" si="9"/>
        <v>0</v>
      </c>
      <c r="O14" s="4">
        <f t="shared" ca="1" si="1"/>
        <v>2111791.0916628693</v>
      </c>
      <c r="P14" s="4">
        <f t="shared" ca="1" si="2"/>
        <v>23165.661383620929</v>
      </c>
      <c r="Q14" s="19">
        <f t="shared" ca="1" si="3"/>
        <v>1.1091343161767254E-2</v>
      </c>
      <c r="S14" t="s">
        <v>90</v>
      </c>
      <c r="T14" s="352">
        <v>1221162598655.1299</v>
      </c>
      <c r="U14" t="s">
        <v>91</v>
      </c>
      <c r="V14" s="4">
        <v>98839.773316418505</v>
      </c>
    </row>
    <row r="15" spans="1:23" x14ac:dyDescent="0.35">
      <c r="A15" s="1">
        <f>MonthlyData!A15</f>
        <v>42036</v>
      </c>
      <c r="B15" s="13">
        <f t="shared" si="4"/>
        <v>2015</v>
      </c>
      <c r="C15" s="13">
        <f t="shared" si="5"/>
        <v>2</v>
      </c>
      <c r="D15" s="4">
        <f>MonthlyData!I15</f>
        <v>2271460.7616635598</v>
      </c>
      <c r="E15" s="4">
        <f t="shared" ref="E15:E78" ca="1" si="10">E3</f>
        <v>736.10085614037712</v>
      </c>
      <c r="F15">
        <f>MonthlyData!BP15</f>
        <v>0</v>
      </c>
      <c r="G15" s="4">
        <f>MonthlyData!R15</f>
        <v>775</v>
      </c>
      <c r="H15">
        <f>MonthlyData!BN15</f>
        <v>0</v>
      </c>
      <c r="J15" s="4">
        <f t="shared" si="6"/>
        <v>231360.027765729</v>
      </c>
      <c r="K15" s="4">
        <f t="shared" ca="1" si="0"/>
        <v>475754.88737473451</v>
      </c>
      <c r="L15" s="4">
        <f t="shared" si="7"/>
        <v>0</v>
      </c>
      <c r="M15" s="4">
        <f t="shared" si="8"/>
        <v>1371126.4199229639</v>
      </c>
      <c r="N15" s="4">
        <f t="shared" si="9"/>
        <v>0</v>
      </c>
      <c r="O15" s="4">
        <f t="shared" ca="1" si="1"/>
        <v>2078241.3350634275</v>
      </c>
      <c r="P15" s="4">
        <f t="shared" ca="1" si="2"/>
        <v>-193219.42660013237</v>
      </c>
      <c r="Q15" s="19">
        <f t="shared" ca="1" si="3"/>
        <v>8.5063950855406106E-2</v>
      </c>
      <c r="S15" t="s">
        <v>92</v>
      </c>
      <c r="T15" s="320">
        <v>0.83136346179193399</v>
      </c>
      <c r="U15" t="s">
        <v>93</v>
      </c>
      <c r="V15" s="321">
        <v>0.82596709256927503</v>
      </c>
    </row>
    <row r="16" spans="1:23" x14ac:dyDescent="0.35">
      <c r="A16" s="1">
        <f>MonthlyData!A16</f>
        <v>42064</v>
      </c>
      <c r="B16" s="13">
        <f t="shared" si="4"/>
        <v>2015</v>
      </c>
      <c r="C16" s="13">
        <f t="shared" si="5"/>
        <v>3</v>
      </c>
      <c r="D16" s="4">
        <f>MonthlyData!I16</f>
        <v>2149021.2175834598</v>
      </c>
      <c r="E16" s="4">
        <f t="shared" ca="1" si="10"/>
        <v>577.21697535249291</v>
      </c>
      <c r="F16">
        <f>MonthlyData!BP16</f>
        <v>0</v>
      </c>
      <c r="G16" s="4">
        <f>MonthlyData!R16</f>
        <v>777</v>
      </c>
      <c r="H16">
        <f>MonthlyData!BN16</f>
        <v>0</v>
      </c>
      <c r="J16" s="4">
        <f t="shared" si="6"/>
        <v>231360.027765729</v>
      </c>
      <c r="K16" s="4">
        <f t="shared" ca="1" si="0"/>
        <v>373065.44994323485</v>
      </c>
      <c r="L16" s="4">
        <f t="shared" si="7"/>
        <v>0</v>
      </c>
      <c r="M16" s="4">
        <f t="shared" si="8"/>
        <v>1374664.8106840556</v>
      </c>
      <c r="N16" s="4">
        <f t="shared" si="9"/>
        <v>0</v>
      </c>
      <c r="O16" s="4">
        <f t="shared" ca="1" si="1"/>
        <v>1979090.2883930195</v>
      </c>
      <c r="P16" s="4">
        <f t="shared" ca="1" si="2"/>
        <v>-169930.92919044034</v>
      </c>
      <c r="Q16" s="19">
        <f t="shared" ca="1" si="3"/>
        <v>7.9073639571378904E-2</v>
      </c>
      <c r="S16" t="s">
        <v>493</v>
      </c>
      <c r="T16" s="2">
        <v>136.07786336905301</v>
      </c>
      <c r="U16" t="s">
        <v>94</v>
      </c>
      <c r="V16" s="321">
        <v>1.4779865939347099E-44</v>
      </c>
    </row>
    <row r="17" spans="1:22" x14ac:dyDescent="0.35">
      <c r="A17" s="1">
        <f>MonthlyData!A17</f>
        <v>42095</v>
      </c>
      <c r="B17" s="13">
        <f t="shared" si="4"/>
        <v>2015</v>
      </c>
      <c r="C17" s="13">
        <f t="shared" si="5"/>
        <v>4</v>
      </c>
      <c r="D17" s="4">
        <f>MonthlyData!I17</f>
        <v>2012954.0877685912</v>
      </c>
      <c r="E17" s="4">
        <f t="shared" ca="1" si="10"/>
        <v>307.33082472275549</v>
      </c>
      <c r="F17">
        <f>MonthlyData!BP17</f>
        <v>0</v>
      </c>
      <c r="G17" s="4">
        <f>MonthlyData!R17</f>
        <v>787</v>
      </c>
      <c r="H17">
        <f>MonthlyData!BN17</f>
        <v>0</v>
      </c>
      <c r="J17" s="4">
        <f t="shared" si="6"/>
        <v>231360.027765729</v>
      </c>
      <c r="K17" s="4">
        <f t="shared" ca="1" si="0"/>
        <v>198633.29961251293</v>
      </c>
      <c r="L17" s="4">
        <f t="shared" si="7"/>
        <v>0</v>
      </c>
      <c r="M17" s="4">
        <f t="shared" si="8"/>
        <v>1392356.7644895131</v>
      </c>
      <c r="N17" s="4">
        <f t="shared" si="9"/>
        <v>0</v>
      </c>
      <c r="O17" s="4">
        <f t="shared" ca="1" si="1"/>
        <v>1822350.0918677552</v>
      </c>
      <c r="P17" s="4">
        <f t="shared" ca="1" si="2"/>
        <v>-190603.99590083607</v>
      </c>
      <c r="Q17" s="19">
        <f t="shared" ca="1" si="3"/>
        <v>9.4688695116799837E-2</v>
      </c>
      <c r="S17" t="s">
        <v>95</v>
      </c>
      <c r="T17" s="2">
        <v>-1.23905836965604E-2</v>
      </c>
      <c r="U17" t="s">
        <v>96</v>
      </c>
      <c r="V17" s="18">
        <v>2.0184068262140098</v>
      </c>
    </row>
    <row r="18" spans="1:22" x14ac:dyDescent="0.35">
      <c r="A18" s="1">
        <f>MonthlyData!A18</f>
        <v>42125</v>
      </c>
      <c r="B18" s="13">
        <f t="shared" si="4"/>
        <v>2015</v>
      </c>
      <c r="C18" s="13">
        <f t="shared" si="5"/>
        <v>5</v>
      </c>
      <c r="D18" s="4">
        <f>MonthlyData!I18</f>
        <v>1708852.760392617</v>
      </c>
      <c r="E18" s="4">
        <f t="shared" ca="1" si="10"/>
        <v>103.00647094808046</v>
      </c>
      <c r="F18">
        <f>MonthlyData!BP18</f>
        <v>0</v>
      </c>
      <c r="G18" s="4">
        <f>MonthlyData!R18</f>
        <v>779</v>
      </c>
      <c r="H18">
        <f>MonthlyData!BN18</f>
        <v>0</v>
      </c>
      <c r="J18" s="4">
        <f t="shared" si="6"/>
        <v>231360.027765729</v>
      </c>
      <c r="K18" s="4">
        <f t="shared" ca="1" si="0"/>
        <v>66574.887905615062</v>
      </c>
      <c r="L18" s="4">
        <f t="shared" si="7"/>
        <v>0</v>
      </c>
      <c r="M18" s="4">
        <f t="shared" si="8"/>
        <v>1378203.2014451469</v>
      </c>
      <c r="N18" s="4">
        <f t="shared" si="9"/>
        <v>0</v>
      </c>
      <c r="O18" s="4">
        <f t="shared" ca="1" si="1"/>
        <v>1676138.1171164908</v>
      </c>
      <c r="P18" s="4">
        <f t="shared" ca="1" si="2"/>
        <v>-32714.643276126124</v>
      </c>
      <c r="Q18" s="19">
        <f t="shared" ca="1" si="3"/>
        <v>1.9144214197020566E-2</v>
      </c>
      <c r="T18" s="2"/>
      <c r="V18" s="322"/>
    </row>
    <row r="19" spans="1:22" x14ac:dyDescent="0.35">
      <c r="A19" s="1">
        <f>MonthlyData!A19</f>
        <v>42156</v>
      </c>
      <c r="B19" s="13">
        <f t="shared" si="4"/>
        <v>2015</v>
      </c>
      <c r="C19" s="13">
        <f t="shared" si="5"/>
        <v>6</v>
      </c>
      <c r="D19" s="4">
        <f>MonthlyData!I19</f>
        <v>1524615.2486536917</v>
      </c>
      <c r="E19" s="4">
        <f t="shared" ca="1" si="10"/>
        <v>5.5889105735385218</v>
      </c>
      <c r="F19">
        <f>MonthlyData!BP19</f>
        <v>0</v>
      </c>
      <c r="G19" s="4">
        <f>MonthlyData!R19</f>
        <v>779</v>
      </c>
      <c r="H19">
        <f>MonthlyData!BN19</f>
        <v>0</v>
      </c>
      <c r="J19" s="4">
        <f t="shared" si="6"/>
        <v>231360.027765729</v>
      </c>
      <c r="K19" s="4">
        <f t="shared" ca="1" si="0"/>
        <v>3612.2108788231194</v>
      </c>
      <c r="L19" s="4">
        <f t="shared" si="7"/>
        <v>0</v>
      </c>
      <c r="M19" s="4">
        <f t="shared" si="8"/>
        <v>1378203.2014451469</v>
      </c>
      <c r="N19" s="4">
        <f t="shared" si="9"/>
        <v>0</v>
      </c>
      <c r="O19" s="4">
        <f t="shared" ca="1" si="1"/>
        <v>1613175.4400896991</v>
      </c>
      <c r="P19" s="4">
        <f t="shared" ca="1" si="2"/>
        <v>88560.191436007386</v>
      </c>
      <c r="Q19" s="19">
        <f t="shared" ca="1" si="3"/>
        <v>5.808691177279663E-2</v>
      </c>
      <c r="S19" t="s">
        <v>97</v>
      </c>
    </row>
    <row r="20" spans="1:22" x14ac:dyDescent="0.35">
      <c r="A20" s="1">
        <f>MonthlyData!A20</f>
        <v>42186</v>
      </c>
      <c r="B20" s="13">
        <f t="shared" si="4"/>
        <v>2015</v>
      </c>
      <c r="C20" s="13">
        <f t="shared" si="5"/>
        <v>7</v>
      </c>
      <c r="D20" s="4">
        <f>MonthlyData!I20</f>
        <v>1563317.894211811</v>
      </c>
      <c r="E20" s="4">
        <f t="shared" ca="1" si="10"/>
        <v>0.28709633857318684</v>
      </c>
      <c r="F20">
        <f>MonthlyData!BP20</f>
        <v>0</v>
      </c>
      <c r="G20" s="4">
        <f>MonthlyData!R20</f>
        <v>779</v>
      </c>
      <c r="H20">
        <f>MonthlyData!BN20</f>
        <v>0</v>
      </c>
      <c r="J20" s="4">
        <f t="shared" si="6"/>
        <v>231360.027765729</v>
      </c>
      <c r="K20" s="4">
        <f t="shared" ca="1" si="0"/>
        <v>185.55539649791879</v>
      </c>
      <c r="L20" s="4">
        <f t="shared" si="7"/>
        <v>0</v>
      </c>
      <c r="M20" s="4">
        <f t="shared" si="8"/>
        <v>1378203.2014451469</v>
      </c>
      <c r="N20" s="4">
        <f t="shared" si="9"/>
        <v>0</v>
      </c>
      <c r="O20" s="4">
        <f t="shared" ca="1" si="1"/>
        <v>1609748.7846073739</v>
      </c>
      <c r="P20" s="4">
        <f t="shared" ca="1" si="2"/>
        <v>46430.890395562863</v>
      </c>
      <c r="Q20" s="19">
        <f t="shared" ca="1" si="3"/>
        <v>2.9700223203145928E-2</v>
      </c>
      <c r="S20" t="s">
        <v>98</v>
      </c>
      <c r="T20">
        <v>1663202.75209453</v>
      </c>
      <c r="U20" t="s">
        <v>99</v>
      </c>
      <c r="V20">
        <v>236789.90872694799</v>
      </c>
    </row>
    <row r="21" spans="1:22" x14ac:dyDescent="0.35">
      <c r="A21" s="1">
        <f>MonthlyData!A21</f>
        <v>42217</v>
      </c>
      <c r="B21" s="13">
        <f t="shared" si="4"/>
        <v>2015</v>
      </c>
      <c r="C21" s="13">
        <f t="shared" si="5"/>
        <v>8</v>
      </c>
      <c r="D21" s="4">
        <f>MonthlyData!I21</f>
        <v>1688131.7835848934</v>
      </c>
      <c r="E21" s="4">
        <f t="shared" ca="1" si="10"/>
        <v>1.6761707873342053</v>
      </c>
      <c r="F21">
        <f>MonthlyData!BP21</f>
        <v>0</v>
      </c>
      <c r="G21" s="4">
        <f>MonthlyData!R21</f>
        <v>779</v>
      </c>
      <c r="H21">
        <f>MonthlyData!BN21</f>
        <v>0</v>
      </c>
      <c r="J21" s="4">
        <f t="shared" si="6"/>
        <v>231360.027765729</v>
      </c>
      <c r="K21" s="4">
        <f t="shared" ca="1" si="0"/>
        <v>1083.3385635907057</v>
      </c>
      <c r="L21" s="4">
        <f t="shared" si="7"/>
        <v>0</v>
      </c>
      <c r="M21" s="4">
        <f t="shared" si="8"/>
        <v>1378203.2014451469</v>
      </c>
      <c r="N21" s="4">
        <f t="shared" si="9"/>
        <v>0</v>
      </c>
      <c r="O21" s="4">
        <f t="shared" ca="1" si="1"/>
        <v>1610646.5677744667</v>
      </c>
      <c r="P21" s="4">
        <f t="shared" ca="1" si="2"/>
        <v>-77485.215810426744</v>
      </c>
      <c r="Q21" s="19">
        <f t="shared" ca="1" si="3"/>
        <v>4.5899980418519344E-2</v>
      </c>
      <c r="T21" s="4"/>
      <c r="V21" s="4"/>
    </row>
    <row r="22" spans="1:22" x14ac:dyDescent="0.35">
      <c r="A22" s="1">
        <f>MonthlyData!A22</f>
        <v>42248</v>
      </c>
      <c r="B22" s="13">
        <f t="shared" si="4"/>
        <v>2015</v>
      </c>
      <c r="C22" s="13">
        <f t="shared" si="5"/>
        <v>9</v>
      </c>
      <c r="D22" s="4">
        <f>MonthlyData!I22</f>
        <v>1554593.7754356791</v>
      </c>
      <c r="E22" s="4">
        <f t="shared" ca="1" si="10"/>
        <v>28.222326899712005</v>
      </c>
      <c r="F22">
        <f>MonthlyData!BP22</f>
        <v>0</v>
      </c>
      <c r="G22" s="4">
        <f>MonthlyData!R22</f>
        <v>778</v>
      </c>
      <c r="H22">
        <f>MonthlyData!BN22</f>
        <v>0</v>
      </c>
      <c r="J22" s="4">
        <f t="shared" si="6"/>
        <v>231360.027765729</v>
      </c>
      <c r="K22" s="4">
        <f t="shared" ca="1" si="0"/>
        <v>18240.584620465193</v>
      </c>
      <c r="L22" s="4">
        <f t="shared" si="7"/>
        <v>0</v>
      </c>
      <c r="M22" s="4">
        <f t="shared" si="8"/>
        <v>1376434.0060646012</v>
      </c>
      <c r="N22" s="4">
        <f t="shared" si="9"/>
        <v>0</v>
      </c>
      <c r="O22" s="4">
        <f t="shared" ca="1" si="1"/>
        <v>1626034.6184507955</v>
      </c>
      <c r="P22" s="4">
        <f t="shared" ca="1" si="2"/>
        <v>71440.843015116407</v>
      </c>
      <c r="Q22" s="19">
        <f t="shared" ca="1" si="3"/>
        <v>4.5954669408794536E-2</v>
      </c>
    </row>
    <row r="23" spans="1:22" x14ac:dyDescent="0.35">
      <c r="A23" s="1">
        <f>MonthlyData!A23</f>
        <v>42278</v>
      </c>
      <c r="B23" s="13">
        <f t="shared" si="4"/>
        <v>2015</v>
      </c>
      <c r="C23" s="13">
        <f t="shared" si="5"/>
        <v>10</v>
      </c>
      <c r="D23" s="4">
        <f>MonthlyData!I23</f>
        <v>1529845.3402909415</v>
      </c>
      <c r="E23" s="4">
        <f t="shared" ca="1" si="10"/>
        <v>178.0244559176316</v>
      </c>
      <c r="F23">
        <f>MonthlyData!BP23</f>
        <v>1</v>
      </c>
      <c r="G23" s="4">
        <f>MonthlyData!R23</f>
        <v>777</v>
      </c>
      <c r="H23">
        <f>MonthlyData!BN23</f>
        <v>0</v>
      </c>
      <c r="J23" s="4">
        <f t="shared" si="6"/>
        <v>231360.027765729</v>
      </c>
      <c r="K23" s="4">
        <f t="shared" ca="1" si="0"/>
        <v>115060.32667742118</v>
      </c>
      <c r="L23" s="4">
        <f t="shared" si="7"/>
        <v>-257897.88627322801</v>
      </c>
      <c r="M23" s="4">
        <f t="shared" si="8"/>
        <v>1374664.8106840556</v>
      </c>
      <c r="N23" s="4">
        <f t="shared" si="9"/>
        <v>0</v>
      </c>
      <c r="O23" s="4">
        <f t="shared" ca="1" si="1"/>
        <v>1463187.2788539778</v>
      </c>
      <c r="P23" s="4">
        <f t="shared" ca="1" si="2"/>
        <v>-66658.061436963733</v>
      </c>
      <c r="Q23" s="19">
        <f t="shared" ca="1" si="3"/>
        <v>4.3571764858457457E-2</v>
      </c>
    </row>
    <row r="24" spans="1:22" x14ac:dyDescent="0.35">
      <c r="A24" s="1">
        <f>MonthlyData!A24</f>
        <v>42309</v>
      </c>
      <c r="B24" s="13">
        <f t="shared" si="4"/>
        <v>2015</v>
      </c>
      <c r="C24" s="13">
        <f t="shared" si="5"/>
        <v>11</v>
      </c>
      <c r="D24" s="4">
        <f>MonthlyData!I24</f>
        <v>1630921.2126257729</v>
      </c>
      <c r="E24" s="4">
        <f t="shared" ca="1" si="10"/>
        <v>403.99833333333333</v>
      </c>
      <c r="F24">
        <f>MonthlyData!BP24</f>
        <v>1</v>
      </c>
      <c r="G24" s="4">
        <f>MonthlyData!R24</f>
        <v>775</v>
      </c>
      <c r="H24">
        <f>MonthlyData!BN24</f>
        <v>0</v>
      </c>
      <c r="J24" s="4">
        <f t="shared" si="6"/>
        <v>231360.027765729</v>
      </c>
      <c r="K24" s="4">
        <f t="shared" ca="1" si="0"/>
        <v>261111.20503564039</v>
      </c>
      <c r="L24" s="4">
        <f t="shared" si="7"/>
        <v>-257897.88627322801</v>
      </c>
      <c r="M24" s="4">
        <f t="shared" si="8"/>
        <v>1371126.4199229639</v>
      </c>
      <c r="N24" s="4">
        <f t="shared" si="9"/>
        <v>0</v>
      </c>
      <c r="O24" s="4">
        <f t="shared" ca="1" si="1"/>
        <v>1605699.7664511052</v>
      </c>
      <c r="P24" s="4">
        <f t="shared" ca="1" si="2"/>
        <v>-25221.446174667682</v>
      </c>
      <c r="Q24" s="19">
        <f t="shared" ca="1" si="3"/>
        <v>1.5464539905064642E-2</v>
      </c>
    </row>
    <row r="25" spans="1:22" x14ac:dyDescent="0.35">
      <c r="A25" s="1">
        <f>MonthlyData!A25</f>
        <v>42339</v>
      </c>
      <c r="B25" s="13">
        <f t="shared" si="4"/>
        <v>2015</v>
      </c>
      <c r="C25" s="13">
        <f t="shared" si="5"/>
        <v>12</v>
      </c>
      <c r="D25" s="4">
        <f>MonthlyData!I25</f>
        <v>1696511.6711992016</v>
      </c>
      <c r="E25" s="4">
        <f t="shared" ca="1" si="10"/>
        <v>629.70466952460959</v>
      </c>
      <c r="F25">
        <f>MonthlyData!BP25</f>
        <v>0</v>
      </c>
      <c r="G25" s="4">
        <f>MonthlyData!R25</f>
        <v>777</v>
      </c>
      <c r="H25">
        <f>MonthlyData!BN25</f>
        <v>1</v>
      </c>
      <c r="J25" s="4">
        <f t="shared" si="6"/>
        <v>231360.027765729</v>
      </c>
      <c r="K25" s="4">
        <f t="shared" ca="1" si="0"/>
        <v>406989.16681044188</v>
      </c>
      <c r="L25" s="4">
        <f t="shared" si="7"/>
        <v>0</v>
      </c>
      <c r="M25" s="4">
        <f t="shared" si="8"/>
        <v>1374664.8106840556</v>
      </c>
      <c r="N25" s="4">
        <f t="shared" si="9"/>
        <v>-216631.706472586</v>
      </c>
      <c r="O25" s="4">
        <f t="shared" ca="1" si="1"/>
        <v>1796382.2987876404</v>
      </c>
      <c r="P25" s="4">
        <f t="shared" ca="1" si="2"/>
        <v>99870.627588438801</v>
      </c>
      <c r="Q25" s="19">
        <f t="shared" ca="1" si="3"/>
        <v>5.8868223121532628E-2</v>
      </c>
    </row>
    <row r="26" spans="1:22" x14ac:dyDescent="0.35">
      <c r="A26" s="1">
        <f>MonthlyData!A26</f>
        <v>42370</v>
      </c>
      <c r="B26" s="13">
        <f t="shared" si="4"/>
        <v>2016</v>
      </c>
      <c r="C26" s="13">
        <f t="shared" si="5"/>
        <v>1</v>
      </c>
      <c r="D26" s="4">
        <f>MonthlyData!I26</f>
        <v>1857127.1592694875</v>
      </c>
      <c r="E26" s="4">
        <f t="shared" ca="1" si="10"/>
        <v>793.4846429373913</v>
      </c>
      <c r="F26">
        <f>MonthlyData!BP26</f>
        <v>0</v>
      </c>
      <c r="G26" s="4">
        <f>MonthlyData!R26</f>
        <v>727</v>
      </c>
      <c r="H26">
        <f>MonthlyData!BN26</f>
        <v>0</v>
      </c>
      <c r="J26" s="4">
        <f t="shared" si="6"/>
        <v>231360.027765729</v>
      </c>
      <c r="K26" s="4">
        <f t="shared" ca="1" si="0"/>
        <v>512843.0347352681</v>
      </c>
      <c r="L26" s="4">
        <f t="shared" si="7"/>
        <v>0</v>
      </c>
      <c r="M26" s="4">
        <f t="shared" si="8"/>
        <v>1286205.0416567675</v>
      </c>
      <c r="N26" s="4">
        <f t="shared" si="9"/>
        <v>0</v>
      </c>
      <c r="O26" s="4">
        <f t="shared" ca="1" si="1"/>
        <v>2030408.1041577645</v>
      </c>
      <c r="P26" s="4">
        <f t="shared" ca="1" si="2"/>
        <v>173280.94488827698</v>
      </c>
      <c r="Q26" s="19">
        <f t="shared" ca="1" si="3"/>
        <v>9.3305912857597817E-2</v>
      </c>
    </row>
    <row r="27" spans="1:22" x14ac:dyDescent="0.35">
      <c r="A27" s="1">
        <f>MonthlyData!A27</f>
        <v>42401</v>
      </c>
      <c r="B27" s="13">
        <f t="shared" si="4"/>
        <v>2016</v>
      </c>
      <c r="C27" s="13">
        <f t="shared" si="5"/>
        <v>2</v>
      </c>
      <c r="D27" s="4">
        <f>MonthlyData!I27</f>
        <v>2011309.3943050592</v>
      </c>
      <c r="E27" s="4">
        <f t="shared" ca="1" si="10"/>
        <v>736.10085614037712</v>
      </c>
      <c r="F27">
        <f>MonthlyData!BP27</f>
        <v>0</v>
      </c>
      <c r="G27" s="4">
        <f>MonthlyData!R27</f>
        <v>725</v>
      </c>
      <c r="H27">
        <f>MonthlyData!BN27</f>
        <v>0</v>
      </c>
      <c r="J27" s="4">
        <f t="shared" si="6"/>
        <v>231360.027765729</v>
      </c>
      <c r="K27" s="4">
        <f t="shared" ca="1" si="0"/>
        <v>475754.88737473451</v>
      </c>
      <c r="L27" s="4">
        <f t="shared" si="7"/>
        <v>0</v>
      </c>
      <c r="M27" s="4">
        <f t="shared" si="8"/>
        <v>1282666.6508956759</v>
      </c>
      <c r="N27" s="4">
        <f t="shared" si="9"/>
        <v>0</v>
      </c>
      <c r="O27" s="4">
        <f t="shared" ca="1" si="1"/>
        <v>1989781.5660361394</v>
      </c>
      <c r="P27" s="4">
        <f t="shared" ca="1" si="2"/>
        <v>-21527.828268919839</v>
      </c>
      <c r="Q27" s="19">
        <f t="shared" ca="1" si="3"/>
        <v>1.0703389707160425E-2</v>
      </c>
    </row>
    <row r="28" spans="1:22" x14ac:dyDescent="0.35">
      <c r="A28" s="1">
        <f>MonthlyData!A28</f>
        <v>42430</v>
      </c>
      <c r="B28" s="13">
        <f t="shared" si="4"/>
        <v>2016</v>
      </c>
      <c r="C28" s="13">
        <f t="shared" si="5"/>
        <v>3</v>
      </c>
      <c r="D28" s="4">
        <f>MonthlyData!I28</f>
        <v>1960350.4018039089</v>
      </c>
      <c r="E28" s="4">
        <f t="shared" ca="1" si="10"/>
        <v>577.21697535249291</v>
      </c>
      <c r="F28">
        <f>MonthlyData!BP28</f>
        <v>0</v>
      </c>
      <c r="G28" s="4">
        <f>MonthlyData!R28</f>
        <v>725</v>
      </c>
      <c r="H28">
        <f>MonthlyData!BN28</f>
        <v>0</v>
      </c>
      <c r="J28" s="4">
        <f t="shared" si="6"/>
        <v>231360.027765729</v>
      </c>
      <c r="K28" s="4">
        <f t="shared" ca="1" si="0"/>
        <v>373065.44994323485</v>
      </c>
      <c r="L28" s="4">
        <f t="shared" si="7"/>
        <v>0</v>
      </c>
      <c r="M28" s="4">
        <f t="shared" si="8"/>
        <v>1282666.6508956759</v>
      </c>
      <c r="N28" s="4">
        <f t="shared" si="9"/>
        <v>0</v>
      </c>
      <c r="O28" s="4">
        <f t="shared" ca="1" si="1"/>
        <v>1887092.1286046398</v>
      </c>
      <c r="P28" s="4">
        <f t="shared" ca="1" si="2"/>
        <v>-73258.273199269082</v>
      </c>
      <c r="Q28" s="19">
        <f t="shared" ca="1" si="3"/>
        <v>3.7369989126360789E-2</v>
      </c>
    </row>
    <row r="29" spans="1:22" x14ac:dyDescent="0.35">
      <c r="A29" s="1">
        <f>MonthlyData!A29</f>
        <v>42461</v>
      </c>
      <c r="B29" s="13">
        <f t="shared" si="4"/>
        <v>2016</v>
      </c>
      <c r="C29" s="13">
        <f t="shared" si="5"/>
        <v>4</v>
      </c>
      <c r="D29" s="4">
        <f>MonthlyData!I29</f>
        <v>1839148.3649771539</v>
      </c>
      <c r="E29" s="4">
        <f t="shared" ca="1" si="10"/>
        <v>307.33082472275549</v>
      </c>
      <c r="F29">
        <f>MonthlyData!BP29</f>
        <v>0</v>
      </c>
      <c r="G29" s="4">
        <f>MonthlyData!R29</f>
        <v>718</v>
      </c>
      <c r="H29">
        <f>MonthlyData!BN29</f>
        <v>0</v>
      </c>
      <c r="J29" s="4">
        <f t="shared" si="6"/>
        <v>231360.027765729</v>
      </c>
      <c r="K29" s="4">
        <f t="shared" ca="1" si="0"/>
        <v>198633.29961251293</v>
      </c>
      <c r="L29" s="4">
        <f t="shared" si="7"/>
        <v>0</v>
      </c>
      <c r="M29" s="4">
        <f t="shared" si="8"/>
        <v>1270282.2832318556</v>
      </c>
      <c r="N29" s="4">
        <f t="shared" si="9"/>
        <v>0</v>
      </c>
      <c r="O29" s="4">
        <f t="shared" ca="1" si="1"/>
        <v>1700275.6106100976</v>
      </c>
      <c r="P29" s="4">
        <f t="shared" ca="1" si="2"/>
        <v>-138872.7543670563</v>
      </c>
      <c r="Q29" s="19">
        <f t="shared" ca="1" si="3"/>
        <v>7.5509272123775284E-2</v>
      </c>
    </row>
    <row r="30" spans="1:22" x14ac:dyDescent="0.35">
      <c r="A30" s="1">
        <f>MonthlyData!A30</f>
        <v>42491</v>
      </c>
      <c r="B30" s="13">
        <f t="shared" si="4"/>
        <v>2016</v>
      </c>
      <c r="C30" s="13">
        <f t="shared" si="5"/>
        <v>5</v>
      </c>
      <c r="D30" s="4">
        <f>MonthlyData!I30</f>
        <v>1667164.9233758217</v>
      </c>
      <c r="E30" s="4">
        <f t="shared" ca="1" si="10"/>
        <v>103.00647094808046</v>
      </c>
      <c r="F30">
        <f>MonthlyData!BP30</f>
        <v>0</v>
      </c>
      <c r="G30" s="4">
        <f>MonthlyData!R30</f>
        <v>721</v>
      </c>
      <c r="H30">
        <f>MonthlyData!BN30</f>
        <v>0</v>
      </c>
      <c r="J30" s="4">
        <f t="shared" si="6"/>
        <v>231360.027765729</v>
      </c>
      <c r="K30" s="4">
        <f t="shared" ca="1" si="0"/>
        <v>66574.887905615062</v>
      </c>
      <c r="L30" s="4">
        <f t="shared" si="7"/>
        <v>0</v>
      </c>
      <c r="M30" s="4">
        <f t="shared" si="8"/>
        <v>1275589.8693734929</v>
      </c>
      <c r="N30" s="4">
        <f t="shared" si="9"/>
        <v>0</v>
      </c>
      <c r="O30" s="4">
        <f t="shared" ca="1" si="1"/>
        <v>1573524.7850448368</v>
      </c>
      <c r="P30" s="4">
        <f t="shared" ca="1" si="2"/>
        <v>-93640.138330984861</v>
      </c>
      <c r="Q30" s="19">
        <f t="shared" ca="1" si="3"/>
        <v>5.6167291560677811E-2</v>
      </c>
    </row>
    <row r="31" spans="1:22" x14ac:dyDescent="0.35">
      <c r="A31" s="1">
        <f>MonthlyData!A31</f>
        <v>42522</v>
      </c>
      <c r="B31" s="13">
        <f t="shared" si="4"/>
        <v>2016</v>
      </c>
      <c r="C31" s="13">
        <f t="shared" si="5"/>
        <v>6</v>
      </c>
      <c r="D31" s="4">
        <f>MonthlyData!I31</f>
        <v>1511413.4979751017</v>
      </c>
      <c r="E31" s="4">
        <f t="shared" ca="1" si="10"/>
        <v>5.5889105735385218</v>
      </c>
      <c r="F31">
        <f>MonthlyData!BP31</f>
        <v>0</v>
      </c>
      <c r="G31" s="4">
        <f>MonthlyData!R31</f>
        <v>727</v>
      </c>
      <c r="H31">
        <f>MonthlyData!BN31</f>
        <v>0</v>
      </c>
      <c r="J31" s="4">
        <f t="shared" si="6"/>
        <v>231360.027765729</v>
      </c>
      <c r="K31" s="4">
        <f t="shared" ca="1" si="0"/>
        <v>3612.2108788231194</v>
      </c>
      <c r="L31" s="4">
        <f t="shared" si="7"/>
        <v>0</v>
      </c>
      <c r="M31" s="4">
        <f t="shared" si="8"/>
        <v>1286205.0416567675</v>
      </c>
      <c r="N31" s="4">
        <f t="shared" si="9"/>
        <v>0</v>
      </c>
      <c r="O31" s="4">
        <f t="shared" ca="1" si="1"/>
        <v>1521177.2803013197</v>
      </c>
      <c r="P31" s="4">
        <f t="shared" ca="1" si="2"/>
        <v>9763.7823262179736</v>
      </c>
      <c r="Q31" s="19">
        <f t="shared" ca="1" si="3"/>
        <v>6.4600338287959481E-3</v>
      </c>
    </row>
    <row r="32" spans="1:22" x14ac:dyDescent="0.35">
      <c r="A32" s="1">
        <f>MonthlyData!A32</f>
        <v>42552</v>
      </c>
      <c r="B32" s="13">
        <f t="shared" si="4"/>
        <v>2016</v>
      </c>
      <c r="C32" s="13">
        <f t="shared" si="5"/>
        <v>7</v>
      </c>
      <c r="D32" s="4">
        <f>MonthlyData!I32</f>
        <v>1505259.8435043502</v>
      </c>
      <c r="E32" s="4">
        <f t="shared" ca="1" si="10"/>
        <v>0.28709633857318684</v>
      </c>
      <c r="F32">
        <f>MonthlyData!BP32</f>
        <v>0</v>
      </c>
      <c r="G32" s="4">
        <f>MonthlyData!R32</f>
        <v>722</v>
      </c>
      <c r="H32">
        <f>MonthlyData!BN32</f>
        <v>0</v>
      </c>
      <c r="J32" s="4">
        <f t="shared" si="6"/>
        <v>231360.027765729</v>
      </c>
      <c r="K32" s="4">
        <f t="shared" ca="1" si="0"/>
        <v>185.55539649791879</v>
      </c>
      <c r="L32" s="4">
        <f t="shared" si="7"/>
        <v>0</v>
      </c>
      <c r="M32" s="4">
        <f t="shared" si="8"/>
        <v>1277359.0647540386</v>
      </c>
      <c r="N32" s="4">
        <f t="shared" si="9"/>
        <v>0</v>
      </c>
      <c r="O32" s="4">
        <f t="shared" ca="1" si="1"/>
        <v>1508904.6479162655</v>
      </c>
      <c r="P32" s="4">
        <f t="shared" ca="1" si="2"/>
        <v>3644.8044119153637</v>
      </c>
      <c r="Q32" s="19">
        <f t="shared" ca="1" si="3"/>
        <v>2.4213788919194203E-3</v>
      </c>
    </row>
    <row r="33" spans="1:17" x14ac:dyDescent="0.35">
      <c r="A33" s="1">
        <f>MonthlyData!A33</f>
        <v>42583</v>
      </c>
      <c r="B33" s="13">
        <f t="shared" si="4"/>
        <v>2016</v>
      </c>
      <c r="C33" s="13">
        <f t="shared" si="5"/>
        <v>8</v>
      </c>
      <c r="D33" s="4">
        <f>MonthlyData!I33</f>
        <v>1559834.2272254154</v>
      </c>
      <c r="E33" s="4">
        <f t="shared" ca="1" si="10"/>
        <v>1.6761707873342053</v>
      </c>
      <c r="F33">
        <f>MonthlyData!BP33</f>
        <v>0</v>
      </c>
      <c r="G33" s="4">
        <f>MonthlyData!R33</f>
        <v>715</v>
      </c>
      <c r="H33">
        <f>MonthlyData!BN33</f>
        <v>0</v>
      </c>
      <c r="J33" s="4">
        <f t="shared" si="6"/>
        <v>231360.027765729</v>
      </c>
      <c r="K33" s="4">
        <f t="shared" ca="1" si="0"/>
        <v>1083.3385635907057</v>
      </c>
      <c r="L33" s="4">
        <f t="shared" si="7"/>
        <v>0</v>
      </c>
      <c r="M33" s="4">
        <f t="shared" si="8"/>
        <v>1264974.6970902183</v>
      </c>
      <c r="N33" s="4">
        <f t="shared" si="9"/>
        <v>0</v>
      </c>
      <c r="O33" s="4">
        <f t="shared" ca="1" si="1"/>
        <v>1497418.0634195381</v>
      </c>
      <c r="P33" s="4">
        <f t="shared" ca="1" si="2"/>
        <v>-62416.163805877324</v>
      </c>
      <c r="Q33" s="19">
        <f t="shared" ca="1" si="3"/>
        <v>4.0014613550890761E-2</v>
      </c>
    </row>
    <row r="34" spans="1:17" x14ac:dyDescent="0.35">
      <c r="A34" s="1">
        <f>MonthlyData!A34</f>
        <v>42614</v>
      </c>
      <c r="B34" s="13">
        <f t="shared" si="4"/>
        <v>2016</v>
      </c>
      <c r="C34" s="13">
        <f t="shared" si="5"/>
        <v>9</v>
      </c>
      <c r="D34" s="4">
        <f>MonthlyData!I34</f>
        <v>1577634.3707311191</v>
      </c>
      <c r="E34" s="4">
        <f t="shared" ca="1" si="10"/>
        <v>28.222326899712005</v>
      </c>
      <c r="F34">
        <f>MonthlyData!BP34</f>
        <v>0</v>
      </c>
      <c r="G34" s="4">
        <f>MonthlyData!R34</f>
        <v>716</v>
      </c>
      <c r="H34">
        <f>MonthlyData!BN34</f>
        <v>0</v>
      </c>
      <c r="J34" s="4">
        <f t="shared" si="6"/>
        <v>231360.027765729</v>
      </c>
      <c r="K34" s="4">
        <f t="shared" ref="K34:K65" ca="1" si="11">E34*$T$8</f>
        <v>18240.584620465193</v>
      </c>
      <c r="L34" s="4">
        <f t="shared" si="7"/>
        <v>0</v>
      </c>
      <c r="M34" s="4">
        <f t="shared" si="8"/>
        <v>1266743.892470764</v>
      </c>
      <c r="N34" s="4">
        <f t="shared" si="9"/>
        <v>0</v>
      </c>
      <c r="O34" s="4">
        <f t="shared" ref="O34:O65" ca="1" si="12">SUM(J34:N34)</f>
        <v>1516344.5048569583</v>
      </c>
      <c r="P34" s="4">
        <f t="shared" ref="P34:P65" ca="1" si="13">O34-D34</f>
        <v>-61289.86587416078</v>
      </c>
      <c r="Q34" s="19">
        <f t="shared" ref="Q34:Q65" ca="1" si="14">ABS(P34/D34)</f>
        <v>3.8849220713768659E-2</v>
      </c>
    </row>
    <row r="35" spans="1:17" x14ac:dyDescent="0.35">
      <c r="A35" s="1">
        <f>MonthlyData!A35</f>
        <v>42644</v>
      </c>
      <c r="B35" s="13">
        <f t="shared" si="4"/>
        <v>2016</v>
      </c>
      <c r="C35" s="13">
        <f t="shared" si="5"/>
        <v>10</v>
      </c>
      <c r="D35" s="4">
        <f>MonthlyData!I35</f>
        <v>1390360.00192424</v>
      </c>
      <c r="E35" s="4">
        <f t="shared" ca="1" si="10"/>
        <v>178.0244559176316</v>
      </c>
      <c r="F35">
        <f>MonthlyData!BP35</f>
        <v>1</v>
      </c>
      <c r="G35" s="4">
        <f>MonthlyData!R35</f>
        <v>741</v>
      </c>
      <c r="H35">
        <f>MonthlyData!BN35</f>
        <v>0</v>
      </c>
      <c r="J35" s="4">
        <f t="shared" si="6"/>
        <v>231360.027765729</v>
      </c>
      <c r="K35" s="4">
        <f t="shared" ca="1" si="11"/>
        <v>115060.32667742118</v>
      </c>
      <c r="L35" s="4">
        <f t="shared" si="7"/>
        <v>-257897.88627322801</v>
      </c>
      <c r="M35" s="4">
        <f t="shared" si="8"/>
        <v>1310973.776984408</v>
      </c>
      <c r="N35" s="4">
        <f t="shared" si="9"/>
        <v>0</v>
      </c>
      <c r="O35" s="4">
        <f t="shared" ca="1" si="12"/>
        <v>1399496.2451543303</v>
      </c>
      <c r="P35" s="4">
        <f t="shared" ca="1" si="13"/>
        <v>9136.2432300902437</v>
      </c>
      <c r="Q35" s="19">
        <f t="shared" ca="1" si="14"/>
        <v>6.5711349704003297E-3</v>
      </c>
    </row>
    <row r="36" spans="1:17" x14ac:dyDescent="0.35">
      <c r="A36" s="1">
        <f>MonthlyData!A36</f>
        <v>42675</v>
      </c>
      <c r="B36" s="13">
        <f t="shared" si="4"/>
        <v>2016</v>
      </c>
      <c r="C36" s="13">
        <f t="shared" si="5"/>
        <v>11</v>
      </c>
      <c r="D36" s="4">
        <f>MonthlyData!I36</f>
        <v>1524165.7901686833</v>
      </c>
      <c r="E36" s="4">
        <f t="shared" ca="1" si="10"/>
        <v>403.99833333333333</v>
      </c>
      <c r="F36">
        <f>MonthlyData!BP36</f>
        <v>1</v>
      </c>
      <c r="G36" s="4">
        <f>MonthlyData!R36</f>
        <v>762</v>
      </c>
      <c r="H36">
        <f>MonthlyData!BN36</f>
        <v>0</v>
      </c>
      <c r="J36" s="4">
        <f t="shared" si="6"/>
        <v>231360.027765729</v>
      </c>
      <c r="K36" s="4">
        <f t="shared" ca="1" si="11"/>
        <v>261111.20503564039</v>
      </c>
      <c r="L36" s="4">
        <f t="shared" si="7"/>
        <v>-257897.88627322801</v>
      </c>
      <c r="M36" s="4">
        <f t="shared" si="8"/>
        <v>1348126.8799758691</v>
      </c>
      <c r="N36" s="4">
        <f t="shared" si="9"/>
        <v>0</v>
      </c>
      <c r="O36" s="4">
        <f t="shared" ca="1" si="12"/>
        <v>1582700.2265040104</v>
      </c>
      <c r="P36" s="4">
        <f t="shared" ca="1" si="13"/>
        <v>58534.436335327104</v>
      </c>
      <c r="Q36" s="19">
        <f t="shared" ca="1" si="14"/>
        <v>3.8404244940341399E-2</v>
      </c>
    </row>
    <row r="37" spans="1:17" x14ac:dyDescent="0.35">
      <c r="A37" s="1">
        <f>MonthlyData!A37</f>
        <v>42705</v>
      </c>
      <c r="B37" s="13">
        <f t="shared" si="4"/>
        <v>2016</v>
      </c>
      <c r="C37" s="13">
        <f t="shared" si="5"/>
        <v>12</v>
      </c>
      <c r="D37" s="4">
        <f>MonthlyData!I37</f>
        <v>1639385.3234697548</v>
      </c>
      <c r="E37" s="4">
        <f t="shared" ca="1" si="10"/>
        <v>629.70466952460959</v>
      </c>
      <c r="F37">
        <f>MonthlyData!BP37</f>
        <v>0</v>
      </c>
      <c r="G37" s="4">
        <f>MonthlyData!R37</f>
        <v>747</v>
      </c>
      <c r="H37">
        <f>MonthlyData!BN37</f>
        <v>1</v>
      </c>
      <c r="J37" s="4">
        <f t="shared" si="6"/>
        <v>231360.027765729</v>
      </c>
      <c r="K37" s="4">
        <f t="shared" ca="1" si="11"/>
        <v>406989.16681044188</v>
      </c>
      <c r="L37" s="4">
        <f t="shared" si="7"/>
        <v>0</v>
      </c>
      <c r="M37" s="4">
        <f t="shared" si="8"/>
        <v>1321588.9492676826</v>
      </c>
      <c r="N37" s="4">
        <f t="shared" si="9"/>
        <v>-216631.706472586</v>
      </c>
      <c r="O37" s="4">
        <f t="shared" ca="1" si="12"/>
        <v>1743306.4373712675</v>
      </c>
      <c r="P37" s="4">
        <f t="shared" ca="1" si="13"/>
        <v>103921.1139015127</v>
      </c>
      <c r="Q37" s="19">
        <f t="shared" ca="1" si="14"/>
        <v>6.3390291723219735E-2</v>
      </c>
    </row>
    <row r="38" spans="1:17" x14ac:dyDescent="0.35">
      <c r="A38" s="1">
        <f>MonthlyData!A38</f>
        <v>42736</v>
      </c>
      <c r="B38" s="13">
        <f t="shared" si="4"/>
        <v>2017</v>
      </c>
      <c r="C38" s="13">
        <f t="shared" si="5"/>
        <v>1</v>
      </c>
      <c r="D38" s="4">
        <f>MonthlyData!I38</f>
        <v>1925606.4923752525</v>
      </c>
      <c r="E38" s="4">
        <f t="shared" ca="1" si="10"/>
        <v>793.4846429373913</v>
      </c>
      <c r="F38">
        <f>MonthlyData!BP38</f>
        <v>0</v>
      </c>
      <c r="G38" s="4">
        <f>MonthlyData!R38</f>
        <v>754</v>
      </c>
      <c r="H38">
        <f>MonthlyData!BN38</f>
        <v>0</v>
      </c>
      <c r="J38" s="4">
        <f t="shared" si="6"/>
        <v>231360.027765729</v>
      </c>
      <c r="K38" s="4">
        <f t="shared" ca="1" si="11"/>
        <v>512843.0347352681</v>
      </c>
      <c r="L38" s="4">
        <f t="shared" si="7"/>
        <v>0</v>
      </c>
      <c r="M38" s="4">
        <f t="shared" si="8"/>
        <v>1333973.3169315029</v>
      </c>
      <c r="N38" s="4">
        <f t="shared" si="9"/>
        <v>0</v>
      </c>
      <c r="O38" s="4">
        <f t="shared" ca="1" si="12"/>
        <v>2078176.3794324999</v>
      </c>
      <c r="P38" s="4">
        <f t="shared" ca="1" si="13"/>
        <v>152569.88705724734</v>
      </c>
      <c r="Q38" s="19">
        <f t="shared" ca="1" si="14"/>
        <v>7.9232121236281788E-2</v>
      </c>
    </row>
    <row r="39" spans="1:17" x14ac:dyDescent="0.35">
      <c r="A39" s="1">
        <f>MonthlyData!A39</f>
        <v>42767</v>
      </c>
      <c r="B39" s="13">
        <f t="shared" si="4"/>
        <v>2017</v>
      </c>
      <c r="C39" s="13">
        <f t="shared" si="5"/>
        <v>2</v>
      </c>
      <c r="D39" s="4">
        <f>MonthlyData!I39</f>
        <v>1922002.2611059062</v>
      </c>
      <c r="E39" s="4">
        <f t="shared" ca="1" si="10"/>
        <v>736.10085614037712</v>
      </c>
      <c r="F39">
        <f>MonthlyData!BP39</f>
        <v>0</v>
      </c>
      <c r="G39" s="4">
        <f>MonthlyData!R39</f>
        <v>744</v>
      </c>
      <c r="H39">
        <f>MonthlyData!BN39</f>
        <v>0</v>
      </c>
      <c r="J39" s="4">
        <f t="shared" si="6"/>
        <v>231360.027765729</v>
      </c>
      <c r="K39" s="4">
        <f t="shared" ca="1" si="11"/>
        <v>475754.88737473451</v>
      </c>
      <c r="L39" s="4">
        <f t="shared" si="7"/>
        <v>0</v>
      </c>
      <c r="M39" s="4">
        <f t="shared" si="8"/>
        <v>1316281.3631260453</v>
      </c>
      <c r="N39" s="4">
        <f t="shared" si="9"/>
        <v>0</v>
      </c>
      <c r="O39" s="4">
        <f t="shared" ca="1" si="12"/>
        <v>2023396.2782665088</v>
      </c>
      <c r="P39" s="4">
        <f t="shared" ca="1" si="13"/>
        <v>101394.01716060261</v>
      </c>
      <c r="Q39" s="19">
        <f t="shared" ca="1" si="14"/>
        <v>5.2754369343073107E-2</v>
      </c>
    </row>
    <row r="40" spans="1:17" x14ac:dyDescent="0.35">
      <c r="A40" s="1">
        <f>MonthlyData!A40</f>
        <v>42795</v>
      </c>
      <c r="B40" s="13">
        <f t="shared" si="4"/>
        <v>2017</v>
      </c>
      <c r="C40" s="13">
        <f t="shared" si="5"/>
        <v>3</v>
      </c>
      <c r="D40" s="4">
        <f>MonthlyData!I40</f>
        <v>1780750.6332760726</v>
      </c>
      <c r="E40" s="4">
        <f t="shared" ca="1" si="10"/>
        <v>577.21697535249291</v>
      </c>
      <c r="F40">
        <f>MonthlyData!BP40</f>
        <v>0</v>
      </c>
      <c r="G40" s="4">
        <f>MonthlyData!R40</f>
        <v>746</v>
      </c>
      <c r="H40">
        <f>MonthlyData!BN40</f>
        <v>0</v>
      </c>
      <c r="J40" s="4">
        <f t="shared" si="6"/>
        <v>231360.027765729</v>
      </c>
      <c r="K40" s="4">
        <f t="shared" ca="1" si="11"/>
        <v>373065.44994323485</v>
      </c>
      <c r="L40" s="4">
        <f t="shared" si="7"/>
        <v>0</v>
      </c>
      <c r="M40" s="4">
        <f t="shared" si="8"/>
        <v>1319819.7538871369</v>
      </c>
      <c r="N40" s="4">
        <f t="shared" si="9"/>
        <v>0</v>
      </c>
      <c r="O40" s="4">
        <f t="shared" ca="1" si="12"/>
        <v>1924245.2315961008</v>
      </c>
      <c r="P40" s="4">
        <f t="shared" ca="1" si="13"/>
        <v>143494.59832002828</v>
      </c>
      <c r="Q40" s="19">
        <f t="shared" ca="1" si="14"/>
        <v>8.0580961555543132E-2</v>
      </c>
    </row>
    <row r="41" spans="1:17" x14ac:dyDescent="0.35">
      <c r="A41" s="1">
        <f>MonthlyData!A41</f>
        <v>42826</v>
      </c>
      <c r="B41" s="13">
        <f t="shared" si="4"/>
        <v>2017</v>
      </c>
      <c r="C41" s="13">
        <f t="shared" si="5"/>
        <v>4</v>
      </c>
      <c r="D41" s="4">
        <f>MonthlyData!I41</f>
        <v>1910443.0282128362</v>
      </c>
      <c r="E41" s="4">
        <f t="shared" ca="1" si="10"/>
        <v>307.33082472275549</v>
      </c>
      <c r="F41">
        <f>MonthlyData!BP41</f>
        <v>0</v>
      </c>
      <c r="G41" s="4">
        <f>MonthlyData!R41</f>
        <v>741</v>
      </c>
      <c r="H41">
        <f>MonthlyData!BN41</f>
        <v>0</v>
      </c>
      <c r="J41" s="4">
        <f t="shared" si="6"/>
        <v>231360.027765729</v>
      </c>
      <c r="K41" s="4">
        <f t="shared" ca="1" si="11"/>
        <v>198633.29961251293</v>
      </c>
      <c r="L41" s="4">
        <f t="shared" si="7"/>
        <v>0</v>
      </c>
      <c r="M41" s="4">
        <f t="shared" si="8"/>
        <v>1310973.776984408</v>
      </c>
      <c r="N41" s="4">
        <f t="shared" si="9"/>
        <v>0</v>
      </c>
      <c r="O41" s="4">
        <f t="shared" ca="1" si="12"/>
        <v>1740967.1043626498</v>
      </c>
      <c r="P41" s="4">
        <f t="shared" ca="1" si="13"/>
        <v>-169475.9238501864</v>
      </c>
      <c r="Q41" s="19">
        <f t="shared" ca="1" si="14"/>
        <v>8.8710273662924236E-2</v>
      </c>
    </row>
    <row r="42" spans="1:17" x14ac:dyDescent="0.35">
      <c r="A42" s="1">
        <f>MonthlyData!A42</f>
        <v>42856</v>
      </c>
      <c r="B42" s="13">
        <f t="shared" si="4"/>
        <v>2017</v>
      </c>
      <c r="C42" s="13">
        <f t="shared" si="5"/>
        <v>5</v>
      </c>
      <c r="D42" s="4">
        <f>MonthlyData!I42</f>
        <v>1534644.8688874149</v>
      </c>
      <c r="E42" s="4">
        <f t="shared" ca="1" si="10"/>
        <v>103.00647094808046</v>
      </c>
      <c r="F42">
        <f>MonthlyData!BP42</f>
        <v>0</v>
      </c>
      <c r="G42" s="4">
        <f>MonthlyData!R42</f>
        <v>740</v>
      </c>
      <c r="H42">
        <f>MonthlyData!BN42</f>
        <v>0</v>
      </c>
      <c r="J42" s="4">
        <f t="shared" si="6"/>
        <v>231360.027765729</v>
      </c>
      <c r="K42" s="4">
        <f t="shared" ca="1" si="11"/>
        <v>66574.887905615062</v>
      </c>
      <c r="L42" s="4">
        <f t="shared" si="7"/>
        <v>0</v>
      </c>
      <c r="M42" s="4">
        <f t="shared" si="8"/>
        <v>1309204.5816038623</v>
      </c>
      <c r="N42" s="4">
        <f t="shared" si="9"/>
        <v>0</v>
      </c>
      <c r="O42" s="4">
        <f t="shared" ca="1" si="12"/>
        <v>1607139.4972752063</v>
      </c>
      <c r="P42" s="4">
        <f t="shared" ca="1" si="13"/>
        <v>72494.628387791337</v>
      </c>
      <c r="Q42" s="19">
        <f t="shared" ca="1" si="14"/>
        <v>4.7238699882630443E-2</v>
      </c>
    </row>
    <row r="43" spans="1:17" x14ac:dyDescent="0.35">
      <c r="A43" s="1">
        <f>MonthlyData!A43</f>
        <v>42887</v>
      </c>
      <c r="B43" s="13">
        <f t="shared" si="4"/>
        <v>2017</v>
      </c>
      <c r="C43" s="13">
        <f t="shared" si="5"/>
        <v>6</v>
      </c>
      <c r="D43" s="4">
        <f>MonthlyData!I43</f>
        <v>1503992.0752508726</v>
      </c>
      <c r="E43" s="4">
        <f t="shared" ca="1" si="10"/>
        <v>5.5889105735385218</v>
      </c>
      <c r="F43">
        <f>MonthlyData!BP43</f>
        <v>0</v>
      </c>
      <c r="G43" s="4">
        <f>MonthlyData!R43</f>
        <v>748</v>
      </c>
      <c r="H43">
        <f>MonthlyData!BN43</f>
        <v>0</v>
      </c>
      <c r="J43" s="4">
        <f t="shared" si="6"/>
        <v>231360.027765729</v>
      </c>
      <c r="K43" s="4">
        <f t="shared" ca="1" si="11"/>
        <v>3612.2108788231194</v>
      </c>
      <c r="L43" s="4">
        <f t="shared" si="7"/>
        <v>0</v>
      </c>
      <c r="M43" s="4">
        <f t="shared" si="8"/>
        <v>1323358.1446482283</v>
      </c>
      <c r="N43" s="4">
        <f t="shared" si="9"/>
        <v>0</v>
      </c>
      <c r="O43" s="4">
        <f t="shared" ca="1" si="12"/>
        <v>1558330.3832927805</v>
      </c>
      <c r="P43" s="4">
        <f t="shared" ca="1" si="13"/>
        <v>54338.308041907847</v>
      </c>
      <c r="Q43" s="19">
        <f t="shared" ca="1" si="14"/>
        <v>3.6129384546686509E-2</v>
      </c>
    </row>
    <row r="44" spans="1:17" x14ac:dyDescent="0.35">
      <c r="A44" s="1">
        <f>MonthlyData!A44</f>
        <v>42917</v>
      </c>
      <c r="B44" s="13">
        <f t="shared" si="4"/>
        <v>2017</v>
      </c>
      <c r="C44" s="13">
        <f t="shared" si="5"/>
        <v>7</v>
      </c>
      <c r="D44" s="4">
        <f>MonthlyData!I44</f>
        <v>1446618.4343893542</v>
      </c>
      <c r="E44" s="4">
        <f t="shared" ca="1" si="10"/>
        <v>0.28709633857318684</v>
      </c>
      <c r="F44">
        <f>MonthlyData!BP44</f>
        <v>0</v>
      </c>
      <c r="G44" s="4">
        <f>MonthlyData!R44</f>
        <v>752</v>
      </c>
      <c r="H44">
        <f>MonthlyData!BN44</f>
        <v>0</v>
      </c>
      <c r="J44" s="4">
        <f t="shared" si="6"/>
        <v>231360.027765729</v>
      </c>
      <c r="K44" s="4">
        <f t="shared" ca="1" si="11"/>
        <v>185.55539649791879</v>
      </c>
      <c r="L44" s="4">
        <f t="shared" si="7"/>
        <v>0</v>
      </c>
      <c r="M44" s="4">
        <f t="shared" si="8"/>
        <v>1330434.9261704115</v>
      </c>
      <c r="N44" s="4">
        <f t="shared" si="9"/>
        <v>0</v>
      </c>
      <c r="O44" s="4">
        <f t="shared" ca="1" si="12"/>
        <v>1561980.5093326385</v>
      </c>
      <c r="P44" s="4">
        <f t="shared" ca="1" si="13"/>
        <v>115362.07494328427</v>
      </c>
      <c r="Q44" s="19">
        <f t="shared" ca="1" si="14"/>
        <v>7.9746028531691465E-2</v>
      </c>
    </row>
    <row r="45" spans="1:17" x14ac:dyDescent="0.35">
      <c r="A45" s="1">
        <f>MonthlyData!A45</f>
        <v>42948</v>
      </c>
      <c r="B45" s="13">
        <f t="shared" si="4"/>
        <v>2017</v>
      </c>
      <c r="C45" s="13">
        <f t="shared" si="5"/>
        <v>8</v>
      </c>
      <c r="D45" s="4">
        <f>MonthlyData!I45</f>
        <v>1471064.0056149669</v>
      </c>
      <c r="E45" s="4">
        <f t="shared" ca="1" si="10"/>
        <v>1.6761707873342053</v>
      </c>
      <c r="F45">
        <f>MonthlyData!BP45</f>
        <v>0</v>
      </c>
      <c r="G45" s="4">
        <f>MonthlyData!R45</f>
        <v>742</v>
      </c>
      <c r="H45">
        <f>MonthlyData!BN45</f>
        <v>0</v>
      </c>
      <c r="J45" s="4">
        <f t="shared" si="6"/>
        <v>231360.027765729</v>
      </c>
      <c r="K45" s="4">
        <f t="shared" ca="1" si="11"/>
        <v>1083.3385635907057</v>
      </c>
      <c r="L45" s="4">
        <f t="shared" si="7"/>
        <v>0</v>
      </c>
      <c r="M45" s="4">
        <f t="shared" si="8"/>
        <v>1312742.972364954</v>
      </c>
      <c r="N45" s="4">
        <f t="shared" si="9"/>
        <v>0</v>
      </c>
      <c r="O45" s="4">
        <f t="shared" ca="1" si="12"/>
        <v>1545186.3386942737</v>
      </c>
      <c r="P45" s="4">
        <f t="shared" ca="1" si="13"/>
        <v>74122.333079306874</v>
      </c>
      <c r="Q45" s="19">
        <f t="shared" ca="1" si="14"/>
        <v>5.0386885136463257E-2</v>
      </c>
    </row>
    <row r="46" spans="1:17" x14ac:dyDescent="0.35">
      <c r="A46" s="1">
        <f>MonthlyData!A46</f>
        <v>42979</v>
      </c>
      <c r="B46" s="13">
        <f t="shared" si="4"/>
        <v>2017</v>
      </c>
      <c r="C46" s="13">
        <f t="shared" si="5"/>
        <v>9</v>
      </c>
      <c r="D46" s="4">
        <f>MonthlyData!I46</f>
        <v>1404887.2926662767</v>
      </c>
      <c r="E46" s="4">
        <f t="shared" ca="1" si="10"/>
        <v>28.222326899712005</v>
      </c>
      <c r="F46">
        <f>MonthlyData!BP46</f>
        <v>0</v>
      </c>
      <c r="G46" s="4">
        <f>MonthlyData!R46</f>
        <v>743</v>
      </c>
      <c r="H46">
        <f>MonthlyData!BN46</f>
        <v>0</v>
      </c>
      <c r="J46" s="4">
        <f t="shared" si="6"/>
        <v>231360.027765729</v>
      </c>
      <c r="K46" s="4">
        <f t="shared" ca="1" si="11"/>
        <v>18240.584620465193</v>
      </c>
      <c r="L46" s="4">
        <f t="shared" si="7"/>
        <v>0</v>
      </c>
      <c r="M46" s="4">
        <f t="shared" si="8"/>
        <v>1314512.1677454996</v>
      </c>
      <c r="N46" s="4">
        <f t="shared" si="9"/>
        <v>0</v>
      </c>
      <c r="O46" s="4">
        <f t="shared" ca="1" si="12"/>
        <v>1564112.7801316939</v>
      </c>
      <c r="P46" s="4">
        <f t="shared" ca="1" si="13"/>
        <v>159225.48746541725</v>
      </c>
      <c r="Q46" s="19">
        <f t="shared" ca="1" si="14"/>
        <v>0.1133368408245973</v>
      </c>
    </row>
    <row r="47" spans="1:17" x14ac:dyDescent="0.35">
      <c r="A47" s="1">
        <f>MonthlyData!A47</f>
        <v>43009</v>
      </c>
      <c r="B47" s="13">
        <f t="shared" si="4"/>
        <v>2017</v>
      </c>
      <c r="C47" s="13">
        <f t="shared" si="5"/>
        <v>10</v>
      </c>
      <c r="D47" s="4">
        <f>MonthlyData!I47</f>
        <v>1380644.0442652954</v>
      </c>
      <c r="E47" s="4">
        <f t="shared" ca="1" si="10"/>
        <v>178.0244559176316</v>
      </c>
      <c r="F47">
        <f>MonthlyData!BP47</f>
        <v>1</v>
      </c>
      <c r="G47" s="4">
        <f>MonthlyData!R47</f>
        <v>758</v>
      </c>
      <c r="H47">
        <f>MonthlyData!BN47</f>
        <v>0</v>
      </c>
      <c r="J47" s="4">
        <f t="shared" si="6"/>
        <v>231360.027765729</v>
      </c>
      <c r="K47" s="4">
        <f t="shared" ca="1" si="11"/>
        <v>115060.32667742118</v>
      </c>
      <c r="L47" s="4">
        <f t="shared" si="7"/>
        <v>-257897.88627322801</v>
      </c>
      <c r="M47" s="4">
        <f t="shared" si="8"/>
        <v>1341050.0984536861</v>
      </c>
      <c r="N47" s="4">
        <f t="shared" si="9"/>
        <v>0</v>
      </c>
      <c r="O47" s="4">
        <f t="shared" ca="1" si="12"/>
        <v>1429572.5666236083</v>
      </c>
      <c r="P47" s="4">
        <f t="shared" ca="1" si="13"/>
        <v>48928.52235831297</v>
      </c>
      <c r="Q47" s="19">
        <f t="shared" ca="1" si="14"/>
        <v>3.5438911688747479E-2</v>
      </c>
    </row>
    <row r="48" spans="1:17" x14ac:dyDescent="0.35">
      <c r="A48" s="1">
        <f>MonthlyData!A48</f>
        <v>43040</v>
      </c>
      <c r="B48" s="13">
        <f t="shared" si="4"/>
        <v>2017</v>
      </c>
      <c r="C48" s="13">
        <f t="shared" si="5"/>
        <v>11</v>
      </c>
      <c r="D48" s="4">
        <f>MonthlyData!I48</f>
        <v>1444507.9165851397</v>
      </c>
      <c r="E48" s="4">
        <f t="shared" ca="1" si="10"/>
        <v>403.99833333333333</v>
      </c>
      <c r="F48">
        <f>MonthlyData!BP48</f>
        <v>1</v>
      </c>
      <c r="G48" s="4">
        <f>MonthlyData!R48</f>
        <v>757</v>
      </c>
      <c r="H48">
        <f>MonthlyData!BN48</f>
        <v>0</v>
      </c>
      <c r="J48" s="4">
        <f t="shared" si="6"/>
        <v>231360.027765729</v>
      </c>
      <c r="K48" s="4">
        <f t="shared" ca="1" si="11"/>
        <v>261111.20503564039</v>
      </c>
      <c r="L48" s="4">
        <f t="shared" si="7"/>
        <v>-257897.88627322801</v>
      </c>
      <c r="M48" s="4">
        <f t="shared" si="8"/>
        <v>1339280.9030731402</v>
      </c>
      <c r="N48" s="4">
        <f t="shared" si="9"/>
        <v>0</v>
      </c>
      <c r="O48" s="4">
        <f t="shared" ca="1" si="12"/>
        <v>1573854.2496012815</v>
      </c>
      <c r="P48" s="4">
        <f t="shared" ca="1" si="13"/>
        <v>129346.33301614178</v>
      </c>
      <c r="Q48" s="19">
        <f t="shared" ca="1" si="14"/>
        <v>8.954352657472478E-2</v>
      </c>
    </row>
    <row r="49" spans="1:17" x14ac:dyDescent="0.35">
      <c r="A49" s="1">
        <f>MonthlyData!A49</f>
        <v>43070</v>
      </c>
      <c r="B49" s="13">
        <f t="shared" si="4"/>
        <v>2017</v>
      </c>
      <c r="C49" s="13">
        <f t="shared" si="5"/>
        <v>12</v>
      </c>
      <c r="D49" s="4">
        <f>MonthlyData!I49</f>
        <v>1726218.9218037804</v>
      </c>
      <c r="E49" s="4">
        <f t="shared" ca="1" si="10"/>
        <v>629.70466952460959</v>
      </c>
      <c r="F49">
        <f>MonthlyData!BP49</f>
        <v>0</v>
      </c>
      <c r="G49" s="4">
        <f>MonthlyData!R49</f>
        <v>740</v>
      </c>
      <c r="H49">
        <f>MonthlyData!BN49</f>
        <v>1</v>
      </c>
      <c r="J49" s="4">
        <f t="shared" si="6"/>
        <v>231360.027765729</v>
      </c>
      <c r="K49" s="4">
        <f t="shared" ca="1" si="11"/>
        <v>406989.16681044188</v>
      </c>
      <c r="L49" s="4">
        <f t="shared" si="7"/>
        <v>0</v>
      </c>
      <c r="M49" s="4">
        <f t="shared" si="8"/>
        <v>1309204.5816038623</v>
      </c>
      <c r="N49" s="4">
        <f t="shared" si="9"/>
        <v>-216631.706472586</v>
      </c>
      <c r="O49" s="4">
        <f t="shared" ca="1" si="12"/>
        <v>1730922.0697074472</v>
      </c>
      <c r="P49" s="4">
        <f t="shared" ca="1" si="13"/>
        <v>4703.1479036668316</v>
      </c>
      <c r="Q49" s="19">
        <f t="shared" ca="1" si="14"/>
        <v>2.724537336638834E-3</v>
      </c>
    </row>
    <row r="50" spans="1:17" x14ac:dyDescent="0.35">
      <c r="A50" s="1">
        <f>MonthlyData!A50</f>
        <v>43101</v>
      </c>
      <c r="B50" s="13">
        <f t="shared" si="4"/>
        <v>2018</v>
      </c>
      <c r="C50" s="13">
        <f t="shared" si="5"/>
        <v>1</v>
      </c>
      <c r="D50" s="4">
        <f>MonthlyData!I50</f>
        <v>2039721.9078656486</v>
      </c>
      <c r="E50" s="4">
        <f t="shared" ca="1" si="10"/>
        <v>793.4846429373913</v>
      </c>
      <c r="F50">
        <f>MonthlyData!BP50</f>
        <v>0</v>
      </c>
      <c r="G50" s="4">
        <f>MonthlyData!R50</f>
        <v>734</v>
      </c>
      <c r="H50">
        <f>MonthlyData!BN50</f>
        <v>0</v>
      </c>
      <c r="J50" s="4">
        <f t="shared" si="6"/>
        <v>231360.027765729</v>
      </c>
      <c r="K50" s="4">
        <f t="shared" ca="1" si="11"/>
        <v>512843.0347352681</v>
      </c>
      <c r="L50" s="4">
        <f t="shared" si="7"/>
        <v>0</v>
      </c>
      <c r="M50" s="4">
        <f t="shared" si="8"/>
        <v>1298589.4093205878</v>
      </c>
      <c r="N50" s="4">
        <f t="shared" si="9"/>
        <v>0</v>
      </c>
      <c r="O50" s="4">
        <f t="shared" ca="1" si="12"/>
        <v>2042792.4718215847</v>
      </c>
      <c r="P50" s="4">
        <f t="shared" ca="1" si="13"/>
        <v>3070.5639559361152</v>
      </c>
      <c r="Q50" s="19">
        <f t="shared" ca="1" si="14"/>
        <v>1.5053836231769127E-3</v>
      </c>
    </row>
    <row r="51" spans="1:17" x14ac:dyDescent="0.35">
      <c r="A51" s="1">
        <f>MonthlyData!A51</f>
        <v>43132</v>
      </c>
      <c r="B51" s="13">
        <f t="shared" si="4"/>
        <v>2018</v>
      </c>
      <c r="C51" s="13">
        <f t="shared" si="5"/>
        <v>2</v>
      </c>
      <c r="D51" s="4">
        <f>MonthlyData!I51</f>
        <v>2068451.9595124074</v>
      </c>
      <c r="E51" s="4">
        <f t="shared" ca="1" si="10"/>
        <v>736.10085614037712</v>
      </c>
      <c r="F51">
        <f>MonthlyData!BP51</f>
        <v>0</v>
      </c>
      <c r="G51" s="4">
        <f>MonthlyData!R51</f>
        <v>730</v>
      </c>
      <c r="H51">
        <f>MonthlyData!BN51</f>
        <v>0</v>
      </c>
      <c r="J51" s="4">
        <f t="shared" si="6"/>
        <v>231360.027765729</v>
      </c>
      <c r="K51" s="4">
        <f t="shared" ca="1" si="11"/>
        <v>475754.88737473451</v>
      </c>
      <c r="L51" s="4">
        <f t="shared" si="7"/>
        <v>0</v>
      </c>
      <c r="M51" s="4">
        <f t="shared" si="8"/>
        <v>1291512.6277984048</v>
      </c>
      <c r="N51" s="4">
        <f t="shared" si="9"/>
        <v>0</v>
      </c>
      <c r="O51" s="4">
        <f t="shared" ca="1" si="12"/>
        <v>1998627.5429388683</v>
      </c>
      <c r="P51" s="4">
        <f t="shared" ca="1" si="13"/>
        <v>-69824.416573539143</v>
      </c>
      <c r="Q51" s="19">
        <f t="shared" ca="1" si="14"/>
        <v>3.3756847120587095E-2</v>
      </c>
    </row>
    <row r="52" spans="1:17" x14ac:dyDescent="0.35">
      <c r="A52" s="1">
        <f>MonthlyData!A52</f>
        <v>43160</v>
      </c>
      <c r="B52" s="13">
        <f t="shared" si="4"/>
        <v>2018</v>
      </c>
      <c r="C52" s="13">
        <f t="shared" si="5"/>
        <v>3</v>
      </c>
      <c r="D52" s="4">
        <f>MonthlyData!I52</f>
        <v>1836052.8045858156</v>
      </c>
      <c r="E52" s="4">
        <f t="shared" ca="1" si="10"/>
        <v>577.21697535249291</v>
      </c>
      <c r="F52">
        <f>MonthlyData!BP52</f>
        <v>0</v>
      </c>
      <c r="G52" s="4">
        <f>MonthlyData!R52</f>
        <v>706</v>
      </c>
      <c r="H52">
        <f>MonthlyData!BN52</f>
        <v>0</v>
      </c>
      <c r="J52" s="4">
        <f t="shared" si="6"/>
        <v>231360.027765729</v>
      </c>
      <c r="K52" s="4">
        <f t="shared" ca="1" si="11"/>
        <v>373065.44994323485</v>
      </c>
      <c r="L52" s="4">
        <f t="shared" si="7"/>
        <v>0</v>
      </c>
      <c r="M52" s="4">
        <f t="shared" si="8"/>
        <v>1249051.9386653064</v>
      </c>
      <c r="N52" s="4">
        <f t="shared" si="9"/>
        <v>0</v>
      </c>
      <c r="O52" s="4">
        <f t="shared" ca="1" si="12"/>
        <v>1853477.4163742703</v>
      </c>
      <c r="P52" s="4">
        <f t="shared" ca="1" si="13"/>
        <v>17424.611788454698</v>
      </c>
      <c r="Q52" s="19">
        <f t="shared" ca="1" si="14"/>
        <v>9.4902563504350931E-3</v>
      </c>
    </row>
    <row r="53" spans="1:17" x14ac:dyDescent="0.35">
      <c r="A53" s="1">
        <f>MonthlyData!A53</f>
        <v>43191</v>
      </c>
      <c r="B53" s="13">
        <f t="shared" si="4"/>
        <v>2018</v>
      </c>
      <c r="C53" s="13">
        <f t="shared" si="5"/>
        <v>4</v>
      </c>
      <c r="D53" s="4">
        <f>MonthlyData!I53</f>
        <v>1852621.7019807273</v>
      </c>
      <c r="E53" s="4">
        <f t="shared" ca="1" si="10"/>
        <v>307.33082472275549</v>
      </c>
      <c r="F53">
        <f>MonthlyData!BP53</f>
        <v>0</v>
      </c>
      <c r="G53" s="4">
        <f>MonthlyData!R53</f>
        <v>703</v>
      </c>
      <c r="H53">
        <f>MonthlyData!BN53</f>
        <v>0</v>
      </c>
      <c r="J53" s="4">
        <f t="shared" si="6"/>
        <v>231360.027765729</v>
      </c>
      <c r="K53" s="4">
        <f t="shared" ca="1" si="11"/>
        <v>198633.29961251293</v>
      </c>
      <c r="L53" s="4">
        <f t="shared" si="7"/>
        <v>0</v>
      </c>
      <c r="M53" s="4">
        <f t="shared" si="8"/>
        <v>1243744.3525236691</v>
      </c>
      <c r="N53" s="4">
        <f t="shared" si="9"/>
        <v>0</v>
      </c>
      <c r="O53" s="4">
        <f t="shared" ca="1" si="12"/>
        <v>1673737.6799019109</v>
      </c>
      <c r="P53" s="4">
        <f t="shared" ca="1" si="13"/>
        <v>-178884.02207881631</v>
      </c>
      <c r="Q53" s="19">
        <f t="shared" ca="1" si="14"/>
        <v>9.6557231240227179E-2</v>
      </c>
    </row>
    <row r="54" spans="1:17" x14ac:dyDescent="0.35">
      <c r="A54" s="1">
        <f>MonthlyData!A54</f>
        <v>43221</v>
      </c>
      <c r="B54" s="13">
        <f t="shared" si="4"/>
        <v>2018</v>
      </c>
      <c r="C54" s="13">
        <f t="shared" si="5"/>
        <v>5</v>
      </c>
      <c r="D54" s="4">
        <f>MonthlyData!I54</f>
        <v>1636843.6491979214</v>
      </c>
      <c r="E54" s="4">
        <f t="shared" ca="1" si="10"/>
        <v>103.00647094808046</v>
      </c>
      <c r="F54">
        <f>MonthlyData!BP54</f>
        <v>0</v>
      </c>
      <c r="G54" s="4">
        <f>MonthlyData!R54</f>
        <v>700</v>
      </c>
      <c r="H54">
        <f>MonthlyData!BN54</f>
        <v>0</v>
      </c>
      <c r="J54" s="4">
        <f t="shared" si="6"/>
        <v>231360.027765729</v>
      </c>
      <c r="K54" s="4">
        <f t="shared" ca="1" si="11"/>
        <v>66574.887905615062</v>
      </c>
      <c r="L54" s="4">
        <f t="shared" si="7"/>
        <v>0</v>
      </c>
      <c r="M54" s="4">
        <f t="shared" si="8"/>
        <v>1238436.7663820318</v>
      </c>
      <c r="N54" s="4">
        <f t="shared" si="9"/>
        <v>0</v>
      </c>
      <c r="O54" s="4">
        <f t="shared" ca="1" si="12"/>
        <v>1536371.682053376</v>
      </c>
      <c r="P54" s="4">
        <f t="shared" ca="1" si="13"/>
        <v>-100471.9671445454</v>
      </c>
      <c r="Q54" s="19">
        <f t="shared" ca="1" si="14"/>
        <v>6.1381529747070354E-2</v>
      </c>
    </row>
    <row r="55" spans="1:17" x14ac:dyDescent="0.35">
      <c r="A55" s="1">
        <f>MonthlyData!A55</f>
        <v>43252</v>
      </c>
      <c r="B55" s="13">
        <f t="shared" si="4"/>
        <v>2018</v>
      </c>
      <c r="C55" s="13">
        <f t="shared" si="5"/>
        <v>6</v>
      </c>
      <c r="D55" s="4">
        <f>MonthlyData!I55</f>
        <v>1513960.2225070726</v>
      </c>
      <c r="E55" s="4">
        <f t="shared" ca="1" si="10"/>
        <v>5.5889105735385218</v>
      </c>
      <c r="F55">
        <f>MonthlyData!BP55</f>
        <v>0</v>
      </c>
      <c r="G55" s="4">
        <f>MonthlyData!R55</f>
        <v>702</v>
      </c>
      <c r="H55">
        <f>MonthlyData!BN55</f>
        <v>0</v>
      </c>
      <c r="J55" s="4">
        <f t="shared" si="6"/>
        <v>231360.027765729</v>
      </c>
      <c r="K55" s="4">
        <f t="shared" ca="1" si="11"/>
        <v>3612.2108788231194</v>
      </c>
      <c r="L55" s="4">
        <f t="shared" si="7"/>
        <v>0</v>
      </c>
      <c r="M55" s="4">
        <f t="shared" si="8"/>
        <v>1241975.1571431234</v>
      </c>
      <c r="N55" s="4">
        <f t="shared" si="9"/>
        <v>0</v>
      </c>
      <c r="O55" s="4">
        <f t="shared" ca="1" si="12"/>
        <v>1476947.3957876756</v>
      </c>
      <c r="P55" s="4">
        <f t="shared" ca="1" si="13"/>
        <v>-37012.82671939698</v>
      </c>
      <c r="Q55" s="19">
        <f t="shared" ca="1" si="14"/>
        <v>2.444768770615707E-2</v>
      </c>
    </row>
    <row r="56" spans="1:17" x14ac:dyDescent="0.35">
      <c r="A56" s="1">
        <f>MonthlyData!A56</f>
        <v>43282</v>
      </c>
      <c r="B56" s="13">
        <f t="shared" si="4"/>
        <v>2018</v>
      </c>
      <c r="C56" s="13">
        <f t="shared" si="5"/>
        <v>7</v>
      </c>
      <c r="D56" s="4">
        <f>MonthlyData!I56</f>
        <v>1444064.5407707687</v>
      </c>
      <c r="E56" s="4">
        <f t="shared" ca="1" si="10"/>
        <v>0.28709633857318684</v>
      </c>
      <c r="F56">
        <f>MonthlyData!BP56</f>
        <v>0</v>
      </c>
      <c r="G56" s="4">
        <f>MonthlyData!R56</f>
        <v>706</v>
      </c>
      <c r="H56">
        <f>MonthlyData!BN56</f>
        <v>0</v>
      </c>
      <c r="J56" s="4">
        <f t="shared" si="6"/>
        <v>231360.027765729</v>
      </c>
      <c r="K56" s="4">
        <f t="shared" ca="1" si="11"/>
        <v>185.55539649791879</v>
      </c>
      <c r="L56" s="4">
        <f t="shared" si="7"/>
        <v>0</v>
      </c>
      <c r="M56" s="4">
        <f t="shared" si="8"/>
        <v>1249051.9386653064</v>
      </c>
      <c r="N56" s="4">
        <f t="shared" si="9"/>
        <v>0</v>
      </c>
      <c r="O56" s="4">
        <f t="shared" ca="1" si="12"/>
        <v>1480597.5218275334</v>
      </c>
      <c r="P56" s="4">
        <f t="shared" ca="1" si="13"/>
        <v>36532.981056764722</v>
      </c>
      <c r="Q56" s="19">
        <f t="shared" ca="1" si="14"/>
        <v>2.5298717630214271E-2</v>
      </c>
    </row>
    <row r="57" spans="1:17" x14ac:dyDescent="0.35">
      <c r="A57" s="1">
        <f>MonthlyData!A57</f>
        <v>43313</v>
      </c>
      <c r="B57" s="13">
        <f t="shared" si="4"/>
        <v>2018</v>
      </c>
      <c r="C57" s="13">
        <f t="shared" si="5"/>
        <v>8</v>
      </c>
      <c r="D57" s="4">
        <f>MonthlyData!I57</f>
        <v>1608578.9682369984</v>
      </c>
      <c r="E57" s="4">
        <f t="shared" ca="1" si="10"/>
        <v>1.6761707873342053</v>
      </c>
      <c r="F57">
        <f>MonthlyData!BP57</f>
        <v>0</v>
      </c>
      <c r="G57" s="4">
        <f>MonthlyData!R57</f>
        <v>712</v>
      </c>
      <c r="H57">
        <f>MonthlyData!BN57</f>
        <v>0</v>
      </c>
      <c r="J57" s="4">
        <f t="shared" si="6"/>
        <v>231360.027765729</v>
      </c>
      <c r="K57" s="4">
        <f t="shared" ca="1" si="11"/>
        <v>1083.3385635907057</v>
      </c>
      <c r="L57" s="4">
        <f t="shared" si="7"/>
        <v>0</v>
      </c>
      <c r="M57" s="4">
        <f t="shared" si="8"/>
        <v>1259667.110948581</v>
      </c>
      <c r="N57" s="4">
        <f t="shared" si="9"/>
        <v>0</v>
      </c>
      <c r="O57" s="4">
        <f t="shared" ca="1" si="12"/>
        <v>1492110.4772779008</v>
      </c>
      <c r="P57" s="4">
        <f t="shared" ca="1" si="13"/>
        <v>-116468.49095909763</v>
      </c>
      <c r="Q57" s="19">
        <f t="shared" ca="1" si="14"/>
        <v>7.2404583958192006E-2</v>
      </c>
    </row>
    <row r="58" spans="1:17" x14ac:dyDescent="0.35">
      <c r="A58" s="1">
        <f>MonthlyData!A58</f>
        <v>43344</v>
      </c>
      <c r="B58" s="13">
        <f t="shared" si="4"/>
        <v>2018</v>
      </c>
      <c r="C58" s="13">
        <f t="shared" si="5"/>
        <v>9</v>
      </c>
      <c r="D58" s="4">
        <f>MonthlyData!I58</f>
        <v>1511644.4192810222</v>
      </c>
      <c r="E58" s="4">
        <f t="shared" ca="1" si="10"/>
        <v>28.222326899712005</v>
      </c>
      <c r="F58">
        <f>MonthlyData!BP58</f>
        <v>0</v>
      </c>
      <c r="G58" s="4">
        <f>MonthlyData!R58</f>
        <v>704</v>
      </c>
      <c r="H58">
        <f>MonthlyData!BN58</f>
        <v>0</v>
      </c>
      <c r="J58" s="4">
        <f t="shared" si="6"/>
        <v>231360.027765729</v>
      </c>
      <c r="K58" s="4">
        <f t="shared" ca="1" si="11"/>
        <v>18240.584620465193</v>
      </c>
      <c r="L58" s="4">
        <f t="shared" si="7"/>
        <v>0</v>
      </c>
      <c r="M58" s="4">
        <f t="shared" si="8"/>
        <v>1245513.5479042151</v>
      </c>
      <c r="N58" s="4">
        <f t="shared" si="9"/>
        <v>0</v>
      </c>
      <c r="O58" s="4">
        <f t="shared" ca="1" si="12"/>
        <v>1495114.1602904093</v>
      </c>
      <c r="P58" s="4">
        <f t="shared" ca="1" si="13"/>
        <v>-16530.258990612812</v>
      </c>
      <c r="Q58" s="19">
        <f t="shared" ca="1" si="14"/>
        <v>1.0935282649655821E-2</v>
      </c>
    </row>
    <row r="59" spans="1:17" x14ac:dyDescent="0.35">
      <c r="A59" s="1">
        <f>MonthlyData!A59</f>
        <v>43374</v>
      </c>
      <c r="B59" s="13">
        <f t="shared" si="4"/>
        <v>2018</v>
      </c>
      <c r="C59" s="13">
        <f t="shared" si="5"/>
        <v>10</v>
      </c>
      <c r="D59" s="4">
        <f>MonthlyData!I59</f>
        <v>1388574.8726781455</v>
      </c>
      <c r="E59" s="4">
        <f t="shared" ca="1" si="10"/>
        <v>178.0244559176316</v>
      </c>
      <c r="F59">
        <f>MonthlyData!BP59</f>
        <v>1</v>
      </c>
      <c r="G59" s="4">
        <f>MonthlyData!R59</f>
        <v>712</v>
      </c>
      <c r="H59">
        <f>MonthlyData!BN59</f>
        <v>0</v>
      </c>
      <c r="J59" s="4">
        <f t="shared" si="6"/>
        <v>231360.027765729</v>
      </c>
      <c r="K59" s="4">
        <f t="shared" ca="1" si="11"/>
        <v>115060.32667742118</v>
      </c>
      <c r="L59" s="4">
        <f t="shared" si="7"/>
        <v>-257897.88627322801</v>
      </c>
      <c r="M59" s="4">
        <f t="shared" si="8"/>
        <v>1259667.110948581</v>
      </c>
      <c r="N59" s="4">
        <f t="shared" si="9"/>
        <v>0</v>
      </c>
      <c r="O59" s="4">
        <f t="shared" ca="1" si="12"/>
        <v>1348189.5791185033</v>
      </c>
      <c r="P59" s="4">
        <f t="shared" ca="1" si="13"/>
        <v>-40385.293559642276</v>
      </c>
      <c r="Q59" s="19">
        <f t="shared" ca="1" si="14"/>
        <v>2.9083987010186298E-2</v>
      </c>
    </row>
    <row r="60" spans="1:17" x14ac:dyDescent="0.35">
      <c r="A60" s="1">
        <f>MonthlyData!A60</f>
        <v>43405</v>
      </c>
      <c r="B60" s="13">
        <f t="shared" si="4"/>
        <v>2018</v>
      </c>
      <c r="C60" s="13">
        <f t="shared" si="5"/>
        <v>11</v>
      </c>
      <c r="D60" s="4">
        <f>MonthlyData!I60</f>
        <v>1616445.3101982041</v>
      </c>
      <c r="E60" s="4">
        <f t="shared" ca="1" si="10"/>
        <v>403.99833333333333</v>
      </c>
      <c r="F60">
        <f>MonthlyData!BP60</f>
        <v>1</v>
      </c>
      <c r="G60" s="4">
        <f>MonthlyData!R60</f>
        <v>725</v>
      </c>
      <c r="H60">
        <f>MonthlyData!BN60</f>
        <v>0</v>
      </c>
      <c r="J60" s="4">
        <f t="shared" si="6"/>
        <v>231360.027765729</v>
      </c>
      <c r="K60" s="4">
        <f t="shared" ca="1" si="11"/>
        <v>261111.20503564039</v>
      </c>
      <c r="L60" s="4">
        <f t="shared" si="7"/>
        <v>-257897.88627322801</v>
      </c>
      <c r="M60" s="4">
        <f t="shared" si="8"/>
        <v>1282666.6508956759</v>
      </c>
      <c r="N60" s="4">
        <f t="shared" si="9"/>
        <v>0</v>
      </c>
      <c r="O60" s="4">
        <f t="shared" ca="1" si="12"/>
        <v>1517239.9974238172</v>
      </c>
      <c r="P60" s="4">
        <f t="shared" ca="1" si="13"/>
        <v>-99205.312774386955</v>
      </c>
      <c r="Q60" s="19">
        <f t="shared" ca="1" si="14"/>
        <v>6.1372514212820889E-2</v>
      </c>
    </row>
    <row r="61" spans="1:17" x14ac:dyDescent="0.35">
      <c r="A61" s="1">
        <f>MonthlyData!A61</f>
        <v>43435</v>
      </c>
      <c r="B61" s="13">
        <f t="shared" si="4"/>
        <v>2018</v>
      </c>
      <c r="C61" s="13">
        <f t="shared" si="5"/>
        <v>12</v>
      </c>
      <c r="D61" s="4">
        <f>MonthlyData!I61</f>
        <v>1796625.4902597803</v>
      </c>
      <c r="E61" s="4">
        <f t="shared" ca="1" si="10"/>
        <v>629.70466952460959</v>
      </c>
      <c r="F61">
        <f>MonthlyData!BP61</f>
        <v>0</v>
      </c>
      <c r="G61" s="4">
        <f>MonthlyData!R61</f>
        <v>724</v>
      </c>
      <c r="H61">
        <f>MonthlyData!BN61</f>
        <v>1</v>
      </c>
      <c r="J61" s="4">
        <f t="shared" si="6"/>
        <v>231360.027765729</v>
      </c>
      <c r="K61" s="4">
        <f t="shared" ca="1" si="11"/>
        <v>406989.16681044188</v>
      </c>
      <c r="L61" s="4">
        <f t="shared" si="7"/>
        <v>0</v>
      </c>
      <c r="M61" s="4">
        <f t="shared" si="8"/>
        <v>1280897.4555151302</v>
      </c>
      <c r="N61" s="4">
        <f t="shared" si="9"/>
        <v>-216631.706472586</v>
      </c>
      <c r="O61" s="4">
        <f t="shared" ca="1" si="12"/>
        <v>1702614.9436187153</v>
      </c>
      <c r="P61" s="4">
        <f t="shared" ca="1" si="13"/>
        <v>-94010.546641065041</v>
      </c>
      <c r="Q61" s="19">
        <f t="shared" ca="1" si="14"/>
        <v>5.2326178800608983E-2</v>
      </c>
    </row>
    <row r="62" spans="1:17" x14ac:dyDescent="0.35">
      <c r="A62" s="1">
        <f>MonthlyData!A62</f>
        <v>43466</v>
      </c>
      <c r="B62" s="13">
        <f t="shared" si="4"/>
        <v>2019</v>
      </c>
      <c r="C62" s="13">
        <f t="shared" si="5"/>
        <v>1</v>
      </c>
      <c r="D62" s="4">
        <f>MonthlyData!I62</f>
        <v>1907774.2240176995</v>
      </c>
      <c r="E62" s="4">
        <f t="shared" ca="1" si="10"/>
        <v>793.4846429373913</v>
      </c>
      <c r="F62">
        <f>MonthlyData!BP62</f>
        <v>0</v>
      </c>
      <c r="G62" s="4">
        <f>MonthlyData!R62</f>
        <v>750</v>
      </c>
      <c r="H62">
        <f>MonthlyData!BN62</f>
        <v>0</v>
      </c>
      <c r="J62" s="4">
        <f t="shared" si="6"/>
        <v>231360.027765729</v>
      </c>
      <c r="K62" s="4">
        <f t="shared" ca="1" si="11"/>
        <v>512843.0347352681</v>
      </c>
      <c r="L62" s="4">
        <f t="shared" si="7"/>
        <v>0</v>
      </c>
      <c r="M62" s="4">
        <f t="shared" si="8"/>
        <v>1326896.5354093199</v>
      </c>
      <c r="N62" s="4">
        <f t="shared" si="9"/>
        <v>0</v>
      </c>
      <c r="O62" s="4">
        <f t="shared" ca="1" si="12"/>
        <v>2071099.5979103171</v>
      </c>
      <c r="P62" s="4">
        <f t="shared" ca="1" si="13"/>
        <v>163325.37389261764</v>
      </c>
      <c r="Q62" s="19">
        <f t="shared" ca="1" si="14"/>
        <v>8.5610431169711829E-2</v>
      </c>
    </row>
    <row r="63" spans="1:17" x14ac:dyDescent="0.35">
      <c r="A63" s="1">
        <f>MonthlyData!A63</f>
        <v>43497</v>
      </c>
      <c r="B63" s="13">
        <f t="shared" si="4"/>
        <v>2019</v>
      </c>
      <c r="C63" s="13">
        <f t="shared" si="5"/>
        <v>2</v>
      </c>
      <c r="D63" s="4">
        <f>MonthlyData!I63</f>
        <v>2169676.5254105679</v>
      </c>
      <c r="E63" s="4">
        <f t="shared" ca="1" si="10"/>
        <v>736.10085614037712</v>
      </c>
      <c r="F63">
        <f>MonthlyData!BP63</f>
        <v>0</v>
      </c>
      <c r="G63" s="4">
        <f>MonthlyData!R63</f>
        <v>734</v>
      </c>
      <c r="H63">
        <f>MonthlyData!BN63</f>
        <v>0</v>
      </c>
      <c r="J63" s="4">
        <f t="shared" si="6"/>
        <v>231360.027765729</v>
      </c>
      <c r="K63" s="4">
        <f t="shared" ca="1" si="11"/>
        <v>475754.88737473451</v>
      </c>
      <c r="L63" s="4">
        <f t="shared" si="7"/>
        <v>0</v>
      </c>
      <c r="M63" s="4">
        <f t="shared" si="8"/>
        <v>1298589.4093205878</v>
      </c>
      <c r="N63" s="4">
        <f t="shared" si="9"/>
        <v>0</v>
      </c>
      <c r="O63" s="4">
        <f t="shared" ca="1" si="12"/>
        <v>2005704.3244610513</v>
      </c>
      <c r="P63" s="4">
        <f t="shared" ca="1" si="13"/>
        <v>-163972.20094951661</v>
      </c>
      <c r="Q63" s="19">
        <f t="shared" ca="1" si="14"/>
        <v>7.5574491878916447E-2</v>
      </c>
    </row>
    <row r="64" spans="1:17" x14ac:dyDescent="0.35">
      <c r="A64" s="1">
        <f>MonthlyData!A64</f>
        <v>43525</v>
      </c>
      <c r="B64" s="13">
        <f t="shared" si="4"/>
        <v>2019</v>
      </c>
      <c r="C64" s="13">
        <f t="shared" si="5"/>
        <v>3</v>
      </c>
      <c r="D64" s="4">
        <f>MonthlyData!I64</f>
        <v>1938783.6374502934</v>
      </c>
      <c r="E64" s="4">
        <f t="shared" ca="1" si="10"/>
        <v>577.21697535249291</v>
      </c>
      <c r="F64">
        <f>MonthlyData!BP64</f>
        <v>0</v>
      </c>
      <c r="G64" s="4">
        <f>MonthlyData!R64</f>
        <v>737</v>
      </c>
      <c r="H64">
        <f>MonthlyData!BN64</f>
        <v>0</v>
      </c>
      <c r="J64" s="4">
        <f t="shared" si="6"/>
        <v>231360.027765729</v>
      </c>
      <c r="K64" s="4">
        <f t="shared" ca="1" si="11"/>
        <v>373065.44994323485</v>
      </c>
      <c r="L64" s="4">
        <f t="shared" si="7"/>
        <v>0</v>
      </c>
      <c r="M64" s="4">
        <f t="shared" si="8"/>
        <v>1303896.9954622251</v>
      </c>
      <c r="N64" s="4">
        <f t="shared" si="9"/>
        <v>0</v>
      </c>
      <c r="O64" s="4">
        <f t="shared" ca="1" si="12"/>
        <v>1908322.473171189</v>
      </c>
      <c r="P64" s="4">
        <f t="shared" ca="1" si="13"/>
        <v>-30461.164279104443</v>
      </c>
      <c r="Q64" s="19">
        <f t="shared" ca="1" si="14"/>
        <v>1.571148202961116E-2</v>
      </c>
    </row>
    <row r="65" spans="1:17" x14ac:dyDescent="0.35">
      <c r="A65" s="1">
        <f>MonthlyData!A65</f>
        <v>43556</v>
      </c>
      <c r="B65" s="13">
        <f t="shared" si="4"/>
        <v>2019</v>
      </c>
      <c r="C65" s="13">
        <f t="shared" si="5"/>
        <v>4</v>
      </c>
      <c r="D65" s="4">
        <f>MonthlyData!I65</f>
        <v>1907776.9398509474</v>
      </c>
      <c r="E65" s="4">
        <f t="shared" ca="1" si="10"/>
        <v>307.33082472275549</v>
      </c>
      <c r="F65">
        <f>MonthlyData!BP65</f>
        <v>0</v>
      </c>
      <c r="G65" s="4">
        <f>MonthlyData!R65</f>
        <v>744</v>
      </c>
      <c r="H65">
        <f>MonthlyData!BN65</f>
        <v>0</v>
      </c>
      <c r="J65" s="4">
        <f t="shared" si="6"/>
        <v>231360.027765729</v>
      </c>
      <c r="K65" s="4">
        <f t="shared" ca="1" si="11"/>
        <v>198633.29961251293</v>
      </c>
      <c r="L65" s="4">
        <f t="shared" si="7"/>
        <v>0</v>
      </c>
      <c r="M65" s="4">
        <f t="shared" si="8"/>
        <v>1316281.3631260453</v>
      </c>
      <c r="N65" s="4">
        <f t="shared" si="9"/>
        <v>0</v>
      </c>
      <c r="O65" s="4">
        <f t="shared" ca="1" si="12"/>
        <v>1746274.6905042874</v>
      </c>
      <c r="P65" s="4">
        <f t="shared" ca="1" si="13"/>
        <v>-161502.24934665998</v>
      </c>
      <c r="Q65" s="19">
        <f t="shared" ca="1" si="14"/>
        <v>8.4654681568421722E-2</v>
      </c>
    </row>
    <row r="66" spans="1:17" x14ac:dyDescent="0.35">
      <c r="A66" s="1">
        <f>MonthlyData!A66</f>
        <v>43586</v>
      </c>
      <c r="B66" s="13">
        <f t="shared" si="4"/>
        <v>2019</v>
      </c>
      <c r="C66" s="13">
        <f t="shared" si="5"/>
        <v>5</v>
      </c>
      <c r="D66" s="4">
        <f>MonthlyData!I66</f>
        <v>1627478.4999186685</v>
      </c>
      <c r="E66" s="4">
        <f t="shared" ca="1" si="10"/>
        <v>103.00647094808046</v>
      </c>
      <c r="F66">
        <f>MonthlyData!BP66</f>
        <v>0</v>
      </c>
      <c r="G66" s="4">
        <f>MonthlyData!R66</f>
        <v>744</v>
      </c>
      <c r="H66">
        <f>MonthlyData!BN66</f>
        <v>0</v>
      </c>
      <c r="J66" s="4">
        <f t="shared" si="6"/>
        <v>231360.027765729</v>
      </c>
      <c r="K66" s="4">
        <f t="shared" ref="K66:K97" ca="1" si="15">E66*$T$8</f>
        <v>66574.887905615062</v>
      </c>
      <c r="L66" s="4">
        <f t="shared" si="7"/>
        <v>0</v>
      </c>
      <c r="M66" s="4">
        <f t="shared" si="8"/>
        <v>1316281.3631260453</v>
      </c>
      <c r="N66" s="4">
        <f t="shared" si="9"/>
        <v>0</v>
      </c>
      <c r="O66" s="4">
        <f t="shared" ref="O66:O97" ca="1" si="16">SUM(J66:N66)</f>
        <v>1614216.2787973895</v>
      </c>
      <c r="P66" s="4">
        <f t="shared" ref="P66:P97" ca="1" si="17">O66-D66</f>
        <v>-13262.221121279057</v>
      </c>
      <c r="Q66" s="19">
        <f t="shared" ref="Q66:Q97" ca="1" si="18">ABS(P66/D66)</f>
        <v>8.1489378335516081E-3</v>
      </c>
    </row>
    <row r="67" spans="1:17" x14ac:dyDescent="0.35">
      <c r="A67" s="1">
        <f>MonthlyData!A67</f>
        <v>43617</v>
      </c>
      <c r="B67" s="13">
        <f t="shared" ref="B67:B130" si="19">YEAR(A67)</f>
        <v>2019</v>
      </c>
      <c r="C67" s="13">
        <f t="shared" ref="C67:C130" si="20">MONTH(A67)</f>
        <v>6</v>
      </c>
      <c r="D67" s="4">
        <f>MonthlyData!I67</f>
        <v>1519946.5878462784</v>
      </c>
      <c r="E67" s="4">
        <f t="shared" ca="1" si="10"/>
        <v>5.5889105735385218</v>
      </c>
      <c r="F67">
        <f>MonthlyData!BP67</f>
        <v>0</v>
      </c>
      <c r="G67" s="4">
        <f>MonthlyData!R67</f>
        <v>743</v>
      </c>
      <c r="H67">
        <f>MonthlyData!BN67</f>
        <v>0</v>
      </c>
      <c r="J67" s="4">
        <f t="shared" ref="J67:J130" si="21">$T$7</f>
        <v>231360.027765729</v>
      </c>
      <c r="K67" s="4">
        <f t="shared" ca="1" si="15"/>
        <v>3612.2108788231194</v>
      </c>
      <c r="L67" s="4">
        <f t="shared" ref="L67:L130" si="22">F67*$T$9</f>
        <v>0</v>
      </c>
      <c r="M67" s="4">
        <f t="shared" ref="M67:M130" si="23">G67*$T$10</f>
        <v>1314512.1677454996</v>
      </c>
      <c r="N67" s="4">
        <f t="shared" ref="N67:N130" si="24">H67*$T$11</f>
        <v>0</v>
      </c>
      <c r="O67" s="4">
        <f t="shared" ca="1" si="16"/>
        <v>1549484.4063900518</v>
      </c>
      <c r="P67" s="4">
        <f t="shared" ca="1" si="17"/>
        <v>29537.818543773377</v>
      </c>
      <c r="Q67" s="19">
        <f t="shared" ca="1" si="18"/>
        <v>1.9433458241205459E-2</v>
      </c>
    </row>
    <row r="68" spans="1:17" x14ac:dyDescent="0.35">
      <c r="A68" s="1">
        <f>MonthlyData!A68</f>
        <v>43647</v>
      </c>
      <c r="B68" s="13">
        <f t="shared" si="19"/>
        <v>2019</v>
      </c>
      <c r="C68" s="13">
        <f t="shared" si="20"/>
        <v>7</v>
      </c>
      <c r="D68" s="4">
        <f>MonthlyData!I68</f>
        <v>1429592.0662636776</v>
      </c>
      <c r="E68" s="4">
        <f t="shared" ca="1" si="10"/>
        <v>0.28709633857318684</v>
      </c>
      <c r="F68">
        <f>MonthlyData!BP68</f>
        <v>0</v>
      </c>
      <c r="G68" s="4">
        <f>MonthlyData!R68</f>
        <v>744</v>
      </c>
      <c r="H68">
        <f>MonthlyData!BN68</f>
        <v>0</v>
      </c>
      <c r="J68" s="4">
        <f t="shared" si="21"/>
        <v>231360.027765729</v>
      </c>
      <c r="K68" s="4">
        <f t="shared" ca="1" si="15"/>
        <v>185.55539649791879</v>
      </c>
      <c r="L68" s="4">
        <f t="shared" si="22"/>
        <v>0</v>
      </c>
      <c r="M68" s="4">
        <f t="shared" si="23"/>
        <v>1316281.3631260453</v>
      </c>
      <c r="N68" s="4">
        <f t="shared" si="24"/>
        <v>0</v>
      </c>
      <c r="O68" s="4">
        <f t="shared" ca="1" si="16"/>
        <v>1547826.9462882723</v>
      </c>
      <c r="P68" s="4">
        <f t="shared" ca="1" si="17"/>
        <v>118234.88002459472</v>
      </c>
      <c r="Q68" s="19">
        <f t="shared" ca="1" si="18"/>
        <v>8.2705327495002465E-2</v>
      </c>
    </row>
    <row r="69" spans="1:17" x14ac:dyDescent="0.35">
      <c r="A69" s="1">
        <f>MonthlyData!A69</f>
        <v>43678</v>
      </c>
      <c r="B69" s="13">
        <f t="shared" si="19"/>
        <v>2019</v>
      </c>
      <c r="C69" s="13">
        <f t="shared" si="20"/>
        <v>8</v>
      </c>
      <c r="D69" s="4">
        <f>MonthlyData!I69</f>
        <v>1561409.6245129688</v>
      </c>
      <c r="E69" s="4">
        <f t="shared" ca="1" si="10"/>
        <v>1.6761707873342053</v>
      </c>
      <c r="F69">
        <f>MonthlyData!BP69</f>
        <v>0</v>
      </c>
      <c r="G69" s="4">
        <f>MonthlyData!R69</f>
        <v>744</v>
      </c>
      <c r="H69">
        <f>MonthlyData!BN69</f>
        <v>0</v>
      </c>
      <c r="J69" s="4">
        <f t="shared" si="21"/>
        <v>231360.027765729</v>
      </c>
      <c r="K69" s="4">
        <f t="shared" ca="1" si="15"/>
        <v>1083.3385635907057</v>
      </c>
      <c r="L69" s="4">
        <f t="shared" si="22"/>
        <v>0</v>
      </c>
      <c r="M69" s="4">
        <f t="shared" si="23"/>
        <v>1316281.3631260453</v>
      </c>
      <c r="N69" s="4">
        <f t="shared" si="24"/>
        <v>0</v>
      </c>
      <c r="O69" s="4">
        <f t="shared" ca="1" si="16"/>
        <v>1548724.7294553651</v>
      </c>
      <c r="P69" s="4">
        <f t="shared" ca="1" si="17"/>
        <v>-12684.895057603717</v>
      </c>
      <c r="Q69" s="19">
        <f t="shared" ca="1" si="18"/>
        <v>8.1240020930192225E-3</v>
      </c>
    </row>
    <row r="70" spans="1:17" x14ac:dyDescent="0.35">
      <c r="A70" s="1">
        <f>MonthlyData!A70</f>
        <v>43709</v>
      </c>
      <c r="B70" s="13">
        <f t="shared" si="19"/>
        <v>2019</v>
      </c>
      <c r="C70" s="13">
        <f t="shared" si="20"/>
        <v>9</v>
      </c>
      <c r="D70" s="4">
        <f>MonthlyData!I70</f>
        <v>1441703.5427390249</v>
      </c>
      <c r="E70" s="4">
        <f t="shared" ca="1" si="10"/>
        <v>28.222326899712005</v>
      </c>
      <c r="F70">
        <f>MonthlyData!BP70</f>
        <v>0</v>
      </c>
      <c r="G70" s="4">
        <f>MonthlyData!R70</f>
        <v>743</v>
      </c>
      <c r="H70">
        <f>MonthlyData!BN70</f>
        <v>0</v>
      </c>
      <c r="J70" s="4">
        <f t="shared" si="21"/>
        <v>231360.027765729</v>
      </c>
      <c r="K70" s="4">
        <f t="shared" ca="1" si="15"/>
        <v>18240.584620465193</v>
      </c>
      <c r="L70" s="4">
        <f t="shared" si="22"/>
        <v>0</v>
      </c>
      <c r="M70" s="4">
        <f t="shared" si="23"/>
        <v>1314512.1677454996</v>
      </c>
      <c r="N70" s="4">
        <f t="shared" si="24"/>
        <v>0</v>
      </c>
      <c r="O70" s="4">
        <f t="shared" ca="1" si="16"/>
        <v>1564112.7801316939</v>
      </c>
      <c r="P70" s="4">
        <f t="shared" ca="1" si="17"/>
        <v>122409.23739266908</v>
      </c>
      <c r="Q70" s="19">
        <f t="shared" ca="1" si="18"/>
        <v>8.4905969753053062E-2</v>
      </c>
    </row>
    <row r="71" spans="1:17" x14ac:dyDescent="0.35">
      <c r="A71" s="1">
        <f>MonthlyData!A71</f>
        <v>43739</v>
      </c>
      <c r="B71" s="13">
        <f t="shared" si="19"/>
        <v>2019</v>
      </c>
      <c r="C71" s="13">
        <f t="shared" si="20"/>
        <v>10</v>
      </c>
      <c r="D71" s="4">
        <f>MonthlyData!I71</f>
        <v>1351790.1869173101</v>
      </c>
      <c r="E71" s="4">
        <f t="shared" ca="1" si="10"/>
        <v>178.0244559176316</v>
      </c>
      <c r="F71">
        <f>MonthlyData!BP71</f>
        <v>1</v>
      </c>
      <c r="G71" s="4">
        <f>MonthlyData!R71</f>
        <v>742</v>
      </c>
      <c r="H71">
        <f>MonthlyData!BN71</f>
        <v>0</v>
      </c>
      <c r="J71" s="4">
        <f t="shared" si="21"/>
        <v>231360.027765729</v>
      </c>
      <c r="K71" s="4">
        <f t="shared" ca="1" si="15"/>
        <v>115060.32667742118</v>
      </c>
      <c r="L71" s="4">
        <f t="shared" si="22"/>
        <v>-257897.88627322801</v>
      </c>
      <c r="M71" s="4">
        <f t="shared" si="23"/>
        <v>1312742.972364954</v>
      </c>
      <c r="N71" s="4">
        <f t="shared" si="24"/>
        <v>0</v>
      </c>
      <c r="O71" s="4">
        <f t="shared" ca="1" si="16"/>
        <v>1401265.4405348762</v>
      </c>
      <c r="P71" s="4">
        <f t="shared" ca="1" si="17"/>
        <v>49475.253617566079</v>
      </c>
      <c r="Q71" s="19">
        <f t="shared" ca="1" si="18"/>
        <v>3.6599802318725158E-2</v>
      </c>
    </row>
    <row r="72" spans="1:17" x14ac:dyDescent="0.35">
      <c r="A72" s="1">
        <f>MonthlyData!A72</f>
        <v>43770</v>
      </c>
      <c r="B72" s="13">
        <f t="shared" si="19"/>
        <v>2019</v>
      </c>
      <c r="C72" s="13">
        <f t="shared" si="20"/>
        <v>11</v>
      </c>
      <c r="D72" s="4">
        <f>MonthlyData!I72</f>
        <v>1513169.8617438227</v>
      </c>
      <c r="E72" s="4">
        <f t="shared" ca="1" si="10"/>
        <v>403.99833333333333</v>
      </c>
      <c r="F72">
        <f>MonthlyData!BP72</f>
        <v>1</v>
      </c>
      <c r="G72" s="4">
        <f>MonthlyData!R72</f>
        <v>743</v>
      </c>
      <c r="H72">
        <f>MonthlyData!BN72</f>
        <v>0</v>
      </c>
      <c r="J72" s="4">
        <f t="shared" si="21"/>
        <v>231360.027765729</v>
      </c>
      <c r="K72" s="4">
        <f t="shared" ca="1" si="15"/>
        <v>261111.20503564039</v>
      </c>
      <c r="L72" s="4">
        <f t="shared" si="22"/>
        <v>-257897.88627322801</v>
      </c>
      <c r="M72" s="4">
        <f t="shared" si="23"/>
        <v>1314512.1677454996</v>
      </c>
      <c r="N72" s="4">
        <f t="shared" si="24"/>
        <v>0</v>
      </c>
      <c r="O72" s="4">
        <f t="shared" ca="1" si="16"/>
        <v>1549085.5142736409</v>
      </c>
      <c r="P72" s="4">
        <f t="shared" ca="1" si="17"/>
        <v>35915.652529818239</v>
      </c>
      <c r="Q72" s="19">
        <f t="shared" ca="1" si="18"/>
        <v>2.3735373957572716E-2</v>
      </c>
    </row>
    <row r="73" spans="1:17" x14ac:dyDescent="0.35">
      <c r="A73" s="1">
        <f>MonthlyData!A73</f>
        <v>43800</v>
      </c>
      <c r="B73" s="13">
        <f t="shared" si="19"/>
        <v>2019</v>
      </c>
      <c r="C73" s="13">
        <f t="shared" si="20"/>
        <v>12</v>
      </c>
      <c r="D73" s="4">
        <f>MonthlyData!I73</f>
        <v>1791034.3424851298</v>
      </c>
      <c r="E73" s="4">
        <f t="shared" ca="1" si="10"/>
        <v>629.70466952460959</v>
      </c>
      <c r="F73">
        <f>MonthlyData!BP73</f>
        <v>0</v>
      </c>
      <c r="G73" s="4">
        <f>MonthlyData!R73</f>
        <v>742</v>
      </c>
      <c r="H73">
        <f>MonthlyData!BN73</f>
        <v>1</v>
      </c>
      <c r="J73" s="4">
        <f t="shared" si="21"/>
        <v>231360.027765729</v>
      </c>
      <c r="K73" s="4">
        <f t="shared" ca="1" si="15"/>
        <v>406989.16681044188</v>
      </c>
      <c r="L73" s="4">
        <f t="shared" si="22"/>
        <v>0</v>
      </c>
      <c r="M73" s="4">
        <f t="shared" si="23"/>
        <v>1312742.972364954</v>
      </c>
      <c r="N73" s="4">
        <f t="shared" si="24"/>
        <v>-216631.706472586</v>
      </c>
      <c r="O73" s="4">
        <f t="shared" ca="1" si="16"/>
        <v>1734460.460468539</v>
      </c>
      <c r="P73" s="4">
        <f t="shared" ca="1" si="17"/>
        <v>-56573.882016590796</v>
      </c>
      <c r="Q73" s="19">
        <f t="shared" ca="1" si="18"/>
        <v>3.1587268135848438E-2</v>
      </c>
    </row>
    <row r="74" spans="1:17" x14ac:dyDescent="0.35">
      <c r="A74" s="1">
        <f>MonthlyData!A74</f>
        <v>43831</v>
      </c>
      <c r="B74" s="13">
        <f t="shared" si="19"/>
        <v>2020</v>
      </c>
      <c r="C74" s="13">
        <f t="shared" si="20"/>
        <v>1</v>
      </c>
      <c r="D74" s="4">
        <f>MonthlyData!I74</f>
        <v>1935550.3501778767</v>
      </c>
      <c r="E74" s="4">
        <f t="shared" ca="1" si="10"/>
        <v>793.4846429373913</v>
      </c>
      <c r="F74">
        <f>MonthlyData!BP74</f>
        <v>0</v>
      </c>
      <c r="G74" s="4">
        <f>MonthlyData!R74</f>
        <v>730</v>
      </c>
      <c r="H74">
        <f>MonthlyData!BN74</f>
        <v>0</v>
      </c>
      <c r="J74" s="4">
        <f t="shared" si="21"/>
        <v>231360.027765729</v>
      </c>
      <c r="K74" s="4">
        <f t="shared" ca="1" si="15"/>
        <v>512843.0347352681</v>
      </c>
      <c r="L74" s="4">
        <f t="shared" si="22"/>
        <v>0</v>
      </c>
      <c r="M74" s="4">
        <f t="shared" si="23"/>
        <v>1291512.6277984048</v>
      </c>
      <c r="N74" s="4">
        <f t="shared" si="24"/>
        <v>0</v>
      </c>
      <c r="O74" s="4">
        <f t="shared" ca="1" si="16"/>
        <v>2035715.690299402</v>
      </c>
      <c r="P74" s="4">
        <f t="shared" ca="1" si="17"/>
        <v>100165.34012152534</v>
      </c>
      <c r="Q74" s="19">
        <f t="shared" ca="1" si="18"/>
        <v>5.1750314897424481E-2</v>
      </c>
    </row>
    <row r="75" spans="1:17" x14ac:dyDescent="0.35">
      <c r="A75" s="1">
        <f>MonthlyData!A75</f>
        <v>43862</v>
      </c>
      <c r="B75" s="13">
        <f t="shared" si="19"/>
        <v>2020</v>
      </c>
      <c r="C75" s="13">
        <f t="shared" si="20"/>
        <v>2</v>
      </c>
      <c r="D75" s="4">
        <f>MonthlyData!I75</f>
        <v>1977817.5945423183</v>
      </c>
      <c r="E75" s="4">
        <f t="shared" ca="1" si="10"/>
        <v>736.10085614037712</v>
      </c>
      <c r="F75">
        <f>MonthlyData!BP75</f>
        <v>0</v>
      </c>
      <c r="G75" s="4">
        <f>MonthlyData!R75</f>
        <v>730</v>
      </c>
      <c r="H75">
        <f>MonthlyData!BN75</f>
        <v>0</v>
      </c>
      <c r="J75" s="4">
        <f t="shared" si="21"/>
        <v>231360.027765729</v>
      </c>
      <c r="K75" s="4">
        <f t="shared" ca="1" si="15"/>
        <v>475754.88737473451</v>
      </c>
      <c r="L75" s="4">
        <f t="shared" si="22"/>
        <v>0</v>
      </c>
      <c r="M75" s="4">
        <f t="shared" si="23"/>
        <v>1291512.6277984048</v>
      </c>
      <c r="N75" s="4">
        <f t="shared" si="24"/>
        <v>0</v>
      </c>
      <c r="O75" s="4">
        <f t="shared" ca="1" si="16"/>
        <v>1998627.5429388683</v>
      </c>
      <c r="P75" s="4">
        <f t="shared" ca="1" si="17"/>
        <v>20809.948396550026</v>
      </c>
      <c r="Q75" s="19">
        <f t="shared" ca="1" si="18"/>
        <v>1.0521672197665732E-2</v>
      </c>
    </row>
    <row r="76" spans="1:17" x14ac:dyDescent="0.35">
      <c r="A76" s="1">
        <f>MonthlyData!A76</f>
        <v>43891</v>
      </c>
      <c r="B76" s="13">
        <f t="shared" si="19"/>
        <v>2020</v>
      </c>
      <c r="C76" s="13">
        <f t="shared" si="20"/>
        <v>3</v>
      </c>
      <c r="D76" s="4">
        <f>MonthlyData!I76</f>
        <v>1850467.8951052148</v>
      </c>
      <c r="E76" s="4">
        <f t="shared" ca="1" si="10"/>
        <v>577.21697535249291</v>
      </c>
      <c r="F76">
        <f>MonthlyData!BP76</f>
        <v>0</v>
      </c>
      <c r="G76" s="4">
        <f>MonthlyData!R76</f>
        <v>725</v>
      </c>
      <c r="H76">
        <f>MonthlyData!BN76</f>
        <v>0</v>
      </c>
      <c r="J76" s="4">
        <f t="shared" si="21"/>
        <v>231360.027765729</v>
      </c>
      <c r="K76" s="4">
        <f t="shared" ca="1" si="15"/>
        <v>373065.44994323485</v>
      </c>
      <c r="L76" s="4">
        <f t="shared" si="22"/>
        <v>0</v>
      </c>
      <c r="M76" s="4">
        <f t="shared" si="23"/>
        <v>1282666.6508956759</v>
      </c>
      <c r="N76" s="4">
        <f t="shared" si="24"/>
        <v>0</v>
      </c>
      <c r="O76" s="4">
        <f t="shared" ca="1" si="16"/>
        <v>1887092.1286046398</v>
      </c>
      <c r="P76" s="4">
        <f t="shared" ca="1" si="17"/>
        <v>36624.233499424998</v>
      </c>
      <c r="Q76" s="19">
        <f t="shared" ca="1" si="18"/>
        <v>1.9791877284821846E-2</v>
      </c>
    </row>
    <row r="77" spans="1:17" x14ac:dyDescent="0.35">
      <c r="A77" s="1">
        <f>MonthlyData!A77</f>
        <v>43922</v>
      </c>
      <c r="B77" s="13">
        <f t="shared" si="19"/>
        <v>2020</v>
      </c>
      <c r="C77" s="13">
        <f t="shared" si="20"/>
        <v>4</v>
      </c>
      <c r="D77" s="4">
        <f>MonthlyData!I77</f>
        <v>1756590.0618654145</v>
      </c>
      <c r="E77" s="4">
        <f t="shared" ca="1" si="10"/>
        <v>307.33082472275549</v>
      </c>
      <c r="F77">
        <f>MonthlyData!BP77</f>
        <v>0</v>
      </c>
      <c r="G77" s="4">
        <f>MonthlyData!R77</f>
        <v>720</v>
      </c>
      <c r="H77">
        <f>MonthlyData!BN77</f>
        <v>0</v>
      </c>
      <c r="J77" s="4">
        <f t="shared" si="21"/>
        <v>231360.027765729</v>
      </c>
      <c r="K77" s="4">
        <f t="shared" ca="1" si="15"/>
        <v>198633.29961251293</v>
      </c>
      <c r="L77" s="4">
        <f t="shared" si="22"/>
        <v>0</v>
      </c>
      <c r="M77" s="4">
        <f t="shared" si="23"/>
        <v>1273820.6739929472</v>
      </c>
      <c r="N77" s="4">
        <f t="shared" si="24"/>
        <v>0</v>
      </c>
      <c r="O77" s="4">
        <f t="shared" ca="1" si="16"/>
        <v>1703814.001371189</v>
      </c>
      <c r="P77" s="4">
        <f t="shared" ca="1" si="17"/>
        <v>-52776.060494225472</v>
      </c>
      <c r="Q77" s="19">
        <f t="shared" ca="1" si="18"/>
        <v>3.0044608380728186E-2</v>
      </c>
    </row>
    <row r="78" spans="1:17" x14ac:dyDescent="0.35">
      <c r="A78" s="1">
        <f>MonthlyData!A78</f>
        <v>43952</v>
      </c>
      <c r="B78" s="13">
        <f t="shared" si="19"/>
        <v>2020</v>
      </c>
      <c r="C78" s="13">
        <f t="shared" si="20"/>
        <v>5</v>
      </c>
      <c r="D78" s="4">
        <f>MonthlyData!I78</f>
        <v>1418935.7332032486</v>
      </c>
      <c r="E78" s="4">
        <f t="shared" ca="1" si="10"/>
        <v>103.00647094808046</v>
      </c>
      <c r="F78">
        <f>MonthlyData!BP78</f>
        <v>0</v>
      </c>
      <c r="G78" s="4">
        <f>MonthlyData!R78</f>
        <v>715</v>
      </c>
      <c r="H78">
        <f>MonthlyData!BN78</f>
        <v>0</v>
      </c>
      <c r="J78" s="4">
        <f t="shared" si="21"/>
        <v>231360.027765729</v>
      </c>
      <c r="K78" s="4">
        <f t="shared" ca="1" si="15"/>
        <v>66574.887905615062</v>
      </c>
      <c r="L78" s="4">
        <f t="shared" si="22"/>
        <v>0</v>
      </c>
      <c r="M78" s="4">
        <f t="shared" si="23"/>
        <v>1264974.6970902183</v>
      </c>
      <c r="N78" s="4">
        <f t="shared" si="24"/>
        <v>0</v>
      </c>
      <c r="O78" s="4">
        <f t="shared" ca="1" si="16"/>
        <v>1562909.6127615622</v>
      </c>
      <c r="P78" s="4">
        <f t="shared" ca="1" si="17"/>
        <v>143973.87955831364</v>
      </c>
      <c r="Q78" s="19">
        <f t="shared" ca="1" si="18"/>
        <v>0.10146610321335166</v>
      </c>
    </row>
    <row r="79" spans="1:17" x14ac:dyDescent="0.35">
      <c r="A79" s="1">
        <f>MonthlyData!A79</f>
        <v>43983</v>
      </c>
      <c r="B79" s="13">
        <f t="shared" si="19"/>
        <v>2020</v>
      </c>
      <c r="C79" s="13">
        <f t="shared" si="20"/>
        <v>6</v>
      </c>
      <c r="D79" s="4">
        <f>MonthlyData!I79</f>
        <v>1377562.0480620193</v>
      </c>
      <c r="E79" s="4">
        <f t="shared" ref="E79:E142" ca="1" si="25">E67</f>
        <v>5.5889105735385218</v>
      </c>
      <c r="F79">
        <f>MonthlyData!BP79</f>
        <v>0</v>
      </c>
      <c r="G79" s="4">
        <f>MonthlyData!R79</f>
        <v>725</v>
      </c>
      <c r="H79">
        <f>MonthlyData!BN79</f>
        <v>0</v>
      </c>
      <c r="J79" s="4">
        <f t="shared" si="21"/>
        <v>231360.027765729</v>
      </c>
      <c r="K79" s="4">
        <f t="shared" ca="1" si="15"/>
        <v>3612.2108788231194</v>
      </c>
      <c r="L79" s="4">
        <f t="shared" si="22"/>
        <v>0</v>
      </c>
      <c r="M79" s="4">
        <f t="shared" si="23"/>
        <v>1282666.6508956759</v>
      </c>
      <c r="N79" s="4">
        <f t="shared" si="24"/>
        <v>0</v>
      </c>
      <c r="O79" s="4">
        <f t="shared" ca="1" si="16"/>
        <v>1517638.8895402281</v>
      </c>
      <c r="P79" s="4">
        <f t="shared" ca="1" si="17"/>
        <v>140076.84147820878</v>
      </c>
      <c r="Q79" s="19">
        <f t="shared" ca="1" si="18"/>
        <v>0.10168459683922881</v>
      </c>
    </row>
    <row r="80" spans="1:17" x14ac:dyDescent="0.35">
      <c r="A80" s="1">
        <f>MonthlyData!A80</f>
        <v>44013</v>
      </c>
      <c r="B80" s="13">
        <f t="shared" si="19"/>
        <v>2020</v>
      </c>
      <c r="C80" s="13">
        <f t="shared" si="20"/>
        <v>7</v>
      </c>
      <c r="D80" s="4">
        <f>MonthlyData!I80</f>
        <v>1378667.8360778366</v>
      </c>
      <c r="E80" s="4">
        <f t="shared" ca="1" si="25"/>
        <v>0.28709633857318684</v>
      </c>
      <c r="F80">
        <f>MonthlyData!BP80</f>
        <v>0</v>
      </c>
      <c r="G80" s="4">
        <f>MonthlyData!R80</f>
        <v>718</v>
      </c>
      <c r="H80">
        <f>MonthlyData!BN80</f>
        <v>0</v>
      </c>
      <c r="J80" s="4">
        <f t="shared" si="21"/>
        <v>231360.027765729</v>
      </c>
      <c r="K80" s="4">
        <f t="shared" ca="1" si="15"/>
        <v>185.55539649791879</v>
      </c>
      <c r="L80" s="4">
        <f t="shared" si="22"/>
        <v>0</v>
      </c>
      <c r="M80" s="4">
        <f t="shared" si="23"/>
        <v>1270282.2832318556</v>
      </c>
      <c r="N80" s="4">
        <f t="shared" si="24"/>
        <v>0</v>
      </c>
      <c r="O80" s="4">
        <f t="shared" ca="1" si="16"/>
        <v>1501827.8663940825</v>
      </c>
      <c r="P80" s="4">
        <f t="shared" ca="1" si="17"/>
        <v>123160.03031624597</v>
      </c>
      <c r="Q80" s="19">
        <f t="shared" ca="1" si="18"/>
        <v>8.9332634803915623E-2</v>
      </c>
    </row>
    <row r="81" spans="1:17" x14ac:dyDescent="0.35">
      <c r="A81" s="1">
        <f>MonthlyData!A81</f>
        <v>44044</v>
      </c>
      <c r="B81" s="13">
        <f t="shared" si="19"/>
        <v>2020</v>
      </c>
      <c r="C81" s="13">
        <f t="shared" si="20"/>
        <v>8</v>
      </c>
      <c r="D81" s="4">
        <f>MonthlyData!I81</f>
        <v>1513114.8121348398</v>
      </c>
      <c r="E81" s="4">
        <f t="shared" ca="1" si="25"/>
        <v>1.6761707873342053</v>
      </c>
      <c r="F81">
        <f>MonthlyData!BP81</f>
        <v>0</v>
      </c>
      <c r="G81" s="4">
        <f>MonthlyData!R81</f>
        <v>711</v>
      </c>
      <c r="H81">
        <f>MonthlyData!BN81</f>
        <v>0</v>
      </c>
      <c r="J81" s="4">
        <f t="shared" si="21"/>
        <v>231360.027765729</v>
      </c>
      <c r="K81" s="4">
        <f t="shared" ca="1" si="15"/>
        <v>1083.3385635907057</v>
      </c>
      <c r="L81" s="4">
        <f t="shared" si="22"/>
        <v>0</v>
      </c>
      <c r="M81" s="4">
        <f t="shared" si="23"/>
        <v>1257897.9155680353</v>
      </c>
      <c r="N81" s="4">
        <f t="shared" si="24"/>
        <v>0</v>
      </c>
      <c r="O81" s="4">
        <f t="shared" ca="1" si="16"/>
        <v>1490341.2818973551</v>
      </c>
      <c r="P81" s="4">
        <f t="shared" ca="1" si="17"/>
        <v>-22773.530237484723</v>
      </c>
      <c r="Q81" s="19">
        <f t="shared" ca="1" si="18"/>
        <v>1.505076155150035E-2</v>
      </c>
    </row>
    <row r="82" spans="1:17" x14ac:dyDescent="0.35">
      <c r="A82" s="1">
        <f>MonthlyData!A82</f>
        <v>44075</v>
      </c>
      <c r="B82" s="13">
        <f t="shared" si="19"/>
        <v>2020</v>
      </c>
      <c r="C82" s="13">
        <f t="shared" si="20"/>
        <v>9</v>
      </c>
      <c r="D82" s="4">
        <f>MonthlyData!I82</f>
        <v>1397996.7457012909</v>
      </c>
      <c r="E82" s="4">
        <f t="shared" ca="1" si="25"/>
        <v>28.222326899712005</v>
      </c>
      <c r="F82">
        <f>MonthlyData!BP82</f>
        <v>0</v>
      </c>
      <c r="G82" s="4">
        <f>MonthlyData!R82</f>
        <v>713</v>
      </c>
      <c r="H82">
        <f>MonthlyData!BN82</f>
        <v>0</v>
      </c>
      <c r="J82" s="4">
        <f t="shared" si="21"/>
        <v>231360.027765729</v>
      </c>
      <c r="K82" s="4">
        <f t="shared" ca="1" si="15"/>
        <v>18240.584620465193</v>
      </c>
      <c r="L82" s="4">
        <f t="shared" si="22"/>
        <v>0</v>
      </c>
      <c r="M82" s="4">
        <f t="shared" si="23"/>
        <v>1261436.3063291269</v>
      </c>
      <c r="N82" s="4">
        <f t="shared" si="24"/>
        <v>0</v>
      </c>
      <c r="O82" s="4">
        <f t="shared" ca="1" si="16"/>
        <v>1511036.9187153212</v>
      </c>
      <c r="P82" s="4">
        <f t="shared" ca="1" si="17"/>
        <v>113040.17301403033</v>
      </c>
      <c r="Q82" s="19">
        <f t="shared" ca="1" si="18"/>
        <v>8.0858681081782402E-2</v>
      </c>
    </row>
    <row r="83" spans="1:17" x14ac:dyDescent="0.35">
      <c r="A83" s="1">
        <f>MonthlyData!A83</f>
        <v>44105</v>
      </c>
      <c r="B83" s="13">
        <f t="shared" si="19"/>
        <v>2020</v>
      </c>
      <c r="C83" s="13">
        <f t="shared" si="20"/>
        <v>10</v>
      </c>
      <c r="D83" s="4">
        <f>MonthlyData!I83</f>
        <v>1284992.2736673818</v>
      </c>
      <c r="E83" s="4">
        <f t="shared" ca="1" si="25"/>
        <v>178.0244559176316</v>
      </c>
      <c r="F83">
        <f>MonthlyData!BP83</f>
        <v>1</v>
      </c>
      <c r="G83" s="4">
        <f>MonthlyData!R83</f>
        <v>708</v>
      </c>
      <c r="H83">
        <f>MonthlyData!BN83</f>
        <v>0</v>
      </c>
      <c r="J83" s="4">
        <f t="shared" si="21"/>
        <v>231360.027765729</v>
      </c>
      <c r="K83" s="4">
        <f t="shared" ca="1" si="15"/>
        <v>115060.32667742118</v>
      </c>
      <c r="L83" s="4">
        <f t="shared" si="22"/>
        <v>-257897.88627322801</v>
      </c>
      <c r="M83" s="4">
        <f t="shared" si="23"/>
        <v>1252590.329426398</v>
      </c>
      <c r="N83" s="4">
        <f t="shared" si="24"/>
        <v>0</v>
      </c>
      <c r="O83" s="4">
        <f t="shared" ca="1" si="16"/>
        <v>1341112.7975963203</v>
      </c>
      <c r="P83" s="4">
        <f t="shared" ca="1" si="17"/>
        <v>56120.523928938434</v>
      </c>
      <c r="Q83" s="19">
        <f t="shared" ca="1" si="18"/>
        <v>4.367382207580895E-2</v>
      </c>
    </row>
    <row r="84" spans="1:17" x14ac:dyDescent="0.35">
      <c r="A84" s="1">
        <f>MonthlyData!A84</f>
        <v>44136</v>
      </c>
      <c r="B84" s="13">
        <f t="shared" si="19"/>
        <v>2020</v>
      </c>
      <c r="C84" s="13">
        <f t="shared" si="20"/>
        <v>11</v>
      </c>
      <c r="D84" s="4">
        <f>MonthlyData!I84</f>
        <v>1464478.2777535517</v>
      </c>
      <c r="E84" s="4">
        <f t="shared" ca="1" si="25"/>
        <v>403.99833333333333</v>
      </c>
      <c r="F84">
        <f>MonthlyData!BP84</f>
        <v>1</v>
      </c>
      <c r="G84" s="4">
        <f>MonthlyData!R84</f>
        <v>707</v>
      </c>
      <c r="H84">
        <f>MonthlyData!BN84</f>
        <v>0</v>
      </c>
      <c r="J84" s="4">
        <f t="shared" si="21"/>
        <v>231360.027765729</v>
      </c>
      <c r="K84" s="4">
        <f t="shared" ca="1" si="15"/>
        <v>261111.20503564039</v>
      </c>
      <c r="L84" s="4">
        <f t="shared" si="22"/>
        <v>-257897.88627322801</v>
      </c>
      <c r="M84" s="4">
        <f t="shared" si="23"/>
        <v>1250821.1340458523</v>
      </c>
      <c r="N84" s="4">
        <f t="shared" si="24"/>
        <v>0</v>
      </c>
      <c r="O84" s="4">
        <f t="shared" ca="1" si="16"/>
        <v>1485394.4805739936</v>
      </c>
      <c r="P84" s="4">
        <f t="shared" ca="1" si="17"/>
        <v>20916.202820441918</v>
      </c>
      <c r="Q84" s="19">
        <f t="shared" ca="1" si="18"/>
        <v>1.4282357845912537E-2</v>
      </c>
    </row>
    <row r="85" spans="1:17" x14ac:dyDescent="0.35">
      <c r="A85" s="1">
        <f>MonthlyData!A85</f>
        <v>44166</v>
      </c>
      <c r="B85" s="13">
        <f t="shared" si="19"/>
        <v>2020</v>
      </c>
      <c r="C85" s="13">
        <f t="shared" si="20"/>
        <v>12</v>
      </c>
      <c r="D85" s="4">
        <f>MonthlyData!I85</f>
        <v>1562307.8267750656</v>
      </c>
      <c r="E85" s="4">
        <f t="shared" ca="1" si="25"/>
        <v>629.70466952460959</v>
      </c>
      <c r="F85">
        <f>MonthlyData!BP85</f>
        <v>0</v>
      </c>
      <c r="G85" s="4">
        <f>MonthlyData!R85</f>
        <v>706</v>
      </c>
      <c r="H85">
        <f>MonthlyData!BN85</f>
        <v>1</v>
      </c>
      <c r="J85" s="4">
        <f t="shared" si="21"/>
        <v>231360.027765729</v>
      </c>
      <c r="K85" s="4">
        <f t="shared" ca="1" si="15"/>
        <v>406989.16681044188</v>
      </c>
      <c r="L85" s="4">
        <f t="shared" si="22"/>
        <v>0</v>
      </c>
      <c r="M85" s="4">
        <f t="shared" si="23"/>
        <v>1249051.9386653064</v>
      </c>
      <c r="N85" s="4">
        <f t="shared" si="24"/>
        <v>-216631.706472586</v>
      </c>
      <c r="O85" s="4">
        <f t="shared" ca="1" si="16"/>
        <v>1670769.4267688915</v>
      </c>
      <c r="P85" s="4">
        <f t="shared" ca="1" si="17"/>
        <v>108461.59999382589</v>
      </c>
      <c r="Q85" s="19">
        <f t="shared" ca="1" si="18"/>
        <v>6.9423962509176956E-2</v>
      </c>
    </row>
    <row r="86" spans="1:17" x14ac:dyDescent="0.35">
      <c r="A86" s="1">
        <f>MonthlyData!A86</f>
        <v>44197</v>
      </c>
      <c r="B86" s="13">
        <f t="shared" si="19"/>
        <v>2021</v>
      </c>
      <c r="C86" s="13">
        <f t="shared" si="20"/>
        <v>1</v>
      </c>
      <c r="D86" s="4">
        <f>MonthlyData!I86</f>
        <v>1834545.4505539462</v>
      </c>
      <c r="E86" s="4">
        <f t="shared" ca="1" si="25"/>
        <v>793.4846429373913</v>
      </c>
      <c r="F86">
        <f>MonthlyData!BP86</f>
        <v>0</v>
      </c>
      <c r="G86" s="4">
        <f>MonthlyData!R86</f>
        <v>702</v>
      </c>
      <c r="H86">
        <f>MonthlyData!BN86</f>
        <v>0</v>
      </c>
      <c r="J86" s="4">
        <f t="shared" si="21"/>
        <v>231360.027765729</v>
      </c>
      <c r="K86" s="4">
        <f t="shared" ca="1" si="15"/>
        <v>512843.0347352681</v>
      </c>
      <c r="L86" s="4">
        <f t="shared" si="22"/>
        <v>0</v>
      </c>
      <c r="M86" s="4">
        <f t="shared" si="23"/>
        <v>1241975.1571431234</v>
      </c>
      <c r="N86" s="4">
        <f t="shared" si="24"/>
        <v>0</v>
      </c>
      <c r="O86" s="4">
        <f t="shared" ca="1" si="16"/>
        <v>1986178.2196441204</v>
      </c>
      <c r="P86" s="4">
        <f t="shared" ca="1" si="17"/>
        <v>151632.76909017423</v>
      </c>
      <c r="Q86" s="19">
        <f t="shared" ca="1" si="18"/>
        <v>8.2654135957432012E-2</v>
      </c>
    </row>
    <row r="87" spans="1:17" x14ac:dyDescent="0.35">
      <c r="A87" s="1">
        <f>MonthlyData!A87</f>
        <v>44228</v>
      </c>
      <c r="B87" s="13">
        <f t="shared" si="19"/>
        <v>2021</v>
      </c>
      <c r="C87" s="13">
        <f t="shared" si="20"/>
        <v>2</v>
      </c>
      <c r="D87" s="4">
        <f>MonthlyData!I87</f>
        <v>1818925.427847272</v>
      </c>
      <c r="E87" s="4">
        <f t="shared" ca="1" si="25"/>
        <v>736.10085614037712</v>
      </c>
      <c r="F87">
        <f>MonthlyData!BP87</f>
        <v>0</v>
      </c>
      <c r="G87" s="4">
        <f>MonthlyData!R87</f>
        <v>700</v>
      </c>
      <c r="H87">
        <f>MonthlyData!BN87</f>
        <v>0</v>
      </c>
      <c r="J87" s="4">
        <f t="shared" si="21"/>
        <v>231360.027765729</v>
      </c>
      <c r="K87" s="4">
        <f t="shared" ca="1" si="15"/>
        <v>475754.88737473451</v>
      </c>
      <c r="L87" s="4">
        <f t="shared" si="22"/>
        <v>0</v>
      </c>
      <c r="M87" s="4">
        <f t="shared" si="23"/>
        <v>1238436.7663820318</v>
      </c>
      <c r="N87" s="4">
        <f t="shared" si="24"/>
        <v>0</v>
      </c>
      <c r="O87" s="4">
        <f t="shared" ca="1" si="16"/>
        <v>1945551.6815224953</v>
      </c>
      <c r="P87" s="4">
        <f t="shared" ca="1" si="17"/>
        <v>126626.25367522333</v>
      </c>
      <c r="Q87" s="19">
        <f t="shared" ca="1" si="18"/>
        <v>6.9615967612860069E-2</v>
      </c>
    </row>
    <row r="88" spans="1:17" x14ac:dyDescent="0.35">
      <c r="A88" s="1">
        <f>MonthlyData!A88</f>
        <v>44256</v>
      </c>
      <c r="B88" s="13">
        <f t="shared" si="19"/>
        <v>2021</v>
      </c>
      <c r="C88" s="13">
        <f t="shared" si="20"/>
        <v>3</v>
      </c>
      <c r="D88" s="4">
        <f>MonthlyData!I88</f>
        <v>1761238.2654504171</v>
      </c>
      <c r="E88" s="4">
        <f t="shared" ca="1" si="25"/>
        <v>577.21697535249291</v>
      </c>
      <c r="F88">
        <f>MonthlyData!BP88</f>
        <v>0</v>
      </c>
      <c r="G88" s="4">
        <f>MonthlyData!R88</f>
        <v>701</v>
      </c>
      <c r="H88">
        <f>MonthlyData!BN88</f>
        <v>0</v>
      </c>
      <c r="J88" s="4">
        <f t="shared" si="21"/>
        <v>231360.027765729</v>
      </c>
      <c r="K88" s="4">
        <f t="shared" ca="1" si="15"/>
        <v>373065.44994323485</v>
      </c>
      <c r="L88" s="4">
        <f t="shared" si="22"/>
        <v>0</v>
      </c>
      <c r="M88" s="4">
        <f t="shared" si="23"/>
        <v>1240205.9617625778</v>
      </c>
      <c r="N88" s="4">
        <f t="shared" si="24"/>
        <v>0</v>
      </c>
      <c r="O88" s="4">
        <f t="shared" ca="1" si="16"/>
        <v>1844631.4394715417</v>
      </c>
      <c r="P88" s="4">
        <f t="shared" ca="1" si="17"/>
        <v>83393.174021124607</v>
      </c>
      <c r="Q88" s="19">
        <f t="shared" ca="1" si="18"/>
        <v>4.7349172259664556E-2</v>
      </c>
    </row>
    <row r="89" spans="1:17" x14ac:dyDescent="0.35">
      <c r="A89" s="1">
        <f>MonthlyData!A89</f>
        <v>44287</v>
      </c>
      <c r="B89" s="13">
        <f t="shared" si="19"/>
        <v>2021</v>
      </c>
      <c r="C89" s="13">
        <f t="shared" si="20"/>
        <v>4</v>
      </c>
      <c r="D89" s="4">
        <f>MonthlyData!I89</f>
        <v>1831512.198590517</v>
      </c>
      <c r="E89" s="4">
        <f t="shared" ca="1" si="25"/>
        <v>307.33082472275549</v>
      </c>
      <c r="F89">
        <f>MonthlyData!BP89</f>
        <v>0</v>
      </c>
      <c r="G89" s="4">
        <f>MonthlyData!R89</f>
        <v>699</v>
      </c>
      <c r="H89">
        <f>MonthlyData!BN89</f>
        <v>0</v>
      </c>
      <c r="J89" s="4">
        <f t="shared" si="21"/>
        <v>231360.027765729</v>
      </c>
      <c r="K89" s="4">
        <f t="shared" ca="1" si="15"/>
        <v>198633.29961251293</v>
      </c>
      <c r="L89" s="4">
        <f t="shared" si="22"/>
        <v>0</v>
      </c>
      <c r="M89" s="4">
        <f t="shared" si="23"/>
        <v>1236667.5710014862</v>
      </c>
      <c r="N89" s="4">
        <f t="shared" si="24"/>
        <v>0</v>
      </c>
      <c r="O89" s="4">
        <f t="shared" ca="1" si="16"/>
        <v>1666660.8983797282</v>
      </c>
      <c r="P89" s="4">
        <f t="shared" ca="1" si="17"/>
        <v>-164851.30021078885</v>
      </c>
      <c r="Q89" s="19">
        <f t="shared" ca="1" si="18"/>
        <v>9.0008300429368693E-2</v>
      </c>
    </row>
    <row r="90" spans="1:17" x14ac:dyDescent="0.35">
      <c r="A90" s="1">
        <f>MonthlyData!A90</f>
        <v>44317</v>
      </c>
      <c r="B90" s="13">
        <f t="shared" si="19"/>
        <v>2021</v>
      </c>
      <c r="C90" s="13">
        <f t="shared" si="20"/>
        <v>5</v>
      </c>
      <c r="D90" s="4">
        <f>MonthlyData!I90</f>
        <v>1511642.3028173393</v>
      </c>
      <c r="E90" s="4">
        <f t="shared" ca="1" si="25"/>
        <v>103.00647094808046</v>
      </c>
      <c r="F90">
        <f>MonthlyData!BP90</f>
        <v>0</v>
      </c>
      <c r="G90" s="4">
        <f>MonthlyData!R90</f>
        <v>718</v>
      </c>
      <c r="H90">
        <f>MonthlyData!BN90</f>
        <v>0</v>
      </c>
      <c r="J90" s="4">
        <f t="shared" si="21"/>
        <v>231360.027765729</v>
      </c>
      <c r="K90" s="4">
        <f t="shared" ca="1" si="15"/>
        <v>66574.887905615062</v>
      </c>
      <c r="L90" s="4">
        <f t="shared" si="22"/>
        <v>0</v>
      </c>
      <c r="M90" s="4">
        <f t="shared" si="23"/>
        <v>1270282.2832318556</v>
      </c>
      <c r="N90" s="4">
        <f t="shared" si="24"/>
        <v>0</v>
      </c>
      <c r="O90" s="4">
        <f t="shared" ca="1" si="16"/>
        <v>1568217.1989031998</v>
      </c>
      <c r="P90" s="4">
        <f t="shared" ca="1" si="17"/>
        <v>56574.896085860441</v>
      </c>
      <c r="Q90" s="19">
        <f t="shared" ca="1" si="18"/>
        <v>3.7426113294407266E-2</v>
      </c>
    </row>
    <row r="91" spans="1:17" x14ac:dyDescent="0.35">
      <c r="A91" s="1">
        <f>MonthlyData!A91</f>
        <v>44348</v>
      </c>
      <c r="B91" s="13">
        <f t="shared" si="19"/>
        <v>2021</v>
      </c>
      <c r="C91" s="13">
        <f t="shared" si="20"/>
        <v>6</v>
      </c>
      <c r="D91" s="4">
        <f>MonthlyData!I91</f>
        <v>1474746.1004095075</v>
      </c>
      <c r="E91" s="4">
        <f t="shared" ca="1" si="25"/>
        <v>5.5889105735385218</v>
      </c>
      <c r="F91">
        <f>MonthlyData!BP91</f>
        <v>0</v>
      </c>
      <c r="G91" s="4">
        <f>MonthlyData!R91</f>
        <v>708</v>
      </c>
      <c r="H91">
        <f>MonthlyData!BN91</f>
        <v>0</v>
      </c>
      <c r="J91" s="4">
        <f t="shared" si="21"/>
        <v>231360.027765729</v>
      </c>
      <c r="K91" s="4">
        <f t="shared" ca="1" si="15"/>
        <v>3612.2108788231194</v>
      </c>
      <c r="L91" s="4">
        <f t="shared" si="22"/>
        <v>0</v>
      </c>
      <c r="M91" s="4">
        <f t="shared" si="23"/>
        <v>1252590.329426398</v>
      </c>
      <c r="N91" s="4">
        <f t="shared" si="24"/>
        <v>0</v>
      </c>
      <c r="O91" s="4">
        <f t="shared" ca="1" si="16"/>
        <v>1487562.5680709502</v>
      </c>
      <c r="P91" s="4">
        <f t="shared" ca="1" si="17"/>
        <v>12816.467661442701</v>
      </c>
      <c r="Q91" s="19">
        <f t="shared" ca="1" si="18"/>
        <v>8.6906265816765506E-3</v>
      </c>
    </row>
    <row r="92" spans="1:17" x14ac:dyDescent="0.35">
      <c r="A92" s="1">
        <f>MonthlyData!A92</f>
        <v>44378</v>
      </c>
      <c r="B92" s="13">
        <f t="shared" si="19"/>
        <v>2021</v>
      </c>
      <c r="C92" s="13">
        <f t="shared" si="20"/>
        <v>7</v>
      </c>
      <c r="D92" s="4">
        <f>MonthlyData!I92</f>
        <v>1425605.6503695406</v>
      </c>
      <c r="E92" s="4">
        <f t="shared" ca="1" si="25"/>
        <v>0.28709633857318684</v>
      </c>
      <c r="F92">
        <f>MonthlyData!BP92</f>
        <v>0</v>
      </c>
      <c r="G92" s="4">
        <f>MonthlyData!R92</f>
        <v>707</v>
      </c>
      <c r="H92">
        <f>MonthlyData!BN92</f>
        <v>0</v>
      </c>
      <c r="J92" s="4">
        <f t="shared" si="21"/>
        <v>231360.027765729</v>
      </c>
      <c r="K92" s="4">
        <f t="shared" ca="1" si="15"/>
        <v>185.55539649791879</v>
      </c>
      <c r="L92" s="4">
        <f t="shared" si="22"/>
        <v>0</v>
      </c>
      <c r="M92" s="4">
        <f t="shared" si="23"/>
        <v>1250821.1340458523</v>
      </c>
      <c r="N92" s="4">
        <f t="shared" si="24"/>
        <v>0</v>
      </c>
      <c r="O92" s="4">
        <f t="shared" ca="1" si="16"/>
        <v>1482366.7172080793</v>
      </c>
      <c r="P92" s="4">
        <f t="shared" ca="1" si="17"/>
        <v>56761.06683853874</v>
      </c>
      <c r="Q92" s="19">
        <f t="shared" ca="1" si="18"/>
        <v>3.981540534987732E-2</v>
      </c>
    </row>
    <row r="93" spans="1:17" x14ac:dyDescent="0.35">
      <c r="A93" s="1">
        <f>MonthlyData!A93</f>
        <v>44409</v>
      </c>
      <c r="B93" s="13">
        <f t="shared" si="19"/>
        <v>2021</v>
      </c>
      <c r="C93" s="13">
        <f t="shared" si="20"/>
        <v>8</v>
      </c>
      <c r="D93" s="4">
        <f>MonthlyData!I93</f>
        <v>1522148.8955182382</v>
      </c>
      <c r="E93" s="4">
        <f t="shared" ca="1" si="25"/>
        <v>1.6761707873342053</v>
      </c>
      <c r="F93">
        <f>MonthlyData!BP93</f>
        <v>0</v>
      </c>
      <c r="G93" s="4">
        <f>MonthlyData!R93</f>
        <v>705</v>
      </c>
      <c r="H93">
        <f>MonthlyData!BN93</f>
        <v>0</v>
      </c>
      <c r="J93" s="4">
        <f t="shared" si="21"/>
        <v>231360.027765729</v>
      </c>
      <c r="K93" s="4">
        <f t="shared" ca="1" si="15"/>
        <v>1083.3385635907057</v>
      </c>
      <c r="L93" s="4">
        <f t="shared" si="22"/>
        <v>0</v>
      </c>
      <c r="M93" s="4">
        <f t="shared" si="23"/>
        <v>1247282.7432847607</v>
      </c>
      <c r="N93" s="4">
        <f t="shared" si="24"/>
        <v>0</v>
      </c>
      <c r="O93" s="4">
        <f t="shared" ca="1" si="16"/>
        <v>1479726.1096140805</v>
      </c>
      <c r="P93" s="4">
        <f t="shared" ca="1" si="17"/>
        <v>-42422.785904157674</v>
      </c>
      <c r="Q93" s="19">
        <f t="shared" ca="1" si="18"/>
        <v>2.7870325977350729E-2</v>
      </c>
    </row>
    <row r="94" spans="1:17" x14ac:dyDescent="0.35">
      <c r="A94" s="1">
        <f>MonthlyData!A94</f>
        <v>44440</v>
      </c>
      <c r="B94" s="13">
        <f t="shared" si="19"/>
        <v>2021</v>
      </c>
      <c r="C94" s="13">
        <f t="shared" si="20"/>
        <v>9</v>
      </c>
      <c r="D94" s="4">
        <f>MonthlyData!I94</f>
        <v>1594979.7956060998</v>
      </c>
      <c r="E94" s="4">
        <f t="shared" ca="1" si="25"/>
        <v>28.222326899712005</v>
      </c>
      <c r="F94">
        <f>MonthlyData!BP94</f>
        <v>0</v>
      </c>
      <c r="G94" s="4">
        <f>MonthlyData!R94</f>
        <v>703</v>
      </c>
      <c r="H94">
        <f>MonthlyData!BN94</f>
        <v>0</v>
      </c>
      <c r="J94" s="4">
        <f t="shared" si="21"/>
        <v>231360.027765729</v>
      </c>
      <c r="K94" s="4">
        <f t="shared" ca="1" si="15"/>
        <v>18240.584620465193</v>
      </c>
      <c r="L94" s="4">
        <f t="shared" si="22"/>
        <v>0</v>
      </c>
      <c r="M94" s="4">
        <f t="shared" si="23"/>
        <v>1243744.3525236691</v>
      </c>
      <c r="N94" s="4">
        <f t="shared" si="24"/>
        <v>0</v>
      </c>
      <c r="O94" s="4">
        <f t="shared" ca="1" si="16"/>
        <v>1493344.9649098634</v>
      </c>
      <c r="P94" s="4">
        <f t="shared" ca="1" si="17"/>
        <v>-101634.83069623634</v>
      </c>
      <c r="Q94" s="19">
        <f t="shared" ca="1" si="18"/>
        <v>6.372170417219275E-2</v>
      </c>
    </row>
    <row r="95" spans="1:17" x14ac:dyDescent="0.35">
      <c r="A95" s="1">
        <f>MonthlyData!A95</f>
        <v>44470</v>
      </c>
      <c r="B95" s="13">
        <f t="shared" si="19"/>
        <v>2021</v>
      </c>
      <c r="C95" s="13">
        <f t="shared" si="20"/>
        <v>10</v>
      </c>
      <c r="D95" s="4">
        <f>MonthlyData!I95</f>
        <v>1422657.9661976707</v>
      </c>
      <c r="E95" s="4">
        <f t="shared" ca="1" si="25"/>
        <v>178.0244559176316</v>
      </c>
      <c r="F95">
        <f>MonthlyData!BP95</f>
        <v>1</v>
      </c>
      <c r="G95" s="4">
        <f>MonthlyData!R95</f>
        <v>711</v>
      </c>
      <c r="H95">
        <f>MonthlyData!BN95</f>
        <v>0</v>
      </c>
      <c r="J95" s="4">
        <f t="shared" si="21"/>
        <v>231360.027765729</v>
      </c>
      <c r="K95" s="4">
        <f t="shared" ca="1" si="15"/>
        <v>115060.32667742118</v>
      </c>
      <c r="L95" s="4">
        <f t="shared" si="22"/>
        <v>-257897.88627322801</v>
      </c>
      <c r="M95" s="4">
        <f t="shared" si="23"/>
        <v>1257897.9155680353</v>
      </c>
      <c r="N95" s="4">
        <f t="shared" si="24"/>
        <v>0</v>
      </c>
      <c r="O95" s="4">
        <f t="shared" ca="1" si="16"/>
        <v>1346420.3837379576</v>
      </c>
      <c r="P95" s="4">
        <f t="shared" ca="1" si="17"/>
        <v>-76237.5824597131</v>
      </c>
      <c r="Q95" s="19">
        <f t="shared" ca="1" si="18"/>
        <v>5.358813170214962E-2</v>
      </c>
    </row>
    <row r="96" spans="1:17" x14ac:dyDescent="0.35">
      <c r="A96" s="1">
        <f>MonthlyData!A96</f>
        <v>44501</v>
      </c>
      <c r="B96" s="13">
        <f t="shared" si="19"/>
        <v>2021</v>
      </c>
      <c r="C96" s="13">
        <f t="shared" si="20"/>
        <v>11</v>
      </c>
      <c r="D96" s="4">
        <f>MonthlyData!I96</f>
        <v>1410769.7058828673</v>
      </c>
      <c r="E96" s="4">
        <f t="shared" ca="1" si="25"/>
        <v>403.99833333333333</v>
      </c>
      <c r="F96">
        <f>MonthlyData!BP96</f>
        <v>1</v>
      </c>
      <c r="G96" s="4">
        <f>MonthlyData!R96</f>
        <v>707</v>
      </c>
      <c r="H96">
        <f>MonthlyData!BN96</f>
        <v>0</v>
      </c>
      <c r="J96" s="4">
        <f t="shared" si="21"/>
        <v>231360.027765729</v>
      </c>
      <c r="K96" s="4">
        <f t="shared" ca="1" si="15"/>
        <v>261111.20503564039</v>
      </c>
      <c r="L96" s="4">
        <f t="shared" si="22"/>
        <v>-257897.88627322801</v>
      </c>
      <c r="M96" s="4">
        <f t="shared" si="23"/>
        <v>1250821.1340458523</v>
      </c>
      <c r="N96" s="4">
        <f t="shared" si="24"/>
        <v>0</v>
      </c>
      <c r="O96" s="4">
        <f t="shared" ca="1" si="16"/>
        <v>1485394.4805739936</v>
      </c>
      <c r="P96" s="4">
        <f t="shared" ca="1" si="17"/>
        <v>74624.774691126309</v>
      </c>
      <c r="Q96" s="19">
        <f t="shared" ca="1" si="18"/>
        <v>5.28964964160651E-2</v>
      </c>
    </row>
    <row r="97" spans="1:17" x14ac:dyDescent="0.35">
      <c r="A97" s="1">
        <f>MonthlyData!A97</f>
        <v>44531</v>
      </c>
      <c r="B97" s="13">
        <f t="shared" si="19"/>
        <v>2021</v>
      </c>
      <c r="C97" s="13">
        <f t="shared" si="20"/>
        <v>12</v>
      </c>
      <c r="D97" s="4">
        <f>MonthlyData!I97</f>
        <v>1668067.6510135117</v>
      </c>
      <c r="E97" s="4">
        <f t="shared" ca="1" si="25"/>
        <v>629.70466952460959</v>
      </c>
      <c r="F97">
        <f>MonthlyData!BP97</f>
        <v>0</v>
      </c>
      <c r="G97" s="4">
        <f>MonthlyData!R97</f>
        <v>709</v>
      </c>
      <c r="H97">
        <f>MonthlyData!BN97</f>
        <v>1</v>
      </c>
      <c r="J97" s="4">
        <f t="shared" si="21"/>
        <v>231360.027765729</v>
      </c>
      <c r="K97" s="4">
        <f t="shared" ca="1" si="15"/>
        <v>406989.16681044188</v>
      </c>
      <c r="L97" s="4">
        <f t="shared" si="22"/>
        <v>0</v>
      </c>
      <c r="M97" s="4">
        <f t="shared" si="23"/>
        <v>1254359.5248069437</v>
      </c>
      <c r="N97" s="4">
        <f t="shared" si="24"/>
        <v>-216631.706472586</v>
      </c>
      <c r="O97" s="4">
        <f t="shared" ca="1" si="16"/>
        <v>1676077.0129105286</v>
      </c>
      <c r="P97" s="4">
        <f t="shared" ca="1" si="17"/>
        <v>8009.3618970168754</v>
      </c>
      <c r="Q97" s="19">
        <f t="shared" ca="1" si="18"/>
        <v>4.8015809743390302E-3</v>
      </c>
    </row>
    <row r="98" spans="1:17" x14ac:dyDescent="0.35">
      <c r="A98" s="1">
        <f>MonthlyData!A98</f>
        <v>44562</v>
      </c>
      <c r="B98" s="13">
        <f t="shared" si="19"/>
        <v>2022</v>
      </c>
      <c r="C98" s="13">
        <f t="shared" si="20"/>
        <v>1</v>
      </c>
      <c r="D98" s="4">
        <f>MonthlyData!I98</f>
        <v>1926907.4134284349</v>
      </c>
      <c r="E98" s="4">
        <f t="shared" ca="1" si="25"/>
        <v>793.4846429373913</v>
      </c>
      <c r="F98">
        <f>MonthlyData!BP98</f>
        <v>0</v>
      </c>
      <c r="G98" s="4">
        <f>MonthlyData!R98</f>
        <v>709</v>
      </c>
      <c r="H98">
        <f>MonthlyData!BN98</f>
        <v>0</v>
      </c>
      <c r="J98" s="4">
        <f t="shared" si="21"/>
        <v>231360.027765729</v>
      </c>
      <c r="K98" s="4">
        <f t="shared" ref="K98:K129" ca="1" si="26">E98*$T$8</f>
        <v>512843.0347352681</v>
      </c>
      <c r="L98" s="4">
        <f t="shared" si="22"/>
        <v>0</v>
      </c>
      <c r="M98" s="4">
        <f t="shared" si="23"/>
        <v>1254359.5248069437</v>
      </c>
      <c r="N98" s="4">
        <f t="shared" si="24"/>
        <v>0</v>
      </c>
      <c r="O98" s="4">
        <f t="shared" ref="O98:O129" ca="1" si="27">SUM(J98:N98)</f>
        <v>1998562.5873079407</v>
      </c>
      <c r="P98" s="4">
        <f t="shared" ref="P98:P121" ca="1" si="28">O98-D98</f>
        <v>71655.173879505834</v>
      </c>
      <c r="Q98" s="19">
        <f t="shared" ref="Q98:Q121" ca="1" si="29">ABS(P98/D98)</f>
        <v>3.7186620062877818E-2</v>
      </c>
    </row>
    <row r="99" spans="1:17" x14ac:dyDescent="0.35">
      <c r="A99" s="1">
        <f>MonthlyData!A99</f>
        <v>44593</v>
      </c>
      <c r="B99" s="13">
        <f t="shared" si="19"/>
        <v>2022</v>
      </c>
      <c r="C99" s="13">
        <f t="shared" si="20"/>
        <v>2</v>
      </c>
      <c r="D99" s="4">
        <f>MonthlyData!I99</f>
        <v>2160827.4711737516</v>
      </c>
      <c r="E99" s="4">
        <f t="shared" ca="1" si="25"/>
        <v>736.10085614037712</v>
      </c>
      <c r="F99">
        <f>MonthlyData!BP99</f>
        <v>0</v>
      </c>
      <c r="G99" s="4">
        <f>MonthlyData!R99</f>
        <v>709</v>
      </c>
      <c r="H99">
        <f>MonthlyData!BN99</f>
        <v>0</v>
      </c>
      <c r="J99" s="4">
        <f t="shared" si="21"/>
        <v>231360.027765729</v>
      </c>
      <c r="K99" s="4">
        <f t="shared" ca="1" si="26"/>
        <v>475754.88737473451</v>
      </c>
      <c r="L99" s="4">
        <f t="shared" si="22"/>
        <v>0</v>
      </c>
      <c r="M99" s="4">
        <f t="shared" si="23"/>
        <v>1254359.5248069437</v>
      </c>
      <c r="N99" s="4">
        <f t="shared" si="24"/>
        <v>0</v>
      </c>
      <c r="O99" s="4">
        <f t="shared" ca="1" si="27"/>
        <v>1961474.4399474072</v>
      </c>
      <c r="P99" s="4">
        <f t="shared" ca="1" si="28"/>
        <v>-199353.03122634441</v>
      </c>
      <c r="Q99" s="19">
        <f t="shared" ca="1" si="29"/>
        <v>9.2257727137306692E-2</v>
      </c>
    </row>
    <row r="100" spans="1:17" x14ac:dyDescent="0.35">
      <c r="A100" s="1">
        <f>MonthlyData!A100</f>
        <v>44621</v>
      </c>
      <c r="B100" s="13">
        <f t="shared" si="19"/>
        <v>2022</v>
      </c>
      <c r="C100" s="13">
        <f t="shared" si="20"/>
        <v>3</v>
      </c>
      <c r="D100" s="4">
        <f>MonthlyData!I100</f>
        <v>1932746.0266007786</v>
      </c>
      <c r="E100" s="4">
        <f t="shared" ca="1" si="25"/>
        <v>577.21697535249291</v>
      </c>
      <c r="F100">
        <f>MonthlyData!BP100</f>
        <v>0</v>
      </c>
      <c r="G100" s="4">
        <f>MonthlyData!R100</f>
        <v>705</v>
      </c>
      <c r="H100">
        <f>MonthlyData!BN100</f>
        <v>0</v>
      </c>
      <c r="J100" s="4">
        <f t="shared" si="21"/>
        <v>231360.027765729</v>
      </c>
      <c r="K100" s="4">
        <f t="shared" ca="1" si="26"/>
        <v>373065.44994323485</v>
      </c>
      <c r="L100" s="4">
        <f t="shared" si="22"/>
        <v>0</v>
      </c>
      <c r="M100" s="4">
        <f t="shared" si="23"/>
        <v>1247282.7432847607</v>
      </c>
      <c r="N100" s="4">
        <f t="shared" si="24"/>
        <v>0</v>
      </c>
      <c r="O100" s="4">
        <f t="shared" ca="1" si="27"/>
        <v>1851708.2209937247</v>
      </c>
      <c r="P100" s="4">
        <f t="shared" ca="1" si="28"/>
        <v>-81037.805607053917</v>
      </c>
      <c r="Q100" s="19">
        <f t="shared" ca="1" si="29"/>
        <v>4.1928843465056473E-2</v>
      </c>
    </row>
    <row r="101" spans="1:17" x14ac:dyDescent="0.35">
      <c r="A101" s="1">
        <f>MonthlyData!A101</f>
        <v>44652</v>
      </c>
      <c r="B101" s="13">
        <f t="shared" si="19"/>
        <v>2022</v>
      </c>
      <c r="C101" s="13">
        <f t="shared" si="20"/>
        <v>4</v>
      </c>
      <c r="D101" s="4">
        <f>MonthlyData!I101</f>
        <v>1912363.8713649923</v>
      </c>
      <c r="E101" s="4">
        <f t="shared" ca="1" si="25"/>
        <v>307.33082472275549</v>
      </c>
      <c r="F101">
        <f>MonthlyData!BP101</f>
        <v>0</v>
      </c>
      <c r="G101" s="4">
        <f>MonthlyData!R101</f>
        <v>709</v>
      </c>
      <c r="H101">
        <f>MonthlyData!BN101</f>
        <v>0</v>
      </c>
      <c r="J101" s="4">
        <f t="shared" si="21"/>
        <v>231360.027765729</v>
      </c>
      <c r="K101" s="4">
        <f t="shared" ca="1" si="26"/>
        <v>198633.29961251293</v>
      </c>
      <c r="L101" s="4">
        <f t="shared" si="22"/>
        <v>0</v>
      </c>
      <c r="M101" s="4">
        <f t="shared" si="23"/>
        <v>1254359.5248069437</v>
      </c>
      <c r="N101" s="4">
        <f t="shared" si="24"/>
        <v>0</v>
      </c>
      <c r="O101" s="4">
        <f t="shared" ca="1" si="27"/>
        <v>1684352.8521851855</v>
      </c>
      <c r="P101" s="4">
        <f t="shared" ca="1" si="28"/>
        <v>-228011.01917980681</v>
      </c>
      <c r="Q101" s="19">
        <f t="shared" ca="1" si="29"/>
        <v>0.11922993452969746</v>
      </c>
    </row>
    <row r="102" spans="1:17" x14ac:dyDescent="0.35">
      <c r="A102" s="1">
        <f>MonthlyData!A102</f>
        <v>44682</v>
      </c>
      <c r="B102" s="13">
        <f t="shared" si="19"/>
        <v>2022</v>
      </c>
      <c r="C102" s="13">
        <f t="shared" si="20"/>
        <v>5</v>
      </c>
      <c r="D102" s="4">
        <f>MonthlyData!I102</f>
        <v>1582272.1607022141</v>
      </c>
      <c r="E102" s="4">
        <f t="shared" ca="1" si="25"/>
        <v>103.00647094808046</v>
      </c>
      <c r="F102">
        <f>MonthlyData!BP102</f>
        <v>0</v>
      </c>
      <c r="G102" s="4">
        <f>MonthlyData!R102</f>
        <v>712</v>
      </c>
      <c r="H102">
        <f>MonthlyData!BN102</f>
        <v>0</v>
      </c>
      <c r="J102" s="4">
        <f t="shared" si="21"/>
        <v>231360.027765729</v>
      </c>
      <c r="K102" s="4">
        <f t="shared" ca="1" si="26"/>
        <v>66574.887905615062</v>
      </c>
      <c r="L102" s="4">
        <f t="shared" si="22"/>
        <v>0</v>
      </c>
      <c r="M102" s="4">
        <f t="shared" si="23"/>
        <v>1259667.110948581</v>
      </c>
      <c r="N102" s="4">
        <f t="shared" si="24"/>
        <v>0</v>
      </c>
      <c r="O102" s="4">
        <f t="shared" ca="1" si="27"/>
        <v>1557602.0266199252</v>
      </c>
      <c r="P102" s="4">
        <f t="shared" ca="1" si="28"/>
        <v>-24670.134082288947</v>
      </c>
      <c r="Q102" s="19">
        <f t="shared" ca="1" si="29"/>
        <v>1.5591587019606232E-2</v>
      </c>
    </row>
    <row r="103" spans="1:17" x14ac:dyDescent="0.35">
      <c r="A103" s="1">
        <f>MonthlyData!A103</f>
        <v>44713</v>
      </c>
      <c r="B103" s="13">
        <f t="shared" si="19"/>
        <v>2022</v>
      </c>
      <c r="C103" s="13">
        <f t="shared" si="20"/>
        <v>6</v>
      </c>
      <c r="D103" s="4">
        <f>MonthlyData!I103</f>
        <v>1463034.5311222468</v>
      </c>
      <c r="E103" s="4">
        <f t="shared" ca="1" si="25"/>
        <v>5.5889105735385218</v>
      </c>
      <c r="F103">
        <f>MonthlyData!BP103</f>
        <v>0</v>
      </c>
      <c r="G103" s="4">
        <f>MonthlyData!R103</f>
        <v>715</v>
      </c>
      <c r="H103">
        <f>MonthlyData!BN103</f>
        <v>0</v>
      </c>
      <c r="J103" s="4">
        <f t="shared" si="21"/>
        <v>231360.027765729</v>
      </c>
      <c r="K103" s="4">
        <f t="shared" ca="1" si="26"/>
        <v>3612.2108788231194</v>
      </c>
      <c r="L103" s="4">
        <f t="shared" si="22"/>
        <v>0</v>
      </c>
      <c r="M103" s="4">
        <f t="shared" si="23"/>
        <v>1264974.6970902183</v>
      </c>
      <c r="N103" s="4">
        <f t="shared" si="24"/>
        <v>0</v>
      </c>
      <c r="O103" s="4">
        <f t="shared" ca="1" si="27"/>
        <v>1499946.9357347705</v>
      </c>
      <c r="P103" s="4">
        <f t="shared" ca="1" si="28"/>
        <v>36912.404612523736</v>
      </c>
      <c r="Q103" s="19">
        <f t="shared" ca="1" si="29"/>
        <v>2.5230029659115031E-2</v>
      </c>
    </row>
    <row r="104" spans="1:17" x14ac:dyDescent="0.35">
      <c r="A104" s="1">
        <f>MonthlyData!A104</f>
        <v>44743</v>
      </c>
      <c r="B104" s="13">
        <f t="shared" si="19"/>
        <v>2022</v>
      </c>
      <c r="C104" s="13">
        <f t="shared" si="20"/>
        <v>7</v>
      </c>
      <c r="D104" s="4">
        <f>MonthlyData!I104</f>
        <v>1413022.3318274003</v>
      </c>
      <c r="E104" s="4">
        <f t="shared" ca="1" si="25"/>
        <v>0.28709633857318684</v>
      </c>
      <c r="F104">
        <f>MonthlyData!BP104</f>
        <v>0</v>
      </c>
      <c r="G104" s="4">
        <f>MonthlyData!R104</f>
        <v>715</v>
      </c>
      <c r="H104">
        <f>MonthlyData!BN104</f>
        <v>0</v>
      </c>
      <c r="J104" s="4">
        <f t="shared" si="21"/>
        <v>231360.027765729</v>
      </c>
      <c r="K104" s="4">
        <f t="shared" ca="1" si="26"/>
        <v>185.55539649791879</v>
      </c>
      <c r="L104" s="4">
        <f t="shared" si="22"/>
        <v>0</v>
      </c>
      <c r="M104" s="4">
        <f t="shared" si="23"/>
        <v>1264974.6970902183</v>
      </c>
      <c r="N104" s="4">
        <f t="shared" si="24"/>
        <v>0</v>
      </c>
      <c r="O104" s="4">
        <f t="shared" ca="1" si="27"/>
        <v>1496520.2802524453</v>
      </c>
      <c r="P104" s="4">
        <f t="shared" ca="1" si="28"/>
        <v>83497.948425045004</v>
      </c>
      <c r="Q104" s="19">
        <f t="shared" ca="1" si="29"/>
        <v>5.9091740126329596E-2</v>
      </c>
    </row>
    <row r="105" spans="1:17" x14ac:dyDescent="0.35">
      <c r="A105" s="1">
        <f>MonthlyData!A105</f>
        <v>44774</v>
      </c>
      <c r="B105" s="13">
        <f t="shared" si="19"/>
        <v>2022</v>
      </c>
      <c r="C105" s="13">
        <f t="shared" si="20"/>
        <v>8</v>
      </c>
      <c r="D105" s="4">
        <f>MonthlyData!I105</f>
        <v>1444023.7846525921</v>
      </c>
      <c r="E105" s="4">
        <f t="shared" ca="1" si="25"/>
        <v>1.6761707873342053</v>
      </c>
      <c r="F105">
        <f>MonthlyData!BP105</f>
        <v>0</v>
      </c>
      <c r="G105" s="4">
        <f>MonthlyData!R105</f>
        <v>715</v>
      </c>
      <c r="H105">
        <f>MonthlyData!BN105</f>
        <v>0</v>
      </c>
      <c r="J105" s="4">
        <f t="shared" si="21"/>
        <v>231360.027765729</v>
      </c>
      <c r="K105" s="4">
        <f t="shared" ca="1" si="26"/>
        <v>1083.3385635907057</v>
      </c>
      <c r="L105" s="4">
        <f t="shared" si="22"/>
        <v>0</v>
      </c>
      <c r="M105" s="4">
        <f t="shared" si="23"/>
        <v>1264974.6970902183</v>
      </c>
      <c r="N105" s="4">
        <f t="shared" si="24"/>
        <v>0</v>
      </c>
      <c r="O105" s="4">
        <f t="shared" ca="1" si="27"/>
        <v>1497418.0634195381</v>
      </c>
      <c r="P105" s="4">
        <f t="shared" ca="1" si="28"/>
        <v>53394.278766945936</v>
      </c>
      <c r="Q105" s="19">
        <f t="shared" ca="1" si="29"/>
        <v>3.6976038299668106E-2</v>
      </c>
    </row>
    <row r="106" spans="1:17" x14ac:dyDescent="0.35">
      <c r="A106" s="1">
        <f>MonthlyData!A106</f>
        <v>44805</v>
      </c>
      <c r="B106" s="13">
        <f t="shared" si="19"/>
        <v>2022</v>
      </c>
      <c r="C106" s="13">
        <f t="shared" si="20"/>
        <v>9</v>
      </c>
      <c r="D106" s="4">
        <f>MonthlyData!I106</f>
        <v>1459452.2654821102</v>
      </c>
      <c r="E106" s="4">
        <f t="shared" ca="1" si="25"/>
        <v>28.222326899712005</v>
      </c>
      <c r="F106">
        <f>MonthlyData!BP106</f>
        <v>0</v>
      </c>
      <c r="G106" s="4">
        <f>MonthlyData!R106</f>
        <v>715</v>
      </c>
      <c r="H106">
        <f>MonthlyData!BN106</f>
        <v>0</v>
      </c>
      <c r="J106" s="4">
        <f t="shared" si="21"/>
        <v>231360.027765729</v>
      </c>
      <c r="K106" s="4">
        <f t="shared" ca="1" si="26"/>
        <v>18240.584620465193</v>
      </c>
      <c r="L106" s="4">
        <f t="shared" si="22"/>
        <v>0</v>
      </c>
      <c r="M106" s="4">
        <f t="shared" si="23"/>
        <v>1264974.6970902183</v>
      </c>
      <c r="N106" s="4">
        <f t="shared" si="24"/>
        <v>0</v>
      </c>
      <c r="O106" s="4">
        <f t="shared" ca="1" si="27"/>
        <v>1514575.3094764126</v>
      </c>
      <c r="P106" s="4">
        <f t="shared" ca="1" si="28"/>
        <v>55123.043994302396</v>
      </c>
      <c r="Q106" s="19">
        <f t="shared" ca="1" si="29"/>
        <v>3.7769679281763453E-2</v>
      </c>
    </row>
    <row r="107" spans="1:17" x14ac:dyDescent="0.35">
      <c r="A107" s="1">
        <f>MonthlyData!A107</f>
        <v>44835</v>
      </c>
      <c r="B107" s="13">
        <f t="shared" si="19"/>
        <v>2022</v>
      </c>
      <c r="C107" s="13">
        <f t="shared" si="20"/>
        <v>10</v>
      </c>
      <c r="D107" s="4">
        <f>MonthlyData!I107</f>
        <v>1385483.647600366</v>
      </c>
      <c r="E107" s="4">
        <f t="shared" ca="1" si="25"/>
        <v>178.0244559176316</v>
      </c>
      <c r="F107">
        <f>MonthlyData!BP107</f>
        <v>1</v>
      </c>
      <c r="G107" s="4">
        <f>MonthlyData!R107</f>
        <v>714</v>
      </c>
      <c r="H107">
        <f>MonthlyData!BN107</f>
        <v>0</v>
      </c>
      <c r="J107" s="4">
        <f t="shared" si="21"/>
        <v>231360.027765729</v>
      </c>
      <c r="K107" s="4">
        <f t="shared" ca="1" si="26"/>
        <v>115060.32667742118</v>
      </c>
      <c r="L107" s="4">
        <f t="shared" si="22"/>
        <v>-257897.88627322801</v>
      </c>
      <c r="M107" s="4">
        <f t="shared" si="23"/>
        <v>1263205.5017096726</v>
      </c>
      <c r="N107" s="4">
        <f t="shared" si="24"/>
        <v>0</v>
      </c>
      <c r="O107" s="4">
        <f t="shared" ca="1" si="27"/>
        <v>1351727.9698795949</v>
      </c>
      <c r="P107" s="4">
        <f t="shared" ca="1" si="28"/>
        <v>-33755.677720771171</v>
      </c>
      <c r="Q107" s="19">
        <f t="shared" ca="1" si="29"/>
        <v>2.4363822538963506E-2</v>
      </c>
    </row>
    <row r="108" spans="1:17" x14ac:dyDescent="0.35">
      <c r="A108" s="1">
        <f>MonthlyData!A108</f>
        <v>44866</v>
      </c>
      <c r="B108" s="13">
        <f t="shared" si="19"/>
        <v>2022</v>
      </c>
      <c r="C108" s="13">
        <f t="shared" si="20"/>
        <v>11</v>
      </c>
      <c r="D108" s="4">
        <f>MonthlyData!I108</f>
        <v>1494225.9685888838</v>
      </c>
      <c r="E108" s="4">
        <f t="shared" ca="1" si="25"/>
        <v>403.99833333333333</v>
      </c>
      <c r="F108">
        <f>MonthlyData!BP108</f>
        <v>1</v>
      </c>
      <c r="G108" s="4">
        <f>MonthlyData!R108</f>
        <v>713</v>
      </c>
      <c r="H108">
        <f>MonthlyData!BN108</f>
        <v>0</v>
      </c>
      <c r="J108" s="4">
        <f t="shared" si="21"/>
        <v>231360.027765729</v>
      </c>
      <c r="K108" s="4">
        <f t="shared" ca="1" si="26"/>
        <v>261111.20503564039</v>
      </c>
      <c r="L108" s="4">
        <f t="shared" si="22"/>
        <v>-257897.88627322801</v>
      </c>
      <c r="M108" s="4">
        <f t="shared" si="23"/>
        <v>1261436.3063291269</v>
      </c>
      <c r="N108" s="4">
        <f t="shared" si="24"/>
        <v>0</v>
      </c>
      <c r="O108" s="4">
        <f t="shared" ca="1" si="27"/>
        <v>1496009.6528572682</v>
      </c>
      <c r="P108" s="4">
        <f t="shared" ca="1" si="28"/>
        <v>1783.6842683844734</v>
      </c>
      <c r="Q108" s="19">
        <f t="shared" ca="1" si="29"/>
        <v>1.1937178886463526E-3</v>
      </c>
    </row>
    <row r="109" spans="1:17" x14ac:dyDescent="0.35">
      <c r="A109" s="1">
        <f>MonthlyData!A109</f>
        <v>44896</v>
      </c>
      <c r="B109" s="13">
        <f t="shared" si="19"/>
        <v>2022</v>
      </c>
      <c r="C109" s="13">
        <f t="shared" si="20"/>
        <v>12</v>
      </c>
      <c r="D109" s="4">
        <f>MonthlyData!I109</f>
        <v>1680449.1749027357</v>
      </c>
      <c r="E109" s="4">
        <f t="shared" ca="1" si="25"/>
        <v>629.70466952460959</v>
      </c>
      <c r="F109">
        <f>MonthlyData!BP109</f>
        <v>0</v>
      </c>
      <c r="G109" s="4">
        <f>MonthlyData!R109</f>
        <v>715</v>
      </c>
      <c r="H109">
        <f>MonthlyData!BN109</f>
        <v>1</v>
      </c>
      <c r="J109" s="4">
        <f t="shared" si="21"/>
        <v>231360.027765729</v>
      </c>
      <c r="K109" s="4">
        <f t="shared" ca="1" si="26"/>
        <v>406989.16681044188</v>
      </c>
      <c r="L109" s="4">
        <f t="shared" si="22"/>
        <v>0</v>
      </c>
      <c r="M109" s="4">
        <f t="shared" si="23"/>
        <v>1264974.6970902183</v>
      </c>
      <c r="N109" s="4">
        <f t="shared" si="24"/>
        <v>-216631.706472586</v>
      </c>
      <c r="O109" s="4">
        <f t="shared" ca="1" si="27"/>
        <v>1686692.1851938032</v>
      </c>
      <c r="P109" s="4">
        <f t="shared" ca="1" si="28"/>
        <v>6243.0102910674177</v>
      </c>
      <c r="Q109" s="19">
        <f t="shared" ca="1" si="29"/>
        <v>3.7150842669364057E-3</v>
      </c>
    </row>
    <row r="110" spans="1:17" x14ac:dyDescent="0.35">
      <c r="A110" s="1">
        <f>MonthlyData!A110</f>
        <v>44927</v>
      </c>
      <c r="B110" s="13">
        <f t="shared" si="19"/>
        <v>2023</v>
      </c>
      <c r="C110" s="13">
        <f t="shared" si="20"/>
        <v>1</v>
      </c>
      <c r="D110" s="4">
        <f>MonthlyData!I110</f>
        <v>1905264.2219758234</v>
      </c>
      <c r="E110" s="4">
        <f t="shared" ca="1" si="25"/>
        <v>793.4846429373913</v>
      </c>
      <c r="F110">
        <f>MonthlyData!BP110</f>
        <v>0</v>
      </c>
      <c r="G110" s="4">
        <f>MonthlyData!R110</f>
        <v>718</v>
      </c>
      <c r="H110">
        <f>MonthlyData!BN110</f>
        <v>0</v>
      </c>
      <c r="J110" s="4">
        <f t="shared" si="21"/>
        <v>231360.027765729</v>
      </c>
      <c r="K110" s="4">
        <f t="shared" ca="1" si="26"/>
        <v>512843.0347352681</v>
      </c>
      <c r="L110" s="4">
        <f t="shared" si="22"/>
        <v>0</v>
      </c>
      <c r="M110" s="4">
        <f t="shared" si="23"/>
        <v>1270282.2832318556</v>
      </c>
      <c r="N110" s="4">
        <f t="shared" si="24"/>
        <v>0</v>
      </c>
      <c r="O110" s="4">
        <f t="shared" ca="1" si="27"/>
        <v>2014485.3457328528</v>
      </c>
      <c r="P110" s="4">
        <f t="shared" ca="1" si="28"/>
        <v>109221.12375702942</v>
      </c>
      <c r="Q110" s="19">
        <f t="shared" ca="1" si="29"/>
        <v>5.732597216556317E-2</v>
      </c>
    </row>
    <row r="111" spans="1:17" x14ac:dyDescent="0.35">
      <c r="A111" s="1">
        <f>MonthlyData!A111</f>
        <v>44958</v>
      </c>
      <c r="B111" s="13">
        <f t="shared" si="19"/>
        <v>2023</v>
      </c>
      <c r="C111" s="13">
        <f t="shared" si="20"/>
        <v>2</v>
      </c>
      <c r="D111" s="4">
        <f>MonthlyData!I111</f>
        <v>1974339.2236516613</v>
      </c>
      <c r="E111" s="4">
        <f t="shared" ca="1" si="25"/>
        <v>736.10085614037712</v>
      </c>
      <c r="F111">
        <f>MonthlyData!BP111</f>
        <v>0</v>
      </c>
      <c r="G111" s="4">
        <f>MonthlyData!R111</f>
        <v>716</v>
      </c>
      <c r="H111">
        <f>MonthlyData!BN111</f>
        <v>0</v>
      </c>
      <c r="J111" s="4">
        <f t="shared" si="21"/>
        <v>231360.027765729</v>
      </c>
      <c r="K111" s="4">
        <f t="shared" ca="1" si="26"/>
        <v>475754.88737473451</v>
      </c>
      <c r="L111" s="4">
        <f t="shared" si="22"/>
        <v>0</v>
      </c>
      <c r="M111" s="4">
        <f t="shared" si="23"/>
        <v>1266743.892470764</v>
      </c>
      <c r="N111" s="4">
        <f t="shared" si="24"/>
        <v>0</v>
      </c>
      <c r="O111" s="4">
        <f t="shared" ca="1" si="27"/>
        <v>1973858.8076112275</v>
      </c>
      <c r="P111" s="4">
        <f t="shared" ca="1" si="28"/>
        <v>-480.41604043380357</v>
      </c>
      <c r="Q111" s="19">
        <f t="shared" ca="1" si="29"/>
        <v>2.4333003907263954E-4</v>
      </c>
    </row>
    <row r="112" spans="1:17" x14ac:dyDescent="0.35">
      <c r="A112" s="1">
        <f>MonthlyData!A112</f>
        <v>44986</v>
      </c>
      <c r="B112" s="13">
        <f t="shared" si="19"/>
        <v>2023</v>
      </c>
      <c r="C112" s="13">
        <f t="shared" si="20"/>
        <v>3</v>
      </c>
      <c r="D112" s="4">
        <f>MonthlyData!I112</f>
        <v>1882647.2363357965</v>
      </c>
      <c r="E112" s="4">
        <f t="shared" ca="1" si="25"/>
        <v>577.21697535249291</v>
      </c>
      <c r="F112">
        <f>MonthlyData!BP112</f>
        <v>0</v>
      </c>
      <c r="G112" s="4">
        <f>MonthlyData!R112</f>
        <v>719</v>
      </c>
      <c r="H112">
        <f>MonthlyData!BN112</f>
        <v>0</v>
      </c>
      <c r="J112" s="4">
        <f t="shared" si="21"/>
        <v>231360.027765729</v>
      </c>
      <c r="K112" s="4">
        <f t="shared" ca="1" si="26"/>
        <v>373065.44994323485</v>
      </c>
      <c r="L112" s="4">
        <f t="shared" si="22"/>
        <v>0</v>
      </c>
      <c r="M112" s="4">
        <f t="shared" si="23"/>
        <v>1272051.4786124013</v>
      </c>
      <c r="N112" s="4">
        <f t="shared" si="24"/>
        <v>0</v>
      </c>
      <c r="O112" s="4">
        <f t="shared" ca="1" si="27"/>
        <v>1876476.9563213652</v>
      </c>
      <c r="P112" s="4">
        <f t="shared" ca="1" si="28"/>
        <v>-6170.2800144313369</v>
      </c>
      <c r="Q112" s="19">
        <f t="shared" ca="1" si="29"/>
        <v>3.2774488472097282E-3</v>
      </c>
    </row>
    <row r="113" spans="1:17" x14ac:dyDescent="0.35">
      <c r="A113" s="1">
        <f>MonthlyData!A113</f>
        <v>45017</v>
      </c>
      <c r="B113" s="13">
        <f t="shared" si="19"/>
        <v>2023</v>
      </c>
      <c r="C113" s="13">
        <f t="shared" si="20"/>
        <v>4</v>
      </c>
      <c r="D113" s="4">
        <f>MonthlyData!I113</f>
        <v>1867618.501662056</v>
      </c>
      <c r="E113" s="4">
        <f t="shared" ca="1" si="25"/>
        <v>307.33082472275549</v>
      </c>
      <c r="F113">
        <f>MonthlyData!BP113</f>
        <v>0</v>
      </c>
      <c r="G113" s="4">
        <f>MonthlyData!R113</f>
        <v>714</v>
      </c>
      <c r="H113">
        <f>MonthlyData!BN113</f>
        <v>0</v>
      </c>
      <c r="J113" s="4">
        <f t="shared" si="21"/>
        <v>231360.027765729</v>
      </c>
      <c r="K113" s="4">
        <f t="shared" ca="1" si="26"/>
        <v>198633.29961251293</v>
      </c>
      <c r="L113" s="4">
        <f t="shared" si="22"/>
        <v>0</v>
      </c>
      <c r="M113" s="4">
        <f t="shared" si="23"/>
        <v>1263205.5017096726</v>
      </c>
      <c r="N113" s="4">
        <f t="shared" si="24"/>
        <v>0</v>
      </c>
      <c r="O113" s="4">
        <f t="shared" ca="1" si="27"/>
        <v>1693198.8290879144</v>
      </c>
      <c r="P113" s="4">
        <f t="shared" ca="1" si="28"/>
        <v>-174419.67257414153</v>
      </c>
      <c r="Q113" s="19">
        <f t="shared" ca="1" si="29"/>
        <v>9.3391488903606198E-2</v>
      </c>
    </row>
    <row r="114" spans="1:17" x14ac:dyDescent="0.35">
      <c r="A114" s="1">
        <f>MonthlyData!A114</f>
        <v>45047</v>
      </c>
      <c r="B114" s="13">
        <f t="shared" si="19"/>
        <v>2023</v>
      </c>
      <c r="C114" s="13">
        <f t="shared" si="20"/>
        <v>5</v>
      </c>
      <c r="D114" s="4">
        <f>MonthlyData!I114</f>
        <v>1578145.3866843837</v>
      </c>
      <c r="E114" s="4">
        <f t="shared" ca="1" si="25"/>
        <v>103.00647094808046</v>
      </c>
      <c r="F114">
        <f>MonthlyData!BP114</f>
        <v>0</v>
      </c>
      <c r="G114" s="4">
        <f>MonthlyData!R114</f>
        <v>714</v>
      </c>
      <c r="H114">
        <f>MonthlyData!BN114</f>
        <v>0</v>
      </c>
      <c r="J114" s="4">
        <f t="shared" si="21"/>
        <v>231360.027765729</v>
      </c>
      <c r="K114" s="4">
        <f t="shared" ca="1" si="26"/>
        <v>66574.887905615062</v>
      </c>
      <c r="L114" s="4">
        <f t="shared" si="22"/>
        <v>0</v>
      </c>
      <c r="M114" s="4">
        <f t="shared" si="23"/>
        <v>1263205.5017096726</v>
      </c>
      <c r="N114" s="4">
        <f t="shared" si="24"/>
        <v>0</v>
      </c>
      <c r="O114" s="4">
        <f t="shared" ca="1" si="27"/>
        <v>1561140.4173810165</v>
      </c>
      <c r="P114" s="4">
        <f t="shared" ca="1" si="28"/>
        <v>-17004.969303367194</v>
      </c>
      <c r="Q114" s="19">
        <f t="shared" ca="1" si="29"/>
        <v>1.0775286894887366E-2</v>
      </c>
    </row>
    <row r="115" spans="1:17" x14ac:dyDescent="0.35">
      <c r="A115" s="1">
        <f>MonthlyData!A115</f>
        <v>45078</v>
      </c>
      <c r="B115" s="13">
        <f t="shared" si="19"/>
        <v>2023</v>
      </c>
      <c r="C115" s="13">
        <f t="shared" si="20"/>
        <v>6</v>
      </c>
      <c r="D115" s="4">
        <f>MonthlyData!I115</f>
        <v>1492657.8417762832</v>
      </c>
      <c r="E115" s="4">
        <f t="shared" ca="1" si="25"/>
        <v>5.5889105735385218</v>
      </c>
      <c r="F115">
        <f>MonthlyData!BP115</f>
        <v>0</v>
      </c>
      <c r="G115" s="4">
        <f>MonthlyData!R115</f>
        <v>720</v>
      </c>
      <c r="H115">
        <f>MonthlyData!BN115</f>
        <v>0</v>
      </c>
      <c r="J115" s="4">
        <f t="shared" si="21"/>
        <v>231360.027765729</v>
      </c>
      <c r="K115" s="4">
        <f t="shared" ca="1" si="26"/>
        <v>3612.2108788231194</v>
      </c>
      <c r="L115" s="4">
        <f t="shared" si="22"/>
        <v>0</v>
      </c>
      <c r="M115" s="4">
        <f t="shared" si="23"/>
        <v>1273820.6739929472</v>
      </c>
      <c r="N115" s="4">
        <f t="shared" si="24"/>
        <v>0</v>
      </c>
      <c r="O115" s="4">
        <f t="shared" ca="1" si="27"/>
        <v>1508792.9126374994</v>
      </c>
      <c r="P115" s="4">
        <f t="shared" ca="1" si="28"/>
        <v>16135.070861216169</v>
      </c>
      <c r="Q115" s="19">
        <f t="shared" ca="1" si="29"/>
        <v>1.080962455670029E-2</v>
      </c>
    </row>
    <row r="116" spans="1:17" x14ac:dyDescent="0.35">
      <c r="A116" s="1">
        <f>MonthlyData!A116</f>
        <v>45108</v>
      </c>
      <c r="B116" s="13">
        <f t="shared" si="19"/>
        <v>2023</v>
      </c>
      <c r="C116" s="13">
        <f t="shared" si="20"/>
        <v>7</v>
      </c>
      <c r="D116" s="4">
        <f>MonthlyData!I116</f>
        <v>1469523.6742042131</v>
      </c>
      <c r="E116" s="4">
        <f t="shared" ca="1" si="25"/>
        <v>0.28709633857318684</v>
      </c>
      <c r="F116">
        <f>MonthlyData!BP116</f>
        <v>0</v>
      </c>
      <c r="G116" s="4">
        <f>MonthlyData!R116</f>
        <v>720</v>
      </c>
      <c r="H116">
        <f>MonthlyData!BN116</f>
        <v>0</v>
      </c>
      <c r="J116" s="4">
        <f t="shared" si="21"/>
        <v>231360.027765729</v>
      </c>
      <c r="K116" s="4">
        <f t="shared" ca="1" si="26"/>
        <v>185.55539649791879</v>
      </c>
      <c r="L116" s="4">
        <f t="shared" si="22"/>
        <v>0</v>
      </c>
      <c r="M116" s="4">
        <f t="shared" si="23"/>
        <v>1273820.6739929472</v>
      </c>
      <c r="N116" s="4">
        <f t="shared" si="24"/>
        <v>0</v>
      </c>
      <c r="O116" s="4">
        <f t="shared" ca="1" si="27"/>
        <v>1505366.2571551742</v>
      </c>
      <c r="P116" s="4">
        <f t="shared" ca="1" si="28"/>
        <v>35842.582950961078</v>
      </c>
      <c r="Q116" s="19">
        <f t="shared" ca="1" si="29"/>
        <v>2.4390612808855093E-2</v>
      </c>
    </row>
    <row r="117" spans="1:17" x14ac:dyDescent="0.35">
      <c r="A117" s="1">
        <f>MonthlyData!A117</f>
        <v>45139</v>
      </c>
      <c r="B117" s="13">
        <f t="shared" si="19"/>
        <v>2023</v>
      </c>
      <c r="C117" s="13">
        <f t="shared" si="20"/>
        <v>8</v>
      </c>
      <c r="D117" s="4">
        <f>MonthlyData!I117</f>
        <v>1469068.243886916</v>
      </c>
      <c r="E117" s="4">
        <f t="shared" ca="1" si="25"/>
        <v>1.6761707873342053</v>
      </c>
      <c r="F117">
        <f>MonthlyData!BP117</f>
        <v>0</v>
      </c>
      <c r="G117" s="4">
        <f>MonthlyData!R117</f>
        <v>714</v>
      </c>
      <c r="H117">
        <f>MonthlyData!BN117</f>
        <v>0</v>
      </c>
      <c r="J117" s="4">
        <f t="shared" si="21"/>
        <v>231360.027765729</v>
      </c>
      <c r="K117" s="4">
        <f t="shared" ca="1" si="26"/>
        <v>1083.3385635907057</v>
      </c>
      <c r="L117" s="4">
        <f t="shared" si="22"/>
        <v>0</v>
      </c>
      <c r="M117" s="4">
        <f t="shared" si="23"/>
        <v>1263205.5017096726</v>
      </c>
      <c r="N117" s="4">
        <f t="shared" si="24"/>
        <v>0</v>
      </c>
      <c r="O117" s="4">
        <f t="shared" ca="1" si="27"/>
        <v>1495648.8680389924</v>
      </c>
      <c r="P117" s="4">
        <f t="shared" ca="1" si="28"/>
        <v>26580.624152076431</v>
      </c>
      <c r="Q117" s="19">
        <f t="shared" ca="1" si="29"/>
        <v>1.8093525785941991E-2</v>
      </c>
    </row>
    <row r="118" spans="1:17" x14ac:dyDescent="0.35">
      <c r="A118" s="1">
        <f>MonthlyData!A118</f>
        <v>45170</v>
      </c>
      <c r="B118" s="13">
        <f t="shared" si="19"/>
        <v>2023</v>
      </c>
      <c r="C118" s="13">
        <f t="shared" si="20"/>
        <v>9</v>
      </c>
      <c r="D118" s="4">
        <f>MonthlyData!I118</f>
        <v>1397330.2603077565</v>
      </c>
      <c r="E118" s="4">
        <f t="shared" ca="1" si="25"/>
        <v>28.222326899712005</v>
      </c>
      <c r="F118">
        <f>MonthlyData!BP118</f>
        <v>0</v>
      </c>
      <c r="G118" s="4">
        <f>MonthlyData!R118</f>
        <v>714</v>
      </c>
      <c r="H118">
        <f>MonthlyData!BN118</f>
        <v>0</v>
      </c>
      <c r="J118" s="4">
        <f t="shared" si="21"/>
        <v>231360.027765729</v>
      </c>
      <c r="K118" s="4">
        <f t="shared" ca="1" si="26"/>
        <v>18240.584620465193</v>
      </c>
      <c r="L118" s="4">
        <f t="shared" si="22"/>
        <v>0</v>
      </c>
      <c r="M118" s="4">
        <f t="shared" si="23"/>
        <v>1263205.5017096726</v>
      </c>
      <c r="N118" s="4">
        <f t="shared" si="24"/>
        <v>0</v>
      </c>
      <c r="O118" s="4">
        <f t="shared" ca="1" si="27"/>
        <v>1512806.1140958669</v>
      </c>
      <c r="P118" s="4">
        <f t="shared" ca="1" si="28"/>
        <v>115475.85378811043</v>
      </c>
      <c r="Q118" s="19">
        <f t="shared" ca="1" si="29"/>
        <v>8.2640344282444239E-2</v>
      </c>
    </row>
    <row r="119" spans="1:17" x14ac:dyDescent="0.35">
      <c r="A119" s="1">
        <f>MonthlyData!A119</f>
        <v>45200</v>
      </c>
      <c r="B119" s="13">
        <f t="shared" si="19"/>
        <v>2023</v>
      </c>
      <c r="C119" s="13">
        <f t="shared" si="20"/>
        <v>10</v>
      </c>
      <c r="D119" s="4">
        <f>MonthlyData!I119</f>
        <v>1335558.5748998993</v>
      </c>
      <c r="E119" s="4">
        <f t="shared" ca="1" si="25"/>
        <v>178.0244559176316</v>
      </c>
      <c r="F119">
        <f>MonthlyData!BP119</f>
        <v>1</v>
      </c>
      <c r="G119" s="4">
        <f>MonthlyData!R119</f>
        <v>712</v>
      </c>
      <c r="H119">
        <f>MonthlyData!BN119</f>
        <v>0</v>
      </c>
      <c r="J119" s="4">
        <f t="shared" si="21"/>
        <v>231360.027765729</v>
      </c>
      <c r="K119" s="4">
        <f t="shared" ca="1" si="26"/>
        <v>115060.32667742118</v>
      </c>
      <c r="L119" s="4">
        <f t="shared" si="22"/>
        <v>-257897.88627322801</v>
      </c>
      <c r="M119" s="4">
        <f t="shared" si="23"/>
        <v>1259667.110948581</v>
      </c>
      <c r="N119" s="4">
        <f t="shared" si="24"/>
        <v>0</v>
      </c>
      <c r="O119" s="4">
        <f t="shared" ca="1" si="27"/>
        <v>1348189.5791185033</v>
      </c>
      <c r="P119" s="4">
        <f t="shared" ca="1" si="28"/>
        <v>12631.00421860395</v>
      </c>
      <c r="Q119" s="19">
        <f t="shared" ca="1" si="29"/>
        <v>9.4574692986046302E-3</v>
      </c>
    </row>
    <row r="120" spans="1:17" x14ac:dyDescent="0.35">
      <c r="A120" s="1">
        <f>MonthlyData!A120</f>
        <v>45231</v>
      </c>
      <c r="B120" s="13">
        <f t="shared" si="19"/>
        <v>2023</v>
      </c>
      <c r="C120" s="13">
        <f t="shared" si="20"/>
        <v>11</v>
      </c>
      <c r="D120" s="4">
        <f>MonthlyData!I120</f>
        <v>1471313.5202568101</v>
      </c>
      <c r="E120" s="4">
        <f t="shared" ca="1" si="25"/>
        <v>403.99833333333333</v>
      </c>
      <c r="F120">
        <f>MonthlyData!BP120</f>
        <v>1</v>
      </c>
      <c r="G120" s="4">
        <f>MonthlyData!R120</f>
        <v>716</v>
      </c>
      <c r="H120">
        <f>MonthlyData!BN120</f>
        <v>0</v>
      </c>
      <c r="J120" s="4">
        <f t="shared" si="21"/>
        <v>231360.027765729</v>
      </c>
      <c r="K120" s="4">
        <f t="shared" ca="1" si="26"/>
        <v>261111.20503564039</v>
      </c>
      <c r="L120" s="4">
        <f t="shared" si="22"/>
        <v>-257897.88627322801</v>
      </c>
      <c r="M120" s="4">
        <f t="shared" si="23"/>
        <v>1266743.892470764</v>
      </c>
      <c r="N120" s="4">
        <f t="shared" si="24"/>
        <v>0</v>
      </c>
      <c r="O120" s="4">
        <f t="shared" ca="1" si="27"/>
        <v>1501317.2389989053</v>
      </c>
      <c r="P120" s="4">
        <f t="shared" ca="1" si="28"/>
        <v>30003.718742095167</v>
      </c>
      <c r="Q120" s="19">
        <f t="shared" ca="1" si="29"/>
        <v>2.0392471304727884E-2</v>
      </c>
    </row>
    <row r="121" spans="1:17" x14ac:dyDescent="0.35">
      <c r="A121" s="1">
        <f>MonthlyData!A121</f>
        <v>45261</v>
      </c>
      <c r="B121" s="13">
        <f t="shared" si="19"/>
        <v>2023</v>
      </c>
      <c r="C121" s="13">
        <f t="shared" si="20"/>
        <v>12</v>
      </c>
      <c r="D121" s="4">
        <f>MonthlyData!I121</f>
        <v>1677752.5646037958</v>
      </c>
      <c r="E121" s="4">
        <f t="shared" ca="1" si="25"/>
        <v>629.70466952460959</v>
      </c>
      <c r="F121">
        <f>MonthlyData!BP121</f>
        <v>0</v>
      </c>
      <c r="G121" s="4">
        <f>MonthlyData!R121</f>
        <v>714</v>
      </c>
      <c r="H121">
        <f>MonthlyData!BN121</f>
        <v>1</v>
      </c>
      <c r="J121" s="4">
        <f t="shared" si="21"/>
        <v>231360.027765729</v>
      </c>
      <c r="K121" s="4">
        <f t="shared" ca="1" si="26"/>
        <v>406989.16681044188</v>
      </c>
      <c r="L121" s="4">
        <f t="shared" si="22"/>
        <v>0</v>
      </c>
      <c r="M121" s="4">
        <f t="shared" si="23"/>
        <v>1263205.5017096726</v>
      </c>
      <c r="N121" s="4">
        <f t="shared" si="24"/>
        <v>-216631.706472586</v>
      </c>
      <c r="O121" s="4">
        <f t="shared" ca="1" si="27"/>
        <v>1684922.9898132575</v>
      </c>
      <c r="P121" s="4">
        <f t="shared" ca="1" si="28"/>
        <v>7170.4252094617113</v>
      </c>
      <c r="Q121" s="19">
        <f t="shared" ca="1" si="29"/>
        <v>4.2738275957605347E-3</v>
      </c>
    </row>
    <row r="122" spans="1:17" x14ac:dyDescent="0.35">
      <c r="A122" s="1">
        <f>EOMONTH(A121,0)+1</f>
        <v>45292</v>
      </c>
      <c r="B122" s="13">
        <f t="shared" si="19"/>
        <v>2024</v>
      </c>
      <c r="C122" s="13">
        <f t="shared" si="20"/>
        <v>1</v>
      </c>
      <c r="D122" s="4">
        <f>MonthlyData!I122</f>
        <v>1776466.2983720335</v>
      </c>
      <c r="E122" s="13">
        <f t="shared" ca="1" si="25"/>
        <v>793.4846429373913</v>
      </c>
      <c r="F122">
        <f t="shared" ref="F122:H138" si="30">F110</f>
        <v>0</v>
      </c>
      <c r="G122" s="4">
        <f>'Customer Count'!G48</f>
        <v>710</v>
      </c>
      <c r="H122">
        <f t="shared" si="30"/>
        <v>0</v>
      </c>
      <c r="J122" s="4">
        <f t="shared" si="21"/>
        <v>231360.027765729</v>
      </c>
      <c r="K122" s="4">
        <f t="shared" ca="1" si="26"/>
        <v>512843.0347352681</v>
      </c>
      <c r="L122" s="4">
        <f t="shared" si="22"/>
        <v>0</v>
      </c>
      <c r="M122" s="4">
        <f t="shared" si="23"/>
        <v>1256128.7201874896</v>
      </c>
      <c r="N122" s="4">
        <f t="shared" si="24"/>
        <v>0</v>
      </c>
      <c r="O122" s="4">
        <f t="shared" ca="1" si="27"/>
        <v>2000331.7826884869</v>
      </c>
      <c r="P122" s="4"/>
      <c r="Q122" s="19">
        <f ca="1">AVERAGE(Q2:Q121)</f>
        <v>4.5272719929076298E-2</v>
      </c>
    </row>
    <row r="123" spans="1:17" x14ac:dyDescent="0.35">
      <c r="A123" s="1">
        <f t="shared" ref="A123:A145" si="31">EOMONTH(A122,0)+1</f>
        <v>45323</v>
      </c>
      <c r="B123" s="13">
        <f t="shared" si="19"/>
        <v>2024</v>
      </c>
      <c r="C123" s="13">
        <f t="shared" si="20"/>
        <v>2</v>
      </c>
      <c r="D123" s="4">
        <f>MonthlyData!I123</f>
        <v>1933374.5475966891</v>
      </c>
      <c r="E123" s="13">
        <f t="shared" ca="1" si="25"/>
        <v>736.10085614037712</v>
      </c>
      <c r="F123">
        <f t="shared" si="30"/>
        <v>0</v>
      </c>
      <c r="G123" s="4">
        <f>'Customer Count'!G49</f>
        <v>711</v>
      </c>
      <c r="H123">
        <f t="shared" ref="H123" si="32">H111</f>
        <v>0</v>
      </c>
      <c r="J123" s="4">
        <f t="shared" si="21"/>
        <v>231360.027765729</v>
      </c>
      <c r="K123" s="4">
        <f t="shared" ca="1" si="26"/>
        <v>475754.88737473451</v>
      </c>
      <c r="L123" s="4">
        <f t="shared" si="22"/>
        <v>0</v>
      </c>
      <c r="M123" s="4">
        <f t="shared" si="23"/>
        <v>1257897.9155680353</v>
      </c>
      <c r="N123" s="4">
        <f t="shared" si="24"/>
        <v>0</v>
      </c>
      <c r="O123" s="4">
        <f t="shared" ca="1" si="27"/>
        <v>1965012.8307084988</v>
      </c>
      <c r="P123" s="4"/>
    </row>
    <row r="124" spans="1:17" x14ac:dyDescent="0.35">
      <c r="A124" s="1">
        <f t="shared" si="31"/>
        <v>45352</v>
      </c>
      <c r="B124" s="13">
        <f t="shared" si="19"/>
        <v>2024</v>
      </c>
      <c r="C124" s="13">
        <f t="shared" si="20"/>
        <v>3</v>
      </c>
      <c r="D124" s="4">
        <f>MonthlyData!I124</f>
        <v>1755628.7968213446</v>
      </c>
      <c r="E124" s="13">
        <f t="shared" ca="1" si="25"/>
        <v>577.21697535249291</v>
      </c>
      <c r="F124">
        <f t="shared" si="30"/>
        <v>0</v>
      </c>
      <c r="G124" s="4">
        <f>'Customer Count'!G50</f>
        <v>714</v>
      </c>
      <c r="H124">
        <f t="shared" ref="H124" si="33">H112</f>
        <v>0</v>
      </c>
      <c r="J124" s="4">
        <f t="shared" si="21"/>
        <v>231360.027765729</v>
      </c>
      <c r="K124" s="4">
        <f t="shared" ca="1" si="26"/>
        <v>373065.44994323485</v>
      </c>
      <c r="L124" s="4">
        <f t="shared" si="22"/>
        <v>0</v>
      </c>
      <c r="M124" s="4">
        <f t="shared" si="23"/>
        <v>1263205.5017096726</v>
      </c>
      <c r="N124" s="4">
        <f t="shared" si="24"/>
        <v>0</v>
      </c>
      <c r="O124" s="4">
        <f t="shared" ca="1" si="27"/>
        <v>1867630.9794186365</v>
      </c>
      <c r="P124" s="4"/>
    </row>
    <row r="125" spans="1:17" x14ac:dyDescent="0.35">
      <c r="A125" s="1">
        <f t="shared" si="31"/>
        <v>45383</v>
      </c>
      <c r="B125" s="13">
        <f t="shared" si="19"/>
        <v>2024</v>
      </c>
      <c r="C125" s="13">
        <f t="shared" si="20"/>
        <v>4</v>
      </c>
      <c r="D125" s="4">
        <f>MonthlyData!I125</f>
        <v>1729157.0460460004</v>
      </c>
      <c r="E125" s="13">
        <f t="shared" ca="1" si="25"/>
        <v>307.33082472275549</v>
      </c>
      <c r="F125">
        <f t="shared" si="30"/>
        <v>0</v>
      </c>
      <c r="G125" s="4">
        <f>'Customer Count'!G51</f>
        <v>713</v>
      </c>
      <c r="H125">
        <f t="shared" ref="H125" si="34">H113</f>
        <v>0</v>
      </c>
      <c r="J125" s="4">
        <f t="shared" si="21"/>
        <v>231360.027765729</v>
      </c>
      <c r="K125" s="4">
        <f t="shared" ca="1" si="26"/>
        <v>198633.29961251293</v>
      </c>
      <c r="L125" s="4">
        <f t="shared" si="22"/>
        <v>0</v>
      </c>
      <c r="M125" s="4">
        <f t="shared" si="23"/>
        <v>1261436.3063291269</v>
      </c>
      <c r="N125" s="4">
        <f t="shared" si="24"/>
        <v>0</v>
      </c>
      <c r="O125" s="4">
        <f t="shared" ca="1" si="27"/>
        <v>1691429.6337073687</v>
      </c>
      <c r="P125" s="4"/>
    </row>
    <row r="126" spans="1:17" x14ac:dyDescent="0.35">
      <c r="A126" s="1">
        <f t="shared" si="31"/>
        <v>45413</v>
      </c>
      <c r="B126" s="13">
        <f t="shared" si="19"/>
        <v>2024</v>
      </c>
      <c r="C126" s="13">
        <f t="shared" si="20"/>
        <v>5</v>
      </c>
      <c r="D126" s="4">
        <f>MonthlyData!I126</f>
        <v>1542403.295270656</v>
      </c>
      <c r="E126" s="13">
        <f t="shared" ca="1" si="25"/>
        <v>103.00647094808046</v>
      </c>
      <c r="F126">
        <f t="shared" si="30"/>
        <v>0</v>
      </c>
      <c r="G126" s="4">
        <f>'Customer Count'!G52</f>
        <v>717</v>
      </c>
      <c r="H126">
        <f t="shared" ref="H126" si="35">H114</f>
        <v>0</v>
      </c>
      <c r="J126" s="4">
        <f t="shared" si="21"/>
        <v>231360.027765729</v>
      </c>
      <c r="K126" s="4">
        <f t="shared" ca="1" si="26"/>
        <v>66574.887905615062</v>
      </c>
      <c r="L126" s="4">
        <f t="shared" si="22"/>
        <v>0</v>
      </c>
      <c r="M126" s="4">
        <f t="shared" si="23"/>
        <v>1268513.0878513099</v>
      </c>
      <c r="N126" s="4">
        <f t="shared" si="24"/>
        <v>0</v>
      </c>
      <c r="O126" s="4">
        <f t="shared" ca="1" si="27"/>
        <v>1566448.0035226541</v>
      </c>
      <c r="P126" s="4"/>
    </row>
    <row r="127" spans="1:17" x14ac:dyDescent="0.35">
      <c r="A127" s="1">
        <f t="shared" si="31"/>
        <v>45444</v>
      </c>
      <c r="B127" s="13">
        <f t="shared" si="19"/>
        <v>2024</v>
      </c>
      <c r="C127" s="13">
        <f t="shared" si="20"/>
        <v>6</v>
      </c>
      <c r="D127" s="4">
        <f>MonthlyData!I127</f>
        <v>1408141.5444953116</v>
      </c>
      <c r="E127" s="13">
        <f t="shared" ca="1" si="25"/>
        <v>5.5889105735385218</v>
      </c>
      <c r="F127">
        <f t="shared" si="30"/>
        <v>0</v>
      </c>
      <c r="G127" s="4">
        <f>'Customer Count'!G53</f>
        <v>718</v>
      </c>
      <c r="H127">
        <f t="shared" ref="H127" si="36">H115</f>
        <v>0</v>
      </c>
      <c r="J127" s="4">
        <f t="shared" si="21"/>
        <v>231360.027765729</v>
      </c>
      <c r="K127" s="4">
        <f t="shared" ca="1" si="26"/>
        <v>3612.2108788231194</v>
      </c>
      <c r="L127" s="4">
        <f t="shared" si="22"/>
        <v>0</v>
      </c>
      <c r="M127" s="4">
        <f t="shared" si="23"/>
        <v>1270282.2832318556</v>
      </c>
      <c r="N127" s="4">
        <f t="shared" si="24"/>
        <v>0</v>
      </c>
      <c r="O127" s="4">
        <f t="shared" ca="1" si="27"/>
        <v>1505254.5218764078</v>
      </c>
      <c r="P127" s="4"/>
    </row>
    <row r="128" spans="1:17" x14ac:dyDescent="0.35">
      <c r="A128" s="1">
        <f t="shared" si="31"/>
        <v>45474</v>
      </c>
      <c r="B128" s="13">
        <f t="shared" si="19"/>
        <v>2024</v>
      </c>
      <c r="C128" s="13">
        <f t="shared" si="20"/>
        <v>7</v>
      </c>
      <c r="D128" s="4">
        <f>MonthlyData!I128</f>
        <v>1393341.7937199674</v>
      </c>
      <c r="E128" s="13">
        <f t="shared" ca="1" si="25"/>
        <v>0.28709633857318684</v>
      </c>
      <c r="F128">
        <f t="shared" si="30"/>
        <v>0</v>
      </c>
      <c r="G128" s="4">
        <f>'Customer Count'!G54</f>
        <v>716</v>
      </c>
      <c r="H128">
        <f t="shared" ref="H128" si="37">H116</f>
        <v>0</v>
      </c>
      <c r="J128" s="4">
        <f t="shared" si="21"/>
        <v>231360.027765729</v>
      </c>
      <c r="K128" s="4">
        <f t="shared" ca="1" si="26"/>
        <v>185.55539649791879</v>
      </c>
      <c r="L128" s="4">
        <f t="shared" si="22"/>
        <v>0</v>
      </c>
      <c r="M128" s="4">
        <f t="shared" si="23"/>
        <v>1266743.892470764</v>
      </c>
      <c r="N128" s="4">
        <f t="shared" si="24"/>
        <v>0</v>
      </c>
      <c r="O128" s="4">
        <f t="shared" ca="1" si="27"/>
        <v>1498289.4756329909</v>
      </c>
      <c r="P128" s="4"/>
    </row>
    <row r="129" spans="1:16" x14ac:dyDescent="0.35">
      <c r="A129" s="1">
        <f t="shared" si="31"/>
        <v>45505</v>
      </c>
      <c r="B129" s="13">
        <f t="shared" si="19"/>
        <v>2024</v>
      </c>
      <c r="C129" s="13">
        <f t="shared" si="20"/>
        <v>8</v>
      </c>
      <c r="D129" s="4">
        <f>MonthlyData!I129</f>
        <v>1473943.0429446229</v>
      </c>
      <c r="E129" s="13">
        <f t="shared" ca="1" si="25"/>
        <v>1.6761707873342053</v>
      </c>
      <c r="F129">
        <f t="shared" si="30"/>
        <v>0</v>
      </c>
      <c r="G129" s="4">
        <f>'Customer Count'!G55</f>
        <v>716</v>
      </c>
      <c r="H129">
        <f t="shared" ref="H129" si="38">H117</f>
        <v>0</v>
      </c>
      <c r="J129" s="4">
        <f t="shared" si="21"/>
        <v>231360.027765729</v>
      </c>
      <c r="K129" s="4">
        <f t="shared" ca="1" si="26"/>
        <v>1083.3385635907057</v>
      </c>
      <c r="L129" s="4">
        <f t="shared" si="22"/>
        <v>0</v>
      </c>
      <c r="M129" s="4">
        <f t="shared" si="23"/>
        <v>1266743.892470764</v>
      </c>
      <c r="N129" s="4">
        <f t="shared" si="24"/>
        <v>0</v>
      </c>
      <c r="O129" s="4">
        <f t="shared" ca="1" si="27"/>
        <v>1499187.2588000838</v>
      </c>
      <c r="P129" s="4"/>
    </row>
    <row r="130" spans="1:16" x14ac:dyDescent="0.35">
      <c r="A130" s="1">
        <f t="shared" si="31"/>
        <v>45536</v>
      </c>
      <c r="B130" s="13">
        <f t="shared" si="19"/>
        <v>2024</v>
      </c>
      <c r="C130" s="13">
        <f t="shared" si="20"/>
        <v>9</v>
      </c>
      <c r="D130" s="4">
        <f>MonthlyData!I130</f>
        <v>1425748.2921692787</v>
      </c>
      <c r="E130" s="13">
        <f t="shared" ca="1" si="25"/>
        <v>28.222326899712005</v>
      </c>
      <c r="F130">
        <f t="shared" si="30"/>
        <v>0</v>
      </c>
      <c r="G130" s="4">
        <f>'Customer Count'!G56</f>
        <v>717</v>
      </c>
      <c r="H130">
        <f t="shared" ref="H130" si="39">H118</f>
        <v>0</v>
      </c>
      <c r="J130" s="4">
        <f t="shared" si="21"/>
        <v>231360.027765729</v>
      </c>
      <c r="K130" s="4">
        <f t="shared" ref="K130:K145" ca="1" si="40">E130*$T$8</f>
        <v>18240.584620465193</v>
      </c>
      <c r="L130" s="4">
        <f t="shared" si="22"/>
        <v>0</v>
      </c>
      <c r="M130" s="4">
        <f t="shared" si="23"/>
        <v>1268513.0878513099</v>
      </c>
      <c r="N130" s="4">
        <f t="shared" si="24"/>
        <v>0</v>
      </c>
      <c r="O130" s="4">
        <f t="shared" ref="O130:O145" ca="1" si="41">SUM(J130:N130)</f>
        <v>1518113.7002375042</v>
      </c>
      <c r="P130" s="4"/>
    </row>
    <row r="131" spans="1:16" x14ac:dyDescent="0.35">
      <c r="A131" s="1">
        <f t="shared" si="31"/>
        <v>45566</v>
      </c>
      <c r="B131" s="13">
        <f t="shared" ref="B131:B145" si="42">YEAR(A131)</f>
        <v>2024</v>
      </c>
      <c r="C131" s="13">
        <f t="shared" ref="C131:C145" si="43">MONTH(A131)</f>
        <v>10</v>
      </c>
      <c r="D131" s="4">
        <f>MonthlyData!I131</f>
        <v>1349574.5413939343</v>
      </c>
      <c r="E131" s="13">
        <f t="shared" ca="1" si="25"/>
        <v>178.0244559176316</v>
      </c>
      <c r="F131">
        <f t="shared" si="30"/>
        <v>1</v>
      </c>
      <c r="G131" s="4">
        <f>'Customer Count'!G57</f>
        <v>715</v>
      </c>
      <c r="H131">
        <f t="shared" ref="H131" si="44">H119</f>
        <v>0</v>
      </c>
      <c r="J131" s="4">
        <f t="shared" ref="J131:J145" si="45">$T$7</f>
        <v>231360.027765729</v>
      </c>
      <c r="K131" s="4">
        <f t="shared" ca="1" si="40"/>
        <v>115060.32667742118</v>
      </c>
      <c r="L131" s="4">
        <f t="shared" ref="L131:L145" si="46">F131*$T$9</f>
        <v>-257897.88627322801</v>
      </c>
      <c r="M131" s="4">
        <f t="shared" ref="M131:M145" si="47">G131*$T$10</f>
        <v>1264974.6970902183</v>
      </c>
      <c r="N131" s="4">
        <f t="shared" ref="N131:N145" si="48">H131*$T$11</f>
        <v>0</v>
      </c>
      <c r="O131" s="4">
        <f t="shared" ca="1" si="41"/>
        <v>1353497.1652601406</v>
      </c>
      <c r="P131" s="4"/>
    </row>
    <row r="132" spans="1:16" x14ac:dyDescent="0.35">
      <c r="A132" s="1">
        <f t="shared" si="31"/>
        <v>45597</v>
      </c>
      <c r="B132" s="13">
        <f t="shared" si="42"/>
        <v>2024</v>
      </c>
      <c r="C132" s="13">
        <f t="shared" si="43"/>
        <v>11</v>
      </c>
      <c r="E132" s="13">
        <f t="shared" ca="1" si="25"/>
        <v>403.99833333333333</v>
      </c>
      <c r="F132">
        <f t="shared" si="30"/>
        <v>1</v>
      </c>
      <c r="G132" s="4">
        <f>'Customer Count'!G58</f>
        <v>715.63260866503299</v>
      </c>
      <c r="H132">
        <f t="shared" ref="H132" si="49">H120</f>
        <v>0</v>
      </c>
      <c r="J132" s="4">
        <f t="shared" si="45"/>
        <v>231360.027765729</v>
      </c>
      <c r="K132" s="4">
        <f t="shared" ca="1" si="40"/>
        <v>261111.20503564039</v>
      </c>
      <c r="L132" s="4">
        <f t="shared" si="46"/>
        <v>-257897.88627322801</v>
      </c>
      <c r="M132" s="4">
        <f t="shared" si="47"/>
        <v>1266093.905418088</v>
      </c>
      <c r="N132" s="4">
        <f t="shared" si="48"/>
        <v>0</v>
      </c>
      <c r="O132" s="4">
        <f t="shared" ca="1" si="41"/>
        <v>1500667.2519462293</v>
      </c>
      <c r="P132" s="4"/>
    </row>
    <row r="133" spans="1:16" x14ac:dyDescent="0.35">
      <c r="A133" s="1">
        <f t="shared" si="31"/>
        <v>45627</v>
      </c>
      <c r="B133" s="13">
        <f t="shared" si="42"/>
        <v>2024</v>
      </c>
      <c r="C133" s="13">
        <f t="shared" si="43"/>
        <v>12</v>
      </c>
      <c r="E133" s="13">
        <f t="shared" ca="1" si="25"/>
        <v>629.70466952460959</v>
      </c>
      <c r="F133">
        <f t="shared" si="30"/>
        <v>0</v>
      </c>
      <c r="G133" s="4">
        <f>'Customer Count'!G59</f>
        <v>715.81537889625304</v>
      </c>
      <c r="H133">
        <f t="shared" ref="H133" si="50">H121</f>
        <v>1</v>
      </c>
      <c r="J133" s="4">
        <f t="shared" si="45"/>
        <v>231360.027765729</v>
      </c>
      <c r="K133" s="4">
        <f t="shared" ca="1" si="40"/>
        <v>406989.16681044188</v>
      </c>
      <c r="L133" s="4">
        <f t="shared" si="46"/>
        <v>0</v>
      </c>
      <c r="M133" s="4">
        <f t="shared" si="47"/>
        <v>1266417.2616668637</v>
      </c>
      <c r="N133" s="4">
        <f t="shared" si="48"/>
        <v>-216631.706472586</v>
      </c>
      <c r="O133" s="4">
        <f t="shared" ca="1" si="41"/>
        <v>1688134.7497704485</v>
      </c>
      <c r="P133" s="4"/>
    </row>
    <row r="134" spans="1:16" x14ac:dyDescent="0.35">
      <c r="A134" s="1">
        <f t="shared" si="31"/>
        <v>45658</v>
      </c>
      <c r="B134" s="13">
        <f t="shared" si="42"/>
        <v>2025</v>
      </c>
      <c r="C134" s="13">
        <f t="shared" si="43"/>
        <v>1</v>
      </c>
      <c r="E134" s="13">
        <f t="shared" ca="1" si="25"/>
        <v>793.4846429373913</v>
      </c>
      <c r="F134">
        <f t="shared" si="30"/>
        <v>0</v>
      </c>
      <c r="G134" s="4">
        <f>'Customer Count'!G60</f>
        <v>715.99819580639326</v>
      </c>
      <c r="H134">
        <f t="shared" ref="H134" si="51">H122</f>
        <v>0</v>
      </c>
      <c r="J134" s="4">
        <f t="shared" si="45"/>
        <v>231360.027765729</v>
      </c>
      <c r="K134" s="4">
        <f t="shared" ca="1" si="40"/>
        <v>512843.0347352681</v>
      </c>
      <c r="L134" s="4">
        <f t="shared" si="46"/>
        <v>0</v>
      </c>
      <c r="M134" s="4">
        <f t="shared" si="47"/>
        <v>1266740.7004997695</v>
      </c>
      <c r="N134" s="4">
        <f t="shared" si="48"/>
        <v>0</v>
      </c>
      <c r="O134" s="4">
        <f t="shared" ca="1" si="41"/>
        <v>2010943.7630007667</v>
      </c>
      <c r="P134" s="4"/>
    </row>
    <row r="135" spans="1:16" x14ac:dyDescent="0.35">
      <c r="A135" s="1">
        <f t="shared" si="31"/>
        <v>45689</v>
      </c>
      <c r="B135" s="13">
        <f t="shared" si="42"/>
        <v>2025</v>
      </c>
      <c r="C135" s="13">
        <f t="shared" si="43"/>
        <v>2</v>
      </c>
      <c r="E135" s="13">
        <f t="shared" ca="1" si="25"/>
        <v>736.10085614037712</v>
      </c>
      <c r="F135">
        <f t="shared" si="30"/>
        <v>0</v>
      </c>
      <c r="G135" s="4">
        <f>'Customer Count'!G61</f>
        <v>716.1810594073753</v>
      </c>
      <c r="H135">
        <f t="shared" ref="H135" si="52">H123</f>
        <v>0</v>
      </c>
      <c r="J135" s="4">
        <f t="shared" si="45"/>
        <v>231360.027765729</v>
      </c>
      <c r="K135" s="4">
        <f t="shared" ca="1" si="40"/>
        <v>475754.88737473451</v>
      </c>
      <c r="L135" s="4">
        <f t="shared" si="46"/>
        <v>0</v>
      </c>
      <c r="M135" s="4">
        <f t="shared" si="47"/>
        <v>1267064.2219378969</v>
      </c>
      <c r="N135" s="4">
        <f t="shared" si="48"/>
        <v>0</v>
      </c>
      <c r="O135" s="4">
        <f t="shared" ca="1" si="41"/>
        <v>1974179.1370783604</v>
      </c>
      <c r="P135" s="4"/>
    </row>
    <row r="136" spans="1:16" x14ac:dyDescent="0.35">
      <c r="A136" s="1">
        <f t="shared" si="31"/>
        <v>45717</v>
      </c>
      <c r="B136" s="13">
        <f t="shared" si="42"/>
        <v>2025</v>
      </c>
      <c r="C136" s="13">
        <f t="shared" si="43"/>
        <v>3</v>
      </c>
      <c r="E136" s="13">
        <f t="shared" ca="1" si="25"/>
        <v>577.21697535249291</v>
      </c>
      <c r="F136">
        <f t="shared" si="30"/>
        <v>0</v>
      </c>
      <c r="G136" s="4">
        <f>'Customer Count'!G62</f>
        <v>716.3639697111239</v>
      </c>
      <c r="H136">
        <f t="shared" ref="H136" si="53">H124</f>
        <v>0</v>
      </c>
      <c r="J136" s="4">
        <f t="shared" si="45"/>
        <v>231360.027765729</v>
      </c>
      <c r="K136" s="4">
        <f t="shared" ca="1" si="40"/>
        <v>373065.44994323485</v>
      </c>
      <c r="L136" s="4">
        <f t="shared" si="46"/>
        <v>0</v>
      </c>
      <c r="M136" s="4">
        <f t="shared" si="47"/>
        <v>1267387.8260023431</v>
      </c>
      <c r="N136" s="4">
        <f t="shared" si="48"/>
        <v>0</v>
      </c>
      <c r="O136" s="4">
        <f t="shared" ca="1" si="41"/>
        <v>1871813.303711307</v>
      </c>
      <c r="P136" s="4"/>
    </row>
    <row r="137" spans="1:16" x14ac:dyDescent="0.35">
      <c r="A137" s="1">
        <f t="shared" si="31"/>
        <v>45748</v>
      </c>
      <c r="B137" s="13">
        <f t="shared" si="42"/>
        <v>2025</v>
      </c>
      <c r="C137" s="13">
        <f t="shared" si="43"/>
        <v>4</v>
      </c>
      <c r="E137" s="13">
        <f t="shared" ca="1" si="25"/>
        <v>307.33082472275549</v>
      </c>
      <c r="F137">
        <f t="shared" si="30"/>
        <v>0</v>
      </c>
      <c r="G137" s="4">
        <f>'Customer Count'!G63</f>
        <v>716.54692672956674</v>
      </c>
      <c r="H137">
        <f t="shared" ref="H137" si="54">H125</f>
        <v>0</v>
      </c>
      <c r="J137" s="4">
        <f t="shared" si="45"/>
        <v>231360.027765729</v>
      </c>
      <c r="K137" s="4">
        <f t="shared" ca="1" si="40"/>
        <v>198633.29961251293</v>
      </c>
      <c r="L137" s="4">
        <f t="shared" si="46"/>
        <v>0</v>
      </c>
      <c r="M137" s="4">
        <f t="shared" si="47"/>
        <v>1267711.5127142107</v>
      </c>
      <c r="N137" s="4">
        <f t="shared" si="48"/>
        <v>0</v>
      </c>
      <c r="O137" s="4">
        <f t="shared" ca="1" si="41"/>
        <v>1697704.8400924527</v>
      </c>
      <c r="P137" s="4"/>
    </row>
    <row r="138" spans="1:16" x14ac:dyDescent="0.35">
      <c r="A138" s="1">
        <f t="shared" si="31"/>
        <v>45778</v>
      </c>
      <c r="B138" s="13">
        <f t="shared" si="42"/>
        <v>2025</v>
      </c>
      <c r="C138" s="13">
        <f t="shared" si="43"/>
        <v>5</v>
      </c>
      <c r="E138" s="13">
        <f t="shared" ca="1" si="25"/>
        <v>103.00647094808046</v>
      </c>
      <c r="F138">
        <f t="shared" si="30"/>
        <v>0</v>
      </c>
      <c r="G138" s="4">
        <f>'Customer Count'!G64</f>
        <v>716.72993047463456</v>
      </c>
      <c r="H138">
        <f t="shared" ref="H138" si="55">H126</f>
        <v>0</v>
      </c>
      <c r="J138" s="4">
        <f t="shared" si="45"/>
        <v>231360.027765729</v>
      </c>
      <c r="K138" s="4">
        <f t="shared" ca="1" si="40"/>
        <v>66574.887905615062</v>
      </c>
      <c r="L138" s="4">
        <f t="shared" si="46"/>
        <v>0</v>
      </c>
      <c r="M138" s="4">
        <f t="shared" si="47"/>
        <v>1268035.2820946071</v>
      </c>
      <c r="N138" s="4">
        <f t="shared" si="48"/>
        <v>0</v>
      </c>
      <c r="O138" s="4">
        <f t="shared" ca="1" si="41"/>
        <v>1565970.197765951</v>
      </c>
      <c r="P138" s="4"/>
    </row>
    <row r="139" spans="1:16" x14ac:dyDescent="0.35">
      <c r="A139" s="1">
        <f t="shared" si="31"/>
        <v>45809</v>
      </c>
      <c r="B139" s="13">
        <f t="shared" si="42"/>
        <v>2025</v>
      </c>
      <c r="C139" s="13">
        <f t="shared" si="43"/>
        <v>6</v>
      </c>
      <c r="E139" s="13">
        <f t="shared" ca="1" si="25"/>
        <v>5.5889105735385218</v>
      </c>
      <c r="F139">
        <f t="shared" ref="F139:F145" si="56">F127</f>
        <v>0</v>
      </c>
      <c r="G139" s="4">
        <f>'Customer Count'!G65</f>
        <v>716.9129809582613</v>
      </c>
      <c r="H139">
        <f t="shared" ref="H139" si="57">H127</f>
        <v>0</v>
      </c>
      <c r="J139" s="4">
        <f t="shared" si="45"/>
        <v>231360.027765729</v>
      </c>
      <c r="K139" s="4">
        <f t="shared" ca="1" si="40"/>
        <v>3612.2108788231194</v>
      </c>
      <c r="L139" s="4">
        <f t="shared" si="46"/>
        <v>0</v>
      </c>
      <c r="M139" s="4">
        <f t="shared" si="47"/>
        <v>1268359.1341646463</v>
      </c>
      <c r="N139" s="4">
        <f t="shared" si="48"/>
        <v>0</v>
      </c>
      <c r="O139" s="4">
        <f t="shared" ca="1" si="41"/>
        <v>1503331.3728091985</v>
      </c>
      <c r="P139" s="4"/>
    </row>
    <row r="140" spans="1:16" x14ac:dyDescent="0.35">
      <c r="A140" s="1">
        <f t="shared" si="31"/>
        <v>45839</v>
      </c>
      <c r="B140" s="13">
        <f t="shared" si="42"/>
        <v>2025</v>
      </c>
      <c r="C140" s="13">
        <f t="shared" si="43"/>
        <v>7</v>
      </c>
      <c r="E140" s="13">
        <f t="shared" ca="1" si="25"/>
        <v>0.28709633857318684</v>
      </c>
      <c r="F140">
        <f t="shared" si="56"/>
        <v>0</v>
      </c>
      <c r="G140" s="4">
        <f>'Customer Count'!G66</f>
        <v>717.09607819238374</v>
      </c>
      <c r="H140">
        <f t="shared" ref="H140" si="58">H128</f>
        <v>0</v>
      </c>
      <c r="J140" s="4">
        <f t="shared" si="45"/>
        <v>231360.027765729</v>
      </c>
      <c r="K140" s="4">
        <f t="shared" ca="1" si="40"/>
        <v>185.55539649791879</v>
      </c>
      <c r="L140" s="4">
        <f t="shared" si="46"/>
        <v>0</v>
      </c>
      <c r="M140" s="4">
        <f t="shared" si="47"/>
        <v>1268683.0689454463</v>
      </c>
      <c r="N140" s="4">
        <f t="shared" si="48"/>
        <v>0</v>
      </c>
      <c r="O140" s="4">
        <f t="shared" ca="1" si="41"/>
        <v>1500228.6521076732</v>
      </c>
      <c r="P140" s="4"/>
    </row>
    <row r="141" spans="1:16" x14ac:dyDescent="0.35">
      <c r="A141" s="1">
        <f t="shared" si="31"/>
        <v>45870</v>
      </c>
      <c r="B141" s="13">
        <f t="shared" si="42"/>
        <v>2025</v>
      </c>
      <c r="C141" s="13">
        <f t="shared" si="43"/>
        <v>8</v>
      </c>
      <c r="E141" s="13">
        <f t="shared" ca="1" si="25"/>
        <v>1.6761707873342053</v>
      </c>
      <c r="F141">
        <f t="shared" si="56"/>
        <v>0</v>
      </c>
      <c r="G141" s="4">
        <f>'Customer Count'!G67</f>
        <v>717.27922218894184</v>
      </c>
      <c r="H141">
        <f t="shared" ref="H141" si="59">H129</f>
        <v>0</v>
      </c>
      <c r="J141" s="4">
        <f t="shared" si="45"/>
        <v>231360.027765729</v>
      </c>
      <c r="K141" s="4">
        <f t="shared" ca="1" si="40"/>
        <v>1083.3385635907057</v>
      </c>
      <c r="L141" s="4">
        <f t="shared" si="46"/>
        <v>0</v>
      </c>
      <c r="M141" s="4">
        <f t="shared" si="47"/>
        <v>1269007.0864581317</v>
      </c>
      <c r="N141" s="4">
        <f t="shared" si="48"/>
        <v>0</v>
      </c>
      <c r="O141" s="4">
        <f t="shared" ca="1" si="41"/>
        <v>1501450.4527874514</v>
      </c>
      <c r="P141" s="4"/>
    </row>
    <row r="142" spans="1:16" x14ac:dyDescent="0.35">
      <c r="A142" s="1">
        <f t="shared" si="31"/>
        <v>45901</v>
      </c>
      <c r="B142" s="13">
        <f t="shared" si="42"/>
        <v>2025</v>
      </c>
      <c r="C142" s="13">
        <f t="shared" si="43"/>
        <v>9</v>
      </c>
      <c r="E142" s="13">
        <f t="shared" ca="1" si="25"/>
        <v>28.222326899712005</v>
      </c>
      <c r="F142">
        <f t="shared" si="56"/>
        <v>0</v>
      </c>
      <c r="G142" s="4">
        <f>'Customer Count'!G68</f>
        <v>717.46241295987852</v>
      </c>
      <c r="H142">
        <f t="shared" ref="H142" si="60">H130</f>
        <v>0</v>
      </c>
      <c r="J142" s="4">
        <f t="shared" si="45"/>
        <v>231360.027765729</v>
      </c>
      <c r="K142" s="4">
        <f t="shared" ca="1" si="40"/>
        <v>18240.584620465193</v>
      </c>
      <c r="L142" s="4">
        <f t="shared" si="46"/>
        <v>0</v>
      </c>
      <c r="M142" s="4">
        <f t="shared" si="47"/>
        <v>1269331.1867238313</v>
      </c>
      <c r="N142" s="4">
        <f t="shared" si="48"/>
        <v>0</v>
      </c>
      <c r="O142" s="4">
        <f t="shared" ca="1" si="41"/>
        <v>1518931.7991100256</v>
      </c>
      <c r="P142" s="4"/>
    </row>
    <row r="143" spans="1:16" x14ac:dyDescent="0.35">
      <c r="A143" s="1">
        <f t="shared" si="31"/>
        <v>45931</v>
      </c>
      <c r="B143" s="13">
        <f t="shared" si="42"/>
        <v>2025</v>
      </c>
      <c r="C143" s="13">
        <f t="shared" si="43"/>
        <v>10</v>
      </c>
      <c r="E143" s="13">
        <f ca="1">E131</f>
        <v>178.0244559176316</v>
      </c>
      <c r="F143">
        <f t="shared" si="56"/>
        <v>1</v>
      </c>
      <c r="G143" s="4">
        <f>'Customer Count'!G69</f>
        <v>717.64565051713987</v>
      </c>
      <c r="H143">
        <f t="shared" ref="H143" si="61">H131</f>
        <v>0</v>
      </c>
      <c r="J143" s="4">
        <f t="shared" si="45"/>
        <v>231360.027765729</v>
      </c>
      <c r="K143" s="4">
        <f t="shared" ca="1" si="40"/>
        <v>115060.32667742118</v>
      </c>
      <c r="L143" s="4">
        <f t="shared" si="46"/>
        <v>-257897.88627322801</v>
      </c>
      <c r="M143" s="4">
        <f t="shared" si="47"/>
        <v>1269655.3697636807</v>
      </c>
      <c r="N143" s="4">
        <f t="shared" si="48"/>
        <v>0</v>
      </c>
      <c r="O143" s="4">
        <f t="shared" ca="1" si="41"/>
        <v>1358177.837933603</v>
      </c>
      <c r="P143" s="4"/>
    </row>
    <row r="144" spans="1:16" x14ac:dyDescent="0.35">
      <c r="A144" s="1">
        <f t="shared" si="31"/>
        <v>45962</v>
      </c>
      <c r="B144" s="13">
        <f t="shared" si="42"/>
        <v>2025</v>
      </c>
      <c r="C144" s="13">
        <f t="shared" si="43"/>
        <v>11</v>
      </c>
      <c r="E144" s="13">
        <f ca="1">E132</f>
        <v>403.99833333333333</v>
      </c>
      <c r="F144">
        <f t="shared" si="56"/>
        <v>1</v>
      </c>
      <c r="G144" s="4">
        <f>'Customer Count'!G70</f>
        <v>717.82893487267495</v>
      </c>
      <c r="H144">
        <f t="shared" ref="H144" si="62">H132</f>
        <v>0</v>
      </c>
      <c r="J144" s="4">
        <f t="shared" si="45"/>
        <v>231360.027765729</v>
      </c>
      <c r="K144" s="4">
        <f t="shared" ca="1" si="40"/>
        <v>261111.20503564039</v>
      </c>
      <c r="L144" s="4">
        <f t="shared" si="46"/>
        <v>-257897.88627322801</v>
      </c>
      <c r="M144" s="4">
        <f t="shared" si="47"/>
        <v>1269979.6355988197</v>
      </c>
      <c r="N144" s="4">
        <f t="shared" si="48"/>
        <v>0</v>
      </c>
      <c r="O144" s="4">
        <f t="shared" ca="1" si="41"/>
        <v>1504552.982126961</v>
      </c>
      <c r="P144" s="4"/>
    </row>
    <row r="145" spans="1:17" x14ac:dyDescent="0.35">
      <c r="A145" s="1">
        <f t="shared" si="31"/>
        <v>45992</v>
      </c>
      <c r="B145" s="13">
        <f t="shared" si="42"/>
        <v>2025</v>
      </c>
      <c r="C145" s="13">
        <f t="shared" si="43"/>
        <v>12</v>
      </c>
      <c r="E145" s="13">
        <f ca="1">E133</f>
        <v>629.70466952460959</v>
      </c>
      <c r="F145">
        <f t="shared" si="56"/>
        <v>0</v>
      </c>
      <c r="G145" s="4">
        <f>'Customer Count'!G71</f>
        <v>718.01226603843588</v>
      </c>
      <c r="H145">
        <f t="shared" ref="H145" si="63">H133</f>
        <v>1</v>
      </c>
      <c r="J145" s="4">
        <f t="shared" si="45"/>
        <v>231360.027765729</v>
      </c>
      <c r="K145" s="4">
        <f t="shared" ca="1" si="40"/>
        <v>406989.16681044188</v>
      </c>
      <c r="L145" s="4">
        <f t="shared" si="46"/>
        <v>0</v>
      </c>
      <c r="M145" s="4">
        <f t="shared" si="47"/>
        <v>1270303.9842503939</v>
      </c>
      <c r="N145" s="4">
        <f t="shared" si="48"/>
        <v>-216631.706472586</v>
      </c>
      <c r="O145" s="4">
        <f t="shared" ca="1" si="41"/>
        <v>1692021.472353979</v>
      </c>
      <c r="P145" s="4"/>
      <c r="Q145" s="17">
        <f ca="1">SUM(O134:O145)</f>
        <v>19699305.810877729</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B408-459F-484D-90AE-47876F7B0D3F}">
  <sheetPr codeName="Sheet15"/>
  <dimension ref="A1:U163"/>
  <sheetViews>
    <sheetView workbookViewId="0">
      <selection activeCell="S122" sqref="S122"/>
    </sheetView>
  </sheetViews>
  <sheetFormatPr defaultRowHeight="14.5" x14ac:dyDescent="0.35"/>
  <cols>
    <col min="1" max="1" width="11.36328125" customWidth="1"/>
    <col min="2" max="3" width="12.453125" customWidth="1"/>
    <col min="4" max="4" width="12.7265625" bestFit="1" customWidth="1"/>
    <col min="11" max="12" width="12.7265625" bestFit="1" customWidth="1"/>
    <col min="13" max="14" width="11.1796875" bestFit="1" customWidth="1"/>
    <col min="15" max="15" width="12.7265625" bestFit="1" customWidth="1"/>
    <col min="17" max="17" width="10.1796875" bestFit="1" customWidth="1"/>
  </cols>
  <sheetData>
    <row r="1" spans="1:21" x14ac:dyDescent="0.35">
      <c r="A1" s="1" t="str">
        <f>MonthlyData!A1</f>
        <v>Date</v>
      </c>
      <c r="B1" s="1" t="s">
        <v>1</v>
      </c>
      <c r="C1" s="1" t="s">
        <v>2</v>
      </c>
      <c r="D1" s="4" t="str">
        <f>MonthlyData!L1</f>
        <v>GSgt50_NoCDM</v>
      </c>
      <c r="E1" t="str">
        <f>MonthlyData!AF1</f>
        <v>HDD10</v>
      </c>
      <c r="F1" t="str">
        <f>MonthlyData!BO1</f>
        <v>Spring</v>
      </c>
      <c r="G1" t="str">
        <f>MonthlyData!BP1</f>
        <v>Fall</v>
      </c>
      <c r="H1" t="str">
        <f>MonthlyData!BU1</f>
        <v>COVID_AM</v>
      </c>
      <c r="I1" t="str">
        <f>MonthlyData!BA1</f>
        <v>TrendLn</v>
      </c>
      <c r="L1" t="str">
        <f>E1</f>
        <v>HDD10</v>
      </c>
      <c r="M1" t="str">
        <f>F1</f>
        <v>Spring</v>
      </c>
      <c r="N1" t="str">
        <f>G1</f>
        <v>Fall</v>
      </c>
      <c r="O1" t="s">
        <v>460</v>
      </c>
    </row>
    <row r="2" spans="1:21" x14ac:dyDescent="0.35">
      <c r="A2" s="1">
        <f>MonthlyData!A2</f>
        <v>41640</v>
      </c>
      <c r="B2" s="13">
        <f>YEAR(A2)</f>
        <v>2014</v>
      </c>
      <c r="C2" s="13">
        <f>MONTH(A2)</f>
        <v>1</v>
      </c>
      <c r="D2" s="4">
        <f>MonthlyData!L2</f>
        <v>6117119.8411308117</v>
      </c>
      <c r="E2" s="215">
        <f ca="1">Weather!CT38</f>
        <v>793.4846429373913</v>
      </c>
      <c r="F2">
        <f>MonthlyData!BO2</f>
        <v>0</v>
      </c>
      <c r="G2">
        <f>MonthlyData!BP2</f>
        <v>0</v>
      </c>
      <c r="H2">
        <f>MonthlyData!BU2</f>
        <v>0</v>
      </c>
      <c r="I2">
        <f>MonthlyData!BA2</f>
        <v>2.3025850929940459</v>
      </c>
      <c r="K2" s="4">
        <f t="shared" ref="K2:K33" si="0">$R$8</f>
        <v>4628412.7605719203</v>
      </c>
      <c r="L2" s="4">
        <f t="shared" ref="L2:L33" ca="1" si="1">E2*$R$9</f>
        <v>1061916.1865689259</v>
      </c>
      <c r="M2" s="4">
        <f t="shared" ref="M2:M33" si="2">F2*$R$10</f>
        <v>0</v>
      </c>
      <c r="N2" s="4">
        <f t="shared" ref="N2:N33" si="3">G2*$R$11</f>
        <v>0</v>
      </c>
      <c r="O2" s="4">
        <f t="shared" ref="O2:O33" ca="1" si="4">SUM(K2:N2)</f>
        <v>5690328.9471408464</v>
      </c>
      <c r="P2" s="17"/>
    </row>
    <row r="3" spans="1:21" x14ac:dyDescent="0.35">
      <c r="A3" s="1">
        <f>MonthlyData!A3</f>
        <v>41671</v>
      </c>
      <c r="B3" s="13">
        <f t="shared" ref="B3:B66" si="5">YEAR(A3)</f>
        <v>2014</v>
      </c>
      <c r="C3" s="13">
        <f t="shared" ref="C3:C66" si="6">MONTH(A3)</f>
        <v>2</v>
      </c>
      <c r="D3" s="4">
        <f>MonthlyData!L3</f>
        <v>5492485.6816037511</v>
      </c>
      <c r="E3" s="215">
        <f ca="1">Weather!CT39</f>
        <v>736.10085614037712</v>
      </c>
      <c r="F3">
        <f>MonthlyData!BO3</f>
        <v>0</v>
      </c>
      <c r="G3">
        <f>MonthlyData!BP3</f>
        <v>0</v>
      </c>
      <c r="H3">
        <f>MonthlyData!BU3</f>
        <v>0</v>
      </c>
      <c r="I3">
        <f>MonthlyData!BA3</f>
        <v>2.3978952727983707</v>
      </c>
      <c r="K3" s="4">
        <f t="shared" si="0"/>
        <v>4628412.7605719203</v>
      </c>
      <c r="L3" s="4">
        <f t="shared" ca="1" si="1"/>
        <v>985119.7764698111</v>
      </c>
      <c r="M3" s="4">
        <f t="shared" si="2"/>
        <v>0</v>
      </c>
      <c r="N3" s="4">
        <f t="shared" si="3"/>
        <v>0</v>
      </c>
      <c r="O3" s="4">
        <f t="shared" ca="1" si="4"/>
        <v>5613532.5370417312</v>
      </c>
      <c r="P3" s="17"/>
      <c r="Q3" t="s">
        <v>494</v>
      </c>
    </row>
    <row r="4" spans="1:21" x14ac:dyDescent="0.35">
      <c r="A4" s="1">
        <f>MonthlyData!A4</f>
        <v>41699</v>
      </c>
      <c r="B4" s="13">
        <f t="shared" si="5"/>
        <v>2014</v>
      </c>
      <c r="C4" s="13">
        <f t="shared" si="6"/>
        <v>3</v>
      </c>
      <c r="D4" s="4">
        <f>MonthlyData!L4</f>
        <v>5205253.5514411805</v>
      </c>
      <c r="E4" s="215">
        <f ca="1">Weather!CT40</f>
        <v>577.21697535249291</v>
      </c>
      <c r="F4">
        <f>MonthlyData!BO4</f>
        <v>1</v>
      </c>
      <c r="G4">
        <f>MonthlyData!BP4</f>
        <v>0</v>
      </c>
      <c r="H4">
        <f>MonthlyData!BU4</f>
        <v>0</v>
      </c>
      <c r="I4">
        <f>MonthlyData!BA4</f>
        <v>2.4849066497880004</v>
      </c>
      <c r="K4" s="4">
        <f t="shared" si="0"/>
        <v>4628412.7605719203</v>
      </c>
      <c r="L4" s="4">
        <f t="shared" ca="1" si="1"/>
        <v>772486.34204195091</v>
      </c>
      <c r="M4" s="4">
        <f t="shared" si="2"/>
        <v>168249.31587912</v>
      </c>
      <c r="N4" s="4">
        <f t="shared" si="3"/>
        <v>0</v>
      </c>
      <c r="O4" s="4">
        <f t="shared" ca="1" si="4"/>
        <v>5569148.4184929905</v>
      </c>
      <c r="P4" s="17"/>
      <c r="Q4" t="s">
        <v>463</v>
      </c>
    </row>
    <row r="5" spans="1:21" x14ac:dyDescent="0.35">
      <c r="A5" s="1">
        <f>MonthlyData!A5</f>
        <v>41730</v>
      </c>
      <c r="B5" s="13">
        <f t="shared" si="5"/>
        <v>2014</v>
      </c>
      <c r="C5" s="13">
        <f t="shared" si="6"/>
        <v>4</v>
      </c>
      <c r="D5" s="4">
        <f>MonthlyData!L5</f>
        <v>5094375.0479953764</v>
      </c>
      <c r="E5" s="215">
        <f ca="1">Weather!CT41</f>
        <v>307.33082472275549</v>
      </c>
      <c r="F5">
        <f>MonthlyData!BO5</f>
        <v>1</v>
      </c>
      <c r="G5">
        <f>MonthlyData!BP5</f>
        <v>0</v>
      </c>
      <c r="H5">
        <f>MonthlyData!BU5</f>
        <v>0</v>
      </c>
      <c r="I5">
        <f>MonthlyData!BA5</f>
        <v>2.5649493574615367</v>
      </c>
      <c r="K5" s="4">
        <f t="shared" si="0"/>
        <v>4628412.7605719203</v>
      </c>
      <c r="L5" s="4">
        <f t="shared" ca="1" si="1"/>
        <v>411299.17297015968</v>
      </c>
      <c r="M5" s="4">
        <f t="shared" si="2"/>
        <v>168249.31587912</v>
      </c>
      <c r="N5" s="4">
        <f t="shared" si="3"/>
        <v>0</v>
      </c>
      <c r="O5" s="4">
        <f t="shared" ca="1" si="4"/>
        <v>5207961.2494211998</v>
      </c>
      <c r="P5" s="17"/>
      <c r="Q5" t="s">
        <v>495</v>
      </c>
    </row>
    <row r="6" spans="1:21" x14ac:dyDescent="0.35">
      <c r="A6" s="1">
        <f>MonthlyData!A6</f>
        <v>41760</v>
      </c>
      <c r="B6" s="13">
        <f t="shared" si="5"/>
        <v>2014</v>
      </c>
      <c r="C6" s="13">
        <f t="shared" si="6"/>
        <v>5</v>
      </c>
      <c r="D6" s="4">
        <f>MonthlyData!L6</f>
        <v>4503046.7282855595</v>
      </c>
      <c r="E6" s="215">
        <f ca="1">Weather!CT42</f>
        <v>103.00647094808046</v>
      </c>
      <c r="F6">
        <f>MonthlyData!BO6</f>
        <v>1</v>
      </c>
      <c r="G6">
        <f>MonthlyData!BP6</f>
        <v>0</v>
      </c>
      <c r="H6">
        <f>MonthlyData!BU6</f>
        <v>0</v>
      </c>
      <c r="I6">
        <f>MonthlyData!BA6</f>
        <v>2.6390573296152584</v>
      </c>
      <c r="K6" s="4">
        <f t="shared" si="0"/>
        <v>4628412.7605719203</v>
      </c>
      <c r="L6" s="4">
        <f t="shared" ca="1" si="1"/>
        <v>137853.00042629716</v>
      </c>
      <c r="M6" s="4">
        <f t="shared" si="2"/>
        <v>168249.31587912</v>
      </c>
      <c r="N6" s="4">
        <f t="shared" si="3"/>
        <v>0</v>
      </c>
      <c r="O6" s="4">
        <f t="shared" ca="1" si="4"/>
        <v>4934515.0768773369</v>
      </c>
      <c r="P6" s="17"/>
    </row>
    <row r="7" spans="1:21" x14ac:dyDescent="0.35">
      <c r="A7" s="1">
        <f>MonthlyData!A7</f>
        <v>41791</v>
      </c>
      <c r="B7" s="13">
        <f t="shared" si="5"/>
        <v>2014</v>
      </c>
      <c r="C7" s="13">
        <f t="shared" si="6"/>
        <v>6</v>
      </c>
      <c r="D7" s="4">
        <f>MonthlyData!L7</f>
        <v>4204386.9375196481</v>
      </c>
      <c r="E7" s="215">
        <f ca="1">Weather!CT43</f>
        <v>5.5889105735385218</v>
      </c>
      <c r="F7">
        <f>MonthlyData!BO7</f>
        <v>0</v>
      </c>
      <c r="G7">
        <f>MonthlyData!BP7</f>
        <v>0</v>
      </c>
      <c r="H7">
        <f>MonthlyData!BU7</f>
        <v>0</v>
      </c>
      <c r="I7">
        <f>MonthlyData!BA7</f>
        <v>2.7080502011022101</v>
      </c>
      <c r="K7" s="4">
        <f t="shared" si="0"/>
        <v>4628412.7605719203</v>
      </c>
      <c r="L7" s="4">
        <f t="shared" ca="1" si="1"/>
        <v>7479.6086555074817</v>
      </c>
      <c r="M7" s="4">
        <f t="shared" si="2"/>
        <v>0</v>
      </c>
      <c r="N7" s="4">
        <f t="shared" si="3"/>
        <v>0</v>
      </c>
      <c r="O7" s="4">
        <f t="shared" ca="1" si="4"/>
        <v>4635892.369227428</v>
      </c>
      <c r="P7" s="17"/>
      <c r="R7" t="s">
        <v>84</v>
      </c>
      <c r="S7" t="s">
        <v>85</v>
      </c>
      <c r="T7" t="s">
        <v>86</v>
      </c>
      <c r="U7" t="s">
        <v>87</v>
      </c>
    </row>
    <row r="8" spans="1:21" x14ac:dyDescent="0.35">
      <c r="A8" s="1">
        <f>MonthlyData!A8</f>
        <v>41821</v>
      </c>
      <c r="B8" s="13">
        <f t="shared" si="5"/>
        <v>2014</v>
      </c>
      <c r="C8" s="13">
        <f t="shared" si="6"/>
        <v>7</v>
      </c>
      <c r="D8" s="4">
        <f>MonthlyData!L8</f>
        <v>3991626.629183203</v>
      </c>
      <c r="E8" s="215">
        <f ca="1">Weather!CT44</f>
        <v>0.28709633857318684</v>
      </c>
      <c r="F8">
        <f>MonthlyData!BO8</f>
        <v>0</v>
      </c>
      <c r="G8">
        <f>MonthlyData!BP8</f>
        <v>0</v>
      </c>
      <c r="H8">
        <f>MonthlyData!BU8</f>
        <v>0</v>
      </c>
      <c r="I8">
        <f>MonthlyData!BA8</f>
        <v>2.7725887222397811</v>
      </c>
      <c r="K8" s="4">
        <f t="shared" si="0"/>
        <v>4628412.7605719203</v>
      </c>
      <c r="L8" s="4">
        <f t="shared" ca="1" si="1"/>
        <v>384.21947009199431</v>
      </c>
      <c r="M8" s="4">
        <f t="shared" si="2"/>
        <v>0</v>
      </c>
      <c r="N8" s="4">
        <f t="shared" si="3"/>
        <v>0</v>
      </c>
      <c r="O8" s="4">
        <f t="shared" ca="1" si="4"/>
        <v>4628796.9800420124</v>
      </c>
      <c r="P8" s="17"/>
      <c r="Q8" t="s">
        <v>88</v>
      </c>
      <c r="R8" s="4">
        <v>4628412.7605719203</v>
      </c>
      <c r="S8" s="4">
        <v>62142.900317955697</v>
      </c>
      <c r="T8" s="214">
        <v>74.480153595833698</v>
      </c>
      <c r="U8" s="188">
        <v>4.86875215534634E-106</v>
      </c>
    </row>
    <row r="9" spans="1:21" x14ac:dyDescent="0.35">
      <c r="A9" s="1">
        <f>MonthlyData!A9</f>
        <v>41852</v>
      </c>
      <c r="B9" s="13">
        <f t="shared" si="5"/>
        <v>2014</v>
      </c>
      <c r="C9" s="13">
        <f t="shared" si="6"/>
        <v>8</v>
      </c>
      <c r="D9" s="4">
        <f>MonthlyData!L9</f>
        <v>4021137.5263351826</v>
      </c>
      <c r="E9" s="215">
        <f ca="1">Weather!CT45</f>
        <v>1.6761707873342053</v>
      </c>
      <c r="F9">
        <f>MonthlyData!BO9</f>
        <v>0</v>
      </c>
      <c r="G9">
        <f>MonthlyData!BP9</f>
        <v>0</v>
      </c>
      <c r="H9">
        <f>MonthlyData!BU9</f>
        <v>0</v>
      </c>
      <c r="I9">
        <f>MonthlyData!BA9</f>
        <v>2.8332133440562162</v>
      </c>
      <c r="K9" s="4">
        <f t="shared" si="0"/>
        <v>4628412.7605719203</v>
      </c>
      <c r="L9" s="4">
        <f t="shared" ca="1" si="1"/>
        <v>2243.2102579011321</v>
      </c>
      <c r="M9" s="4">
        <f t="shared" si="2"/>
        <v>0</v>
      </c>
      <c r="N9" s="4">
        <f t="shared" si="3"/>
        <v>0</v>
      </c>
      <c r="O9" s="4">
        <f t="shared" ca="1" si="4"/>
        <v>4630655.9708298212</v>
      </c>
      <c r="P9" s="17"/>
      <c r="Q9" t="s">
        <v>13</v>
      </c>
      <c r="R9" s="4">
        <v>1338.29456690911</v>
      </c>
      <c r="S9" s="4">
        <v>124.727265477841</v>
      </c>
      <c r="T9" s="214">
        <v>10.729767559498599</v>
      </c>
      <c r="U9" s="188">
        <v>1.7764004394930999E-19</v>
      </c>
    </row>
    <row r="10" spans="1:21" x14ac:dyDescent="0.35">
      <c r="A10" s="1">
        <f>MonthlyData!A10</f>
        <v>41883</v>
      </c>
      <c r="B10" s="13">
        <f t="shared" si="5"/>
        <v>2014</v>
      </c>
      <c r="C10" s="13">
        <f t="shared" si="6"/>
        <v>9</v>
      </c>
      <c r="D10" s="4">
        <f>MonthlyData!L10</f>
        <v>3923176.9000426033</v>
      </c>
      <c r="E10" s="215">
        <f ca="1">Weather!CT46</f>
        <v>28.222326899712005</v>
      </c>
      <c r="F10">
        <f>MonthlyData!BO10</f>
        <v>0</v>
      </c>
      <c r="G10">
        <f>MonthlyData!BP10</f>
        <v>0</v>
      </c>
      <c r="H10">
        <f>MonthlyData!BU10</f>
        <v>0</v>
      </c>
      <c r="I10">
        <f>MonthlyData!BA10</f>
        <v>2.8903717578961645</v>
      </c>
      <c r="K10" s="4">
        <f t="shared" si="0"/>
        <v>4628412.7605719203</v>
      </c>
      <c r="L10" s="4">
        <f t="shared" ca="1" si="1"/>
        <v>37769.786755417401</v>
      </c>
      <c r="M10" s="4">
        <f t="shared" si="2"/>
        <v>0</v>
      </c>
      <c r="N10" s="4">
        <f t="shared" si="3"/>
        <v>0</v>
      </c>
      <c r="O10" s="4">
        <f t="shared" ca="1" si="4"/>
        <v>4666182.5473273378</v>
      </c>
      <c r="P10" s="17"/>
      <c r="Q10" t="s">
        <v>61</v>
      </c>
      <c r="R10" s="4">
        <v>168249.31587912</v>
      </c>
      <c r="S10" s="4">
        <v>75878.637107740695</v>
      </c>
      <c r="T10" s="214">
        <v>2.21734762631834</v>
      </c>
      <c r="U10" s="188">
        <v>2.8392270456939699E-2</v>
      </c>
    </row>
    <row r="11" spans="1:21" x14ac:dyDescent="0.35">
      <c r="A11" s="1">
        <f>MonthlyData!A11</f>
        <v>41913</v>
      </c>
      <c r="B11" s="13">
        <f t="shared" si="5"/>
        <v>2014</v>
      </c>
      <c r="C11" s="13">
        <f t="shared" si="6"/>
        <v>10</v>
      </c>
      <c r="D11" s="4">
        <f>MonthlyData!L11</f>
        <v>3978006.4763625823</v>
      </c>
      <c r="E11" s="215">
        <f ca="1">Weather!CT47</f>
        <v>178.0244559176316</v>
      </c>
      <c r="F11">
        <f>MonthlyData!BO11</f>
        <v>0</v>
      </c>
      <c r="G11">
        <f>MonthlyData!BP11</f>
        <v>1</v>
      </c>
      <c r="H11">
        <f>MonthlyData!BU11</f>
        <v>0</v>
      </c>
      <c r="I11">
        <f>MonthlyData!BA11</f>
        <v>2.9444389791664403</v>
      </c>
      <c r="K11" s="4">
        <f t="shared" si="0"/>
        <v>4628412.7605719203</v>
      </c>
      <c r="L11" s="4">
        <f t="shared" ca="1" si="1"/>
        <v>238249.16213151673</v>
      </c>
      <c r="M11" s="4">
        <f t="shared" si="2"/>
        <v>0</v>
      </c>
      <c r="N11" s="4">
        <f t="shared" si="3"/>
        <v>-269170.44459088001</v>
      </c>
      <c r="O11" s="4">
        <f t="shared" ca="1" si="4"/>
        <v>4597491.4781125579</v>
      </c>
      <c r="P11" s="17"/>
      <c r="Q11" t="s">
        <v>62</v>
      </c>
      <c r="R11" s="4">
        <v>-269170.44459088001</v>
      </c>
      <c r="S11" s="4">
        <v>84323.616923397596</v>
      </c>
      <c r="T11" s="214">
        <v>-3.1921121793839098</v>
      </c>
      <c r="U11" s="188">
        <v>1.7835380219746099E-3</v>
      </c>
    </row>
    <row r="12" spans="1:21" x14ac:dyDescent="0.35">
      <c r="A12" s="1">
        <f>MonthlyData!A12</f>
        <v>41944</v>
      </c>
      <c r="B12" s="13">
        <f t="shared" si="5"/>
        <v>2014</v>
      </c>
      <c r="C12" s="13">
        <f t="shared" si="6"/>
        <v>11</v>
      </c>
      <c r="D12" s="4">
        <f>MonthlyData!L12</f>
        <v>4529043.158707262</v>
      </c>
      <c r="E12" s="215">
        <f ca="1">Weather!CT48</f>
        <v>403.99833333333333</v>
      </c>
      <c r="F12">
        <f>MonthlyData!BO12</f>
        <v>0</v>
      </c>
      <c r="G12">
        <f>MonthlyData!BP12</f>
        <v>1</v>
      </c>
      <c r="H12">
        <f>MonthlyData!BU12</f>
        <v>0</v>
      </c>
      <c r="I12">
        <f>MonthlyData!BA12</f>
        <v>2.9957322735539909</v>
      </c>
      <c r="K12" s="4">
        <f t="shared" si="0"/>
        <v>4628412.7605719203</v>
      </c>
      <c r="L12" s="4">
        <f t="shared" ca="1" si="1"/>
        <v>540668.77454033564</v>
      </c>
      <c r="M12" s="4">
        <f t="shared" si="2"/>
        <v>0</v>
      </c>
      <c r="N12" s="4">
        <f t="shared" si="3"/>
        <v>-269170.44459088001</v>
      </c>
      <c r="O12" s="4">
        <f t="shared" ca="1" si="4"/>
        <v>4899911.0905213766</v>
      </c>
      <c r="P12" s="17"/>
      <c r="R12" s="4"/>
      <c r="S12" s="4"/>
      <c r="T12" s="214"/>
      <c r="U12" s="188"/>
    </row>
    <row r="13" spans="1:21" x14ac:dyDescent="0.35">
      <c r="A13" s="1">
        <f>MonthlyData!A13</f>
        <v>41974</v>
      </c>
      <c r="B13" s="13">
        <f t="shared" si="5"/>
        <v>2014</v>
      </c>
      <c r="C13" s="13">
        <f t="shared" si="6"/>
        <v>12</v>
      </c>
      <c r="D13" s="4">
        <f>MonthlyData!L13</f>
        <v>4865809.7045213087</v>
      </c>
      <c r="E13" s="215">
        <f ca="1">Weather!CT49</f>
        <v>629.70466952460959</v>
      </c>
      <c r="F13">
        <f>MonthlyData!BO13</f>
        <v>0</v>
      </c>
      <c r="G13">
        <f>MonthlyData!BP13</f>
        <v>0</v>
      </c>
      <c r="H13">
        <f>MonthlyData!BU13</f>
        <v>0</v>
      </c>
      <c r="I13">
        <f>MonthlyData!BA13</f>
        <v>3.044522437723423</v>
      </c>
      <c r="K13" s="4">
        <f t="shared" si="0"/>
        <v>4628412.7605719203</v>
      </c>
      <c r="L13" s="4">
        <f t="shared" ca="1" si="1"/>
        <v>842730.33798208169</v>
      </c>
      <c r="M13" s="4">
        <f t="shared" si="2"/>
        <v>0</v>
      </c>
      <c r="N13" s="4">
        <f t="shared" si="3"/>
        <v>0</v>
      </c>
      <c r="O13" s="4">
        <f t="shared" ca="1" si="4"/>
        <v>5471143.0985540021</v>
      </c>
      <c r="P13" s="17"/>
      <c r="Q13" t="s">
        <v>89</v>
      </c>
    </row>
    <row r="14" spans="1:21" x14ac:dyDescent="0.35">
      <c r="A14" s="1">
        <f>MonthlyData!A14</f>
        <v>42005</v>
      </c>
      <c r="B14" s="13">
        <f t="shared" si="5"/>
        <v>2015</v>
      </c>
      <c r="C14" s="13">
        <f t="shared" si="6"/>
        <v>1</v>
      </c>
      <c r="D14" s="4">
        <f>MonthlyData!L14</f>
        <v>5797411.9584572725</v>
      </c>
      <c r="E14" s="13">
        <f ca="1">E2</f>
        <v>793.4846429373913</v>
      </c>
      <c r="F14">
        <f>MonthlyData!BO14</f>
        <v>0</v>
      </c>
      <c r="G14">
        <f>MonthlyData!BP14</f>
        <v>0</v>
      </c>
      <c r="H14">
        <f>MonthlyData!BU14</f>
        <v>0</v>
      </c>
      <c r="I14">
        <f>MonthlyData!BA14</f>
        <v>3.0910424533583161</v>
      </c>
      <c r="K14" s="4">
        <f t="shared" si="0"/>
        <v>4628412.7605719203</v>
      </c>
      <c r="L14" s="4">
        <f t="shared" ca="1" si="1"/>
        <v>1061916.1865689259</v>
      </c>
      <c r="M14" s="4">
        <f t="shared" si="2"/>
        <v>0</v>
      </c>
      <c r="N14" s="4">
        <f t="shared" si="3"/>
        <v>0</v>
      </c>
      <c r="O14" s="4">
        <f t="shared" ca="1" si="4"/>
        <v>5690328.9471408464</v>
      </c>
      <c r="P14" s="17"/>
      <c r="Q14" t="s">
        <v>90</v>
      </c>
      <c r="R14" s="320">
        <v>13128559465496.801</v>
      </c>
      <c r="S14" t="s">
        <v>91</v>
      </c>
      <c r="T14" s="4">
        <v>322792.373504752</v>
      </c>
    </row>
    <row r="15" spans="1:21" x14ac:dyDescent="0.35">
      <c r="A15" s="1">
        <f>MonthlyData!A15</f>
        <v>42036</v>
      </c>
      <c r="B15" s="13">
        <f t="shared" si="5"/>
        <v>2015</v>
      </c>
      <c r="C15" s="13">
        <f t="shared" si="6"/>
        <v>2</v>
      </c>
      <c r="D15" s="4">
        <f>MonthlyData!L15</f>
        <v>5302857.4660439594</v>
      </c>
      <c r="E15" s="13">
        <f t="shared" ref="E15:E78" ca="1" si="7">E3</f>
        <v>736.10085614037712</v>
      </c>
      <c r="F15">
        <f>MonthlyData!BO15</f>
        <v>0</v>
      </c>
      <c r="G15">
        <f>MonthlyData!BP15</f>
        <v>0</v>
      </c>
      <c r="H15">
        <f>MonthlyData!BU15</f>
        <v>0</v>
      </c>
      <c r="I15">
        <f>MonthlyData!BA15</f>
        <v>3.1354942159291497</v>
      </c>
      <c r="K15" s="4">
        <f t="shared" si="0"/>
        <v>4628412.7605719203</v>
      </c>
      <c r="L15" s="4">
        <f t="shared" ca="1" si="1"/>
        <v>985119.7764698111</v>
      </c>
      <c r="M15" s="4">
        <f t="shared" si="2"/>
        <v>0</v>
      </c>
      <c r="N15" s="4">
        <f t="shared" si="3"/>
        <v>0</v>
      </c>
      <c r="O15" s="4">
        <f t="shared" ca="1" si="4"/>
        <v>5613532.5370417312</v>
      </c>
      <c r="P15" s="17"/>
      <c r="Q15" t="s">
        <v>92</v>
      </c>
      <c r="R15" s="2">
        <v>0.69025631248081898</v>
      </c>
      <c r="S15" t="s">
        <v>93</v>
      </c>
      <c r="T15" s="321">
        <v>0.68288146277798101</v>
      </c>
    </row>
    <row r="16" spans="1:21" x14ac:dyDescent="0.35">
      <c r="A16" s="1">
        <f>MonthlyData!A16</f>
        <v>42064</v>
      </c>
      <c r="B16" s="13">
        <f t="shared" si="5"/>
        <v>2015</v>
      </c>
      <c r="C16" s="13">
        <f t="shared" si="6"/>
        <v>3</v>
      </c>
      <c r="D16" s="4">
        <f>MonthlyData!L16</f>
        <v>5678996.0917066708</v>
      </c>
      <c r="E16" s="13">
        <f t="shared" ca="1" si="7"/>
        <v>577.21697535249291</v>
      </c>
      <c r="F16">
        <f>MonthlyData!BO16</f>
        <v>1</v>
      </c>
      <c r="G16">
        <f>MonthlyData!BP16</f>
        <v>0</v>
      </c>
      <c r="H16">
        <f>MonthlyData!BU16</f>
        <v>0</v>
      </c>
      <c r="I16">
        <f>MonthlyData!BA16</f>
        <v>3.1780538303479458</v>
      </c>
      <c r="K16" s="4">
        <f t="shared" si="0"/>
        <v>4628412.7605719203</v>
      </c>
      <c r="L16" s="4">
        <f t="shared" ca="1" si="1"/>
        <v>772486.34204195091</v>
      </c>
      <c r="M16" s="4">
        <f t="shared" si="2"/>
        <v>168249.31587912</v>
      </c>
      <c r="N16" s="4">
        <f t="shared" si="3"/>
        <v>0</v>
      </c>
      <c r="O16" s="4">
        <f t="shared" ca="1" si="4"/>
        <v>5569148.4184929905</v>
      </c>
      <c r="P16" s="17"/>
      <c r="Q16" t="s">
        <v>490</v>
      </c>
      <c r="R16" s="2">
        <v>59.723873476026199</v>
      </c>
      <c r="S16" t="s">
        <v>94</v>
      </c>
      <c r="T16" s="18">
        <v>4.3500025320380703E-24</v>
      </c>
    </row>
    <row r="17" spans="1:20" x14ac:dyDescent="0.35">
      <c r="A17" s="1">
        <f>MonthlyData!A17</f>
        <v>42095</v>
      </c>
      <c r="B17" s="13">
        <f t="shared" si="5"/>
        <v>2015</v>
      </c>
      <c r="C17" s="13">
        <f t="shared" si="6"/>
        <v>4</v>
      </c>
      <c r="D17" s="4">
        <f>MonthlyData!L17</f>
        <v>5164191.0211993633</v>
      </c>
      <c r="E17" s="13">
        <f t="shared" ca="1" si="7"/>
        <v>307.33082472275549</v>
      </c>
      <c r="F17">
        <f>MonthlyData!BO17</f>
        <v>1</v>
      </c>
      <c r="G17">
        <f>MonthlyData!BP17</f>
        <v>0</v>
      </c>
      <c r="H17">
        <f>MonthlyData!BU17</f>
        <v>0</v>
      </c>
      <c r="I17">
        <f>MonthlyData!BA17</f>
        <v>3.2188758248682006</v>
      </c>
      <c r="K17" s="4">
        <f t="shared" si="0"/>
        <v>4628412.7605719203</v>
      </c>
      <c r="L17" s="4">
        <f t="shared" ca="1" si="1"/>
        <v>411299.17297015968</v>
      </c>
      <c r="M17" s="4">
        <f t="shared" si="2"/>
        <v>168249.31587912</v>
      </c>
      <c r="N17" s="4">
        <f t="shared" si="3"/>
        <v>0</v>
      </c>
      <c r="O17" s="4">
        <f t="shared" ca="1" si="4"/>
        <v>5207961.2494211998</v>
      </c>
      <c r="P17" s="17"/>
      <c r="Q17" t="s">
        <v>95</v>
      </c>
      <c r="R17" s="2">
        <v>-0.10256059972904499</v>
      </c>
      <c r="S17" t="s">
        <v>96</v>
      </c>
      <c r="T17" s="322">
        <v>2.2005555350152899</v>
      </c>
    </row>
    <row r="18" spans="1:20" x14ac:dyDescent="0.35">
      <c r="A18" s="1">
        <f>MonthlyData!A18</f>
        <v>42125</v>
      </c>
      <c r="B18" s="13">
        <f t="shared" si="5"/>
        <v>2015</v>
      </c>
      <c r="C18" s="13">
        <f t="shared" si="6"/>
        <v>5</v>
      </c>
      <c r="D18" s="4">
        <f>MonthlyData!L18</f>
        <v>4691005.5488500902</v>
      </c>
      <c r="E18" s="13">
        <f t="shared" ca="1" si="7"/>
        <v>103.00647094808046</v>
      </c>
      <c r="F18">
        <f>MonthlyData!BO18</f>
        <v>1</v>
      </c>
      <c r="G18">
        <f>MonthlyData!BP18</f>
        <v>0</v>
      </c>
      <c r="H18">
        <f>MonthlyData!BU18</f>
        <v>0</v>
      </c>
      <c r="I18">
        <f>MonthlyData!BA18</f>
        <v>3.2580965380214821</v>
      </c>
      <c r="K18" s="4">
        <f t="shared" si="0"/>
        <v>4628412.7605719203</v>
      </c>
      <c r="L18" s="4">
        <f t="shared" ca="1" si="1"/>
        <v>137853.00042629716</v>
      </c>
      <c r="M18" s="4">
        <f t="shared" si="2"/>
        <v>168249.31587912</v>
      </c>
      <c r="N18" s="4">
        <f t="shared" si="3"/>
        <v>0</v>
      </c>
      <c r="O18" s="4">
        <f t="shared" ca="1" si="4"/>
        <v>4934515.0768773369</v>
      </c>
      <c r="P18" s="17"/>
    </row>
    <row r="19" spans="1:20" x14ac:dyDescent="0.35">
      <c r="A19" s="1">
        <f>MonthlyData!A19</f>
        <v>42156</v>
      </c>
      <c r="B19" s="13">
        <f t="shared" si="5"/>
        <v>2015</v>
      </c>
      <c r="C19" s="13">
        <f t="shared" si="6"/>
        <v>6</v>
      </c>
      <c r="D19" s="4">
        <f>MonthlyData!L19</f>
        <v>4619803.2723334655</v>
      </c>
      <c r="E19" s="13">
        <f t="shared" ca="1" si="7"/>
        <v>5.5889105735385218</v>
      </c>
      <c r="F19">
        <f>MonthlyData!BO19</f>
        <v>0</v>
      </c>
      <c r="G19">
        <f>MonthlyData!BP19</f>
        <v>0</v>
      </c>
      <c r="H19">
        <f>MonthlyData!BU19</f>
        <v>0</v>
      </c>
      <c r="I19">
        <f>MonthlyData!BA19</f>
        <v>3.2958368660043291</v>
      </c>
      <c r="K19" s="4">
        <f t="shared" si="0"/>
        <v>4628412.7605719203</v>
      </c>
      <c r="L19" s="4">
        <f t="shared" ca="1" si="1"/>
        <v>7479.6086555074817</v>
      </c>
      <c r="M19" s="4">
        <f t="shared" si="2"/>
        <v>0</v>
      </c>
      <c r="N19" s="4">
        <f t="shared" si="3"/>
        <v>0</v>
      </c>
      <c r="O19" s="4">
        <f t="shared" ca="1" si="4"/>
        <v>4635892.369227428</v>
      </c>
      <c r="P19" s="17"/>
      <c r="Q19" t="s">
        <v>97</v>
      </c>
    </row>
    <row r="20" spans="1:20" x14ac:dyDescent="0.35">
      <c r="A20" s="1">
        <f>MonthlyData!A20</f>
        <v>42186</v>
      </c>
      <c r="B20" s="13">
        <f t="shared" si="5"/>
        <v>2015</v>
      </c>
      <c r="C20" s="13">
        <f t="shared" si="6"/>
        <v>7</v>
      </c>
      <c r="D20" s="4">
        <f>MonthlyData!L20</f>
        <v>4710061.3520165263</v>
      </c>
      <c r="E20" s="13">
        <f t="shared" ca="1" si="7"/>
        <v>0.28709633857318684</v>
      </c>
      <c r="F20">
        <f>MonthlyData!BO20</f>
        <v>0</v>
      </c>
      <c r="G20">
        <f>MonthlyData!BP20</f>
        <v>0</v>
      </c>
      <c r="H20">
        <f>MonthlyData!BU20</f>
        <v>0</v>
      </c>
      <c r="I20">
        <f>MonthlyData!BA20</f>
        <v>3.3322045101752038</v>
      </c>
      <c r="K20" s="4">
        <f t="shared" si="0"/>
        <v>4628412.7605719203</v>
      </c>
      <c r="L20" s="4">
        <f t="shared" ca="1" si="1"/>
        <v>384.21947009199431</v>
      </c>
      <c r="M20" s="4">
        <f t="shared" si="2"/>
        <v>0</v>
      </c>
      <c r="N20" s="4">
        <f t="shared" si="3"/>
        <v>0</v>
      </c>
      <c r="O20" s="4">
        <f t="shared" ca="1" si="4"/>
        <v>4628796.9800420124</v>
      </c>
      <c r="P20" s="17"/>
      <c r="Q20" t="s">
        <v>98</v>
      </c>
      <c r="R20">
        <v>5036988.5663118903</v>
      </c>
      <c r="S20" t="s">
        <v>99</v>
      </c>
      <c r="T20">
        <v>570902.30353270005</v>
      </c>
    </row>
    <row r="21" spans="1:20" x14ac:dyDescent="0.35">
      <c r="A21" s="1">
        <f>MonthlyData!A21</f>
        <v>42217</v>
      </c>
      <c r="B21" s="13">
        <f t="shared" si="5"/>
        <v>2015</v>
      </c>
      <c r="C21" s="13">
        <f t="shared" si="6"/>
        <v>8</v>
      </c>
      <c r="D21" s="4">
        <f>MonthlyData!L21</f>
        <v>4805688.3518873435</v>
      </c>
      <c r="E21" s="13">
        <f t="shared" ca="1" si="7"/>
        <v>1.6761707873342053</v>
      </c>
      <c r="F21">
        <f>MonthlyData!BO21</f>
        <v>0</v>
      </c>
      <c r="G21">
        <f>MonthlyData!BP21</f>
        <v>0</v>
      </c>
      <c r="H21">
        <f>MonthlyData!BU21</f>
        <v>0</v>
      </c>
      <c r="I21">
        <f>MonthlyData!BA21</f>
        <v>3.3672958299864741</v>
      </c>
      <c r="K21" s="4">
        <f t="shared" si="0"/>
        <v>4628412.7605719203</v>
      </c>
      <c r="L21" s="4">
        <f t="shared" ca="1" si="1"/>
        <v>2243.2102579011321</v>
      </c>
      <c r="M21" s="4">
        <f t="shared" si="2"/>
        <v>0</v>
      </c>
      <c r="N21" s="4">
        <f t="shared" si="3"/>
        <v>0</v>
      </c>
      <c r="O21" s="4">
        <f t="shared" ca="1" si="4"/>
        <v>4630655.9708298212</v>
      </c>
      <c r="P21" s="17"/>
    </row>
    <row r="22" spans="1:20" x14ac:dyDescent="0.35">
      <c r="A22" s="1">
        <f>MonthlyData!A22</f>
        <v>42248</v>
      </c>
      <c r="B22" s="13">
        <f t="shared" si="5"/>
        <v>2015</v>
      </c>
      <c r="C22" s="13">
        <f t="shared" si="6"/>
        <v>9</v>
      </c>
      <c r="D22" s="4">
        <f>MonthlyData!L22</f>
        <v>4573653.7213467266</v>
      </c>
      <c r="E22" s="13">
        <f t="shared" ca="1" si="7"/>
        <v>28.222326899712005</v>
      </c>
      <c r="F22">
        <f>MonthlyData!BO22</f>
        <v>0</v>
      </c>
      <c r="G22">
        <f>MonthlyData!BP22</f>
        <v>0</v>
      </c>
      <c r="H22">
        <f>MonthlyData!BU22</f>
        <v>0</v>
      </c>
      <c r="I22">
        <f>MonthlyData!BA22</f>
        <v>3.4011973816621555</v>
      </c>
      <c r="K22" s="4">
        <f t="shared" si="0"/>
        <v>4628412.7605719203</v>
      </c>
      <c r="L22" s="4">
        <f t="shared" ca="1" si="1"/>
        <v>37769.786755417401</v>
      </c>
      <c r="M22" s="4">
        <f t="shared" si="2"/>
        <v>0</v>
      </c>
      <c r="N22" s="4">
        <f t="shared" si="3"/>
        <v>0</v>
      </c>
      <c r="O22" s="4">
        <f t="shared" ca="1" si="4"/>
        <v>4666182.5473273378</v>
      </c>
      <c r="P22" s="17"/>
    </row>
    <row r="23" spans="1:20" x14ac:dyDescent="0.35">
      <c r="A23" s="1">
        <f>MonthlyData!A23</f>
        <v>42278</v>
      </c>
      <c r="B23" s="13">
        <f t="shared" si="5"/>
        <v>2015</v>
      </c>
      <c r="C23" s="13">
        <f t="shared" si="6"/>
        <v>10</v>
      </c>
      <c r="D23" s="4">
        <f>MonthlyData!L23</f>
        <v>4637713.1451860107</v>
      </c>
      <c r="E23" s="13">
        <f t="shared" ca="1" si="7"/>
        <v>178.0244559176316</v>
      </c>
      <c r="F23">
        <f>MonthlyData!BO23</f>
        <v>0</v>
      </c>
      <c r="G23">
        <f>MonthlyData!BP23</f>
        <v>1</v>
      </c>
      <c r="H23">
        <f>MonthlyData!BU23</f>
        <v>0</v>
      </c>
      <c r="I23">
        <f>MonthlyData!BA23</f>
        <v>3.4339872044851463</v>
      </c>
      <c r="K23" s="4">
        <f t="shared" si="0"/>
        <v>4628412.7605719203</v>
      </c>
      <c r="L23" s="4">
        <f t="shared" ca="1" si="1"/>
        <v>238249.16213151673</v>
      </c>
      <c r="M23" s="4">
        <f t="shared" si="2"/>
        <v>0</v>
      </c>
      <c r="N23" s="4">
        <f t="shared" si="3"/>
        <v>-269170.44459088001</v>
      </c>
      <c r="O23" s="4">
        <f t="shared" ca="1" si="4"/>
        <v>4597491.4781125579</v>
      </c>
      <c r="P23" s="17"/>
    </row>
    <row r="24" spans="1:20" x14ac:dyDescent="0.35">
      <c r="A24" s="1">
        <f>MonthlyData!A24</f>
        <v>42309</v>
      </c>
      <c r="B24" s="13">
        <f t="shared" si="5"/>
        <v>2015</v>
      </c>
      <c r="C24" s="13">
        <f t="shared" si="6"/>
        <v>11</v>
      </c>
      <c r="D24" s="4">
        <f>MonthlyData!L24</f>
        <v>5000806.2716847491</v>
      </c>
      <c r="E24" s="13">
        <f t="shared" ca="1" si="7"/>
        <v>403.99833333333333</v>
      </c>
      <c r="F24">
        <f>MonthlyData!BO24</f>
        <v>0</v>
      </c>
      <c r="G24">
        <f>MonthlyData!BP24</f>
        <v>1</v>
      </c>
      <c r="H24">
        <f>MonthlyData!BU24</f>
        <v>0</v>
      </c>
      <c r="I24">
        <f>MonthlyData!BA24</f>
        <v>3.4657359027997265</v>
      </c>
      <c r="K24" s="4">
        <f t="shared" si="0"/>
        <v>4628412.7605719203</v>
      </c>
      <c r="L24" s="4">
        <f t="shared" ca="1" si="1"/>
        <v>540668.77454033564</v>
      </c>
      <c r="M24" s="4">
        <f t="shared" si="2"/>
        <v>0</v>
      </c>
      <c r="N24" s="4">
        <f t="shared" si="3"/>
        <v>-269170.44459088001</v>
      </c>
      <c r="O24" s="4">
        <f t="shared" ca="1" si="4"/>
        <v>4899911.0905213766</v>
      </c>
      <c r="P24" s="17"/>
    </row>
    <row r="25" spans="1:20" x14ac:dyDescent="0.35">
      <c r="A25" s="1">
        <f>MonthlyData!A25</f>
        <v>42339</v>
      </c>
      <c r="B25" s="13">
        <f t="shared" si="5"/>
        <v>2015</v>
      </c>
      <c r="C25" s="13">
        <f t="shared" si="6"/>
        <v>12</v>
      </c>
      <c r="D25" s="4">
        <f>MonthlyData!L25</f>
        <v>5163413.1924942695</v>
      </c>
      <c r="E25" s="13">
        <f t="shared" ca="1" si="7"/>
        <v>629.70466952460959</v>
      </c>
      <c r="F25">
        <f>MonthlyData!BO25</f>
        <v>0</v>
      </c>
      <c r="G25">
        <f>MonthlyData!BP25</f>
        <v>0</v>
      </c>
      <c r="H25">
        <f>MonthlyData!BU25</f>
        <v>0</v>
      </c>
      <c r="I25">
        <f>MonthlyData!BA25</f>
        <v>3.4965075614664802</v>
      </c>
      <c r="K25" s="4">
        <f t="shared" si="0"/>
        <v>4628412.7605719203</v>
      </c>
      <c r="L25" s="4">
        <f t="shared" ca="1" si="1"/>
        <v>842730.33798208169</v>
      </c>
      <c r="M25" s="4">
        <f t="shared" si="2"/>
        <v>0</v>
      </c>
      <c r="N25" s="4">
        <f t="shared" si="3"/>
        <v>0</v>
      </c>
      <c r="O25" s="4">
        <f t="shared" ca="1" si="4"/>
        <v>5471143.0985540021</v>
      </c>
      <c r="P25" s="17"/>
    </row>
    <row r="26" spans="1:20" x14ac:dyDescent="0.35">
      <c r="A26" s="1">
        <f>MonthlyData!A26</f>
        <v>42370</v>
      </c>
      <c r="B26" s="13">
        <f t="shared" si="5"/>
        <v>2016</v>
      </c>
      <c r="C26" s="13">
        <f t="shared" si="6"/>
        <v>1</v>
      </c>
      <c r="D26" s="4">
        <f>MonthlyData!L26</f>
        <v>5610843.9789451323</v>
      </c>
      <c r="E26" s="13">
        <f t="shared" ca="1" si="7"/>
        <v>793.4846429373913</v>
      </c>
      <c r="F26">
        <f>MonthlyData!BO26</f>
        <v>0</v>
      </c>
      <c r="G26">
        <f>MonthlyData!BP26</f>
        <v>0</v>
      </c>
      <c r="H26">
        <f>MonthlyData!BU26</f>
        <v>0</v>
      </c>
      <c r="I26">
        <f>MonthlyData!BA26</f>
        <v>3.5263605246161616</v>
      </c>
      <c r="K26" s="4">
        <f t="shared" si="0"/>
        <v>4628412.7605719203</v>
      </c>
      <c r="L26" s="4">
        <f t="shared" ca="1" si="1"/>
        <v>1061916.1865689259</v>
      </c>
      <c r="M26" s="4">
        <f t="shared" si="2"/>
        <v>0</v>
      </c>
      <c r="N26" s="4">
        <f t="shared" si="3"/>
        <v>0</v>
      </c>
      <c r="O26" s="4">
        <f t="shared" ca="1" si="4"/>
        <v>5690328.9471408464</v>
      </c>
      <c r="P26" s="17"/>
    </row>
    <row r="27" spans="1:20" x14ac:dyDescent="0.35">
      <c r="A27" s="1">
        <f>MonthlyData!A27</f>
        <v>42401</v>
      </c>
      <c r="B27" s="13">
        <f t="shared" si="5"/>
        <v>2016</v>
      </c>
      <c r="C27" s="13">
        <f t="shared" si="6"/>
        <v>2</v>
      </c>
      <c r="D27" s="4">
        <f>MonthlyData!L27</f>
        <v>5938550.2731708772</v>
      </c>
      <c r="E27" s="13">
        <f t="shared" ca="1" si="7"/>
        <v>736.10085614037712</v>
      </c>
      <c r="F27">
        <f>MonthlyData!BO27</f>
        <v>0</v>
      </c>
      <c r="G27">
        <f>MonthlyData!BP27</f>
        <v>0</v>
      </c>
      <c r="H27">
        <f>MonthlyData!BU27</f>
        <v>0</v>
      </c>
      <c r="I27">
        <f>MonthlyData!BA27</f>
        <v>3.5553480614894135</v>
      </c>
      <c r="K27" s="4">
        <f t="shared" si="0"/>
        <v>4628412.7605719203</v>
      </c>
      <c r="L27" s="4">
        <f t="shared" ca="1" si="1"/>
        <v>985119.7764698111</v>
      </c>
      <c r="M27" s="4">
        <f t="shared" si="2"/>
        <v>0</v>
      </c>
      <c r="N27" s="4">
        <f t="shared" si="3"/>
        <v>0</v>
      </c>
      <c r="O27" s="4">
        <f t="shared" ca="1" si="4"/>
        <v>5613532.5370417312</v>
      </c>
      <c r="P27" s="17"/>
    </row>
    <row r="28" spans="1:20" x14ac:dyDescent="0.35">
      <c r="A28" s="1">
        <f>MonthlyData!A28</f>
        <v>42430</v>
      </c>
      <c r="B28" s="13">
        <f t="shared" si="5"/>
        <v>2016</v>
      </c>
      <c r="C28" s="13">
        <f t="shared" si="6"/>
        <v>3</v>
      </c>
      <c r="D28" s="4">
        <f>MonthlyData!L28</f>
        <v>5861937.9148002611</v>
      </c>
      <c r="E28" s="13">
        <f t="shared" ca="1" si="7"/>
        <v>577.21697535249291</v>
      </c>
      <c r="F28">
        <f>MonthlyData!BO28</f>
        <v>1</v>
      </c>
      <c r="G28">
        <f>MonthlyData!BP28</f>
        <v>0</v>
      </c>
      <c r="H28">
        <f>MonthlyData!BU28</f>
        <v>0</v>
      </c>
      <c r="I28">
        <f>MonthlyData!BA28</f>
        <v>3.5835189384561099</v>
      </c>
      <c r="K28" s="4">
        <f t="shared" si="0"/>
        <v>4628412.7605719203</v>
      </c>
      <c r="L28" s="4">
        <f t="shared" ca="1" si="1"/>
        <v>772486.34204195091</v>
      </c>
      <c r="M28" s="4">
        <f t="shared" si="2"/>
        <v>168249.31587912</v>
      </c>
      <c r="N28" s="4">
        <f t="shared" si="3"/>
        <v>0</v>
      </c>
      <c r="O28" s="4">
        <f t="shared" ca="1" si="4"/>
        <v>5569148.4184929905</v>
      </c>
      <c r="P28" s="17"/>
    </row>
    <row r="29" spans="1:20" x14ac:dyDescent="0.35">
      <c r="A29" s="1">
        <f>MonthlyData!A29</f>
        <v>42461</v>
      </c>
      <c r="B29" s="13">
        <f t="shared" si="5"/>
        <v>2016</v>
      </c>
      <c r="C29" s="13">
        <f t="shared" si="6"/>
        <v>4</v>
      </c>
      <c r="D29" s="4">
        <f>MonthlyData!L29</f>
        <v>5803468.9371351451</v>
      </c>
      <c r="E29" s="13">
        <f t="shared" ca="1" si="7"/>
        <v>307.33082472275549</v>
      </c>
      <c r="F29">
        <f>MonthlyData!BO29</f>
        <v>1</v>
      </c>
      <c r="G29">
        <f>MonthlyData!BP29</f>
        <v>0</v>
      </c>
      <c r="H29">
        <f>MonthlyData!BU29</f>
        <v>0</v>
      </c>
      <c r="I29">
        <f>MonthlyData!BA29</f>
        <v>3.6109179126442243</v>
      </c>
      <c r="K29" s="4">
        <f t="shared" si="0"/>
        <v>4628412.7605719203</v>
      </c>
      <c r="L29" s="4">
        <f t="shared" ca="1" si="1"/>
        <v>411299.17297015968</v>
      </c>
      <c r="M29" s="4">
        <f t="shared" si="2"/>
        <v>168249.31587912</v>
      </c>
      <c r="N29" s="4">
        <f t="shared" si="3"/>
        <v>0</v>
      </c>
      <c r="O29" s="4">
        <f t="shared" ca="1" si="4"/>
        <v>5207961.2494211998</v>
      </c>
      <c r="P29" s="17"/>
    </row>
    <row r="30" spans="1:20" x14ac:dyDescent="0.35">
      <c r="A30" s="1">
        <f>MonthlyData!A30</f>
        <v>42491</v>
      </c>
      <c r="B30" s="13">
        <f t="shared" si="5"/>
        <v>2016</v>
      </c>
      <c r="C30" s="13">
        <f t="shared" si="6"/>
        <v>5</v>
      </c>
      <c r="D30" s="4">
        <f>MonthlyData!L30</f>
        <v>4864263.5138979312</v>
      </c>
      <c r="E30" s="13">
        <f t="shared" ca="1" si="7"/>
        <v>103.00647094808046</v>
      </c>
      <c r="F30">
        <f>MonthlyData!BO30</f>
        <v>1</v>
      </c>
      <c r="G30">
        <f>MonthlyData!BP30</f>
        <v>0</v>
      </c>
      <c r="H30">
        <f>MonthlyData!BU30</f>
        <v>0</v>
      </c>
      <c r="I30">
        <f>MonthlyData!BA30</f>
        <v>3.6375861597263857</v>
      </c>
      <c r="K30" s="4">
        <f t="shared" si="0"/>
        <v>4628412.7605719203</v>
      </c>
      <c r="L30" s="4">
        <f t="shared" ca="1" si="1"/>
        <v>137853.00042629716</v>
      </c>
      <c r="M30" s="4">
        <f t="shared" si="2"/>
        <v>168249.31587912</v>
      </c>
      <c r="N30" s="4">
        <f t="shared" si="3"/>
        <v>0</v>
      </c>
      <c r="O30" s="4">
        <f t="shared" ca="1" si="4"/>
        <v>4934515.0768773369</v>
      </c>
      <c r="P30" s="17"/>
    </row>
    <row r="31" spans="1:20" x14ac:dyDescent="0.35">
      <c r="A31" s="1">
        <f>MonthlyData!A31</f>
        <v>42522</v>
      </c>
      <c r="B31" s="13">
        <f t="shared" si="5"/>
        <v>2016</v>
      </c>
      <c r="C31" s="13">
        <f t="shared" si="6"/>
        <v>6</v>
      </c>
      <c r="D31" s="4">
        <f>MonthlyData!L31</f>
        <v>4805725.6259411508</v>
      </c>
      <c r="E31" s="13">
        <f t="shared" ca="1" si="7"/>
        <v>5.5889105735385218</v>
      </c>
      <c r="F31">
        <f>MonthlyData!BO31</f>
        <v>0</v>
      </c>
      <c r="G31">
        <f>MonthlyData!BP31</f>
        <v>0</v>
      </c>
      <c r="H31">
        <f>MonthlyData!BU31</f>
        <v>0</v>
      </c>
      <c r="I31">
        <f>MonthlyData!BA31</f>
        <v>3.6635616461296463</v>
      </c>
      <c r="K31" s="4">
        <f t="shared" si="0"/>
        <v>4628412.7605719203</v>
      </c>
      <c r="L31" s="4">
        <f t="shared" ca="1" si="1"/>
        <v>7479.6086555074817</v>
      </c>
      <c r="M31" s="4">
        <f t="shared" si="2"/>
        <v>0</v>
      </c>
      <c r="N31" s="4">
        <f t="shared" si="3"/>
        <v>0</v>
      </c>
      <c r="O31" s="4">
        <f t="shared" ca="1" si="4"/>
        <v>4635892.369227428</v>
      </c>
      <c r="P31" s="17"/>
    </row>
    <row r="32" spans="1:20" x14ac:dyDescent="0.35">
      <c r="A32" s="1">
        <f>MonthlyData!A32</f>
        <v>42552</v>
      </c>
      <c r="B32" s="13">
        <f t="shared" si="5"/>
        <v>2016</v>
      </c>
      <c r="C32" s="13">
        <f t="shared" si="6"/>
        <v>7</v>
      </c>
      <c r="D32" s="4">
        <f>MonthlyData!L32</f>
        <v>4625937.583049966</v>
      </c>
      <c r="E32" s="13">
        <f t="shared" ca="1" si="7"/>
        <v>0.28709633857318684</v>
      </c>
      <c r="F32">
        <f>MonthlyData!BO32</f>
        <v>0</v>
      </c>
      <c r="G32">
        <f>MonthlyData!BP32</f>
        <v>0</v>
      </c>
      <c r="H32">
        <f>MonthlyData!BU32</f>
        <v>0</v>
      </c>
      <c r="I32">
        <f>MonthlyData!BA32</f>
        <v>3.6888794541139363</v>
      </c>
      <c r="K32" s="4">
        <f t="shared" si="0"/>
        <v>4628412.7605719203</v>
      </c>
      <c r="L32" s="4">
        <f t="shared" ca="1" si="1"/>
        <v>384.21947009199431</v>
      </c>
      <c r="M32" s="4">
        <f t="shared" si="2"/>
        <v>0</v>
      </c>
      <c r="N32" s="4">
        <f t="shared" si="3"/>
        <v>0</v>
      </c>
      <c r="O32" s="4">
        <f t="shared" ca="1" si="4"/>
        <v>4628796.9800420124</v>
      </c>
      <c r="P32" s="17"/>
    </row>
    <row r="33" spans="1:16" x14ac:dyDescent="0.35">
      <c r="A33" s="1">
        <f>MonthlyData!A33</f>
        <v>42583</v>
      </c>
      <c r="B33" s="13">
        <f t="shared" si="5"/>
        <v>2016</v>
      </c>
      <c r="C33" s="13">
        <f t="shared" si="6"/>
        <v>8</v>
      </c>
      <c r="D33" s="4">
        <f>MonthlyData!L33</f>
        <v>4693525.5028378628</v>
      </c>
      <c r="E33" s="13">
        <f t="shared" ca="1" si="7"/>
        <v>1.6761707873342053</v>
      </c>
      <c r="F33">
        <f>MonthlyData!BO33</f>
        <v>0</v>
      </c>
      <c r="G33">
        <f>MonthlyData!BP33</f>
        <v>0</v>
      </c>
      <c r="H33">
        <f>MonthlyData!BU33</f>
        <v>0</v>
      </c>
      <c r="I33">
        <f>MonthlyData!BA33</f>
        <v>3.713572066704308</v>
      </c>
      <c r="K33" s="4">
        <f t="shared" si="0"/>
        <v>4628412.7605719203</v>
      </c>
      <c r="L33" s="4">
        <f t="shared" ca="1" si="1"/>
        <v>2243.2102579011321</v>
      </c>
      <c r="M33" s="4">
        <f t="shared" si="2"/>
        <v>0</v>
      </c>
      <c r="N33" s="4">
        <f t="shared" si="3"/>
        <v>0</v>
      </c>
      <c r="O33" s="4">
        <f t="shared" ca="1" si="4"/>
        <v>4630655.9708298212</v>
      </c>
      <c r="P33" s="17"/>
    </row>
    <row r="34" spans="1:16" x14ac:dyDescent="0.35">
      <c r="A34" s="1">
        <f>MonthlyData!A34</f>
        <v>42614</v>
      </c>
      <c r="B34" s="13">
        <f t="shared" si="5"/>
        <v>2016</v>
      </c>
      <c r="C34" s="13">
        <f t="shared" si="6"/>
        <v>9</v>
      </c>
      <c r="D34" s="4">
        <f>MonthlyData!L34</f>
        <v>4875327.736911172</v>
      </c>
      <c r="E34" s="13">
        <f t="shared" ca="1" si="7"/>
        <v>28.222326899712005</v>
      </c>
      <c r="F34">
        <f>MonthlyData!BO34</f>
        <v>0</v>
      </c>
      <c r="G34">
        <f>MonthlyData!BP34</f>
        <v>0</v>
      </c>
      <c r="H34">
        <f>MonthlyData!BU34</f>
        <v>0</v>
      </c>
      <c r="I34">
        <f>MonthlyData!BA34</f>
        <v>3.7376696182833684</v>
      </c>
      <c r="K34" s="4">
        <f t="shared" ref="K34:K65" si="8">$R$8</f>
        <v>4628412.7605719203</v>
      </c>
      <c r="L34" s="4">
        <f t="shared" ref="L34:L65" ca="1" si="9">E34*$R$9</f>
        <v>37769.786755417401</v>
      </c>
      <c r="M34" s="4">
        <f t="shared" ref="M34:M65" si="10">F34*$R$10</f>
        <v>0</v>
      </c>
      <c r="N34" s="4">
        <f t="shared" ref="N34:N65" si="11">G34*$R$11</f>
        <v>0</v>
      </c>
      <c r="O34" s="4">
        <f t="shared" ref="O34:O65" ca="1" si="12">SUM(K34:N34)</f>
        <v>4666182.5473273378</v>
      </c>
      <c r="P34" s="17"/>
    </row>
    <row r="35" spans="1:16" x14ac:dyDescent="0.35">
      <c r="A35" s="1">
        <f>MonthlyData!A35</f>
        <v>42644</v>
      </c>
      <c r="B35" s="13">
        <f t="shared" si="5"/>
        <v>2016</v>
      </c>
      <c r="C35" s="13">
        <f t="shared" si="6"/>
        <v>10</v>
      </c>
      <c r="D35" s="4">
        <f>MonthlyData!L35</f>
        <v>4781382.9421369703</v>
      </c>
      <c r="E35" s="13">
        <f t="shared" ca="1" si="7"/>
        <v>178.0244559176316</v>
      </c>
      <c r="F35">
        <f>MonthlyData!BO35</f>
        <v>0</v>
      </c>
      <c r="G35">
        <f>MonthlyData!BP35</f>
        <v>1</v>
      </c>
      <c r="H35">
        <f>MonthlyData!BU35</f>
        <v>0</v>
      </c>
      <c r="I35">
        <f>MonthlyData!BA35</f>
        <v>3.7612001156935624</v>
      </c>
      <c r="K35" s="4">
        <f t="shared" si="8"/>
        <v>4628412.7605719203</v>
      </c>
      <c r="L35" s="4">
        <f t="shared" ca="1" si="9"/>
        <v>238249.16213151673</v>
      </c>
      <c r="M35" s="4">
        <f t="shared" si="10"/>
        <v>0</v>
      </c>
      <c r="N35" s="4">
        <f t="shared" si="11"/>
        <v>-269170.44459088001</v>
      </c>
      <c r="O35" s="4">
        <f t="shared" ca="1" si="12"/>
        <v>4597491.4781125579</v>
      </c>
      <c r="P35" s="17"/>
    </row>
    <row r="36" spans="1:16" x14ac:dyDescent="0.35">
      <c r="A36" s="1">
        <f>MonthlyData!A36</f>
        <v>42675</v>
      </c>
      <c r="B36" s="13">
        <f t="shared" si="5"/>
        <v>2016</v>
      </c>
      <c r="C36" s="13">
        <f t="shared" si="6"/>
        <v>11</v>
      </c>
      <c r="D36" s="4">
        <f>MonthlyData!L36</f>
        <v>4951948.8038693545</v>
      </c>
      <c r="E36" s="13">
        <f t="shared" ca="1" si="7"/>
        <v>403.99833333333333</v>
      </c>
      <c r="F36">
        <f>MonthlyData!BO36</f>
        <v>0</v>
      </c>
      <c r="G36">
        <f>MonthlyData!BP36</f>
        <v>1</v>
      </c>
      <c r="H36">
        <f>MonthlyData!BU36</f>
        <v>0</v>
      </c>
      <c r="I36">
        <f>MonthlyData!BA36</f>
        <v>3.784189633918261</v>
      </c>
      <c r="K36" s="4">
        <f t="shared" si="8"/>
        <v>4628412.7605719203</v>
      </c>
      <c r="L36" s="4">
        <f t="shared" ca="1" si="9"/>
        <v>540668.77454033564</v>
      </c>
      <c r="M36" s="4">
        <f t="shared" si="10"/>
        <v>0</v>
      </c>
      <c r="N36" s="4">
        <f t="shared" si="11"/>
        <v>-269170.44459088001</v>
      </c>
      <c r="O36" s="4">
        <f t="shared" ca="1" si="12"/>
        <v>4899911.0905213766</v>
      </c>
      <c r="P36" s="17"/>
    </row>
    <row r="37" spans="1:16" x14ac:dyDescent="0.35">
      <c r="A37" s="1">
        <f>MonthlyData!A37</f>
        <v>42705</v>
      </c>
      <c r="B37" s="13">
        <f t="shared" si="5"/>
        <v>2016</v>
      </c>
      <c r="C37" s="13">
        <f t="shared" si="6"/>
        <v>12</v>
      </c>
      <c r="D37" s="4">
        <f>MonthlyData!L37</f>
        <v>5310474.9763673358</v>
      </c>
      <c r="E37" s="13">
        <f t="shared" ca="1" si="7"/>
        <v>629.70466952460959</v>
      </c>
      <c r="F37">
        <f>MonthlyData!BO37</f>
        <v>0</v>
      </c>
      <c r="G37">
        <f>MonthlyData!BP37</f>
        <v>0</v>
      </c>
      <c r="H37">
        <f>MonthlyData!BU37</f>
        <v>0</v>
      </c>
      <c r="I37">
        <f>MonthlyData!BA37</f>
        <v>3.8066624897703196</v>
      </c>
      <c r="K37" s="4">
        <f t="shared" si="8"/>
        <v>4628412.7605719203</v>
      </c>
      <c r="L37" s="4">
        <f t="shared" ca="1" si="9"/>
        <v>842730.33798208169</v>
      </c>
      <c r="M37" s="4">
        <f t="shared" si="10"/>
        <v>0</v>
      </c>
      <c r="N37" s="4">
        <f t="shared" si="11"/>
        <v>0</v>
      </c>
      <c r="O37" s="4">
        <f t="shared" ca="1" si="12"/>
        <v>5471143.0985540021</v>
      </c>
      <c r="P37" s="17"/>
    </row>
    <row r="38" spans="1:16" x14ac:dyDescent="0.35">
      <c r="A38" s="1">
        <f>MonthlyData!A38</f>
        <v>42736</v>
      </c>
      <c r="B38" s="13">
        <f t="shared" si="5"/>
        <v>2017</v>
      </c>
      <c r="C38" s="13">
        <f t="shared" si="6"/>
        <v>1</v>
      </c>
      <c r="D38" s="4">
        <f>MonthlyData!L38</f>
        <v>5974612.5644854195</v>
      </c>
      <c r="E38" s="13">
        <f t="shared" ca="1" si="7"/>
        <v>793.4846429373913</v>
      </c>
      <c r="F38">
        <f>MonthlyData!BO38</f>
        <v>0</v>
      </c>
      <c r="G38">
        <f>MonthlyData!BP38</f>
        <v>0</v>
      </c>
      <c r="H38">
        <f>MonthlyData!BU38</f>
        <v>0</v>
      </c>
      <c r="I38">
        <f>MonthlyData!BA38</f>
        <v>3.8286413964890951</v>
      </c>
      <c r="K38" s="4">
        <f t="shared" si="8"/>
        <v>4628412.7605719203</v>
      </c>
      <c r="L38" s="4">
        <f t="shared" ca="1" si="9"/>
        <v>1061916.1865689259</v>
      </c>
      <c r="M38" s="4">
        <f t="shared" si="10"/>
        <v>0</v>
      </c>
      <c r="N38" s="4">
        <f t="shared" si="11"/>
        <v>0</v>
      </c>
      <c r="O38" s="4">
        <f t="shared" ca="1" si="12"/>
        <v>5690328.9471408464</v>
      </c>
      <c r="P38" s="17"/>
    </row>
    <row r="39" spans="1:16" x14ac:dyDescent="0.35">
      <c r="A39" s="1">
        <f>MonthlyData!A39</f>
        <v>42767</v>
      </c>
      <c r="B39" s="13">
        <f t="shared" si="5"/>
        <v>2017</v>
      </c>
      <c r="C39" s="13">
        <f t="shared" si="6"/>
        <v>2</v>
      </c>
      <c r="D39" s="4">
        <f>MonthlyData!L39</f>
        <v>5686591.1746847741</v>
      </c>
      <c r="E39" s="13">
        <f t="shared" ca="1" si="7"/>
        <v>736.10085614037712</v>
      </c>
      <c r="F39">
        <f>MonthlyData!BO39</f>
        <v>0</v>
      </c>
      <c r="G39">
        <f>MonthlyData!BP39</f>
        <v>0</v>
      </c>
      <c r="H39">
        <f>MonthlyData!BU39</f>
        <v>0</v>
      </c>
      <c r="I39">
        <f>MonthlyData!BA39</f>
        <v>3.8501476017100584</v>
      </c>
      <c r="K39" s="4">
        <f t="shared" si="8"/>
        <v>4628412.7605719203</v>
      </c>
      <c r="L39" s="4">
        <f t="shared" ca="1" si="9"/>
        <v>985119.7764698111</v>
      </c>
      <c r="M39" s="4">
        <f t="shared" si="10"/>
        <v>0</v>
      </c>
      <c r="N39" s="4">
        <f t="shared" si="11"/>
        <v>0</v>
      </c>
      <c r="O39" s="4">
        <f t="shared" ca="1" si="12"/>
        <v>5613532.5370417312</v>
      </c>
      <c r="P39" s="17"/>
    </row>
    <row r="40" spans="1:16" x14ac:dyDescent="0.35">
      <c r="A40" s="1">
        <f>MonthlyData!A40</f>
        <v>42795</v>
      </c>
      <c r="B40" s="13">
        <f t="shared" si="5"/>
        <v>2017</v>
      </c>
      <c r="C40" s="13">
        <f t="shared" si="6"/>
        <v>3</v>
      </c>
      <c r="D40" s="4">
        <f>MonthlyData!L40</f>
        <v>5518508.6786422282</v>
      </c>
      <c r="E40" s="13">
        <f t="shared" ca="1" si="7"/>
        <v>577.21697535249291</v>
      </c>
      <c r="F40">
        <f>MonthlyData!BO40</f>
        <v>1</v>
      </c>
      <c r="G40">
        <f>MonthlyData!BP40</f>
        <v>0</v>
      </c>
      <c r="H40">
        <f>MonthlyData!BU40</f>
        <v>0</v>
      </c>
      <c r="I40">
        <f>MonthlyData!BA40</f>
        <v>3.8712010109078911</v>
      </c>
      <c r="K40" s="4">
        <f t="shared" si="8"/>
        <v>4628412.7605719203</v>
      </c>
      <c r="L40" s="4">
        <f t="shared" ca="1" si="9"/>
        <v>772486.34204195091</v>
      </c>
      <c r="M40" s="4">
        <f t="shared" si="10"/>
        <v>168249.31587912</v>
      </c>
      <c r="N40" s="4">
        <f t="shared" si="11"/>
        <v>0</v>
      </c>
      <c r="O40" s="4">
        <f t="shared" ca="1" si="12"/>
        <v>5569148.4184929905</v>
      </c>
      <c r="P40" s="17"/>
    </row>
    <row r="41" spans="1:16" x14ac:dyDescent="0.35">
      <c r="A41" s="1">
        <f>MonthlyData!A41</f>
        <v>42826</v>
      </c>
      <c r="B41" s="13">
        <f t="shared" si="5"/>
        <v>2017</v>
      </c>
      <c r="C41" s="13">
        <f t="shared" si="6"/>
        <v>4</v>
      </c>
      <c r="D41" s="4">
        <f>MonthlyData!L41</f>
        <v>6035869.6654608296</v>
      </c>
      <c r="E41" s="13">
        <f t="shared" ca="1" si="7"/>
        <v>307.33082472275549</v>
      </c>
      <c r="F41">
        <f>MonthlyData!BO41</f>
        <v>1</v>
      </c>
      <c r="G41">
        <f>MonthlyData!BP41</f>
        <v>0</v>
      </c>
      <c r="H41">
        <f>MonthlyData!BU41</f>
        <v>0</v>
      </c>
      <c r="I41">
        <f>MonthlyData!BA41</f>
        <v>3.8918202981106265</v>
      </c>
      <c r="K41" s="4">
        <f t="shared" si="8"/>
        <v>4628412.7605719203</v>
      </c>
      <c r="L41" s="4">
        <f t="shared" ca="1" si="9"/>
        <v>411299.17297015968</v>
      </c>
      <c r="M41" s="4">
        <f t="shared" si="10"/>
        <v>168249.31587912</v>
      </c>
      <c r="N41" s="4">
        <f t="shared" si="11"/>
        <v>0</v>
      </c>
      <c r="O41" s="4">
        <f t="shared" ca="1" si="12"/>
        <v>5207961.2494211998</v>
      </c>
      <c r="P41" s="17"/>
    </row>
    <row r="42" spans="1:16" x14ac:dyDescent="0.35">
      <c r="A42" s="1">
        <f>MonthlyData!A42</f>
        <v>42856</v>
      </c>
      <c r="B42" s="13">
        <f t="shared" si="5"/>
        <v>2017</v>
      </c>
      <c r="C42" s="13">
        <f t="shared" si="6"/>
        <v>5</v>
      </c>
      <c r="D42" s="4">
        <f>MonthlyData!L42</f>
        <v>4816596.5794345047</v>
      </c>
      <c r="E42" s="13">
        <f t="shared" ca="1" si="7"/>
        <v>103.00647094808046</v>
      </c>
      <c r="F42">
        <f>MonthlyData!BO42</f>
        <v>1</v>
      </c>
      <c r="G42">
        <f>MonthlyData!BP42</f>
        <v>0</v>
      </c>
      <c r="H42">
        <f>MonthlyData!BU42</f>
        <v>0</v>
      </c>
      <c r="I42">
        <f>MonthlyData!BA42</f>
        <v>3.912023005428146</v>
      </c>
      <c r="K42" s="4">
        <f t="shared" si="8"/>
        <v>4628412.7605719203</v>
      </c>
      <c r="L42" s="4">
        <f t="shared" ca="1" si="9"/>
        <v>137853.00042629716</v>
      </c>
      <c r="M42" s="4">
        <f t="shared" si="10"/>
        <v>168249.31587912</v>
      </c>
      <c r="N42" s="4">
        <f t="shared" si="11"/>
        <v>0</v>
      </c>
      <c r="O42" s="4">
        <f t="shared" ca="1" si="12"/>
        <v>4934515.0768773369</v>
      </c>
      <c r="P42" s="17"/>
    </row>
    <row r="43" spans="1:16" x14ac:dyDescent="0.35">
      <c r="A43" s="1">
        <f>MonthlyData!A43</f>
        <v>42887</v>
      </c>
      <c r="B43" s="13">
        <f t="shared" si="5"/>
        <v>2017</v>
      </c>
      <c r="C43" s="13">
        <f t="shared" si="6"/>
        <v>6</v>
      </c>
      <c r="D43" s="4">
        <f>MonthlyData!L43</f>
        <v>4895140.6478665583</v>
      </c>
      <c r="E43" s="13">
        <f t="shared" ca="1" si="7"/>
        <v>5.5889105735385218</v>
      </c>
      <c r="F43">
        <f>MonthlyData!BO43</f>
        <v>0</v>
      </c>
      <c r="G43">
        <f>MonthlyData!BP43</f>
        <v>0</v>
      </c>
      <c r="H43">
        <f>MonthlyData!BU43</f>
        <v>0</v>
      </c>
      <c r="I43">
        <f>MonthlyData!BA43</f>
        <v>3.9318256327243257</v>
      </c>
      <c r="K43" s="4">
        <f t="shared" si="8"/>
        <v>4628412.7605719203</v>
      </c>
      <c r="L43" s="4">
        <f t="shared" ca="1" si="9"/>
        <v>7479.6086555074817</v>
      </c>
      <c r="M43" s="4">
        <f t="shared" si="10"/>
        <v>0</v>
      </c>
      <c r="N43" s="4">
        <f t="shared" si="11"/>
        <v>0</v>
      </c>
      <c r="O43" s="4">
        <f t="shared" ca="1" si="12"/>
        <v>4635892.369227428</v>
      </c>
      <c r="P43" s="17"/>
    </row>
    <row r="44" spans="1:16" x14ac:dyDescent="0.35">
      <c r="A44" s="1">
        <f>MonthlyData!A44</f>
        <v>42917</v>
      </c>
      <c r="B44" s="13">
        <f t="shared" si="5"/>
        <v>2017</v>
      </c>
      <c r="C44" s="13">
        <f t="shared" si="6"/>
        <v>7</v>
      </c>
      <c r="D44" s="4">
        <f>MonthlyData!L44</f>
        <v>4776705.6949543077</v>
      </c>
      <c r="E44" s="13">
        <f t="shared" ca="1" si="7"/>
        <v>0.28709633857318684</v>
      </c>
      <c r="F44">
        <f>MonthlyData!BO44</f>
        <v>0</v>
      </c>
      <c r="G44">
        <f>MonthlyData!BP44</f>
        <v>0</v>
      </c>
      <c r="H44">
        <f>MonthlyData!BU44</f>
        <v>0</v>
      </c>
      <c r="I44">
        <f>MonthlyData!BA44</f>
        <v>3.9512437185814275</v>
      </c>
      <c r="K44" s="4">
        <f t="shared" si="8"/>
        <v>4628412.7605719203</v>
      </c>
      <c r="L44" s="4">
        <f t="shared" ca="1" si="9"/>
        <v>384.21947009199431</v>
      </c>
      <c r="M44" s="4">
        <f t="shared" si="10"/>
        <v>0</v>
      </c>
      <c r="N44" s="4">
        <f t="shared" si="11"/>
        <v>0</v>
      </c>
      <c r="O44" s="4">
        <f t="shared" ca="1" si="12"/>
        <v>4628796.9800420124</v>
      </c>
      <c r="P44" s="17"/>
    </row>
    <row r="45" spans="1:16" x14ac:dyDescent="0.35">
      <c r="A45" s="1">
        <f>MonthlyData!A45</f>
        <v>42948</v>
      </c>
      <c r="B45" s="13">
        <f t="shared" si="5"/>
        <v>2017</v>
      </c>
      <c r="C45" s="13">
        <f t="shared" si="6"/>
        <v>8</v>
      </c>
      <c r="D45" s="4">
        <f>MonthlyData!L45</f>
        <v>4477006.0429346347</v>
      </c>
      <c r="E45" s="13">
        <f t="shared" ca="1" si="7"/>
        <v>1.6761707873342053</v>
      </c>
      <c r="F45">
        <f>MonthlyData!BO45</f>
        <v>0</v>
      </c>
      <c r="G45">
        <f>MonthlyData!BP45</f>
        <v>0</v>
      </c>
      <c r="H45">
        <f>MonthlyData!BU45</f>
        <v>0</v>
      </c>
      <c r="I45">
        <f>MonthlyData!BA45</f>
        <v>3.970291913552122</v>
      </c>
      <c r="K45" s="4">
        <f t="shared" si="8"/>
        <v>4628412.7605719203</v>
      </c>
      <c r="L45" s="4">
        <f t="shared" ca="1" si="9"/>
        <v>2243.2102579011321</v>
      </c>
      <c r="M45" s="4">
        <f t="shared" si="10"/>
        <v>0</v>
      </c>
      <c r="N45" s="4">
        <f t="shared" si="11"/>
        <v>0</v>
      </c>
      <c r="O45" s="4">
        <f t="shared" ca="1" si="12"/>
        <v>4630655.9708298212</v>
      </c>
      <c r="P45" s="17"/>
    </row>
    <row r="46" spans="1:16" x14ac:dyDescent="0.35">
      <c r="A46" s="1">
        <f>MonthlyData!A46</f>
        <v>42979</v>
      </c>
      <c r="B46" s="13">
        <f t="shared" si="5"/>
        <v>2017</v>
      </c>
      <c r="C46" s="13">
        <f t="shared" si="6"/>
        <v>9</v>
      </c>
      <c r="D46" s="4">
        <f>MonthlyData!L46</f>
        <v>4762597.822750194</v>
      </c>
      <c r="E46" s="13">
        <f t="shared" ca="1" si="7"/>
        <v>28.222326899712005</v>
      </c>
      <c r="F46">
        <f>MonthlyData!BO46</f>
        <v>0</v>
      </c>
      <c r="G46">
        <f>MonthlyData!BP46</f>
        <v>0</v>
      </c>
      <c r="H46">
        <f>MonthlyData!BU46</f>
        <v>0</v>
      </c>
      <c r="I46">
        <f>MonthlyData!BA46</f>
        <v>3.9889840465642745</v>
      </c>
      <c r="K46" s="4">
        <f t="shared" si="8"/>
        <v>4628412.7605719203</v>
      </c>
      <c r="L46" s="4">
        <f t="shared" ca="1" si="9"/>
        <v>37769.786755417401</v>
      </c>
      <c r="M46" s="4">
        <f t="shared" si="10"/>
        <v>0</v>
      </c>
      <c r="N46" s="4">
        <f t="shared" si="11"/>
        <v>0</v>
      </c>
      <c r="O46" s="4">
        <f t="shared" ca="1" si="12"/>
        <v>4666182.5473273378</v>
      </c>
      <c r="P46" s="17"/>
    </row>
    <row r="47" spans="1:16" x14ac:dyDescent="0.35">
      <c r="A47" s="1">
        <f>MonthlyData!A47</f>
        <v>43009</v>
      </c>
      <c r="B47" s="13">
        <f t="shared" si="5"/>
        <v>2017</v>
      </c>
      <c r="C47" s="13">
        <f t="shared" si="6"/>
        <v>10</v>
      </c>
      <c r="D47" s="4">
        <f>MonthlyData!L47</f>
        <v>4648294.240414761</v>
      </c>
      <c r="E47" s="13">
        <f t="shared" ca="1" si="7"/>
        <v>178.0244559176316</v>
      </c>
      <c r="F47">
        <f>MonthlyData!BO47</f>
        <v>0</v>
      </c>
      <c r="G47">
        <f>MonthlyData!BP47</f>
        <v>1</v>
      </c>
      <c r="H47">
        <f>MonthlyData!BU47</f>
        <v>0</v>
      </c>
      <c r="I47">
        <f>MonthlyData!BA47</f>
        <v>4.0073331852324712</v>
      </c>
      <c r="K47" s="4">
        <f t="shared" si="8"/>
        <v>4628412.7605719203</v>
      </c>
      <c r="L47" s="4">
        <f t="shared" ca="1" si="9"/>
        <v>238249.16213151673</v>
      </c>
      <c r="M47" s="4">
        <f t="shared" si="10"/>
        <v>0</v>
      </c>
      <c r="N47" s="4">
        <f t="shared" si="11"/>
        <v>-269170.44459088001</v>
      </c>
      <c r="O47" s="4">
        <f t="shared" ca="1" si="12"/>
        <v>4597491.4781125579</v>
      </c>
      <c r="P47" s="17"/>
    </row>
    <row r="48" spans="1:16" x14ac:dyDescent="0.35">
      <c r="A48" s="1">
        <f>MonthlyData!A48</f>
        <v>43040</v>
      </c>
      <c r="B48" s="13">
        <f t="shared" si="5"/>
        <v>2017</v>
      </c>
      <c r="C48" s="13">
        <f t="shared" si="6"/>
        <v>11</v>
      </c>
      <c r="D48" s="4">
        <f>MonthlyData!L48</f>
        <v>4858146.7025721744</v>
      </c>
      <c r="E48" s="13">
        <f t="shared" ca="1" si="7"/>
        <v>403.99833333333333</v>
      </c>
      <c r="F48">
        <f>MonthlyData!BO48</f>
        <v>0</v>
      </c>
      <c r="G48">
        <f>MonthlyData!BP48</f>
        <v>1</v>
      </c>
      <c r="H48">
        <f>MonthlyData!BU48</f>
        <v>0</v>
      </c>
      <c r="I48">
        <f>MonthlyData!BA48</f>
        <v>4.0253516907351496</v>
      </c>
      <c r="K48" s="4">
        <f t="shared" si="8"/>
        <v>4628412.7605719203</v>
      </c>
      <c r="L48" s="4">
        <f t="shared" ca="1" si="9"/>
        <v>540668.77454033564</v>
      </c>
      <c r="M48" s="4">
        <f t="shared" si="10"/>
        <v>0</v>
      </c>
      <c r="N48" s="4">
        <f t="shared" si="11"/>
        <v>-269170.44459088001</v>
      </c>
      <c r="O48" s="4">
        <f t="shared" ca="1" si="12"/>
        <v>4899911.0905213766</v>
      </c>
      <c r="P48" s="17"/>
    </row>
    <row r="49" spans="1:16" x14ac:dyDescent="0.35">
      <c r="A49" s="1">
        <f>MonthlyData!A49</f>
        <v>43070</v>
      </c>
      <c r="B49" s="13">
        <f t="shared" si="5"/>
        <v>2017</v>
      </c>
      <c r="C49" s="13">
        <f t="shared" si="6"/>
        <v>12</v>
      </c>
      <c r="D49" s="4">
        <f>MonthlyData!L49</f>
        <v>5427676.7472727727</v>
      </c>
      <c r="E49" s="13">
        <f t="shared" ca="1" si="7"/>
        <v>629.70466952460959</v>
      </c>
      <c r="F49">
        <f>MonthlyData!BO49</f>
        <v>0</v>
      </c>
      <c r="G49">
        <f>MonthlyData!BP49</f>
        <v>0</v>
      </c>
      <c r="H49">
        <f>MonthlyData!BU49</f>
        <v>0</v>
      </c>
      <c r="I49">
        <f>MonthlyData!BA49</f>
        <v>4.0430512678345503</v>
      </c>
      <c r="K49" s="4">
        <f t="shared" si="8"/>
        <v>4628412.7605719203</v>
      </c>
      <c r="L49" s="4">
        <f t="shared" ca="1" si="9"/>
        <v>842730.33798208169</v>
      </c>
      <c r="M49" s="4">
        <f t="shared" si="10"/>
        <v>0</v>
      </c>
      <c r="N49" s="4">
        <f t="shared" si="11"/>
        <v>0</v>
      </c>
      <c r="O49" s="4">
        <f t="shared" ca="1" si="12"/>
        <v>5471143.0985540021</v>
      </c>
      <c r="P49" s="17"/>
    </row>
    <row r="50" spans="1:16" x14ac:dyDescent="0.35">
      <c r="A50" s="1">
        <f>MonthlyData!A50</f>
        <v>43101</v>
      </c>
      <c r="B50" s="13">
        <f t="shared" si="5"/>
        <v>2018</v>
      </c>
      <c r="C50" s="13">
        <f t="shared" si="6"/>
        <v>1</v>
      </c>
      <c r="D50" s="4">
        <f>MonthlyData!L50</f>
        <v>6067922.0393510051</v>
      </c>
      <c r="E50" s="13">
        <f t="shared" ca="1" si="7"/>
        <v>793.4846429373913</v>
      </c>
      <c r="F50">
        <f>MonthlyData!BO50</f>
        <v>0</v>
      </c>
      <c r="G50">
        <f>MonthlyData!BP50</f>
        <v>0</v>
      </c>
      <c r="H50">
        <f>MonthlyData!BU50</f>
        <v>0</v>
      </c>
      <c r="I50">
        <f>MonthlyData!BA50</f>
        <v>4.0604430105464191</v>
      </c>
      <c r="K50" s="4">
        <f t="shared" si="8"/>
        <v>4628412.7605719203</v>
      </c>
      <c r="L50" s="4">
        <f t="shared" ca="1" si="9"/>
        <v>1061916.1865689259</v>
      </c>
      <c r="M50" s="4">
        <f t="shared" si="10"/>
        <v>0</v>
      </c>
      <c r="N50" s="4">
        <f t="shared" si="11"/>
        <v>0</v>
      </c>
      <c r="O50" s="4">
        <f t="shared" ca="1" si="12"/>
        <v>5690328.9471408464</v>
      </c>
      <c r="P50" s="17"/>
    </row>
    <row r="51" spans="1:16" x14ac:dyDescent="0.35">
      <c r="A51" s="1">
        <f>MonthlyData!A51</f>
        <v>43132</v>
      </c>
      <c r="B51" s="13">
        <f t="shared" si="5"/>
        <v>2018</v>
      </c>
      <c r="C51" s="13">
        <f t="shared" si="6"/>
        <v>2</v>
      </c>
      <c r="D51" s="4">
        <f>MonthlyData!L51</f>
        <v>6054505.3920587143</v>
      </c>
      <c r="E51" s="13">
        <f t="shared" ca="1" si="7"/>
        <v>736.10085614037712</v>
      </c>
      <c r="F51">
        <f>MonthlyData!BO51</f>
        <v>0</v>
      </c>
      <c r="G51">
        <f>MonthlyData!BP51</f>
        <v>0</v>
      </c>
      <c r="H51">
        <f>MonthlyData!BU51</f>
        <v>0</v>
      </c>
      <c r="I51">
        <f>MonthlyData!BA51</f>
        <v>4.0775374439057197</v>
      </c>
      <c r="K51" s="4">
        <f t="shared" si="8"/>
        <v>4628412.7605719203</v>
      </c>
      <c r="L51" s="4">
        <f t="shared" ca="1" si="9"/>
        <v>985119.7764698111</v>
      </c>
      <c r="M51" s="4">
        <f t="shared" si="10"/>
        <v>0</v>
      </c>
      <c r="N51" s="4">
        <f t="shared" si="11"/>
        <v>0</v>
      </c>
      <c r="O51" s="4">
        <f t="shared" ca="1" si="12"/>
        <v>5613532.5370417312</v>
      </c>
      <c r="P51" s="17"/>
    </row>
    <row r="52" spans="1:16" x14ac:dyDescent="0.35">
      <c r="A52" s="1">
        <f>MonthlyData!A52</f>
        <v>43160</v>
      </c>
      <c r="B52" s="13">
        <f t="shared" si="5"/>
        <v>2018</v>
      </c>
      <c r="C52" s="13">
        <f t="shared" si="6"/>
        <v>3</v>
      </c>
      <c r="D52" s="4">
        <f>MonthlyData!L52</f>
        <v>5678647.4308978431</v>
      </c>
      <c r="E52" s="13">
        <f t="shared" ca="1" si="7"/>
        <v>577.21697535249291</v>
      </c>
      <c r="F52">
        <f>MonthlyData!BO52</f>
        <v>1</v>
      </c>
      <c r="G52">
        <f>MonthlyData!BP52</f>
        <v>0</v>
      </c>
      <c r="H52">
        <f>MonthlyData!BU52</f>
        <v>0</v>
      </c>
      <c r="I52">
        <f>MonthlyData!BA52</f>
        <v>4.0943445622221004</v>
      </c>
      <c r="K52" s="4">
        <f t="shared" si="8"/>
        <v>4628412.7605719203</v>
      </c>
      <c r="L52" s="4">
        <f t="shared" ca="1" si="9"/>
        <v>772486.34204195091</v>
      </c>
      <c r="M52" s="4">
        <f t="shared" si="10"/>
        <v>168249.31587912</v>
      </c>
      <c r="N52" s="4">
        <f t="shared" si="11"/>
        <v>0</v>
      </c>
      <c r="O52" s="4">
        <f t="shared" ca="1" si="12"/>
        <v>5569148.4184929905</v>
      </c>
      <c r="P52" s="17"/>
    </row>
    <row r="53" spans="1:16" x14ac:dyDescent="0.35">
      <c r="A53" s="1">
        <f>MonthlyData!A53</f>
        <v>43191</v>
      </c>
      <c r="B53" s="13">
        <f t="shared" si="5"/>
        <v>2018</v>
      </c>
      <c r="C53" s="13">
        <f t="shared" si="6"/>
        <v>4</v>
      </c>
      <c r="D53" s="4">
        <f>MonthlyData!L53</f>
        <v>5796086.4617697932</v>
      </c>
      <c r="E53" s="13">
        <f t="shared" ca="1" si="7"/>
        <v>307.33082472275549</v>
      </c>
      <c r="F53">
        <f>MonthlyData!BO53</f>
        <v>1</v>
      </c>
      <c r="G53">
        <f>MonthlyData!BP53</f>
        <v>0</v>
      </c>
      <c r="H53">
        <f>MonthlyData!BU53</f>
        <v>0</v>
      </c>
      <c r="I53">
        <f>MonthlyData!BA53</f>
        <v>4.1108738641733114</v>
      </c>
      <c r="K53" s="4">
        <f t="shared" si="8"/>
        <v>4628412.7605719203</v>
      </c>
      <c r="L53" s="4">
        <f t="shared" ca="1" si="9"/>
        <v>411299.17297015968</v>
      </c>
      <c r="M53" s="4">
        <f t="shared" si="10"/>
        <v>168249.31587912</v>
      </c>
      <c r="N53" s="4">
        <f t="shared" si="11"/>
        <v>0</v>
      </c>
      <c r="O53" s="4">
        <f t="shared" ca="1" si="12"/>
        <v>5207961.2494211998</v>
      </c>
      <c r="P53" s="17"/>
    </row>
    <row r="54" spans="1:16" x14ac:dyDescent="0.35">
      <c r="A54" s="1">
        <f>MonthlyData!A54</f>
        <v>43221</v>
      </c>
      <c r="B54" s="13">
        <f t="shared" si="5"/>
        <v>2018</v>
      </c>
      <c r="C54" s="13">
        <f t="shared" si="6"/>
        <v>5</v>
      </c>
      <c r="D54" s="4">
        <f>MonthlyData!L54</f>
        <v>5107267.2261957312</v>
      </c>
      <c r="E54" s="13">
        <f t="shared" ca="1" si="7"/>
        <v>103.00647094808046</v>
      </c>
      <c r="F54">
        <f>MonthlyData!BO54</f>
        <v>1</v>
      </c>
      <c r="G54">
        <f>MonthlyData!BP54</f>
        <v>0</v>
      </c>
      <c r="H54">
        <f>MonthlyData!BU54</f>
        <v>0</v>
      </c>
      <c r="I54">
        <f>MonthlyData!BA54</f>
        <v>4.1271343850450917</v>
      </c>
      <c r="K54" s="4">
        <f t="shared" si="8"/>
        <v>4628412.7605719203</v>
      </c>
      <c r="L54" s="4">
        <f t="shared" ca="1" si="9"/>
        <v>137853.00042629716</v>
      </c>
      <c r="M54" s="4">
        <f t="shared" si="10"/>
        <v>168249.31587912</v>
      </c>
      <c r="N54" s="4">
        <f t="shared" si="11"/>
        <v>0</v>
      </c>
      <c r="O54" s="4">
        <f t="shared" ca="1" si="12"/>
        <v>4934515.0768773369</v>
      </c>
      <c r="P54" s="17"/>
    </row>
    <row r="55" spans="1:16" x14ac:dyDescent="0.35">
      <c r="A55" s="1">
        <f>MonthlyData!A55</f>
        <v>43252</v>
      </c>
      <c r="B55" s="13">
        <f t="shared" si="5"/>
        <v>2018</v>
      </c>
      <c r="C55" s="13">
        <f t="shared" si="6"/>
        <v>6</v>
      </c>
      <c r="D55" s="4">
        <f>MonthlyData!L55</f>
        <v>4723774.9233967252</v>
      </c>
      <c r="E55" s="13">
        <f t="shared" ca="1" si="7"/>
        <v>5.5889105735385218</v>
      </c>
      <c r="F55">
        <f>MonthlyData!BO55</f>
        <v>0</v>
      </c>
      <c r="G55">
        <f>MonthlyData!BP55</f>
        <v>0</v>
      </c>
      <c r="H55">
        <f>MonthlyData!BU55</f>
        <v>0</v>
      </c>
      <c r="I55">
        <f>MonthlyData!BA55</f>
        <v>4.1431347263915326</v>
      </c>
      <c r="K55" s="4">
        <f t="shared" si="8"/>
        <v>4628412.7605719203</v>
      </c>
      <c r="L55" s="4">
        <f t="shared" ca="1" si="9"/>
        <v>7479.6086555074817</v>
      </c>
      <c r="M55" s="4">
        <f t="shared" si="10"/>
        <v>0</v>
      </c>
      <c r="N55" s="4">
        <f t="shared" si="11"/>
        <v>0</v>
      </c>
      <c r="O55" s="4">
        <f t="shared" ca="1" si="12"/>
        <v>4635892.369227428</v>
      </c>
      <c r="P55" s="17"/>
    </row>
    <row r="56" spans="1:16" x14ac:dyDescent="0.35">
      <c r="A56" s="1">
        <f>MonthlyData!A56</f>
        <v>43282</v>
      </c>
      <c r="B56" s="13">
        <f t="shared" si="5"/>
        <v>2018</v>
      </c>
      <c r="C56" s="13">
        <f t="shared" si="6"/>
        <v>7</v>
      </c>
      <c r="D56" s="4">
        <f>MonthlyData!L56</f>
        <v>4384261.1215946823</v>
      </c>
      <c r="E56" s="13">
        <f t="shared" ca="1" si="7"/>
        <v>0.28709633857318684</v>
      </c>
      <c r="F56">
        <f>MonthlyData!BO56</f>
        <v>0</v>
      </c>
      <c r="G56">
        <f>MonthlyData!BP56</f>
        <v>0</v>
      </c>
      <c r="H56">
        <f>MonthlyData!BU56</f>
        <v>0</v>
      </c>
      <c r="I56">
        <f>MonthlyData!BA56</f>
        <v>4.1588830833596715</v>
      </c>
      <c r="K56" s="4">
        <f t="shared" si="8"/>
        <v>4628412.7605719203</v>
      </c>
      <c r="L56" s="4">
        <f t="shared" ca="1" si="9"/>
        <v>384.21947009199431</v>
      </c>
      <c r="M56" s="4">
        <f t="shared" si="10"/>
        <v>0</v>
      </c>
      <c r="N56" s="4">
        <f t="shared" si="11"/>
        <v>0</v>
      </c>
      <c r="O56" s="4">
        <f t="shared" ca="1" si="12"/>
        <v>4628796.9800420124</v>
      </c>
      <c r="P56" s="17"/>
    </row>
    <row r="57" spans="1:16" x14ac:dyDescent="0.35">
      <c r="A57" s="1">
        <f>MonthlyData!A57</f>
        <v>43313</v>
      </c>
      <c r="B57" s="13">
        <f t="shared" si="5"/>
        <v>2018</v>
      </c>
      <c r="C57" s="13">
        <f t="shared" si="6"/>
        <v>8</v>
      </c>
      <c r="D57" s="4">
        <f>MonthlyData!L57</f>
        <v>4444081.6542579057</v>
      </c>
      <c r="E57" s="13">
        <f t="shared" ca="1" si="7"/>
        <v>1.6761707873342053</v>
      </c>
      <c r="F57">
        <f>MonthlyData!BO57</f>
        <v>0</v>
      </c>
      <c r="G57">
        <f>MonthlyData!BP57</f>
        <v>0</v>
      </c>
      <c r="H57">
        <f>MonthlyData!BU57</f>
        <v>0</v>
      </c>
      <c r="I57">
        <f>MonthlyData!BA57</f>
        <v>4.1743872698956368</v>
      </c>
      <c r="K57" s="4">
        <f t="shared" si="8"/>
        <v>4628412.7605719203</v>
      </c>
      <c r="L57" s="4">
        <f t="shared" ca="1" si="9"/>
        <v>2243.2102579011321</v>
      </c>
      <c r="M57" s="4">
        <f t="shared" si="10"/>
        <v>0</v>
      </c>
      <c r="N57" s="4">
        <f t="shared" si="11"/>
        <v>0</v>
      </c>
      <c r="O57" s="4">
        <f t="shared" ca="1" si="12"/>
        <v>4630655.9708298212</v>
      </c>
      <c r="P57" s="17"/>
    </row>
    <row r="58" spans="1:16" x14ac:dyDescent="0.35">
      <c r="A58" s="1">
        <f>MonthlyData!A58</f>
        <v>43344</v>
      </c>
      <c r="B58" s="13">
        <f t="shared" si="5"/>
        <v>2018</v>
      </c>
      <c r="C58" s="13">
        <f t="shared" si="6"/>
        <v>9</v>
      </c>
      <c r="D58" s="4">
        <f>MonthlyData!L58</f>
        <v>4714921.4352272935</v>
      </c>
      <c r="E58" s="13">
        <f t="shared" ca="1" si="7"/>
        <v>28.222326899712005</v>
      </c>
      <c r="F58">
        <f>MonthlyData!BO58</f>
        <v>0</v>
      </c>
      <c r="G58">
        <f>MonthlyData!BP58</f>
        <v>0</v>
      </c>
      <c r="H58">
        <f>MonthlyData!BU58</f>
        <v>0</v>
      </c>
      <c r="I58">
        <f>MonthlyData!BA58</f>
        <v>4.1896547420264252</v>
      </c>
      <c r="K58" s="4">
        <f t="shared" si="8"/>
        <v>4628412.7605719203</v>
      </c>
      <c r="L58" s="4">
        <f t="shared" ca="1" si="9"/>
        <v>37769.786755417401</v>
      </c>
      <c r="M58" s="4">
        <f t="shared" si="10"/>
        <v>0</v>
      </c>
      <c r="N58" s="4">
        <f t="shared" si="11"/>
        <v>0</v>
      </c>
      <c r="O58" s="4">
        <f t="shared" ca="1" si="12"/>
        <v>4666182.5473273378</v>
      </c>
      <c r="P58" s="17"/>
    </row>
    <row r="59" spans="1:16" x14ac:dyDescent="0.35">
      <c r="A59" s="1">
        <f>MonthlyData!A59</f>
        <v>43374</v>
      </c>
      <c r="B59" s="13">
        <f t="shared" si="5"/>
        <v>2018</v>
      </c>
      <c r="C59" s="13">
        <f t="shared" si="6"/>
        <v>10</v>
      </c>
      <c r="D59" s="4">
        <f>MonthlyData!L59</f>
        <v>4166109.5423704027</v>
      </c>
      <c r="E59" s="13">
        <f t="shared" ca="1" si="7"/>
        <v>178.0244559176316</v>
      </c>
      <c r="F59">
        <f>MonthlyData!BO59</f>
        <v>0</v>
      </c>
      <c r="G59">
        <f>MonthlyData!BP59</f>
        <v>1</v>
      </c>
      <c r="H59">
        <f>MonthlyData!BU59</f>
        <v>0</v>
      </c>
      <c r="I59">
        <f>MonthlyData!BA59</f>
        <v>4.2046926193909657</v>
      </c>
      <c r="K59" s="4">
        <f t="shared" si="8"/>
        <v>4628412.7605719203</v>
      </c>
      <c r="L59" s="4">
        <f t="shared" ca="1" si="9"/>
        <v>238249.16213151673</v>
      </c>
      <c r="M59" s="4">
        <f t="shared" si="10"/>
        <v>0</v>
      </c>
      <c r="N59" s="4">
        <f t="shared" si="11"/>
        <v>-269170.44459088001</v>
      </c>
      <c r="O59" s="4">
        <f t="shared" ca="1" si="12"/>
        <v>4597491.4781125579</v>
      </c>
      <c r="P59" s="17"/>
    </row>
    <row r="60" spans="1:16" x14ac:dyDescent="0.35">
      <c r="A60" s="1">
        <f>MonthlyData!A60</f>
        <v>43405</v>
      </c>
      <c r="B60" s="13">
        <f t="shared" si="5"/>
        <v>2018</v>
      </c>
      <c r="C60" s="13">
        <f t="shared" si="6"/>
        <v>11</v>
      </c>
      <c r="D60" s="4">
        <f>MonthlyData!L60</f>
        <v>4966852.9735843306</v>
      </c>
      <c r="E60" s="13">
        <f t="shared" ca="1" si="7"/>
        <v>403.99833333333333</v>
      </c>
      <c r="F60">
        <f>MonthlyData!BO60</f>
        <v>0</v>
      </c>
      <c r="G60">
        <f>MonthlyData!BP60</f>
        <v>1</v>
      </c>
      <c r="H60">
        <f>MonthlyData!BU60</f>
        <v>0</v>
      </c>
      <c r="I60">
        <f>MonthlyData!BA60</f>
        <v>4.219507705176107</v>
      </c>
      <c r="K60" s="4">
        <f t="shared" si="8"/>
        <v>4628412.7605719203</v>
      </c>
      <c r="L60" s="4">
        <f t="shared" ca="1" si="9"/>
        <v>540668.77454033564</v>
      </c>
      <c r="M60" s="4">
        <f t="shared" si="10"/>
        <v>0</v>
      </c>
      <c r="N60" s="4">
        <f t="shared" si="11"/>
        <v>-269170.44459088001</v>
      </c>
      <c r="O60" s="4">
        <f t="shared" ca="1" si="12"/>
        <v>4899911.0905213766</v>
      </c>
      <c r="P60" s="17"/>
    </row>
    <row r="61" spans="1:16" x14ac:dyDescent="0.35">
      <c r="A61" s="1">
        <f>MonthlyData!A61</f>
        <v>43435</v>
      </c>
      <c r="B61" s="13">
        <f t="shared" si="5"/>
        <v>2018</v>
      </c>
      <c r="C61" s="13">
        <f t="shared" si="6"/>
        <v>12</v>
      </c>
      <c r="D61" s="4">
        <f>MonthlyData!L61</f>
        <v>5752417.2097672923</v>
      </c>
      <c r="E61" s="13">
        <f t="shared" ca="1" si="7"/>
        <v>629.70466952460959</v>
      </c>
      <c r="F61">
        <f>MonthlyData!BO61</f>
        <v>0</v>
      </c>
      <c r="G61">
        <f>MonthlyData!BP61</f>
        <v>0</v>
      </c>
      <c r="H61">
        <f>MonthlyData!BU61</f>
        <v>0</v>
      </c>
      <c r="I61">
        <f>MonthlyData!BA61</f>
        <v>4.2341065045972597</v>
      </c>
      <c r="K61" s="4">
        <f t="shared" si="8"/>
        <v>4628412.7605719203</v>
      </c>
      <c r="L61" s="4">
        <f t="shared" ca="1" si="9"/>
        <v>842730.33798208169</v>
      </c>
      <c r="M61" s="4">
        <f t="shared" si="10"/>
        <v>0</v>
      </c>
      <c r="N61" s="4">
        <f t="shared" si="11"/>
        <v>0</v>
      </c>
      <c r="O61" s="4">
        <f t="shared" ca="1" si="12"/>
        <v>5471143.0985540021</v>
      </c>
      <c r="P61" s="17"/>
    </row>
    <row r="62" spans="1:16" x14ac:dyDescent="0.35">
      <c r="A62" s="1">
        <f>MonthlyData!A62</f>
        <v>43466</v>
      </c>
      <c r="B62" s="13">
        <f t="shared" si="5"/>
        <v>2019</v>
      </c>
      <c r="C62" s="13">
        <f t="shared" si="6"/>
        <v>1</v>
      </c>
      <c r="D62" s="4">
        <f>MonthlyData!L62</f>
        <v>5619320.0183224855</v>
      </c>
      <c r="E62" s="13">
        <f t="shared" ca="1" si="7"/>
        <v>793.4846429373913</v>
      </c>
      <c r="F62">
        <f>MonthlyData!BO62</f>
        <v>0</v>
      </c>
      <c r="G62">
        <f>MonthlyData!BP62</f>
        <v>0</v>
      </c>
      <c r="H62">
        <f>MonthlyData!BU62</f>
        <v>0</v>
      </c>
      <c r="I62">
        <f>MonthlyData!BA62</f>
        <v>4.2484952420493594</v>
      </c>
      <c r="K62" s="4">
        <f t="shared" si="8"/>
        <v>4628412.7605719203</v>
      </c>
      <c r="L62" s="4">
        <f t="shared" ca="1" si="9"/>
        <v>1061916.1865689259</v>
      </c>
      <c r="M62" s="4">
        <f t="shared" si="10"/>
        <v>0</v>
      </c>
      <c r="N62" s="4">
        <f t="shared" si="11"/>
        <v>0</v>
      </c>
      <c r="O62" s="4">
        <f t="shared" ca="1" si="12"/>
        <v>5690328.9471408464</v>
      </c>
      <c r="P62" s="17"/>
    </row>
    <row r="63" spans="1:16" x14ac:dyDescent="0.35">
      <c r="A63" s="1">
        <f>MonthlyData!A63</f>
        <v>43497</v>
      </c>
      <c r="B63" s="13">
        <f t="shared" si="5"/>
        <v>2019</v>
      </c>
      <c r="C63" s="13">
        <f t="shared" si="6"/>
        <v>2</v>
      </c>
      <c r="D63" s="4">
        <f>MonthlyData!L63</f>
        <v>6293102.8291401565</v>
      </c>
      <c r="E63" s="13">
        <f t="shared" ca="1" si="7"/>
        <v>736.10085614037712</v>
      </c>
      <c r="F63">
        <f>MonthlyData!BO63</f>
        <v>0</v>
      </c>
      <c r="G63">
        <f>MonthlyData!BP63</f>
        <v>0</v>
      </c>
      <c r="H63">
        <f>MonthlyData!BU63</f>
        <v>0</v>
      </c>
      <c r="I63">
        <f>MonthlyData!BA63</f>
        <v>4.2626798770413155</v>
      </c>
      <c r="K63" s="4">
        <f t="shared" si="8"/>
        <v>4628412.7605719203</v>
      </c>
      <c r="L63" s="4">
        <f t="shared" ca="1" si="9"/>
        <v>985119.7764698111</v>
      </c>
      <c r="M63" s="4">
        <f t="shared" si="10"/>
        <v>0</v>
      </c>
      <c r="N63" s="4">
        <f t="shared" si="11"/>
        <v>0</v>
      </c>
      <c r="O63" s="4">
        <f t="shared" ca="1" si="12"/>
        <v>5613532.5370417312</v>
      </c>
      <c r="P63" s="17"/>
    </row>
    <row r="64" spans="1:16" x14ac:dyDescent="0.35">
      <c r="A64" s="1">
        <f>MonthlyData!A64</f>
        <v>43525</v>
      </c>
      <c r="B64" s="13">
        <f t="shared" si="5"/>
        <v>2019</v>
      </c>
      <c r="C64" s="13">
        <f t="shared" si="6"/>
        <v>3</v>
      </c>
      <c r="D64" s="4">
        <f>MonthlyData!L64</f>
        <v>5737769.1887990432</v>
      </c>
      <c r="E64" s="13">
        <f t="shared" ca="1" si="7"/>
        <v>577.21697535249291</v>
      </c>
      <c r="F64">
        <f>MonthlyData!BO64</f>
        <v>1</v>
      </c>
      <c r="G64">
        <f>MonthlyData!BP64</f>
        <v>0</v>
      </c>
      <c r="H64">
        <f>MonthlyData!BU64</f>
        <v>0</v>
      </c>
      <c r="I64">
        <f>MonthlyData!BA64</f>
        <v>4.2766661190160553</v>
      </c>
      <c r="K64" s="4">
        <f t="shared" si="8"/>
        <v>4628412.7605719203</v>
      </c>
      <c r="L64" s="4">
        <f t="shared" ca="1" si="9"/>
        <v>772486.34204195091</v>
      </c>
      <c r="M64" s="4">
        <f t="shared" si="10"/>
        <v>168249.31587912</v>
      </c>
      <c r="N64" s="4">
        <f t="shared" si="11"/>
        <v>0</v>
      </c>
      <c r="O64" s="4">
        <f t="shared" ca="1" si="12"/>
        <v>5569148.4184929905</v>
      </c>
      <c r="P64" s="17"/>
    </row>
    <row r="65" spans="1:16" x14ac:dyDescent="0.35">
      <c r="A65" s="1">
        <f>MonthlyData!A65</f>
        <v>43556</v>
      </c>
      <c r="B65" s="13">
        <f t="shared" si="5"/>
        <v>2019</v>
      </c>
      <c r="C65" s="13">
        <f t="shared" si="6"/>
        <v>4</v>
      </c>
      <c r="D65" s="4">
        <f>MonthlyData!L65</f>
        <v>5580365.3857868137</v>
      </c>
      <c r="E65" s="13">
        <f t="shared" ca="1" si="7"/>
        <v>307.33082472275549</v>
      </c>
      <c r="F65">
        <f>MonthlyData!BO65</f>
        <v>1</v>
      </c>
      <c r="G65">
        <f>MonthlyData!BP65</f>
        <v>0</v>
      </c>
      <c r="H65">
        <f>MonthlyData!BU65</f>
        <v>0</v>
      </c>
      <c r="I65">
        <f>MonthlyData!BA65</f>
        <v>4.290459441148391</v>
      </c>
      <c r="K65" s="4">
        <f t="shared" si="8"/>
        <v>4628412.7605719203</v>
      </c>
      <c r="L65" s="4">
        <f t="shared" ca="1" si="9"/>
        <v>411299.17297015968</v>
      </c>
      <c r="M65" s="4">
        <f t="shared" si="10"/>
        <v>168249.31587912</v>
      </c>
      <c r="N65" s="4">
        <f t="shared" si="11"/>
        <v>0</v>
      </c>
      <c r="O65" s="4">
        <f t="shared" ca="1" si="12"/>
        <v>5207961.2494211998</v>
      </c>
      <c r="P65" s="17"/>
    </row>
    <row r="66" spans="1:16" x14ac:dyDescent="0.35">
      <c r="A66" s="1">
        <f>MonthlyData!A66</f>
        <v>43586</v>
      </c>
      <c r="B66" s="13">
        <f t="shared" si="5"/>
        <v>2019</v>
      </c>
      <c r="C66" s="13">
        <f t="shared" si="6"/>
        <v>5</v>
      </c>
      <c r="D66" s="4">
        <f>MonthlyData!L66</f>
        <v>5019865.4864886878</v>
      </c>
      <c r="E66" s="13">
        <f t="shared" ca="1" si="7"/>
        <v>103.00647094808046</v>
      </c>
      <c r="F66">
        <f>MonthlyData!BO66</f>
        <v>1</v>
      </c>
      <c r="G66">
        <f>MonthlyData!BP66</f>
        <v>0</v>
      </c>
      <c r="H66">
        <f>MonthlyData!BU66</f>
        <v>0</v>
      </c>
      <c r="I66">
        <f>MonthlyData!BA66</f>
        <v>4.3040650932041702</v>
      </c>
      <c r="K66" s="4">
        <f t="shared" ref="K66:K97" si="13">$R$8</f>
        <v>4628412.7605719203</v>
      </c>
      <c r="L66" s="4">
        <f t="shared" ref="L66:L97" ca="1" si="14">E66*$R$9</f>
        <v>137853.00042629716</v>
      </c>
      <c r="M66" s="4">
        <f t="shared" ref="M66:M97" si="15">F66*$R$10</f>
        <v>168249.31587912</v>
      </c>
      <c r="N66" s="4">
        <f t="shared" ref="N66:N97" si="16">G66*$R$11</f>
        <v>0</v>
      </c>
      <c r="O66" s="4">
        <f t="shared" ref="O66:O97" ca="1" si="17">SUM(K66:N66)</f>
        <v>4934515.0768773369</v>
      </c>
      <c r="P66" s="17"/>
    </row>
    <row r="67" spans="1:16" x14ac:dyDescent="0.35">
      <c r="A67" s="1">
        <f>MonthlyData!A67</f>
        <v>43617</v>
      </c>
      <c r="B67" s="13">
        <f t="shared" ref="B67:B130" si="18">YEAR(A67)</f>
        <v>2019</v>
      </c>
      <c r="C67" s="13">
        <f t="shared" ref="C67:C130" si="19">MONTH(A67)</f>
        <v>6</v>
      </c>
      <c r="D67" s="4">
        <f>MonthlyData!L67</f>
        <v>5035624.0087944865</v>
      </c>
      <c r="E67" s="13">
        <f t="shared" ca="1" si="7"/>
        <v>5.5889105735385218</v>
      </c>
      <c r="F67">
        <f>MonthlyData!BO67</f>
        <v>0</v>
      </c>
      <c r="G67">
        <f>MonthlyData!BP67</f>
        <v>0</v>
      </c>
      <c r="H67">
        <f>MonthlyData!BU67</f>
        <v>0</v>
      </c>
      <c r="I67">
        <f>MonthlyData!BA67</f>
        <v>4.3174881135363101</v>
      </c>
      <c r="K67" s="4">
        <f t="shared" si="13"/>
        <v>4628412.7605719203</v>
      </c>
      <c r="L67" s="4">
        <f t="shared" ca="1" si="14"/>
        <v>7479.6086555074817</v>
      </c>
      <c r="M67" s="4">
        <f t="shared" si="15"/>
        <v>0</v>
      </c>
      <c r="N67" s="4">
        <f t="shared" si="16"/>
        <v>0</v>
      </c>
      <c r="O67" s="4">
        <f t="shared" ca="1" si="17"/>
        <v>4635892.369227428</v>
      </c>
      <c r="P67" s="17"/>
    </row>
    <row r="68" spans="1:16" x14ac:dyDescent="0.35">
      <c r="A68" s="1">
        <f>MonthlyData!A68</f>
        <v>43647</v>
      </c>
      <c r="B68" s="13">
        <f t="shared" si="18"/>
        <v>2019</v>
      </c>
      <c r="C68" s="13">
        <f t="shared" si="19"/>
        <v>7</v>
      </c>
      <c r="D68" s="4">
        <f>MonthlyData!L68</f>
        <v>4601912.966500056</v>
      </c>
      <c r="E68" s="13">
        <f t="shared" ca="1" si="7"/>
        <v>0.28709633857318684</v>
      </c>
      <c r="F68">
        <f>MonthlyData!BO68</f>
        <v>0</v>
      </c>
      <c r="G68">
        <f>MonthlyData!BP68</f>
        <v>0</v>
      </c>
      <c r="H68">
        <f>MonthlyData!BU68</f>
        <v>0</v>
      </c>
      <c r="I68">
        <f>MonthlyData!BA68</f>
        <v>4.3307333402863311</v>
      </c>
      <c r="K68" s="4">
        <f t="shared" si="13"/>
        <v>4628412.7605719203</v>
      </c>
      <c r="L68" s="4">
        <f t="shared" ca="1" si="14"/>
        <v>384.21947009199431</v>
      </c>
      <c r="M68" s="4">
        <f t="shared" si="15"/>
        <v>0</v>
      </c>
      <c r="N68" s="4">
        <f t="shared" si="16"/>
        <v>0</v>
      </c>
      <c r="O68" s="4">
        <f t="shared" ca="1" si="17"/>
        <v>4628796.9800420124</v>
      </c>
      <c r="P68" s="17"/>
    </row>
    <row r="69" spans="1:16" x14ac:dyDescent="0.35">
      <c r="A69" s="1">
        <f>MonthlyData!A69</f>
        <v>43678</v>
      </c>
      <c r="B69" s="13">
        <f t="shared" si="18"/>
        <v>2019</v>
      </c>
      <c r="C69" s="13">
        <f t="shared" si="19"/>
        <v>8</v>
      </c>
      <c r="D69" s="4">
        <f>MonthlyData!L69</f>
        <v>4567173.0698700938</v>
      </c>
      <c r="E69" s="13">
        <f t="shared" ca="1" si="7"/>
        <v>1.6761707873342053</v>
      </c>
      <c r="F69">
        <f>MonthlyData!BO69</f>
        <v>0</v>
      </c>
      <c r="G69">
        <f>MonthlyData!BP69</f>
        <v>0</v>
      </c>
      <c r="H69">
        <f>MonthlyData!BU69</f>
        <v>0</v>
      </c>
      <c r="I69">
        <f>MonthlyData!BA69</f>
        <v>4.3438054218536841</v>
      </c>
      <c r="K69" s="4">
        <f t="shared" si="13"/>
        <v>4628412.7605719203</v>
      </c>
      <c r="L69" s="4">
        <f t="shared" ca="1" si="14"/>
        <v>2243.2102579011321</v>
      </c>
      <c r="M69" s="4">
        <f t="shared" si="15"/>
        <v>0</v>
      </c>
      <c r="N69" s="4">
        <f t="shared" si="16"/>
        <v>0</v>
      </c>
      <c r="O69" s="4">
        <f t="shared" ca="1" si="17"/>
        <v>4630655.9708298212</v>
      </c>
      <c r="P69" s="17"/>
    </row>
    <row r="70" spans="1:16" x14ac:dyDescent="0.35">
      <c r="A70" s="1">
        <f>MonthlyData!A70</f>
        <v>43709</v>
      </c>
      <c r="B70" s="13">
        <f t="shared" si="18"/>
        <v>2019</v>
      </c>
      <c r="C70" s="13">
        <f t="shared" si="19"/>
        <v>9</v>
      </c>
      <c r="D70" s="4">
        <f>MonthlyData!L70</f>
        <v>4770770.9067169838</v>
      </c>
      <c r="E70" s="13">
        <f t="shared" ca="1" si="7"/>
        <v>28.222326899712005</v>
      </c>
      <c r="F70">
        <f>MonthlyData!BO70</f>
        <v>0</v>
      </c>
      <c r="G70">
        <f>MonthlyData!BP70</f>
        <v>0</v>
      </c>
      <c r="H70">
        <f>MonthlyData!BU70</f>
        <v>0</v>
      </c>
      <c r="I70">
        <f>MonthlyData!BA70</f>
        <v>4.3567088266895917</v>
      </c>
      <c r="K70" s="4">
        <f t="shared" si="13"/>
        <v>4628412.7605719203</v>
      </c>
      <c r="L70" s="4">
        <f t="shared" ca="1" si="14"/>
        <v>37769.786755417401</v>
      </c>
      <c r="M70" s="4">
        <f t="shared" si="15"/>
        <v>0</v>
      </c>
      <c r="N70" s="4">
        <f t="shared" si="16"/>
        <v>0</v>
      </c>
      <c r="O70" s="4">
        <f t="shared" ca="1" si="17"/>
        <v>4666182.5473273378</v>
      </c>
      <c r="P70" s="17"/>
    </row>
    <row r="71" spans="1:16" x14ac:dyDescent="0.35">
      <c r="A71" s="1">
        <f>MonthlyData!A71</f>
        <v>43739</v>
      </c>
      <c r="B71" s="13">
        <f t="shared" si="18"/>
        <v>2019</v>
      </c>
      <c r="C71" s="13">
        <f t="shared" si="19"/>
        <v>10</v>
      </c>
      <c r="D71" s="4">
        <f>MonthlyData!L71</f>
        <v>4752557.0164826857</v>
      </c>
      <c r="E71" s="13">
        <f t="shared" ca="1" si="7"/>
        <v>178.0244559176316</v>
      </c>
      <c r="F71">
        <f>MonthlyData!BO71</f>
        <v>0</v>
      </c>
      <c r="G71">
        <f>MonthlyData!BP71</f>
        <v>1</v>
      </c>
      <c r="H71">
        <f>MonthlyData!BU71</f>
        <v>0</v>
      </c>
      <c r="I71">
        <f>MonthlyData!BA71</f>
        <v>4.3694478524670215</v>
      </c>
      <c r="K71" s="4">
        <f t="shared" si="13"/>
        <v>4628412.7605719203</v>
      </c>
      <c r="L71" s="4">
        <f t="shared" ca="1" si="14"/>
        <v>238249.16213151673</v>
      </c>
      <c r="M71" s="4">
        <f t="shared" si="15"/>
        <v>0</v>
      </c>
      <c r="N71" s="4">
        <f t="shared" si="16"/>
        <v>-269170.44459088001</v>
      </c>
      <c r="O71" s="4">
        <f t="shared" ca="1" si="17"/>
        <v>4597491.4781125579</v>
      </c>
      <c r="P71" s="17"/>
    </row>
    <row r="72" spans="1:16" x14ac:dyDescent="0.35">
      <c r="A72" s="1">
        <f>MonthlyData!A72</f>
        <v>43770</v>
      </c>
      <c r="B72" s="13">
        <f t="shared" si="18"/>
        <v>2019</v>
      </c>
      <c r="C72" s="13">
        <f t="shared" si="19"/>
        <v>11</v>
      </c>
      <c r="D72" s="4">
        <f>MonthlyData!L72</f>
        <v>5188220.5067362906</v>
      </c>
      <c r="E72" s="13">
        <f t="shared" ca="1" si="7"/>
        <v>403.99833333333333</v>
      </c>
      <c r="F72">
        <f>MonthlyData!BO72</f>
        <v>0</v>
      </c>
      <c r="G72">
        <f>MonthlyData!BP72</f>
        <v>1</v>
      </c>
      <c r="H72">
        <f>MonthlyData!BU72</f>
        <v>0</v>
      </c>
      <c r="I72">
        <f>MonthlyData!BA72</f>
        <v>4.3820266346738812</v>
      </c>
      <c r="K72" s="4">
        <f t="shared" si="13"/>
        <v>4628412.7605719203</v>
      </c>
      <c r="L72" s="4">
        <f t="shared" ca="1" si="14"/>
        <v>540668.77454033564</v>
      </c>
      <c r="M72" s="4">
        <f t="shared" si="15"/>
        <v>0</v>
      </c>
      <c r="N72" s="4">
        <f t="shared" si="16"/>
        <v>-269170.44459088001</v>
      </c>
      <c r="O72" s="4">
        <f t="shared" ca="1" si="17"/>
        <v>4899911.0905213766</v>
      </c>
      <c r="P72" s="17"/>
    </row>
    <row r="73" spans="1:16" x14ac:dyDescent="0.35">
      <c r="A73" s="1">
        <f>MonthlyData!A73</f>
        <v>43800</v>
      </c>
      <c r="B73" s="13">
        <f t="shared" si="18"/>
        <v>2019</v>
      </c>
      <c r="C73" s="13">
        <f t="shared" si="19"/>
        <v>12</v>
      </c>
      <c r="D73" s="4">
        <f>MonthlyData!L73</f>
        <v>5666153.8645248832</v>
      </c>
      <c r="E73" s="13">
        <f t="shared" ca="1" si="7"/>
        <v>629.70466952460959</v>
      </c>
      <c r="F73">
        <f>MonthlyData!BO73</f>
        <v>0</v>
      </c>
      <c r="G73">
        <f>MonthlyData!BP73</f>
        <v>0</v>
      </c>
      <c r="H73">
        <f>MonthlyData!BU73</f>
        <v>0</v>
      </c>
      <c r="I73">
        <f>MonthlyData!BA73</f>
        <v>4.3944491546724391</v>
      </c>
      <c r="K73" s="4">
        <f t="shared" si="13"/>
        <v>4628412.7605719203</v>
      </c>
      <c r="L73" s="4">
        <f t="shared" ca="1" si="14"/>
        <v>842730.33798208169</v>
      </c>
      <c r="M73" s="4">
        <f t="shared" si="15"/>
        <v>0</v>
      </c>
      <c r="N73" s="4">
        <f t="shared" si="16"/>
        <v>0</v>
      </c>
      <c r="O73" s="4">
        <f t="shared" ca="1" si="17"/>
        <v>5471143.0985540021</v>
      </c>
      <c r="P73" s="17"/>
    </row>
    <row r="74" spans="1:16" x14ac:dyDescent="0.35">
      <c r="A74" s="1">
        <f>MonthlyData!A74</f>
        <v>43831</v>
      </c>
      <c r="B74" s="13">
        <f t="shared" si="18"/>
        <v>2020</v>
      </c>
      <c r="C74" s="13">
        <f t="shared" si="19"/>
        <v>1</v>
      </c>
      <c r="D74" s="4">
        <f>MonthlyData!L74</f>
        <v>5783244.659481544</v>
      </c>
      <c r="E74" s="13">
        <f t="shared" ca="1" si="7"/>
        <v>793.4846429373913</v>
      </c>
      <c r="F74">
        <f>MonthlyData!BO74</f>
        <v>0</v>
      </c>
      <c r="G74">
        <f>MonthlyData!BP74</f>
        <v>0</v>
      </c>
      <c r="H74">
        <f>MonthlyData!BU74</f>
        <v>0</v>
      </c>
      <c r="I74">
        <f>MonthlyData!BA74</f>
        <v>4.4067192472642533</v>
      </c>
      <c r="K74" s="4">
        <f t="shared" si="13"/>
        <v>4628412.7605719203</v>
      </c>
      <c r="L74" s="4">
        <f t="shared" ca="1" si="14"/>
        <v>1061916.1865689259</v>
      </c>
      <c r="M74" s="4">
        <f t="shared" si="15"/>
        <v>0</v>
      </c>
      <c r="N74" s="4">
        <f t="shared" si="16"/>
        <v>0</v>
      </c>
      <c r="O74" s="4">
        <f t="shared" ca="1" si="17"/>
        <v>5690328.9471408464</v>
      </c>
      <c r="P74" s="17"/>
    </row>
    <row r="75" spans="1:16" x14ac:dyDescent="0.35">
      <c r="A75" s="1">
        <f>MonthlyData!A75</f>
        <v>43862</v>
      </c>
      <c r="B75" s="13">
        <f t="shared" si="18"/>
        <v>2020</v>
      </c>
      <c r="C75" s="13">
        <f t="shared" si="19"/>
        <v>2</v>
      </c>
      <c r="D75" s="4">
        <f>MonthlyData!L75</f>
        <v>6074809.6295420974</v>
      </c>
      <c r="E75" s="13">
        <f t="shared" ca="1" si="7"/>
        <v>736.10085614037712</v>
      </c>
      <c r="F75">
        <f>MonthlyData!BO75</f>
        <v>0</v>
      </c>
      <c r="G75">
        <f>MonthlyData!BP75</f>
        <v>0</v>
      </c>
      <c r="H75">
        <f>MonthlyData!BU75</f>
        <v>0</v>
      </c>
      <c r="I75">
        <f>MonthlyData!BA75</f>
        <v>4.4188406077965983</v>
      </c>
      <c r="K75" s="4">
        <f t="shared" si="13"/>
        <v>4628412.7605719203</v>
      </c>
      <c r="L75" s="4">
        <f t="shared" ca="1" si="14"/>
        <v>985119.7764698111</v>
      </c>
      <c r="M75" s="4">
        <f t="shared" si="15"/>
        <v>0</v>
      </c>
      <c r="N75" s="4">
        <f t="shared" si="16"/>
        <v>0</v>
      </c>
      <c r="O75" s="4">
        <f t="shared" ca="1" si="17"/>
        <v>5613532.5370417312</v>
      </c>
      <c r="P75" s="17"/>
    </row>
    <row r="76" spans="1:16" x14ac:dyDescent="0.35">
      <c r="A76" s="1">
        <f>MonthlyData!A76</f>
        <v>43891</v>
      </c>
      <c r="B76" s="13">
        <f t="shared" si="18"/>
        <v>2020</v>
      </c>
      <c r="C76" s="13">
        <f t="shared" si="19"/>
        <v>3</v>
      </c>
      <c r="D76" s="4">
        <f>MonthlyData!L76</f>
        <v>5595180.8261402976</v>
      </c>
      <c r="E76" s="13">
        <f t="shared" ca="1" si="7"/>
        <v>577.21697535249291</v>
      </c>
      <c r="F76">
        <f>MonthlyData!BO76</f>
        <v>1</v>
      </c>
      <c r="G76">
        <f>MonthlyData!BP76</f>
        <v>0</v>
      </c>
      <c r="H76">
        <f>MonthlyData!BU76</f>
        <v>0.5</v>
      </c>
      <c r="I76">
        <f>MonthlyData!BA76</f>
        <v>4.4308167988433134</v>
      </c>
      <c r="K76" s="4">
        <f t="shared" si="13"/>
        <v>4628412.7605719203</v>
      </c>
      <c r="L76" s="4">
        <f t="shared" ca="1" si="14"/>
        <v>772486.34204195091</v>
      </c>
      <c r="M76" s="4">
        <f t="shared" si="15"/>
        <v>168249.31587912</v>
      </c>
      <c r="N76" s="4">
        <f t="shared" si="16"/>
        <v>0</v>
      </c>
      <c r="O76" s="4">
        <f t="shared" ca="1" si="17"/>
        <v>5569148.4184929905</v>
      </c>
      <c r="P76" s="17"/>
    </row>
    <row r="77" spans="1:16" x14ac:dyDescent="0.35">
      <c r="A77" s="1">
        <f>MonthlyData!A77</f>
        <v>43922</v>
      </c>
      <c r="B77" s="13">
        <f t="shared" si="18"/>
        <v>2020</v>
      </c>
      <c r="C77" s="13">
        <f t="shared" si="19"/>
        <v>4</v>
      </c>
      <c r="D77" s="4">
        <f>MonthlyData!L77</f>
        <v>5479916.7884697942</v>
      </c>
      <c r="E77" s="13">
        <f t="shared" ca="1" si="7"/>
        <v>307.33082472275549</v>
      </c>
      <c r="F77">
        <f>MonthlyData!BO77</f>
        <v>1</v>
      </c>
      <c r="G77">
        <f>MonthlyData!BP77</f>
        <v>0</v>
      </c>
      <c r="H77">
        <f>MonthlyData!BU77</f>
        <v>1</v>
      </c>
      <c r="I77">
        <f>MonthlyData!BA77</f>
        <v>4.4426512564903167</v>
      </c>
      <c r="K77" s="4">
        <f t="shared" si="13"/>
        <v>4628412.7605719203</v>
      </c>
      <c r="L77" s="4">
        <f t="shared" ca="1" si="14"/>
        <v>411299.17297015968</v>
      </c>
      <c r="M77" s="4">
        <f t="shared" si="15"/>
        <v>168249.31587912</v>
      </c>
      <c r="N77" s="4">
        <f t="shared" si="16"/>
        <v>0</v>
      </c>
      <c r="O77" s="4">
        <f t="shared" ca="1" si="17"/>
        <v>5207961.2494211998</v>
      </c>
      <c r="P77" s="17"/>
    </row>
    <row r="78" spans="1:16" x14ac:dyDescent="0.35">
      <c r="A78" s="1">
        <f>MonthlyData!A78</f>
        <v>43952</v>
      </c>
      <c r="B78" s="13">
        <f t="shared" si="18"/>
        <v>2020</v>
      </c>
      <c r="C78" s="13">
        <f t="shared" si="19"/>
        <v>5</v>
      </c>
      <c r="D78" s="4">
        <f>MonthlyData!L78</f>
        <v>3953654.2126647015</v>
      </c>
      <c r="E78" s="13">
        <f t="shared" ca="1" si="7"/>
        <v>103.00647094808046</v>
      </c>
      <c r="F78">
        <f>MonthlyData!BO78</f>
        <v>1</v>
      </c>
      <c r="G78">
        <f>MonthlyData!BP78</f>
        <v>0</v>
      </c>
      <c r="H78">
        <f>MonthlyData!BU78</f>
        <v>1</v>
      </c>
      <c r="I78">
        <f>MonthlyData!BA78</f>
        <v>4.4543472962535073</v>
      </c>
      <c r="K78" s="4">
        <f t="shared" si="13"/>
        <v>4628412.7605719203</v>
      </c>
      <c r="L78" s="4">
        <f t="shared" ca="1" si="14"/>
        <v>137853.00042629716</v>
      </c>
      <c r="M78" s="4">
        <f t="shared" si="15"/>
        <v>168249.31587912</v>
      </c>
      <c r="N78" s="4">
        <f t="shared" si="16"/>
        <v>0</v>
      </c>
      <c r="O78" s="4">
        <f t="shared" ca="1" si="17"/>
        <v>4934515.0768773369</v>
      </c>
      <c r="P78" s="17"/>
    </row>
    <row r="79" spans="1:16" x14ac:dyDescent="0.35">
      <c r="A79" s="1">
        <f>MonthlyData!A79</f>
        <v>43983</v>
      </c>
      <c r="B79" s="13">
        <f t="shared" si="18"/>
        <v>2020</v>
      </c>
      <c r="C79" s="13">
        <f t="shared" si="19"/>
        <v>6</v>
      </c>
      <c r="D79" s="4">
        <f>MonthlyData!L79</f>
        <v>4582175.1819470329</v>
      </c>
      <c r="E79" s="13">
        <f t="shared" ref="E79:G122" ca="1" si="20">E67</f>
        <v>5.5889105735385218</v>
      </c>
      <c r="F79">
        <f>MonthlyData!BO79</f>
        <v>0</v>
      </c>
      <c r="G79">
        <f>MonthlyData!BP79</f>
        <v>0</v>
      </c>
      <c r="H79">
        <f>MonthlyData!BU79</f>
        <v>0.5</v>
      </c>
      <c r="I79">
        <f>MonthlyData!BA79</f>
        <v>4.4659081186545837</v>
      </c>
      <c r="K79" s="4">
        <f t="shared" si="13"/>
        <v>4628412.7605719203</v>
      </c>
      <c r="L79" s="4">
        <f t="shared" ca="1" si="14"/>
        <v>7479.6086555074817</v>
      </c>
      <c r="M79" s="4">
        <f t="shared" si="15"/>
        <v>0</v>
      </c>
      <c r="N79" s="4">
        <f t="shared" si="16"/>
        <v>0</v>
      </c>
      <c r="O79" s="4">
        <f t="shared" ca="1" si="17"/>
        <v>4635892.369227428</v>
      </c>
      <c r="P79" s="17"/>
    </row>
    <row r="80" spans="1:16" x14ac:dyDescent="0.35">
      <c r="A80" s="1">
        <f>MonthlyData!A80</f>
        <v>44013</v>
      </c>
      <c r="B80" s="13">
        <f t="shared" si="18"/>
        <v>2020</v>
      </c>
      <c r="C80" s="13">
        <f t="shared" si="19"/>
        <v>7</v>
      </c>
      <c r="D80" s="4">
        <f>MonthlyData!L80</f>
        <v>4424200.142252977</v>
      </c>
      <c r="E80" s="13">
        <f t="shared" ca="1" si="20"/>
        <v>0.28709633857318684</v>
      </c>
      <c r="F80">
        <f>MonthlyData!BO80</f>
        <v>0</v>
      </c>
      <c r="G80">
        <f>MonthlyData!BP80</f>
        <v>0</v>
      </c>
      <c r="H80">
        <f>MonthlyData!BU80</f>
        <v>0.5</v>
      </c>
      <c r="I80">
        <f>MonthlyData!BA80</f>
        <v>4.4773368144782069</v>
      </c>
      <c r="K80" s="4">
        <f t="shared" si="13"/>
        <v>4628412.7605719203</v>
      </c>
      <c r="L80" s="4">
        <f t="shared" ca="1" si="14"/>
        <v>384.21947009199431</v>
      </c>
      <c r="M80" s="4">
        <f t="shared" si="15"/>
        <v>0</v>
      </c>
      <c r="N80" s="4">
        <f t="shared" si="16"/>
        <v>0</v>
      </c>
      <c r="O80" s="4">
        <f t="shared" ca="1" si="17"/>
        <v>4628796.9800420124</v>
      </c>
      <c r="P80" s="17"/>
    </row>
    <row r="81" spans="1:16" x14ac:dyDescent="0.35">
      <c r="A81" s="1">
        <f>MonthlyData!A81</f>
        <v>44044</v>
      </c>
      <c r="B81" s="13">
        <f t="shared" si="18"/>
        <v>2020</v>
      </c>
      <c r="C81" s="13">
        <f t="shared" si="19"/>
        <v>8</v>
      </c>
      <c r="D81" s="4">
        <f>MonthlyData!L81</f>
        <v>4632337.9153375532</v>
      </c>
      <c r="E81" s="13">
        <f t="shared" ca="1" si="20"/>
        <v>1.6761707873342053</v>
      </c>
      <c r="F81">
        <f>MonthlyData!BO81</f>
        <v>0</v>
      </c>
      <c r="G81">
        <f>MonthlyData!BP81</f>
        <v>0</v>
      </c>
      <c r="H81">
        <f>MonthlyData!BU81</f>
        <v>0.5</v>
      </c>
      <c r="I81">
        <f>MonthlyData!BA81</f>
        <v>4.4886363697321396</v>
      </c>
      <c r="K81" s="4">
        <f t="shared" si="13"/>
        <v>4628412.7605719203</v>
      </c>
      <c r="L81" s="4">
        <f t="shared" ca="1" si="14"/>
        <v>2243.2102579011321</v>
      </c>
      <c r="M81" s="4">
        <f t="shared" si="15"/>
        <v>0</v>
      </c>
      <c r="N81" s="4">
        <f t="shared" si="16"/>
        <v>0</v>
      </c>
      <c r="O81" s="4">
        <f t="shared" ca="1" si="17"/>
        <v>4630655.9708298212</v>
      </c>
      <c r="P81" s="17"/>
    </row>
    <row r="82" spans="1:16" x14ac:dyDescent="0.35">
      <c r="A82" s="1">
        <f>MonthlyData!A82</f>
        <v>44075</v>
      </c>
      <c r="B82" s="13">
        <f t="shared" si="18"/>
        <v>2020</v>
      </c>
      <c r="C82" s="13">
        <f t="shared" si="19"/>
        <v>9</v>
      </c>
      <c r="D82" s="4">
        <f>MonthlyData!L82</f>
        <v>4495832.7199474238</v>
      </c>
      <c r="E82" s="13">
        <f t="shared" ca="1" si="20"/>
        <v>28.222326899712005</v>
      </c>
      <c r="F82">
        <f>MonthlyData!BO82</f>
        <v>0</v>
      </c>
      <c r="G82">
        <f>MonthlyData!BP82</f>
        <v>0</v>
      </c>
      <c r="H82">
        <f>MonthlyData!BU82</f>
        <v>0.5</v>
      </c>
      <c r="I82">
        <f>MonthlyData!BA82</f>
        <v>4.499809670330265</v>
      </c>
      <c r="K82" s="4">
        <f t="shared" si="13"/>
        <v>4628412.7605719203</v>
      </c>
      <c r="L82" s="4">
        <f t="shared" ca="1" si="14"/>
        <v>37769.786755417401</v>
      </c>
      <c r="M82" s="4">
        <f t="shared" si="15"/>
        <v>0</v>
      </c>
      <c r="N82" s="4">
        <f t="shared" si="16"/>
        <v>0</v>
      </c>
      <c r="O82" s="4">
        <f t="shared" ca="1" si="17"/>
        <v>4666182.5473273378</v>
      </c>
      <c r="P82" s="17"/>
    </row>
    <row r="83" spans="1:16" x14ac:dyDescent="0.35">
      <c r="A83" s="1">
        <f>MonthlyData!A83</f>
        <v>44105</v>
      </c>
      <c r="B83" s="13">
        <f t="shared" si="18"/>
        <v>2020</v>
      </c>
      <c r="C83" s="13">
        <f t="shared" si="19"/>
        <v>10</v>
      </c>
      <c r="D83" s="4">
        <f>MonthlyData!L83</f>
        <v>4685720.8249840857</v>
      </c>
      <c r="E83" s="13">
        <f t="shared" ca="1" si="20"/>
        <v>178.0244559176316</v>
      </c>
      <c r="F83">
        <f>MonthlyData!BO83</f>
        <v>0</v>
      </c>
      <c r="G83">
        <f>MonthlyData!BP83</f>
        <v>1</v>
      </c>
      <c r="H83">
        <f>MonthlyData!BU83</f>
        <v>0.5</v>
      </c>
      <c r="I83">
        <f>MonthlyData!BA83</f>
        <v>4.5108595065168497</v>
      </c>
      <c r="K83" s="4">
        <f t="shared" si="13"/>
        <v>4628412.7605719203</v>
      </c>
      <c r="L83" s="4">
        <f t="shared" ca="1" si="14"/>
        <v>238249.16213151673</v>
      </c>
      <c r="M83" s="4">
        <f t="shared" si="15"/>
        <v>0</v>
      </c>
      <c r="N83" s="4">
        <f t="shared" si="16"/>
        <v>-269170.44459088001</v>
      </c>
      <c r="O83" s="4">
        <f t="shared" ca="1" si="17"/>
        <v>4597491.4781125579</v>
      </c>
      <c r="P83" s="17"/>
    </row>
    <row r="84" spans="1:16" x14ac:dyDescent="0.35">
      <c r="A84" s="1">
        <f>MonthlyData!A84</f>
        <v>44136</v>
      </c>
      <c r="B84" s="13">
        <f t="shared" si="18"/>
        <v>2020</v>
      </c>
      <c r="C84" s="13">
        <f t="shared" si="19"/>
        <v>11</v>
      </c>
      <c r="D84" s="4">
        <f>MonthlyData!L84</f>
        <v>5123217.0537212081</v>
      </c>
      <c r="E84" s="13">
        <f t="shared" ca="1" si="20"/>
        <v>403.99833333333333</v>
      </c>
      <c r="F84">
        <f>MonthlyData!BO84</f>
        <v>0</v>
      </c>
      <c r="G84">
        <f>MonthlyData!BP84</f>
        <v>1</v>
      </c>
      <c r="H84">
        <f>MonthlyData!BU84</f>
        <v>0.5</v>
      </c>
      <c r="I84">
        <f>MonthlyData!BA84</f>
        <v>4.5217885770490405</v>
      </c>
      <c r="K84" s="4">
        <f t="shared" si="13"/>
        <v>4628412.7605719203</v>
      </c>
      <c r="L84" s="4">
        <f t="shared" ca="1" si="14"/>
        <v>540668.77454033564</v>
      </c>
      <c r="M84" s="4">
        <f t="shared" si="15"/>
        <v>0</v>
      </c>
      <c r="N84" s="4">
        <f t="shared" si="16"/>
        <v>-269170.44459088001</v>
      </c>
      <c r="O84" s="4">
        <f t="shared" ca="1" si="17"/>
        <v>4899911.0905213766</v>
      </c>
      <c r="P84" s="17"/>
    </row>
    <row r="85" spans="1:16" x14ac:dyDescent="0.35">
      <c r="A85" s="1">
        <f>MonthlyData!A85</f>
        <v>44166</v>
      </c>
      <c r="B85" s="13">
        <f t="shared" si="18"/>
        <v>2020</v>
      </c>
      <c r="C85" s="13">
        <f t="shared" si="19"/>
        <v>12</v>
      </c>
      <c r="D85" s="4">
        <f>MonthlyData!L85</f>
        <v>5344161.435734394</v>
      </c>
      <c r="E85" s="13">
        <f t="shared" ca="1" si="20"/>
        <v>629.70466952460959</v>
      </c>
      <c r="F85">
        <f>MonthlyData!BO85</f>
        <v>0</v>
      </c>
      <c r="G85">
        <f>MonthlyData!BP85</f>
        <v>0</v>
      </c>
      <c r="H85">
        <f>MonthlyData!BU85</f>
        <v>0.5</v>
      </c>
      <c r="I85">
        <f>MonthlyData!BA85</f>
        <v>4.5325994931532563</v>
      </c>
      <c r="K85" s="4">
        <f t="shared" si="13"/>
        <v>4628412.7605719203</v>
      </c>
      <c r="L85" s="4">
        <f t="shared" ca="1" si="14"/>
        <v>842730.33798208169</v>
      </c>
      <c r="M85" s="4">
        <f t="shared" si="15"/>
        <v>0</v>
      </c>
      <c r="N85" s="4">
        <f t="shared" si="16"/>
        <v>0</v>
      </c>
      <c r="O85" s="4">
        <f t="shared" ca="1" si="17"/>
        <v>5471143.0985540021</v>
      </c>
      <c r="P85" s="17"/>
    </row>
    <row r="86" spans="1:16" x14ac:dyDescent="0.35">
      <c r="A86" s="1">
        <f>MonthlyData!A86</f>
        <v>44197</v>
      </c>
      <c r="B86" s="13">
        <f t="shared" si="18"/>
        <v>2021</v>
      </c>
      <c r="C86" s="13">
        <f t="shared" si="19"/>
        <v>1</v>
      </c>
      <c r="D86" s="4">
        <f>MonthlyData!L86</f>
        <v>5631606.8919931315</v>
      </c>
      <c r="E86" s="13">
        <f t="shared" ca="1" si="20"/>
        <v>793.4846429373913</v>
      </c>
      <c r="F86">
        <f>MonthlyData!BO86</f>
        <v>0</v>
      </c>
      <c r="G86">
        <f>MonthlyData!BP86</f>
        <v>0</v>
      </c>
      <c r="H86">
        <f>MonthlyData!BU86</f>
        <v>0.5</v>
      </c>
      <c r="I86">
        <f>MonthlyData!BA86</f>
        <v>4.5432947822700038</v>
      </c>
      <c r="K86" s="4">
        <f t="shared" si="13"/>
        <v>4628412.7605719203</v>
      </c>
      <c r="L86" s="4">
        <f t="shared" ca="1" si="14"/>
        <v>1061916.1865689259</v>
      </c>
      <c r="M86" s="4">
        <f t="shared" si="15"/>
        <v>0</v>
      </c>
      <c r="N86" s="4">
        <f t="shared" si="16"/>
        <v>0</v>
      </c>
      <c r="O86" s="4">
        <f t="shared" ca="1" si="17"/>
        <v>5690328.9471408464</v>
      </c>
      <c r="P86" s="17"/>
    </row>
    <row r="87" spans="1:16" x14ac:dyDescent="0.35">
      <c r="A87" s="1">
        <f>MonthlyData!A87</f>
        <v>44228</v>
      </c>
      <c r="B87" s="13">
        <f t="shared" si="18"/>
        <v>2021</v>
      </c>
      <c r="C87" s="13">
        <f t="shared" si="19"/>
        <v>2</v>
      </c>
      <c r="D87" s="4">
        <f>MonthlyData!L87</f>
        <v>5903126.1220111931</v>
      </c>
      <c r="E87" s="13">
        <f t="shared" ca="1" si="20"/>
        <v>736.10085614037712</v>
      </c>
      <c r="F87">
        <f>MonthlyData!BO87</f>
        <v>0</v>
      </c>
      <c r="G87">
        <f>MonthlyData!BP87</f>
        <v>0</v>
      </c>
      <c r="H87">
        <f>MonthlyData!BU87</f>
        <v>0.5</v>
      </c>
      <c r="I87">
        <f>MonthlyData!BA87</f>
        <v>4.5538768916005408</v>
      </c>
      <c r="K87" s="4">
        <f t="shared" si="13"/>
        <v>4628412.7605719203</v>
      </c>
      <c r="L87" s="4">
        <f t="shared" ca="1" si="14"/>
        <v>985119.7764698111</v>
      </c>
      <c r="M87" s="4">
        <f t="shared" si="15"/>
        <v>0</v>
      </c>
      <c r="N87" s="4">
        <f t="shared" si="16"/>
        <v>0</v>
      </c>
      <c r="O87" s="4">
        <f t="shared" ca="1" si="17"/>
        <v>5613532.5370417312</v>
      </c>
      <c r="P87" s="17"/>
    </row>
    <row r="88" spans="1:16" x14ac:dyDescent="0.35">
      <c r="A88" s="1">
        <f>MonthlyData!A88</f>
        <v>44256</v>
      </c>
      <c r="B88" s="13">
        <f t="shared" si="18"/>
        <v>2021</v>
      </c>
      <c r="C88" s="13">
        <f t="shared" si="19"/>
        <v>3</v>
      </c>
      <c r="D88" s="4">
        <f>MonthlyData!L88</f>
        <v>5657786.5802215142</v>
      </c>
      <c r="E88" s="13">
        <f t="shared" ca="1" si="20"/>
        <v>577.21697535249291</v>
      </c>
      <c r="F88">
        <f>MonthlyData!BO88</f>
        <v>1</v>
      </c>
      <c r="G88">
        <f>MonthlyData!BP88</f>
        <v>0</v>
      </c>
      <c r="H88">
        <f>MonthlyData!BU88</f>
        <v>0.5</v>
      </c>
      <c r="I88">
        <f>MonthlyData!BA88</f>
        <v>4.5643481914678361</v>
      </c>
      <c r="K88" s="4">
        <f t="shared" si="13"/>
        <v>4628412.7605719203</v>
      </c>
      <c r="L88" s="4">
        <f t="shared" ca="1" si="14"/>
        <v>772486.34204195091</v>
      </c>
      <c r="M88" s="4">
        <f t="shared" si="15"/>
        <v>168249.31587912</v>
      </c>
      <c r="N88" s="4">
        <f t="shared" si="16"/>
        <v>0</v>
      </c>
      <c r="O88" s="4">
        <f t="shared" ca="1" si="17"/>
        <v>5569148.4184929905</v>
      </c>
      <c r="P88" s="17"/>
    </row>
    <row r="89" spans="1:16" x14ac:dyDescent="0.35">
      <c r="A89" s="1">
        <f>MonthlyData!A89</f>
        <v>44287</v>
      </c>
      <c r="B89" s="13">
        <f t="shared" si="18"/>
        <v>2021</v>
      </c>
      <c r="C89" s="13">
        <f t="shared" si="19"/>
        <v>4</v>
      </c>
      <c r="D89" s="4">
        <f>MonthlyData!L89</f>
        <v>5843753.9774524868</v>
      </c>
      <c r="E89" s="13">
        <f t="shared" ca="1" si="20"/>
        <v>307.33082472275549</v>
      </c>
      <c r="F89">
        <f>MonthlyData!BO89</f>
        <v>1</v>
      </c>
      <c r="G89">
        <f>MonthlyData!BP89</f>
        <v>0</v>
      </c>
      <c r="H89">
        <f>MonthlyData!BU89</f>
        <v>0.5</v>
      </c>
      <c r="I89">
        <f>MonthlyData!BA89</f>
        <v>4.5747109785033828</v>
      </c>
      <c r="K89" s="4">
        <f t="shared" si="13"/>
        <v>4628412.7605719203</v>
      </c>
      <c r="L89" s="4">
        <f t="shared" ca="1" si="14"/>
        <v>411299.17297015968</v>
      </c>
      <c r="M89" s="4">
        <f t="shared" si="15"/>
        <v>168249.31587912</v>
      </c>
      <c r="N89" s="4">
        <f t="shared" si="16"/>
        <v>0</v>
      </c>
      <c r="O89" s="4">
        <f t="shared" ca="1" si="17"/>
        <v>5207961.2494211998</v>
      </c>
      <c r="P89" s="17"/>
    </row>
    <row r="90" spans="1:16" x14ac:dyDescent="0.35">
      <c r="A90" s="1">
        <f>MonthlyData!A90</f>
        <v>44317</v>
      </c>
      <c r="B90" s="13">
        <f t="shared" si="18"/>
        <v>2021</v>
      </c>
      <c r="C90" s="13">
        <f t="shared" si="19"/>
        <v>5</v>
      </c>
      <c r="D90" s="4">
        <f>MonthlyData!L90</f>
        <v>4706391.2374353502</v>
      </c>
      <c r="E90" s="13">
        <f t="shared" ca="1" si="20"/>
        <v>103.00647094808046</v>
      </c>
      <c r="F90">
        <f>MonthlyData!BO90</f>
        <v>1</v>
      </c>
      <c r="G90">
        <f>MonthlyData!BP90</f>
        <v>0</v>
      </c>
      <c r="H90">
        <f>MonthlyData!BU90</f>
        <v>0.5</v>
      </c>
      <c r="I90">
        <f>MonthlyData!BA90</f>
        <v>4.5849674786705723</v>
      </c>
      <c r="K90" s="4">
        <f t="shared" si="13"/>
        <v>4628412.7605719203</v>
      </c>
      <c r="L90" s="4">
        <f t="shared" ca="1" si="14"/>
        <v>137853.00042629716</v>
      </c>
      <c r="M90" s="4">
        <f t="shared" si="15"/>
        <v>168249.31587912</v>
      </c>
      <c r="N90" s="4">
        <f t="shared" si="16"/>
        <v>0</v>
      </c>
      <c r="O90" s="4">
        <f t="shared" ca="1" si="17"/>
        <v>4934515.0768773369</v>
      </c>
      <c r="P90" s="17"/>
    </row>
    <row r="91" spans="1:16" x14ac:dyDescent="0.35">
      <c r="A91" s="1">
        <f>MonthlyData!A91</f>
        <v>44348</v>
      </c>
      <c r="B91" s="13">
        <f t="shared" si="18"/>
        <v>2021</v>
      </c>
      <c r="C91" s="13">
        <f t="shared" si="19"/>
        <v>6</v>
      </c>
      <c r="D91" s="4">
        <f>MonthlyData!L91</f>
        <v>4371857.8014126103</v>
      </c>
      <c r="E91" s="13">
        <f t="shared" ca="1" si="20"/>
        <v>5.5889105735385218</v>
      </c>
      <c r="F91">
        <f>MonthlyData!BO91</f>
        <v>0</v>
      </c>
      <c r="G91">
        <f>MonthlyData!BP91</f>
        <v>0</v>
      </c>
      <c r="H91">
        <f>MonthlyData!BU91</f>
        <v>0.5</v>
      </c>
      <c r="I91">
        <f>MonthlyData!BA91</f>
        <v>4.5951198501345898</v>
      </c>
      <c r="K91" s="4">
        <f t="shared" si="13"/>
        <v>4628412.7605719203</v>
      </c>
      <c r="L91" s="4">
        <f t="shared" ca="1" si="14"/>
        <v>7479.6086555074817</v>
      </c>
      <c r="M91" s="4">
        <f t="shared" si="15"/>
        <v>0</v>
      </c>
      <c r="N91" s="4">
        <f t="shared" si="16"/>
        <v>0</v>
      </c>
      <c r="O91" s="4">
        <f t="shared" ca="1" si="17"/>
        <v>4635892.369227428</v>
      </c>
      <c r="P91" s="17"/>
    </row>
    <row r="92" spans="1:16" x14ac:dyDescent="0.35">
      <c r="A92" s="1">
        <f>MonthlyData!A92</f>
        <v>44378</v>
      </c>
      <c r="B92" s="13">
        <f t="shared" si="18"/>
        <v>2021</v>
      </c>
      <c r="C92" s="13">
        <f t="shared" si="19"/>
        <v>7</v>
      </c>
      <c r="D92" s="4">
        <f>MonthlyData!L92</f>
        <v>4404224.692593568</v>
      </c>
      <c r="E92" s="13">
        <f t="shared" ca="1" si="20"/>
        <v>0.28709633857318684</v>
      </c>
      <c r="F92">
        <f>MonthlyData!BO92</f>
        <v>0</v>
      </c>
      <c r="G92">
        <f>MonthlyData!BP92</f>
        <v>0</v>
      </c>
      <c r="H92">
        <f>MonthlyData!BU92</f>
        <v>0.5</v>
      </c>
      <c r="I92">
        <f>MonthlyData!BA92</f>
        <v>4.6051701859880918</v>
      </c>
      <c r="K92" s="4">
        <f t="shared" si="13"/>
        <v>4628412.7605719203</v>
      </c>
      <c r="L92" s="4">
        <f t="shared" ca="1" si="14"/>
        <v>384.21947009199431</v>
      </c>
      <c r="M92" s="4">
        <f t="shared" si="15"/>
        <v>0</v>
      </c>
      <c r="N92" s="4">
        <f t="shared" si="16"/>
        <v>0</v>
      </c>
      <c r="O92" s="4">
        <f t="shared" ca="1" si="17"/>
        <v>4628796.9800420124</v>
      </c>
      <c r="P92" s="17"/>
    </row>
    <row r="93" spans="1:16" x14ac:dyDescent="0.35">
      <c r="A93" s="1">
        <f>MonthlyData!A93</f>
        <v>44409</v>
      </c>
      <c r="B93" s="13">
        <f t="shared" si="18"/>
        <v>2021</v>
      </c>
      <c r="C93" s="13">
        <f t="shared" si="19"/>
        <v>8</v>
      </c>
      <c r="D93" s="4">
        <f>MonthlyData!L93</f>
        <v>4384173.3824236318</v>
      </c>
      <c r="E93" s="13">
        <f t="shared" ca="1" si="20"/>
        <v>1.6761707873342053</v>
      </c>
      <c r="F93">
        <f>MonthlyData!BO93</f>
        <v>0</v>
      </c>
      <c r="G93">
        <f>MonthlyData!BP93</f>
        <v>0</v>
      </c>
      <c r="H93">
        <f>MonthlyData!BU93</f>
        <v>0.5</v>
      </c>
      <c r="I93">
        <f>MonthlyData!BA93</f>
        <v>4.6151205168412597</v>
      </c>
      <c r="K93" s="4">
        <f t="shared" si="13"/>
        <v>4628412.7605719203</v>
      </c>
      <c r="L93" s="4">
        <f t="shared" ca="1" si="14"/>
        <v>2243.2102579011321</v>
      </c>
      <c r="M93" s="4">
        <f t="shared" si="15"/>
        <v>0</v>
      </c>
      <c r="N93" s="4">
        <f t="shared" si="16"/>
        <v>0</v>
      </c>
      <c r="O93" s="4">
        <f t="shared" ca="1" si="17"/>
        <v>4630655.9708298212</v>
      </c>
      <c r="P93" s="17"/>
    </row>
    <row r="94" spans="1:16" x14ac:dyDescent="0.35">
      <c r="A94" s="1">
        <f>MonthlyData!A94</f>
        <v>44440</v>
      </c>
      <c r="B94" s="13">
        <f t="shared" si="18"/>
        <v>2021</v>
      </c>
      <c r="C94" s="13">
        <f t="shared" si="19"/>
        <v>9</v>
      </c>
      <c r="D94" s="4">
        <f>MonthlyData!L94</f>
        <v>4556985.8262357311</v>
      </c>
      <c r="E94" s="13">
        <f t="shared" ca="1" si="20"/>
        <v>28.222326899712005</v>
      </c>
      <c r="F94">
        <f>MonthlyData!BO94</f>
        <v>0</v>
      </c>
      <c r="G94">
        <f>MonthlyData!BP94</f>
        <v>0</v>
      </c>
      <c r="H94">
        <f>MonthlyData!BU94</f>
        <v>0.5</v>
      </c>
      <c r="I94">
        <f>MonthlyData!BA94</f>
        <v>4.6249728132842707</v>
      </c>
      <c r="K94" s="4">
        <f t="shared" si="13"/>
        <v>4628412.7605719203</v>
      </c>
      <c r="L94" s="4">
        <f t="shared" ca="1" si="14"/>
        <v>37769.786755417401</v>
      </c>
      <c r="M94" s="4">
        <f t="shared" si="15"/>
        <v>0</v>
      </c>
      <c r="N94" s="4">
        <f t="shared" si="16"/>
        <v>0</v>
      </c>
      <c r="O94" s="4">
        <f t="shared" ca="1" si="17"/>
        <v>4666182.5473273378</v>
      </c>
      <c r="P94" s="17"/>
    </row>
    <row r="95" spans="1:16" x14ac:dyDescent="0.35">
      <c r="A95" s="1">
        <f>MonthlyData!A95</f>
        <v>44470</v>
      </c>
      <c r="B95" s="13">
        <f t="shared" si="18"/>
        <v>2021</v>
      </c>
      <c r="C95" s="13">
        <f t="shared" si="19"/>
        <v>10</v>
      </c>
      <c r="D95" s="4">
        <f>MonthlyData!L95</f>
        <v>4517829.4914550968</v>
      </c>
      <c r="E95" s="13">
        <f t="shared" ca="1" si="20"/>
        <v>178.0244559176316</v>
      </c>
      <c r="F95">
        <f>MonthlyData!BO95</f>
        <v>0</v>
      </c>
      <c r="G95">
        <f>MonthlyData!BP95</f>
        <v>1</v>
      </c>
      <c r="H95">
        <f>MonthlyData!BU95</f>
        <v>0.5</v>
      </c>
      <c r="I95">
        <f>MonthlyData!BA95</f>
        <v>4.6347289882296359</v>
      </c>
      <c r="K95" s="4">
        <f t="shared" si="13"/>
        <v>4628412.7605719203</v>
      </c>
      <c r="L95" s="4">
        <f t="shared" ca="1" si="14"/>
        <v>238249.16213151673</v>
      </c>
      <c r="M95" s="4">
        <f t="shared" si="15"/>
        <v>0</v>
      </c>
      <c r="N95" s="4">
        <f t="shared" si="16"/>
        <v>-269170.44459088001</v>
      </c>
      <c r="O95" s="4">
        <f t="shared" ca="1" si="17"/>
        <v>4597491.4781125579</v>
      </c>
      <c r="P95" s="17"/>
    </row>
    <row r="96" spans="1:16" x14ac:dyDescent="0.35">
      <c r="A96" s="1">
        <f>MonthlyData!A96</f>
        <v>44501</v>
      </c>
      <c r="B96" s="13">
        <f t="shared" si="18"/>
        <v>2021</v>
      </c>
      <c r="C96" s="13">
        <f t="shared" si="19"/>
        <v>11</v>
      </c>
      <c r="D96" s="4">
        <f>MonthlyData!L96</f>
        <v>4808667.3949651532</v>
      </c>
      <c r="E96" s="13">
        <f t="shared" ca="1" si="20"/>
        <v>403.99833333333333</v>
      </c>
      <c r="F96">
        <f>MonthlyData!BO96</f>
        <v>0</v>
      </c>
      <c r="G96">
        <f>MonthlyData!BP96</f>
        <v>1</v>
      </c>
      <c r="H96">
        <f>MonthlyData!BU96</f>
        <v>0.5</v>
      </c>
      <c r="I96">
        <f>MonthlyData!BA96</f>
        <v>4.6443908991413725</v>
      </c>
      <c r="K96" s="4">
        <f t="shared" si="13"/>
        <v>4628412.7605719203</v>
      </c>
      <c r="L96" s="4">
        <f t="shared" ca="1" si="14"/>
        <v>540668.77454033564</v>
      </c>
      <c r="M96" s="4">
        <f t="shared" si="15"/>
        <v>0</v>
      </c>
      <c r="N96" s="4">
        <f t="shared" si="16"/>
        <v>-269170.44459088001</v>
      </c>
      <c r="O96" s="4">
        <f t="shared" ca="1" si="17"/>
        <v>4899911.0905213766</v>
      </c>
      <c r="P96" s="17"/>
    </row>
    <row r="97" spans="1:16" x14ac:dyDescent="0.35">
      <c r="A97" s="1">
        <f>MonthlyData!A97</f>
        <v>44531</v>
      </c>
      <c r="B97" s="13">
        <f t="shared" si="18"/>
        <v>2021</v>
      </c>
      <c r="C97" s="13">
        <f t="shared" si="19"/>
        <v>12</v>
      </c>
      <c r="D97" s="4">
        <f>MonthlyData!L97</f>
        <v>5207208.4077626746</v>
      </c>
      <c r="E97" s="13">
        <f t="shared" ca="1" si="20"/>
        <v>629.70466952460959</v>
      </c>
      <c r="F97">
        <f>MonthlyData!BO97</f>
        <v>0</v>
      </c>
      <c r="G97">
        <f>MonthlyData!BP97</f>
        <v>0</v>
      </c>
      <c r="H97">
        <f>MonthlyData!BU97</f>
        <v>0.5</v>
      </c>
      <c r="I97">
        <f>MonthlyData!BA97</f>
        <v>4.6539603501575231</v>
      </c>
      <c r="K97" s="4">
        <f t="shared" si="13"/>
        <v>4628412.7605719203</v>
      </c>
      <c r="L97" s="4">
        <f t="shared" ca="1" si="14"/>
        <v>842730.33798208169</v>
      </c>
      <c r="M97" s="4">
        <f t="shared" si="15"/>
        <v>0</v>
      </c>
      <c r="N97" s="4">
        <f t="shared" si="16"/>
        <v>0</v>
      </c>
      <c r="O97" s="4">
        <f t="shared" ca="1" si="17"/>
        <v>5471143.0985540021</v>
      </c>
      <c r="P97" s="17"/>
    </row>
    <row r="98" spans="1:16" x14ac:dyDescent="0.35">
      <c r="A98" s="1">
        <f>MonthlyData!A98</f>
        <v>44562</v>
      </c>
      <c r="B98" s="13">
        <f t="shared" si="18"/>
        <v>2022</v>
      </c>
      <c r="C98" s="13">
        <f t="shared" si="19"/>
        <v>1</v>
      </c>
      <c r="D98" s="4">
        <f>MonthlyData!L98</f>
        <v>5515070.7865821905</v>
      </c>
      <c r="E98" s="13">
        <f t="shared" ca="1" si="20"/>
        <v>793.4846429373913</v>
      </c>
      <c r="F98">
        <f>MonthlyData!BO98</f>
        <v>0</v>
      </c>
      <c r="G98">
        <f>MonthlyData!BP98</f>
        <v>0</v>
      </c>
      <c r="H98">
        <f>MonthlyData!BU98</f>
        <v>0.25</v>
      </c>
      <c r="I98">
        <f>MonthlyData!BA98</f>
        <v>4.6634390941120669</v>
      </c>
      <c r="K98" s="4">
        <f t="shared" ref="K98:K129" si="21">$R$8</f>
        <v>4628412.7605719203</v>
      </c>
      <c r="L98" s="4">
        <f t="shared" ref="L98:L129" ca="1" si="22">E98*$R$9</f>
        <v>1061916.1865689259</v>
      </c>
      <c r="M98" s="4">
        <f t="shared" ref="M98:M129" si="23">F98*$R$10</f>
        <v>0</v>
      </c>
      <c r="N98" s="4">
        <f t="shared" ref="N98:N129" si="24">G98*$R$11</f>
        <v>0</v>
      </c>
      <c r="O98" s="4">
        <f t="shared" ref="O98:O129" ca="1" si="25">SUM(K98:N98)</f>
        <v>5690328.9471408464</v>
      </c>
      <c r="P98" s="17"/>
    </row>
    <row r="99" spans="1:16" x14ac:dyDescent="0.35">
      <c r="A99" s="1">
        <f>MonthlyData!A99</f>
        <v>44593</v>
      </c>
      <c r="B99" s="13">
        <f t="shared" si="18"/>
        <v>2022</v>
      </c>
      <c r="C99" s="13">
        <f t="shared" si="19"/>
        <v>2</v>
      </c>
      <c r="D99" s="4">
        <f>MonthlyData!L99</f>
        <v>5999044.6652609417</v>
      </c>
      <c r="E99" s="13">
        <f t="shared" ca="1" si="20"/>
        <v>736.10085614037712</v>
      </c>
      <c r="F99">
        <f>MonthlyData!BO99</f>
        <v>0</v>
      </c>
      <c r="G99">
        <f>MonthlyData!BP99</f>
        <v>0</v>
      </c>
      <c r="H99">
        <f>MonthlyData!BU99</f>
        <v>0.25</v>
      </c>
      <c r="I99">
        <f>MonthlyData!BA99</f>
        <v>4.6728288344619058</v>
      </c>
      <c r="K99" s="4">
        <f t="shared" si="21"/>
        <v>4628412.7605719203</v>
      </c>
      <c r="L99" s="4">
        <f t="shared" ca="1" si="22"/>
        <v>985119.7764698111</v>
      </c>
      <c r="M99" s="4">
        <f t="shared" si="23"/>
        <v>0</v>
      </c>
      <c r="N99" s="4">
        <f t="shared" si="24"/>
        <v>0</v>
      </c>
      <c r="O99" s="4">
        <f t="shared" ca="1" si="25"/>
        <v>5613532.5370417312</v>
      </c>
      <c r="P99" s="17"/>
    </row>
    <row r="100" spans="1:16" x14ac:dyDescent="0.35">
      <c r="A100" s="1">
        <f>MonthlyData!A100</f>
        <v>44621</v>
      </c>
      <c r="B100" s="13">
        <f t="shared" si="18"/>
        <v>2022</v>
      </c>
      <c r="C100" s="13">
        <f t="shared" si="19"/>
        <v>3</v>
      </c>
      <c r="D100" s="4">
        <f>MonthlyData!L100</f>
        <v>5477369.7664209213</v>
      </c>
      <c r="E100" s="13">
        <f t="shared" ca="1" si="20"/>
        <v>577.21697535249291</v>
      </c>
      <c r="F100">
        <f>MonthlyData!BO100</f>
        <v>1</v>
      </c>
      <c r="G100">
        <f>MonthlyData!BP100</f>
        <v>0</v>
      </c>
      <c r="H100">
        <f>MonthlyData!BU100</f>
        <v>0.25</v>
      </c>
      <c r="I100">
        <f>MonthlyData!BA100</f>
        <v>4.6821312271242199</v>
      </c>
      <c r="K100" s="4">
        <f t="shared" si="21"/>
        <v>4628412.7605719203</v>
      </c>
      <c r="L100" s="4">
        <f t="shared" ca="1" si="22"/>
        <v>772486.34204195091</v>
      </c>
      <c r="M100" s="4">
        <f t="shared" si="23"/>
        <v>168249.31587912</v>
      </c>
      <c r="N100" s="4">
        <f t="shared" si="24"/>
        <v>0</v>
      </c>
      <c r="O100" s="4">
        <f t="shared" ca="1" si="25"/>
        <v>5569148.4184929905</v>
      </c>
      <c r="P100" s="17"/>
    </row>
    <row r="101" spans="1:16" x14ac:dyDescent="0.35">
      <c r="A101" s="1">
        <f>MonthlyData!A101</f>
        <v>44652</v>
      </c>
      <c r="B101" s="13">
        <f t="shared" si="18"/>
        <v>2022</v>
      </c>
      <c r="C101" s="13">
        <f t="shared" si="19"/>
        <v>4</v>
      </c>
      <c r="D101" s="4">
        <f>MonthlyData!L101</f>
        <v>5659412.8678707657</v>
      </c>
      <c r="E101" s="13">
        <f t="shared" ca="1" si="20"/>
        <v>307.33082472275549</v>
      </c>
      <c r="F101">
        <f>MonthlyData!BO101</f>
        <v>1</v>
      </c>
      <c r="G101">
        <f>MonthlyData!BP101</f>
        <v>0</v>
      </c>
      <c r="H101">
        <f>MonthlyData!BU101</f>
        <v>0.25</v>
      </c>
      <c r="I101">
        <f>MonthlyData!BA101</f>
        <v>4.6913478822291435</v>
      </c>
      <c r="K101" s="4">
        <f t="shared" si="21"/>
        <v>4628412.7605719203</v>
      </c>
      <c r="L101" s="4">
        <f t="shared" ca="1" si="22"/>
        <v>411299.17297015968</v>
      </c>
      <c r="M101" s="4">
        <f t="shared" si="23"/>
        <v>168249.31587912</v>
      </c>
      <c r="N101" s="4">
        <f t="shared" si="24"/>
        <v>0</v>
      </c>
      <c r="O101" s="4">
        <f t="shared" ca="1" si="25"/>
        <v>5207961.2494211998</v>
      </c>
      <c r="P101" s="17"/>
    </row>
    <row r="102" spans="1:16" x14ac:dyDescent="0.35">
      <c r="A102" s="1">
        <f>MonthlyData!A102</f>
        <v>44682</v>
      </c>
      <c r="B102" s="13">
        <f t="shared" si="18"/>
        <v>2022</v>
      </c>
      <c r="C102" s="13">
        <f t="shared" si="19"/>
        <v>5</v>
      </c>
      <c r="D102" s="4">
        <f>MonthlyData!L102</f>
        <v>4902437.2248681234</v>
      </c>
      <c r="E102" s="13">
        <f t="shared" ca="1" si="20"/>
        <v>103.00647094808046</v>
      </c>
      <c r="F102">
        <f>MonthlyData!BO102</f>
        <v>1</v>
      </c>
      <c r="G102">
        <f>MonthlyData!BP102</f>
        <v>0</v>
      </c>
      <c r="H102">
        <f>MonthlyData!BU102</f>
        <v>0.25</v>
      </c>
      <c r="I102">
        <f>MonthlyData!BA102</f>
        <v>4.7004803657924166</v>
      </c>
      <c r="K102" s="4">
        <f t="shared" si="21"/>
        <v>4628412.7605719203</v>
      </c>
      <c r="L102" s="4">
        <f t="shared" ca="1" si="22"/>
        <v>137853.00042629716</v>
      </c>
      <c r="M102" s="4">
        <f t="shared" si="23"/>
        <v>168249.31587912</v>
      </c>
      <c r="N102" s="4">
        <f t="shared" si="24"/>
        <v>0</v>
      </c>
      <c r="O102" s="4">
        <f t="shared" ca="1" si="25"/>
        <v>4934515.0768773369</v>
      </c>
      <c r="P102" s="17"/>
    </row>
    <row r="103" spans="1:16" x14ac:dyDescent="0.35">
      <c r="A103" s="1">
        <f>MonthlyData!A103</f>
        <v>44713</v>
      </c>
      <c r="B103" s="13">
        <f t="shared" si="18"/>
        <v>2022</v>
      </c>
      <c r="C103" s="13">
        <f t="shared" si="19"/>
        <v>6</v>
      </c>
      <c r="D103" s="4">
        <f>MonthlyData!L103</f>
        <v>4899970.4473683499</v>
      </c>
      <c r="E103" s="13">
        <f t="shared" ca="1" si="20"/>
        <v>5.5889105735385218</v>
      </c>
      <c r="F103">
        <f>MonthlyData!BO103</f>
        <v>0</v>
      </c>
      <c r="G103">
        <f>MonthlyData!BP103</f>
        <v>0</v>
      </c>
      <c r="H103">
        <f>MonthlyData!BU103</f>
        <v>0.25</v>
      </c>
      <c r="I103">
        <f>MonthlyData!BA103</f>
        <v>4.7095302013123339</v>
      </c>
      <c r="K103" s="4">
        <f t="shared" si="21"/>
        <v>4628412.7605719203</v>
      </c>
      <c r="L103" s="4">
        <f t="shared" ca="1" si="22"/>
        <v>7479.6086555074817</v>
      </c>
      <c r="M103" s="4">
        <f t="shared" si="23"/>
        <v>0</v>
      </c>
      <c r="N103" s="4">
        <f t="shared" si="24"/>
        <v>0</v>
      </c>
      <c r="O103" s="4">
        <f t="shared" ca="1" si="25"/>
        <v>4635892.369227428</v>
      </c>
      <c r="P103" s="17"/>
    </row>
    <row r="104" spans="1:16" x14ac:dyDescent="0.35">
      <c r="A104" s="1">
        <f>MonthlyData!A104</f>
        <v>44743</v>
      </c>
      <c r="B104" s="13">
        <f t="shared" si="18"/>
        <v>2022</v>
      </c>
      <c r="C104" s="13">
        <f t="shared" si="19"/>
        <v>7</v>
      </c>
      <c r="D104" s="4">
        <f>MonthlyData!L104</f>
        <v>4582845.8076719521</v>
      </c>
      <c r="E104" s="13">
        <f t="shared" ca="1" si="20"/>
        <v>0.28709633857318684</v>
      </c>
      <c r="F104">
        <f>MonthlyData!BO104</f>
        <v>0</v>
      </c>
      <c r="G104">
        <f>MonthlyData!BP104</f>
        <v>0</v>
      </c>
      <c r="H104">
        <f>MonthlyData!BU104</f>
        <v>0.25</v>
      </c>
      <c r="I104">
        <f>MonthlyData!BA104</f>
        <v>4.7184988712950942</v>
      </c>
      <c r="K104" s="4">
        <f t="shared" si="21"/>
        <v>4628412.7605719203</v>
      </c>
      <c r="L104" s="4">
        <f t="shared" ca="1" si="22"/>
        <v>384.21947009199431</v>
      </c>
      <c r="M104" s="4">
        <f t="shared" si="23"/>
        <v>0</v>
      </c>
      <c r="N104" s="4">
        <f t="shared" si="24"/>
        <v>0</v>
      </c>
      <c r="O104" s="4">
        <f t="shared" ca="1" si="25"/>
        <v>4628796.9800420124</v>
      </c>
      <c r="P104" s="17"/>
    </row>
    <row r="105" spans="1:16" x14ac:dyDescent="0.35">
      <c r="A105" s="1">
        <f>MonthlyData!A105</f>
        <v>44774</v>
      </c>
      <c r="B105" s="13">
        <f t="shared" si="18"/>
        <v>2022</v>
      </c>
      <c r="C105" s="13">
        <f t="shared" si="19"/>
        <v>8</v>
      </c>
      <c r="D105" s="4">
        <f>MonthlyData!L105</f>
        <v>4383637.8491329644</v>
      </c>
      <c r="E105" s="13">
        <f t="shared" ca="1" si="20"/>
        <v>1.6761707873342053</v>
      </c>
      <c r="F105">
        <f>MonthlyData!BO105</f>
        <v>0</v>
      </c>
      <c r="G105">
        <f>MonthlyData!BP105</f>
        <v>0</v>
      </c>
      <c r="H105">
        <f>MonthlyData!BU105</f>
        <v>0.25</v>
      </c>
      <c r="I105">
        <f>MonthlyData!BA105</f>
        <v>4.7273878187123408</v>
      </c>
      <c r="K105" s="4">
        <f t="shared" si="21"/>
        <v>4628412.7605719203</v>
      </c>
      <c r="L105" s="4">
        <f t="shared" ca="1" si="22"/>
        <v>2243.2102579011321</v>
      </c>
      <c r="M105" s="4">
        <f t="shared" si="23"/>
        <v>0</v>
      </c>
      <c r="N105" s="4">
        <f t="shared" si="24"/>
        <v>0</v>
      </c>
      <c r="O105" s="4">
        <f t="shared" ca="1" si="25"/>
        <v>4630655.9708298212</v>
      </c>
      <c r="P105" s="17"/>
    </row>
    <row r="106" spans="1:16" x14ac:dyDescent="0.35">
      <c r="A106" s="1">
        <f>MonthlyData!A106</f>
        <v>44805</v>
      </c>
      <c r="B106" s="13">
        <f t="shared" si="18"/>
        <v>2022</v>
      </c>
      <c r="C106" s="13">
        <f t="shared" si="19"/>
        <v>9</v>
      </c>
      <c r="D106" s="4">
        <f>MonthlyData!L106</f>
        <v>4398549.3566141417</v>
      </c>
      <c r="E106" s="13">
        <f t="shared" ca="1" si="20"/>
        <v>28.222326899712005</v>
      </c>
      <c r="F106">
        <f>MonthlyData!BO106</f>
        <v>0</v>
      </c>
      <c r="G106">
        <f>MonthlyData!BP106</f>
        <v>0</v>
      </c>
      <c r="H106">
        <f>MonthlyData!BU106</f>
        <v>0.25</v>
      </c>
      <c r="I106">
        <f>MonthlyData!BA106</f>
        <v>4.7361984483944957</v>
      </c>
      <c r="K106" s="4">
        <f t="shared" si="21"/>
        <v>4628412.7605719203</v>
      </c>
      <c r="L106" s="4">
        <f t="shared" ca="1" si="22"/>
        <v>37769.786755417401</v>
      </c>
      <c r="M106" s="4">
        <f t="shared" si="23"/>
        <v>0</v>
      </c>
      <c r="N106" s="4">
        <f t="shared" si="24"/>
        <v>0</v>
      </c>
      <c r="O106" s="4">
        <f t="shared" ca="1" si="25"/>
        <v>4666182.5473273378</v>
      </c>
      <c r="P106" s="17"/>
    </row>
    <row r="107" spans="1:16" x14ac:dyDescent="0.35">
      <c r="A107" s="1">
        <f>MonthlyData!A107</f>
        <v>44835</v>
      </c>
      <c r="B107" s="13">
        <f t="shared" si="18"/>
        <v>2022</v>
      </c>
      <c r="C107" s="13">
        <f t="shared" si="19"/>
        <v>10</v>
      </c>
      <c r="D107" s="4">
        <f>MonthlyData!L107</f>
        <v>4372734.9886369808</v>
      </c>
      <c r="E107" s="13">
        <f t="shared" ca="1" si="20"/>
        <v>178.0244559176316</v>
      </c>
      <c r="F107">
        <f>MonthlyData!BO107</f>
        <v>0</v>
      </c>
      <c r="G107">
        <f>MonthlyData!BP107</f>
        <v>1</v>
      </c>
      <c r="H107">
        <f>MonthlyData!BU107</f>
        <v>0.25</v>
      </c>
      <c r="I107">
        <f>MonthlyData!BA107</f>
        <v>4.7449321283632502</v>
      </c>
      <c r="K107" s="4">
        <f t="shared" si="21"/>
        <v>4628412.7605719203</v>
      </c>
      <c r="L107" s="4">
        <f t="shared" ca="1" si="22"/>
        <v>238249.16213151673</v>
      </c>
      <c r="M107" s="4">
        <f t="shared" si="23"/>
        <v>0</v>
      </c>
      <c r="N107" s="4">
        <f t="shared" si="24"/>
        <v>-269170.44459088001</v>
      </c>
      <c r="O107" s="4">
        <f t="shared" ca="1" si="25"/>
        <v>4597491.4781125579</v>
      </c>
      <c r="P107" s="17"/>
    </row>
    <row r="108" spans="1:16" x14ac:dyDescent="0.35">
      <c r="A108" s="1">
        <f>MonthlyData!A108</f>
        <v>44866</v>
      </c>
      <c r="B108" s="13">
        <f t="shared" si="18"/>
        <v>2022</v>
      </c>
      <c r="C108" s="13">
        <f t="shared" si="19"/>
        <v>11</v>
      </c>
      <c r="D108" s="4">
        <f>MonthlyData!L108</f>
        <v>4649123.1824785406</v>
      </c>
      <c r="E108" s="13">
        <f t="shared" ca="1" si="20"/>
        <v>403.99833333333333</v>
      </c>
      <c r="F108">
        <f>MonthlyData!BO108</f>
        <v>0</v>
      </c>
      <c r="G108">
        <f>MonthlyData!BP108</f>
        <v>1</v>
      </c>
      <c r="H108">
        <f>MonthlyData!BU108</f>
        <v>0.25</v>
      </c>
      <c r="I108">
        <f>MonthlyData!BA108</f>
        <v>4.7535901911063645</v>
      </c>
      <c r="K108" s="4">
        <f t="shared" si="21"/>
        <v>4628412.7605719203</v>
      </c>
      <c r="L108" s="4">
        <f t="shared" ca="1" si="22"/>
        <v>540668.77454033564</v>
      </c>
      <c r="M108" s="4">
        <f t="shared" si="23"/>
        <v>0</v>
      </c>
      <c r="N108" s="4">
        <f t="shared" si="24"/>
        <v>-269170.44459088001</v>
      </c>
      <c r="O108" s="4">
        <f t="shared" ca="1" si="25"/>
        <v>4899911.0905213766</v>
      </c>
      <c r="P108" s="17"/>
    </row>
    <row r="109" spans="1:16" x14ac:dyDescent="0.35">
      <c r="A109" s="1">
        <f>MonthlyData!A109</f>
        <v>44896</v>
      </c>
      <c r="B109" s="13">
        <f t="shared" si="18"/>
        <v>2022</v>
      </c>
      <c r="C109" s="13">
        <f t="shared" si="19"/>
        <v>12</v>
      </c>
      <c r="D109" s="4">
        <f>MonthlyData!L109</f>
        <v>4821079.3921188647</v>
      </c>
      <c r="E109" s="13">
        <f t="shared" ca="1" si="20"/>
        <v>629.70466952460959</v>
      </c>
      <c r="F109">
        <f>MonthlyData!BO109</f>
        <v>0</v>
      </c>
      <c r="G109">
        <f>MonthlyData!BP109</f>
        <v>0</v>
      </c>
      <c r="H109">
        <f>MonthlyData!BU109</f>
        <v>0.25</v>
      </c>
      <c r="I109">
        <f>MonthlyData!BA109</f>
        <v>4.7621739347977563</v>
      </c>
      <c r="K109" s="4">
        <f t="shared" si="21"/>
        <v>4628412.7605719203</v>
      </c>
      <c r="L109" s="4">
        <f t="shared" ca="1" si="22"/>
        <v>842730.33798208169</v>
      </c>
      <c r="M109" s="4">
        <f t="shared" si="23"/>
        <v>0</v>
      </c>
      <c r="N109" s="4">
        <f t="shared" si="24"/>
        <v>0</v>
      </c>
      <c r="O109" s="4">
        <f t="shared" ca="1" si="25"/>
        <v>5471143.0985540021</v>
      </c>
      <c r="P109" s="17"/>
    </row>
    <row r="110" spans="1:16" x14ac:dyDescent="0.35">
      <c r="A110" s="1">
        <f>MonthlyData!A110</f>
        <v>44927</v>
      </c>
      <c r="B110" s="13">
        <f t="shared" si="18"/>
        <v>2023</v>
      </c>
      <c r="C110" s="13">
        <f t="shared" si="19"/>
        <v>1</v>
      </c>
      <c r="D110" s="4">
        <f>MonthlyData!L110</f>
        <v>5083404.0129136732</v>
      </c>
      <c r="E110" s="13">
        <f t="shared" ca="1" si="20"/>
        <v>793.4846429373913</v>
      </c>
      <c r="F110">
        <f>MonthlyData!BO110</f>
        <v>0</v>
      </c>
      <c r="G110">
        <f>MonthlyData!BP110</f>
        <v>0</v>
      </c>
      <c r="H110">
        <f>MonthlyData!BU110</f>
        <v>0</v>
      </c>
      <c r="I110">
        <f>MonthlyData!BA110</f>
        <v>4.7706846244656651</v>
      </c>
      <c r="K110" s="4">
        <f t="shared" si="21"/>
        <v>4628412.7605719203</v>
      </c>
      <c r="L110" s="4">
        <f t="shared" ca="1" si="22"/>
        <v>1061916.1865689259</v>
      </c>
      <c r="M110" s="4">
        <f t="shared" si="23"/>
        <v>0</v>
      </c>
      <c r="N110" s="4">
        <f t="shared" si="24"/>
        <v>0</v>
      </c>
      <c r="O110" s="4">
        <f t="shared" ca="1" si="25"/>
        <v>5690328.9471408464</v>
      </c>
      <c r="P110" s="17"/>
    </row>
    <row r="111" spans="1:16" x14ac:dyDescent="0.35">
      <c r="A111" s="1">
        <f>MonthlyData!A111</f>
        <v>44958</v>
      </c>
      <c r="B111" s="13">
        <f t="shared" si="18"/>
        <v>2023</v>
      </c>
      <c r="C111" s="13">
        <f t="shared" si="19"/>
        <v>2</v>
      </c>
      <c r="D111" s="4">
        <f>MonthlyData!L111</f>
        <v>5802911.0811732169</v>
      </c>
      <c r="E111" s="13">
        <f t="shared" ca="1" si="20"/>
        <v>736.10085614037712</v>
      </c>
      <c r="F111">
        <f>MonthlyData!BO111</f>
        <v>0</v>
      </c>
      <c r="G111">
        <f>MonthlyData!BP111</f>
        <v>0</v>
      </c>
      <c r="H111">
        <f>MonthlyData!BU111</f>
        <v>0</v>
      </c>
      <c r="I111">
        <f>MonthlyData!BA111</f>
        <v>4.7791234931115296</v>
      </c>
      <c r="K111" s="4">
        <f t="shared" si="21"/>
        <v>4628412.7605719203</v>
      </c>
      <c r="L111" s="4">
        <f t="shared" ca="1" si="22"/>
        <v>985119.7764698111</v>
      </c>
      <c r="M111" s="4">
        <f t="shared" si="23"/>
        <v>0</v>
      </c>
      <c r="N111" s="4">
        <f t="shared" si="24"/>
        <v>0</v>
      </c>
      <c r="O111" s="4">
        <f t="shared" ca="1" si="25"/>
        <v>5613532.5370417312</v>
      </c>
      <c r="P111" s="17"/>
    </row>
    <row r="112" spans="1:16" x14ac:dyDescent="0.35">
      <c r="A112" s="1">
        <f>MonthlyData!A112</f>
        <v>44986</v>
      </c>
      <c r="B112" s="13">
        <f t="shared" si="18"/>
        <v>2023</v>
      </c>
      <c r="C112" s="13">
        <f t="shared" si="19"/>
        <v>3</v>
      </c>
      <c r="D112" s="4">
        <f>MonthlyData!L112</f>
        <v>5162215.5231142556</v>
      </c>
      <c r="E112" s="13">
        <f t="shared" ca="1" si="20"/>
        <v>577.21697535249291</v>
      </c>
      <c r="F112">
        <f>MonthlyData!BO112</f>
        <v>1</v>
      </c>
      <c r="G112">
        <f>MonthlyData!BP112</f>
        <v>0</v>
      </c>
      <c r="H112">
        <f>MonthlyData!BU112</f>
        <v>0</v>
      </c>
      <c r="I112">
        <f>MonthlyData!BA112</f>
        <v>4.7874917427820458</v>
      </c>
      <c r="K112" s="4">
        <f t="shared" si="21"/>
        <v>4628412.7605719203</v>
      </c>
      <c r="L112" s="4">
        <f t="shared" ca="1" si="22"/>
        <v>772486.34204195091</v>
      </c>
      <c r="M112" s="4">
        <f t="shared" si="23"/>
        <v>168249.31587912</v>
      </c>
      <c r="N112" s="4">
        <f t="shared" si="24"/>
        <v>0</v>
      </c>
      <c r="O112" s="4">
        <f t="shared" ca="1" si="25"/>
        <v>5569148.4184929905</v>
      </c>
      <c r="P112" s="17"/>
    </row>
    <row r="113" spans="1:17" x14ac:dyDescent="0.35">
      <c r="A113" s="1">
        <f>MonthlyData!A113</f>
        <v>45017</v>
      </c>
      <c r="B113" s="13">
        <f t="shared" si="18"/>
        <v>2023</v>
      </c>
      <c r="C113" s="13">
        <f t="shared" si="19"/>
        <v>4</v>
      </c>
      <c r="D113" s="4">
        <f>MonthlyData!L113</f>
        <v>5591662.3006220125</v>
      </c>
      <c r="E113" s="13">
        <f t="shared" ca="1" si="20"/>
        <v>307.33082472275549</v>
      </c>
      <c r="F113">
        <f>MonthlyData!BO113</f>
        <v>1</v>
      </c>
      <c r="G113">
        <f>MonthlyData!BP113</f>
        <v>0</v>
      </c>
      <c r="H113">
        <f>MonthlyData!BU113</f>
        <v>0</v>
      </c>
      <c r="I113">
        <f>MonthlyData!BA113</f>
        <v>4.7957905455967413</v>
      </c>
      <c r="K113" s="4">
        <f t="shared" si="21"/>
        <v>4628412.7605719203</v>
      </c>
      <c r="L113" s="4">
        <f t="shared" ca="1" si="22"/>
        <v>411299.17297015968</v>
      </c>
      <c r="M113" s="4">
        <f t="shared" si="23"/>
        <v>168249.31587912</v>
      </c>
      <c r="N113" s="4">
        <f t="shared" si="24"/>
        <v>0</v>
      </c>
      <c r="O113" s="4">
        <f t="shared" ca="1" si="25"/>
        <v>5207961.2494211998</v>
      </c>
      <c r="P113" s="17"/>
    </row>
    <row r="114" spans="1:17" x14ac:dyDescent="0.35">
      <c r="A114" s="1">
        <f>MonthlyData!A114</f>
        <v>45047</v>
      </c>
      <c r="B114" s="13">
        <f t="shared" si="18"/>
        <v>2023</v>
      </c>
      <c r="C114" s="13">
        <f t="shared" si="19"/>
        <v>5</v>
      </c>
      <c r="D114" s="4">
        <f>MonthlyData!L114</f>
        <v>4784228.5932504898</v>
      </c>
      <c r="E114" s="13">
        <f t="shared" ca="1" si="20"/>
        <v>103.00647094808046</v>
      </c>
      <c r="F114">
        <f>MonthlyData!BO114</f>
        <v>1</v>
      </c>
      <c r="G114">
        <f>MonthlyData!BP114</f>
        <v>0</v>
      </c>
      <c r="H114">
        <f>MonthlyData!BU114</f>
        <v>0</v>
      </c>
      <c r="I114">
        <f>MonthlyData!BA114</f>
        <v>4.8040210447332568</v>
      </c>
      <c r="K114" s="4">
        <f t="shared" si="21"/>
        <v>4628412.7605719203</v>
      </c>
      <c r="L114" s="4">
        <f t="shared" ca="1" si="22"/>
        <v>137853.00042629716</v>
      </c>
      <c r="M114" s="4">
        <f t="shared" si="23"/>
        <v>168249.31587912</v>
      </c>
      <c r="N114" s="4">
        <f t="shared" si="24"/>
        <v>0</v>
      </c>
      <c r="O114" s="4">
        <f t="shared" ca="1" si="25"/>
        <v>4934515.0768773369</v>
      </c>
      <c r="P114" s="17"/>
    </row>
    <row r="115" spans="1:17" x14ac:dyDescent="0.35">
      <c r="A115" s="1">
        <f>MonthlyData!A115</f>
        <v>45078</v>
      </c>
      <c r="B115" s="13">
        <f t="shared" si="18"/>
        <v>2023</v>
      </c>
      <c r="C115" s="13">
        <f t="shared" si="19"/>
        <v>6</v>
      </c>
      <c r="D115" s="4">
        <f>MonthlyData!L115</f>
        <v>4836719.6993777948</v>
      </c>
      <c r="E115" s="13">
        <f t="shared" ca="1" si="20"/>
        <v>5.5889105735385218</v>
      </c>
      <c r="F115">
        <f>MonthlyData!BO115</f>
        <v>0</v>
      </c>
      <c r="G115">
        <f>MonthlyData!BP115</f>
        <v>0</v>
      </c>
      <c r="H115">
        <f>MonthlyData!BU115</f>
        <v>0</v>
      </c>
      <c r="I115">
        <f>MonthlyData!BA115</f>
        <v>4.8121843553724171</v>
      </c>
      <c r="K115" s="4">
        <f t="shared" si="21"/>
        <v>4628412.7605719203</v>
      </c>
      <c r="L115" s="4">
        <f t="shared" ca="1" si="22"/>
        <v>7479.6086555074817</v>
      </c>
      <c r="M115" s="4">
        <f t="shared" si="23"/>
        <v>0</v>
      </c>
      <c r="N115" s="4">
        <f t="shared" si="24"/>
        <v>0</v>
      </c>
      <c r="O115" s="4">
        <f t="shared" ca="1" si="25"/>
        <v>4635892.369227428</v>
      </c>
      <c r="P115" s="17"/>
    </row>
    <row r="116" spans="1:17" x14ac:dyDescent="0.35">
      <c r="A116" s="1">
        <f>MonthlyData!A116</f>
        <v>45108</v>
      </c>
      <c r="B116" s="13">
        <f t="shared" si="18"/>
        <v>2023</v>
      </c>
      <c r="C116" s="13">
        <f t="shared" si="19"/>
        <v>7</v>
      </c>
      <c r="D116" s="4">
        <f>MonthlyData!L116</f>
        <v>4482605.3983117854</v>
      </c>
      <c r="E116" s="13">
        <f t="shared" ca="1" si="20"/>
        <v>0.28709633857318684</v>
      </c>
      <c r="F116">
        <f>MonthlyData!BO116</f>
        <v>0</v>
      </c>
      <c r="G116">
        <f>MonthlyData!BP116</f>
        <v>0</v>
      </c>
      <c r="H116">
        <f>MonthlyData!BU116</f>
        <v>0</v>
      </c>
      <c r="I116">
        <f>MonthlyData!BA116</f>
        <v>4.8202815656050371</v>
      </c>
      <c r="K116" s="4">
        <f t="shared" si="21"/>
        <v>4628412.7605719203</v>
      </c>
      <c r="L116" s="4">
        <f t="shared" ca="1" si="22"/>
        <v>384.21947009199431</v>
      </c>
      <c r="M116" s="4">
        <f t="shared" si="23"/>
        <v>0</v>
      </c>
      <c r="N116" s="4">
        <f t="shared" si="24"/>
        <v>0</v>
      </c>
      <c r="O116" s="4">
        <f t="shared" ca="1" si="25"/>
        <v>4628796.9800420124</v>
      </c>
      <c r="P116" s="17"/>
    </row>
    <row r="117" spans="1:17" x14ac:dyDescent="0.35">
      <c r="A117" s="1">
        <f>MonthlyData!A117</f>
        <v>45139</v>
      </c>
      <c r="B117" s="13">
        <f t="shared" si="18"/>
        <v>2023</v>
      </c>
      <c r="C117" s="13">
        <f t="shared" si="19"/>
        <v>8</v>
      </c>
      <c r="D117" s="4">
        <f>MonthlyData!L117</f>
        <v>4212166.9383942354</v>
      </c>
      <c r="E117" s="13">
        <f t="shared" ca="1" si="20"/>
        <v>1.6761707873342053</v>
      </c>
      <c r="F117">
        <f>MonthlyData!BO117</f>
        <v>0</v>
      </c>
      <c r="G117">
        <f>MonthlyData!BP117</f>
        <v>0</v>
      </c>
      <c r="H117">
        <f>MonthlyData!BU117</f>
        <v>0</v>
      </c>
      <c r="I117">
        <f>MonthlyData!BA117</f>
        <v>4.8283137373023015</v>
      </c>
      <c r="K117" s="4">
        <f t="shared" si="21"/>
        <v>4628412.7605719203</v>
      </c>
      <c r="L117" s="4">
        <f t="shared" ca="1" si="22"/>
        <v>2243.2102579011321</v>
      </c>
      <c r="M117" s="4">
        <f t="shared" si="23"/>
        <v>0</v>
      </c>
      <c r="N117" s="4">
        <f t="shared" si="24"/>
        <v>0</v>
      </c>
      <c r="O117" s="4">
        <f t="shared" ca="1" si="25"/>
        <v>4630655.9708298212</v>
      </c>
      <c r="P117" s="17"/>
    </row>
    <row r="118" spans="1:17" x14ac:dyDescent="0.35">
      <c r="A118" s="1">
        <f>MonthlyData!A118</f>
        <v>45170</v>
      </c>
      <c r="B118" s="13">
        <f t="shared" si="18"/>
        <v>2023</v>
      </c>
      <c r="C118" s="13">
        <f t="shared" si="19"/>
        <v>9</v>
      </c>
      <c r="D118" s="4">
        <f>MonthlyData!L118</f>
        <v>4586011.5348508442</v>
      </c>
      <c r="E118" s="13">
        <f t="shared" ca="1" si="20"/>
        <v>28.222326899712005</v>
      </c>
      <c r="F118">
        <f>MonthlyData!BO118</f>
        <v>0</v>
      </c>
      <c r="G118">
        <f>MonthlyData!BP118</f>
        <v>0</v>
      </c>
      <c r="H118">
        <f>MonthlyData!BU118</f>
        <v>0</v>
      </c>
      <c r="I118">
        <f>MonthlyData!BA118</f>
        <v>4.836281906951478</v>
      </c>
      <c r="K118" s="4">
        <f t="shared" si="21"/>
        <v>4628412.7605719203</v>
      </c>
      <c r="L118" s="4">
        <f t="shared" ca="1" si="22"/>
        <v>37769.786755417401</v>
      </c>
      <c r="M118" s="4">
        <f t="shared" si="23"/>
        <v>0</v>
      </c>
      <c r="N118" s="4">
        <f t="shared" si="24"/>
        <v>0</v>
      </c>
      <c r="O118" s="4">
        <f t="shared" ca="1" si="25"/>
        <v>4666182.5473273378</v>
      </c>
      <c r="P118" s="17"/>
    </row>
    <row r="119" spans="1:17" x14ac:dyDescent="0.35">
      <c r="A119" s="1">
        <f>MonthlyData!A119</f>
        <v>45200</v>
      </c>
      <c r="B119" s="13">
        <f t="shared" si="18"/>
        <v>2023</v>
      </c>
      <c r="C119" s="13">
        <f t="shared" si="19"/>
        <v>10</v>
      </c>
      <c r="D119" s="4">
        <f>MonthlyData!L119</f>
        <v>4443897.0188826909</v>
      </c>
      <c r="E119" s="13">
        <f t="shared" ca="1" si="20"/>
        <v>178.0244559176316</v>
      </c>
      <c r="F119">
        <f>MonthlyData!BO119</f>
        <v>0</v>
      </c>
      <c r="G119">
        <f>MonthlyData!BP119</f>
        <v>1</v>
      </c>
      <c r="H119">
        <f>MonthlyData!BU119</f>
        <v>0</v>
      </c>
      <c r="I119">
        <f>MonthlyData!BA119</f>
        <v>4.8441870864585912</v>
      </c>
      <c r="K119" s="4">
        <f t="shared" si="21"/>
        <v>4628412.7605719203</v>
      </c>
      <c r="L119" s="4">
        <f t="shared" ca="1" si="22"/>
        <v>238249.16213151673</v>
      </c>
      <c r="M119" s="4">
        <f t="shared" si="23"/>
        <v>0</v>
      </c>
      <c r="N119" s="4">
        <f t="shared" si="24"/>
        <v>-269170.44459088001</v>
      </c>
      <c r="O119" s="4">
        <f t="shared" ca="1" si="25"/>
        <v>4597491.4781125579</v>
      </c>
      <c r="P119" s="17"/>
    </row>
    <row r="120" spans="1:17" x14ac:dyDescent="0.35">
      <c r="A120" s="1">
        <f>MonthlyData!A120</f>
        <v>45231</v>
      </c>
      <c r="B120" s="13">
        <f t="shared" si="18"/>
        <v>2023</v>
      </c>
      <c r="C120" s="13">
        <f t="shared" si="19"/>
        <v>11</v>
      </c>
      <c r="D120" s="4">
        <f>MonthlyData!L120</f>
        <v>4840223.0731529696</v>
      </c>
      <c r="E120" s="13">
        <f t="shared" ca="1" si="20"/>
        <v>403.99833333333333</v>
      </c>
      <c r="F120">
        <f>MonthlyData!BO120</f>
        <v>0</v>
      </c>
      <c r="G120">
        <f>MonthlyData!BP120</f>
        <v>1</v>
      </c>
      <c r="H120">
        <f>MonthlyData!BU120</f>
        <v>0</v>
      </c>
      <c r="I120">
        <f>MonthlyData!BA120</f>
        <v>4.8520302639196169</v>
      </c>
      <c r="K120" s="4">
        <f t="shared" si="21"/>
        <v>4628412.7605719203</v>
      </c>
      <c r="L120" s="4">
        <f t="shared" ca="1" si="22"/>
        <v>540668.77454033564</v>
      </c>
      <c r="M120" s="4">
        <f t="shared" si="23"/>
        <v>0</v>
      </c>
      <c r="N120" s="4">
        <f t="shared" si="24"/>
        <v>-269170.44459088001</v>
      </c>
      <c r="O120" s="4">
        <f t="shared" ca="1" si="25"/>
        <v>4899911.0905213766</v>
      </c>
      <c r="P120" s="17"/>
    </row>
    <row r="121" spans="1:17" x14ac:dyDescent="0.35">
      <c r="A121" s="1">
        <f>MonthlyData!A121</f>
        <v>45261</v>
      </c>
      <c r="B121" s="13">
        <f t="shared" si="18"/>
        <v>2023</v>
      </c>
      <c r="C121" s="13">
        <f t="shared" si="19"/>
        <v>12</v>
      </c>
      <c r="D121" s="4">
        <f>MonthlyData!L121</f>
        <v>5321691.4129834976</v>
      </c>
      <c r="E121" s="13">
        <f t="shared" ca="1" si="20"/>
        <v>629.70466952460959</v>
      </c>
      <c r="F121">
        <f>MonthlyData!BO121</f>
        <v>0</v>
      </c>
      <c r="G121">
        <f>MonthlyData!BP121</f>
        <v>0</v>
      </c>
      <c r="H121">
        <f>MonthlyData!BU121</f>
        <v>0</v>
      </c>
      <c r="I121">
        <f>MonthlyData!BA121</f>
        <v>4.8598124043616719</v>
      </c>
      <c r="K121" s="4">
        <f t="shared" si="21"/>
        <v>4628412.7605719203</v>
      </c>
      <c r="L121" s="4">
        <f t="shared" ca="1" si="22"/>
        <v>842730.33798208169</v>
      </c>
      <c r="M121" s="4">
        <f t="shared" si="23"/>
        <v>0</v>
      </c>
      <c r="N121" s="4">
        <f t="shared" si="24"/>
        <v>0</v>
      </c>
      <c r="O121" s="4">
        <f t="shared" ca="1" si="25"/>
        <v>5471143.0985540021</v>
      </c>
      <c r="P121" s="17"/>
      <c r="Q121" s="17"/>
    </row>
    <row r="122" spans="1:17" x14ac:dyDescent="0.35">
      <c r="A122" s="1">
        <f>EOMONTH(A121,0)+1</f>
        <v>45292</v>
      </c>
      <c r="B122" s="13">
        <f t="shared" si="18"/>
        <v>2024</v>
      </c>
      <c r="C122" s="13">
        <f t="shared" si="19"/>
        <v>1</v>
      </c>
      <c r="D122" s="4">
        <f>MonthlyData!L122</f>
        <v>5191252.9068947835</v>
      </c>
      <c r="E122" s="13">
        <f t="shared" ca="1" si="20"/>
        <v>793.4846429373913</v>
      </c>
      <c r="F122">
        <f t="shared" si="20"/>
        <v>0</v>
      </c>
      <c r="G122">
        <f t="shared" si="20"/>
        <v>0</v>
      </c>
      <c r="H122">
        <f>MonthlyData!BU122</f>
        <v>0</v>
      </c>
      <c r="I122">
        <f>LN(EXP(I121)+1)</f>
        <v>4.8675344504555822</v>
      </c>
      <c r="K122" s="4">
        <f t="shared" si="21"/>
        <v>4628412.7605719203</v>
      </c>
      <c r="L122" s="4">
        <f t="shared" ca="1" si="22"/>
        <v>1061916.1865689259</v>
      </c>
      <c r="M122" s="4">
        <f t="shared" si="23"/>
        <v>0</v>
      </c>
      <c r="N122" s="4">
        <f t="shared" si="24"/>
        <v>0</v>
      </c>
      <c r="O122" s="4">
        <f t="shared" ca="1" si="25"/>
        <v>5690328.9471408464</v>
      </c>
    </row>
    <row r="123" spans="1:17" x14ac:dyDescent="0.35">
      <c r="A123" s="1">
        <f t="shared" ref="A123:A145" si="26">EOMONTH(A122,0)+1</f>
        <v>45323</v>
      </c>
      <c r="B123" s="13">
        <f t="shared" si="18"/>
        <v>2024</v>
      </c>
      <c r="C123" s="13">
        <f t="shared" si="19"/>
        <v>2</v>
      </c>
      <c r="D123" s="4">
        <f>MonthlyData!L123</f>
        <v>5721499.9924026718</v>
      </c>
      <c r="E123" s="13">
        <f t="shared" ref="E123:G138" ca="1" si="27">E111</f>
        <v>736.10085614037712</v>
      </c>
      <c r="F123">
        <f t="shared" si="27"/>
        <v>0</v>
      </c>
      <c r="G123">
        <f t="shared" si="27"/>
        <v>0</v>
      </c>
      <c r="H123">
        <f>MonthlyData!BU123</f>
        <v>0</v>
      </c>
      <c r="I123">
        <f t="shared" ref="I123:I145" si="28">LN(EXP(I122)+1)</f>
        <v>4.8751973232011512</v>
      </c>
      <c r="K123" s="4">
        <f t="shared" si="21"/>
        <v>4628412.7605719203</v>
      </c>
      <c r="L123" s="4">
        <f t="shared" ca="1" si="22"/>
        <v>985119.7764698111</v>
      </c>
      <c r="M123" s="4">
        <f t="shared" si="23"/>
        <v>0</v>
      </c>
      <c r="N123" s="4">
        <f t="shared" si="24"/>
        <v>0</v>
      </c>
      <c r="O123" s="4">
        <f t="shared" ca="1" si="25"/>
        <v>5613532.5370417312</v>
      </c>
    </row>
    <row r="124" spans="1:17" x14ac:dyDescent="0.35">
      <c r="A124" s="1">
        <f t="shared" si="26"/>
        <v>45352</v>
      </c>
      <c r="B124" s="13">
        <f t="shared" si="18"/>
        <v>2024</v>
      </c>
      <c r="C124" s="13">
        <f t="shared" si="19"/>
        <v>3</v>
      </c>
      <c r="D124" s="4">
        <f>MonthlyData!L124</f>
        <v>5706334.0779105602</v>
      </c>
      <c r="E124" s="13">
        <f t="shared" ca="1" si="27"/>
        <v>577.21697535249291</v>
      </c>
      <c r="F124">
        <f t="shared" si="27"/>
        <v>1</v>
      </c>
      <c r="G124">
        <f t="shared" si="27"/>
        <v>0</v>
      </c>
      <c r="H124">
        <f>MonthlyData!BU124</f>
        <v>0</v>
      </c>
      <c r="I124">
        <f t="shared" si="28"/>
        <v>4.8828019225863706</v>
      </c>
      <c r="K124" s="4">
        <f t="shared" si="21"/>
        <v>4628412.7605719203</v>
      </c>
      <c r="L124" s="4">
        <f t="shared" ca="1" si="22"/>
        <v>772486.34204195091</v>
      </c>
      <c r="M124" s="4">
        <f t="shared" si="23"/>
        <v>168249.31587912</v>
      </c>
      <c r="N124" s="4">
        <f t="shared" si="24"/>
        <v>0</v>
      </c>
      <c r="O124" s="4">
        <f t="shared" ca="1" si="25"/>
        <v>5569148.4184929905</v>
      </c>
    </row>
    <row r="125" spans="1:17" x14ac:dyDescent="0.35">
      <c r="A125" s="1">
        <f t="shared" si="26"/>
        <v>45383</v>
      </c>
      <c r="B125" s="13">
        <f t="shared" si="18"/>
        <v>2024</v>
      </c>
      <c r="C125" s="13">
        <f t="shared" si="19"/>
        <v>4</v>
      </c>
      <c r="D125" s="4">
        <f>MonthlyData!L125</f>
        <v>5709519.1634184485</v>
      </c>
      <c r="E125" s="13">
        <f t="shared" ca="1" si="27"/>
        <v>307.33082472275549</v>
      </c>
      <c r="F125">
        <f t="shared" si="27"/>
        <v>1</v>
      </c>
      <c r="G125">
        <f t="shared" si="27"/>
        <v>0</v>
      </c>
      <c r="H125">
        <f>MonthlyData!BU125</f>
        <v>0</v>
      </c>
      <c r="I125">
        <f t="shared" si="28"/>
        <v>4.8903491282217537</v>
      </c>
      <c r="K125" s="4">
        <f t="shared" si="21"/>
        <v>4628412.7605719203</v>
      </c>
      <c r="L125" s="4">
        <f t="shared" ca="1" si="22"/>
        <v>411299.17297015968</v>
      </c>
      <c r="M125" s="4">
        <f t="shared" si="23"/>
        <v>168249.31587912</v>
      </c>
      <c r="N125" s="4">
        <f t="shared" si="24"/>
        <v>0</v>
      </c>
      <c r="O125" s="4">
        <f t="shared" ca="1" si="25"/>
        <v>5207961.2494211998</v>
      </c>
    </row>
    <row r="126" spans="1:17" x14ac:dyDescent="0.35">
      <c r="A126" s="1">
        <f t="shared" si="26"/>
        <v>45413</v>
      </c>
      <c r="B126" s="13">
        <f t="shared" si="18"/>
        <v>2024</v>
      </c>
      <c r="C126" s="13">
        <f t="shared" si="19"/>
        <v>5</v>
      </c>
      <c r="D126" s="4">
        <f>MonthlyData!L126</f>
        <v>5430698.2489263369</v>
      </c>
      <c r="E126" s="13">
        <f t="shared" ca="1" si="27"/>
        <v>103.00647094808046</v>
      </c>
      <c r="F126">
        <f t="shared" si="27"/>
        <v>1</v>
      </c>
      <c r="G126">
        <f t="shared" si="27"/>
        <v>0</v>
      </c>
      <c r="H126">
        <f>MonthlyData!BU126</f>
        <v>0</v>
      </c>
      <c r="I126">
        <f t="shared" si="28"/>
        <v>4.8978397999509111</v>
      </c>
      <c r="K126" s="4">
        <f t="shared" si="21"/>
        <v>4628412.7605719203</v>
      </c>
      <c r="L126" s="4">
        <f t="shared" ca="1" si="22"/>
        <v>137853.00042629716</v>
      </c>
      <c r="M126" s="4">
        <f t="shared" si="23"/>
        <v>168249.31587912</v>
      </c>
      <c r="N126" s="4">
        <f t="shared" si="24"/>
        <v>0</v>
      </c>
      <c r="O126" s="4">
        <f t="shared" ca="1" si="25"/>
        <v>4934515.0768773369</v>
      </c>
    </row>
    <row r="127" spans="1:17" x14ac:dyDescent="0.35">
      <c r="A127" s="1">
        <f t="shared" si="26"/>
        <v>45444</v>
      </c>
      <c r="B127" s="13">
        <f t="shared" si="18"/>
        <v>2024</v>
      </c>
      <c r="C127" s="13">
        <f t="shared" si="19"/>
        <v>6</v>
      </c>
      <c r="D127" s="4">
        <f>MonthlyData!L127</f>
        <v>5108824.3344342252</v>
      </c>
      <c r="E127" s="13">
        <f t="shared" ca="1" si="27"/>
        <v>5.5889105735385218</v>
      </c>
      <c r="F127">
        <f t="shared" si="27"/>
        <v>0</v>
      </c>
      <c r="G127">
        <f t="shared" si="27"/>
        <v>0</v>
      </c>
      <c r="H127">
        <f>MonthlyData!BU127</f>
        <v>0</v>
      </c>
      <c r="I127">
        <f t="shared" si="28"/>
        <v>4.9052747784384296</v>
      </c>
      <c r="K127" s="4">
        <f t="shared" si="21"/>
        <v>4628412.7605719203</v>
      </c>
      <c r="L127" s="4">
        <f t="shared" ca="1" si="22"/>
        <v>7479.6086555074817</v>
      </c>
      <c r="M127" s="4">
        <f t="shared" si="23"/>
        <v>0</v>
      </c>
      <c r="N127" s="4">
        <f t="shared" si="24"/>
        <v>0</v>
      </c>
      <c r="O127" s="4">
        <f t="shared" ca="1" si="25"/>
        <v>4635892.369227428</v>
      </c>
    </row>
    <row r="128" spans="1:17" x14ac:dyDescent="0.35">
      <c r="A128" s="1">
        <f t="shared" si="26"/>
        <v>45474</v>
      </c>
      <c r="B128" s="13">
        <f t="shared" si="18"/>
        <v>2024</v>
      </c>
      <c r="C128" s="13">
        <f t="shared" si="19"/>
        <v>7</v>
      </c>
      <c r="D128" s="4">
        <f>MonthlyData!L128</f>
        <v>4751604.4199421136</v>
      </c>
      <c r="E128" s="13">
        <f t="shared" ca="1" si="27"/>
        <v>0.28709633857318684</v>
      </c>
      <c r="F128">
        <f t="shared" si="27"/>
        <v>0</v>
      </c>
      <c r="G128">
        <f t="shared" si="27"/>
        <v>0</v>
      </c>
      <c r="H128">
        <f>MonthlyData!BU128</f>
        <v>0</v>
      </c>
      <c r="I128">
        <f t="shared" si="28"/>
        <v>4.9126548857360524</v>
      </c>
      <c r="K128" s="4">
        <f t="shared" si="21"/>
        <v>4628412.7605719203</v>
      </c>
      <c r="L128" s="4">
        <f t="shared" ca="1" si="22"/>
        <v>384.21947009199431</v>
      </c>
      <c r="M128" s="4">
        <f t="shared" si="23"/>
        <v>0</v>
      </c>
      <c r="N128" s="4">
        <f t="shared" si="24"/>
        <v>0</v>
      </c>
      <c r="O128" s="4">
        <f t="shared" ca="1" si="25"/>
        <v>4628796.9800420124</v>
      </c>
    </row>
    <row r="129" spans="1:18" x14ac:dyDescent="0.35">
      <c r="A129" s="1">
        <f t="shared" si="26"/>
        <v>45505</v>
      </c>
      <c r="B129" s="13">
        <f t="shared" si="18"/>
        <v>2024</v>
      </c>
      <c r="C129" s="13">
        <f t="shared" si="19"/>
        <v>8</v>
      </c>
      <c r="D129" s="4">
        <f>MonthlyData!L129</f>
        <v>4863179.505450001</v>
      </c>
      <c r="E129" s="13">
        <f t="shared" ca="1" si="27"/>
        <v>1.6761707873342053</v>
      </c>
      <c r="F129">
        <f t="shared" si="27"/>
        <v>0</v>
      </c>
      <c r="G129">
        <f t="shared" si="27"/>
        <v>0</v>
      </c>
      <c r="H129">
        <f>MonthlyData!BU129</f>
        <v>0</v>
      </c>
      <c r="I129">
        <f t="shared" si="28"/>
        <v>4.9199809258281251</v>
      </c>
      <c r="K129" s="4">
        <f t="shared" si="21"/>
        <v>4628412.7605719203</v>
      </c>
      <c r="L129" s="4">
        <f t="shared" ca="1" si="22"/>
        <v>2243.2102579011321</v>
      </c>
      <c r="M129" s="4">
        <f t="shared" si="23"/>
        <v>0</v>
      </c>
      <c r="N129" s="4">
        <f t="shared" si="24"/>
        <v>0</v>
      </c>
      <c r="O129" s="4">
        <f t="shared" ca="1" si="25"/>
        <v>4630655.9708298212</v>
      </c>
    </row>
    <row r="130" spans="1:18" x14ac:dyDescent="0.35">
      <c r="A130" s="1">
        <f t="shared" si="26"/>
        <v>45536</v>
      </c>
      <c r="B130" s="13">
        <f t="shared" si="18"/>
        <v>2024</v>
      </c>
      <c r="C130" s="13">
        <f t="shared" si="19"/>
        <v>9</v>
      </c>
      <c r="D130" s="4">
        <f>MonthlyData!L130</f>
        <v>4225940.5909578893</v>
      </c>
      <c r="E130" s="13">
        <f t="shared" ca="1" si="27"/>
        <v>28.222326899712005</v>
      </c>
      <c r="F130">
        <f t="shared" si="27"/>
        <v>0</v>
      </c>
      <c r="G130">
        <f t="shared" si="27"/>
        <v>0</v>
      </c>
      <c r="H130">
        <f>MonthlyData!BU130</f>
        <v>0</v>
      </c>
      <c r="I130">
        <f t="shared" si="28"/>
        <v>4.9272536851572051</v>
      </c>
      <c r="K130" s="4">
        <f t="shared" ref="K130:K145" si="29">$R$8</f>
        <v>4628412.7605719203</v>
      </c>
      <c r="L130" s="4">
        <f t="shared" ref="L130:L145" ca="1" si="30">E130*$R$9</f>
        <v>37769.786755417401</v>
      </c>
      <c r="M130" s="4">
        <f t="shared" ref="M130:M145" si="31">F130*$R$10</f>
        <v>0</v>
      </c>
      <c r="N130" s="4">
        <f t="shared" ref="N130:N145" si="32">G130*$R$11</f>
        <v>0</v>
      </c>
      <c r="O130" s="4">
        <f t="shared" ref="O130:O145" ca="1" si="33">SUM(K130:N130)</f>
        <v>4666182.5473273378</v>
      </c>
    </row>
    <row r="131" spans="1:18" x14ac:dyDescent="0.35">
      <c r="A131" s="1">
        <f t="shared" si="26"/>
        <v>45566</v>
      </c>
      <c r="B131" s="13">
        <f t="shared" ref="B131:B145" si="34">YEAR(A131)</f>
        <v>2024</v>
      </c>
      <c r="C131" s="13">
        <f t="shared" ref="C131:C145" si="35">MONTH(A131)</f>
        <v>10</v>
      </c>
      <c r="D131" s="4">
        <f>MonthlyData!L131</f>
        <v>4360697.6764657777</v>
      </c>
      <c r="E131" s="13">
        <f t="shared" ca="1" si="27"/>
        <v>178.0244559176316</v>
      </c>
      <c r="F131">
        <f t="shared" si="27"/>
        <v>0</v>
      </c>
      <c r="G131">
        <f t="shared" si="27"/>
        <v>1</v>
      </c>
      <c r="H131">
        <f>MonthlyData!BU131</f>
        <v>0</v>
      </c>
      <c r="I131">
        <f t="shared" si="28"/>
        <v>4.9344739331306924</v>
      </c>
      <c r="K131" s="4">
        <f t="shared" si="29"/>
        <v>4628412.7605719203</v>
      </c>
      <c r="L131" s="4">
        <f t="shared" ca="1" si="30"/>
        <v>238249.16213151673</v>
      </c>
      <c r="M131" s="4">
        <f t="shared" si="31"/>
        <v>0</v>
      </c>
      <c r="N131" s="4">
        <f t="shared" si="32"/>
        <v>-269170.44459088001</v>
      </c>
      <c r="O131" s="4">
        <f t="shared" ca="1" si="33"/>
        <v>4597491.4781125579</v>
      </c>
    </row>
    <row r="132" spans="1:18" x14ac:dyDescent="0.35">
      <c r="A132" s="1">
        <f t="shared" si="26"/>
        <v>45597</v>
      </c>
      <c r="B132" s="13">
        <f t="shared" si="34"/>
        <v>2024</v>
      </c>
      <c r="C132" s="13">
        <f t="shared" si="35"/>
        <v>11</v>
      </c>
      <c r="D132" s="4"/>
      <c r="E132" s="13">
        <f t="shared" ca="1" si="27"/>
        <v>403.99833333333333</v>
      </c>
      <c r="F132">
        <f t="shared" si="27"/>
        <v>0</v>
      </c>
      <c r="G132">
        <f t="shared" si="27"/>
        <v>1</v>
      </c>
      <c r="H132">
        <f>MonthlyData!BU132</f>
        <v>0</v>
      </c>
      <c r="I132">
        <f t="shared" si="28"/>
        <v>4.9416424226093048</v>
      </c>
      <c r="K132" s="4">
        <f t="shared" si="29"/>
        <v>4628412.7605719203</v>
      </c>
      <c r="L132" s="4">
        <f t="shared" ca="1" si="30"/>
        <v>540668.77454033564</v>
      </c>
      <c r="M132" s="4">
        <f t="shared" si="31"/>
        <v>0</v>
      </c>
      <c r="N132" s="4">
        <f t="shared" si="32"/>
        <v>-269170.44459088001</v>
      </c>
      <c r="O132" s="4">
        <f t="shared" ca="1" si="33"/>
        <v>4899911.0905213766</v>
      </c>
      <c r="R132" s="17"/>
    </row>
    <row r="133" spans="1:18" x14ac:dyDescent="0.35">
      <c r="A133" s="1">
        <f t="shared" si="26"/>
        <v>45627</v>
      </c>
      <c r="B133" s="13">
        <f t="shared" si="34"/>
        <v>2024</v>
      </c>
      <c r="C133" s="13">
        <f t="shared" si="35"/>
        <v>12</v>
      </c>
      <c r="D133" s="4"/>
      <c r="E133" s="13">
        <f t="shared" ca="1" si="27"/>
        <v>629.70466952460959</v>
      </c>
      <c r="F133">
        <f t="shared" si="27"/>
        <v>0</v>
      </c>
      <c r="G133">
        <f t="shared" si="27"/>
        <v>0</v>
      </c>
      <c r="H133">
        <f>MonthlyData!BU133</f>
        <v>0</v>
      </c>
      <c r="I133">
        <f t="shared" si="28"/>
        <v>4.9487598903781684</v>
      </c>
      <c r="K133" s="4">
        <f t="shared" si="29"/>
        <v>4628412.7605719203</v>
      </c>
      <c r="L133" s="4">
        <f t="shared" ca="1" si="30"/>
        <v>842730.33798208169</v>
      </c>
      <c r="M133" s="4">
        <f t="shared" si="31"/>
        <v>0</v>
      </c>
      <c r="N133" s="4">
        <f t="shared" si="32"/>
        <v>0</v>
      </c>
      <c r="O133" s="4">
        <f t="shared" ca="1" si="33"/>
        <v>5471143.0985540021</v>
      </c>
      <c r="Q133" s="17"/>
      <c r="R133" s="17"/>
    </row>
    <row r="134" spans="1:18" x14ac:dyDescent="0.35">
      <c r="A134" s="1">
        <f t="shared" si="26"/>
        <v>45658</v>
      </c>
      <c r="B134" s="13">
        <f t="shared" si="34"/>
        <v>2025</v>
      </c>
      <c r="C134" s="13">
        <f t="shared" si="35"/>
        <v>1</v>
      </c>
      <c r="D134" s="4"/>
      <c r="E134" s="13">
        <f t="shared" ca="1" si="27"/>
        <v>793.4846429373913</v>
      </c>
      <c r="F134">
        <f t="shared" si="27"/>
        <v>0</v>
      </c>
      <c r="G134">
        <f t="shared" si="27"/>
        <v>0</v>
      </c>
      <c r="H134">
        <f>MonthlyData!BU134</f>
        <v>0</v>
      </c>
      <c r="I134">
        <f t="shared" si="28"/>
        <v>4.9558270576012609</v>
      </c>
      <c r="K134" s="4">
        <f t="shared" si="29"/>
        <v>4628412.7605719203</v>
      </c>
      <c r="L134" s="4">
        <f t="shared" ca="1" si="30"/>
        <v>1061916.1865689259</v>
      </c>
      <c r="M134" s="4">
        <f t="shared" si="31"/>
        <v>0</v>
      </c>
      <c r="N134" s="4">
        <f t="shared" si="32"/>
        <v>0</v>
      </c>
      <c r="O134" s="4">
        <f t="shared" ca="1" si="33"/>
        <v>5690328.9471408464</v>
      </c>
    </row>
    <row r="135" spans="1:18" x14ac:dyDescent="0.35">
      <c r="A135" s="1">
        <f t="shared" si="26"/>
        <v>45689</v>
      </c>
      <c r="B135" s="13">
        <f t="shared" si="34"/>
        <v>2025</v>
      </c>
      <c r="C135" s="13">
        <f t="shared" si="35"/>
        <v>2</v>
      </c>
      <c r="D135" s="4"/>
      <c r="E135" s="13">
        <f t="shared" ca="1" si="27"/>
        <v>736.10085614037712</v>
      </c>
      <c r="F135">
        <f t="shared" si="27"/>
        <v>0</v>
      </c>
      <c r="G135">
        <f t="shared" si="27"/>
        <v>0</v>
      </c>
      <c r="H135">
        <f>MonthlyData!BU135</f>
        <v>0</v>
      </c>
      <c r="I135">
        <f t="shared" si="28"/>
        <v>4.9628446302599079</v>
      </c>
      <c r="K135" s="4">
        <f t="shared" si="29"/>
        <v>4628412.7605719203</v>
      </c>
      <c r="L135" s="4">
        <f t="shared" ca="1" si="30"/>
        <v>985119.7764698111</v>
      </c>
      <c r="M135" s="4">
        <f t="shared" si="31"/>
        <v>0</v>
      </c>
      <c r="N135" s="4">
        <f t="shared" si="32"/>
        <v>0</v>
      </c>
      <c r="O135" s="4">
        <f t="shared" ca="1" si="33"/>
        <v>5613532.5370417312</v>
      </c>
    </row>
    <row r="136" spans="1:18" x14ac:dyDescent="0.35">
      <c r="A136" s="1">
        <f t="shared" si="26"/>
        <v>45717</v>
      </c>
      <c r="B136" s="13">
        <f t="shared" si="34"/>
        <v>2025</v>
      </c>
      <c r="C136" s="13">
        <f t="shared" si="35"/>
        <v>3</v>
      </c>
      <c r="D136" s="4"/>
      <c r="E136" s="13">
        <f t="shared" ca="1" si="27"/>
        <v>577.21697535249291</v>
      </c>
      <c r="F136">
        <f t="shared" si="27"/>
        <v>1</v>
      </c>
      <c r="G136">
        <f t="shared" si="27"/>
        <v>0</v>
      </c>
      <c r="H136">
        <f>MonthlyData!BU136</f>
        <v>0</v>
      </c>
      <c r="I136">
        <f t="shared" si="28"/>
        <v>4.9698132995760016</v>
      </c>
      <c r="K136" s="4">
        <f t="shared" si="29"/>
        <v>4628412.7605719203</v>
      </c>
      <c r="L136" s="4">
        <f t="shared" ca="1" si="30"/>
        <v>772486.34204195091</v>
      </c>
      <c r="M136" s="4">
        <f t="shared" si="31"/>
        <v>168249.31587912</v>
      </c>
      <c r="N136" s="4">
        <f t="shared" si="32"/>
        <v>0</v>
      </c>
      <c r="O136" s="4">
        <f t="shared" ca="1" si="33"/>
        <v>5569148.4184929905</v>
      </c>
    </row>
    <row r="137" spans="1:18" x14ac:dyDescent="0.35">
      <c r="A137" s="1">
        <f t="shared" si="26"/>
        <v>45748</v>
      </c>
      <c r="B137" s="13">
        <f t="shared" si="34"/>
        <v>2025</v>
      </c>
      <c r="C137" s="13">
        <f t="shared" si="35"/>
        <v>4</v>
      </c>
      <c r="D137" s="4"/>
      <c r="E137" s="13">
        <f t="shared" ca="1" si="27"/>
        <v>307.33082472275549</v>
      </c>
      <c r="F137">
        <f t="shared" si="27"/>
        <v>1</v>
      </c>
      <c r="G137">
        <f t="shared" si="27"/>
        <v>0</v>
      </c>
      <c r="H137">
        <f>MonthlyData!BU137</f>
        <v>0</v>
      </c>
      <c r="I137">
        <f t="shared" si="28"/>
        <v>4.9767337424205751</v>
      </c>
      <c r="K137" s="4">
        <f t="shared" si="29"/>
        <v>4628412.7605719203</v>
      </c>
      <c r="L137" s="4">
        <f t="shared" ca="1" si="30"/>
        <v>411299.17297015968</v>
      </c>
      <c r="M137" s="4">
        <f t="shared" si="31"/>
        <v>168249.31587912</v>
      </c>
      <c r="N137" s="4">
        <f t="shared" si="32"/>
        <v>0</v>
      </c>
      <c r="O137" s="4">
        <f t="shared" ca="1" si="33"/>
        <v>5207961.2494211998</v>
      </c>
    </row>
    <row r="138" spans="1:18" x14ac:dyDescent="0.35">
      <c r="A138" s="1">
        <f t="shared" si="26"/>
        <v>45778</v>
      </c>
      <c r="B138" s="13">
        <f t="shared" si="34"/>
        <v>2025</v>
      </c>
      <c r="C138" s="13">
        <f t="shared" si="35"/>
        <v>5</v>
      </c>
      <c r="D138" s="4"/>
      <c r="E138" s="13">
        <f t="shared" ca="1" si="27"/>
        <v>103.00647094808046</v>
      </c>
      <c r="F138">
        <f t="shared" si="27"/>
        <v>1</v>
      </c>
      <c r="G138">
        <f t="shared" si="27"/>
        <v>0</v>
      </c>
      <c r="H138">
        <f>MonthlyData!BU138</f>
        <v>0</v>
      </c>
      <c r="I138">
        <f t="shared" si="28"/>
        <v>4.9836066217083372</v>
      </c>
      <c r="K138" s="4">
        <f t="shared" si="29"/>
        <v>4628412.7605719203</v>
      </c>
      <c r="L138" s="4">
        <f t="shared" ca="1" si="30"/>
        <v>137853.00042629716</v>
      </c>
      <c r="M138" s="4">
        <f t="shared" si="31"/>
        <v>168249.31587912</v>
      </c>
      <c r="N138" s="4">
        <f t="shared" si="32"/>
        <v>0</v>
      </c>
      <c r="O138" s="4">
        <f t="shared" ca="1" si="33"/>
        <v>4934515.0768773369</v>
      </c>
    </row>
    <row r="139" spans="1:18" x14ac:dyDescent="0.35">
      <c r="A139" s="1">
        <f t="shared" si="26"/>
        <v>45809</v>
      </c>
      <c r="B139" s="13">
        <f t="shared" si="34"/>
        <v>2025</v>
      </c>
      <c r="C139" s="13">
        <f t="shared" si="35"/>
        <v>6</v>
      </c>
      <c r="D139" s="4"/>
      <c r="E139" s="13">
        <f t="shared" ref="E139:G145" ca="1" si="36">E127</f>
        <v>5.5889105735385218</v>
      </c>
      <c r="F139">
        <f t="shared" si="36"/>
        <v>0</v>
      </c>
      <c r="G139">
        <f t="shared" si="36"/>
        <v>0</v>
      </c>
      <c r="H139">
        <f>MonthlyData!BU139</f>
        <v>0</v>
      </c>
      <c r="I139">
        <f t="shared" si="28"/>
        <v>4.9904325867787369</v>
      </c>
      <c r="K139" s="4">
        <f t="shared" si="29"/>
        <v>4628412.7605719203</v>
      </c>
      <c r="L139" s="4">
        <f t="shared" ca="1" si="30"/>
        <v>7479.6086555074817</v>
      </c>
      <c r="M139" s="4">
        <f t="shared" si="31"/>
        <v>0</v>
      </c>
      <c r="N139" s="4">
        <f t="shared" si="32"/>
        <v>0</v>
      </c>
      <c r="O139" s="4">
        <f t="shared" ca="1" si="33"/>
        <v>4635892.369227428</v>
      </c>
    </row>
    <row r="140" spans="1:18" x14ac:dyDescent="0.35">
      <c r="A140" s="1">
        <f t="shared" si="26"/>
        <v>45839</v>
      </c>
      <c r="B140" s="13">
        <f t="shared" si="34"/>
        <v>2025</v>
      </c>
      <c r="C140" s="13">
        <f t="shared" si="35"/>
        <v>7</v>
      </c>
      <c r="D140" s="4"/>
      <c r="E140" s="13">
        <f t="shared" ca="1" si="36"/>
        <v>0.28709633857318684</v>
      </c>
      <c r="F140">
        <f t="shared" si="36"/>
        <v>0</v>
      </c>
      <c r="G140">
        <f t="shared" si="36"/>
        <v>0</v>
      </c>
      <c r="H140">
        <f>MonthlyData!BU140</f>
        <v>0</v>
      </c>
      <c r="I140">
        <f t="shared" si="28"/>
        <v>4.9972122737641156</v>
      </c>
      <c r="K140" s="4">
        <f t="shared" si="29"/>
        <v>4628412.7605719203</v>
      </c>
      <c r="L140" s="4">
        <f t="shared" ca="1" si="30"/>
        <v>384.21947009199431</v>
      </c>
      <c r="M140" s="4">
        <f t="shared" si="31"/>
        <v>0</v>
      </c>
      <c r="N140" s="4">
        <f t="shared" si="32"/>
        <v>0</v>
      </c>
      <c r="O140" s="4">
        <f t="shared" ca="1" si="33"/>
        <v>4628796.9800420124</v>
      </c>
    </row>
    <row r="141" spans="1:18" x14ac:dyDescent="0.35">
      <c r="A141" s="1">
        <f t="shared" si="26"/>
        <v>45870</v>
      </c>
      <c r="B141" s="13">
        <f t="shared" si="34"/>
        <v>2025</v>
      </c>
      <c r="C141" s="13">
        <f t="shared" si="35"/>
        <v>8</v>
      </c>
      <c r="D141" s="4"/>
      <c r="E141" s="13">
        <f t="shared" ca="1" si="36"/>
        <v>1.6761707873342053</v>
      </c>
      <c r="F141">
        <f t="shared" si="36"/>
        <v>0</v>
      </c>
      <c r="G141">
        <f t="shared" si="36"/>
        <v>0</v>
      </c>
      <c r="H141">
        <f>MonthlyData!BU141</f>
        <v>0</v>
      </c>
      <c r="I141">
        <f t="shared" si="28"/>
        <v>5.0039463059454601</v>
      </c>
      <c r="K141" s="4">
        <f t="shared" si="29"/>
        <v>4628412.7605719203</v>
      </c>
      <c r="L141" s="4">
        <f t="shared" ca="1" si="30"/>
        <v>2243.2102579011321</v>
      </c>
      <c r="M141" s="4">
        <f t="shared" si="31"/>
        <v>0</v>
      </c>
      <c r="N141" s="4">
        <f t="shared" si="32"/>
        <v>0</v>
      </c>
      <c r="O141" s="4">
        <f t="shared" ca="1" si="33"/>
        <v>4630655.9708298212</v>
      </c>
    </row>
    <row r="142" spans="1:18" x14ac:dyDescent="0.35">
      <c r="A142" s="1">
        <f t="shared" si="26"/>
        <v>45901</v>
      </c>
      <c r="B142" s="13">
        <f t="shared" si="34"/>
        <v>2025</v>
      </c>
      <c r="C142" s="13">
        <f t="shared" si="35"/>
        <v>9</v>
      </c>
      <c r="D142" s="4"/>
      <c r="E142" s="13">
        <f t="shared" ca="1" si="36"/>
        <v>28.222326899712005</v>
      </c>
      <c r="F142">
        <f t="shared" si="36"/>
        <v>0</v>
      </c>
      <c r="G142">
        <f t="shared" si="36"/>
        <v>0</v>
      </c>
      <c r="H142">
        <f>MonthlyData!BU142</f>
        <v>0</v>
      </c>
      <c r="I142">
        <f t="shared" si="28"/>
        <v>5.0106352940962564</v>
      </c>
      <c r="K142" s="4">
        <f t="shared" si="29"/>
        <v>4628412.7605719203</v>
      </c>
      <c r="L142" s="4">
        <f t="shared" ca="1" si="30"/>
        <v>37769.786755417401</v>
      </c>
      <c r="M142" s="4">
        <f t="shared" si="31"/>
        <v>0</v>
      </c>
      <c r="N142" s="4">
        <f t="shared" si="32"/>
        <v>0</v>
      </c>
      <c r="O142" s="4">
        <f t="shared" ca="1" si="33"/>
        <v>4666182.5473273378</v>
      </c>
    </row>
    <row r="143" spans="1:18" x14ac:dyDescent="0.35">
      <c r="A143" s="1">
        <f t="shared" si="26"/>
        <v>45931</v>
      </c>
      <c r="B143" s="13">
        <f t="shared" si="34"/>
        <v>2025</v>
      </c>
      <c r="C143" s="13">
        <f t="shared" si="35"/>
        <v>10</v>
      </c>
      <c r="D143" s="4"/>
      <c r="E143" s="13">
        <f ca="1">E131</f>
        <v>178.0244559176316</v>
      </c>
      <c r="F143">
        <f t="shared" si="36"/>
        <v>0</v>
      </c>
      <c r="G143">
        <f t="shared" si="36"/>
        <v>1</v>
      </c>
      <c r="H143">
        <f>MonthlyData!BU143</f>
        <v>0</v>
      </c>
      <c r="I143">
        <f t="shared" si="28"/>
        <v>5.0172798368149252</v>
      </c>
      <c r="K143" s="4">
        <f t="shared" si="29"/>
        <v>4628412.7605719203</v>
      </c>
      <c r="L143" s="4">
        <f t="shared" ca="1" si="30"/>
        <v>238249.16213151673</v>
      </c>
      <c r="M143" s="4">
        <f t="shared" si="31"/>
        <v>0</v>
      </c>
      <c r="N143" s="4">
        <f t="shared" si="32"/>
        <v>-269170.44459088001</v>
      </c>
      <c r="O143" s="4">
        <f t="shared" ca="1" si="33"/>
        <v>4597491.4781125579</v>
      </c>
    </row>
    <row r="144" spans="1:18" x14ac:dyDescent="0.35">
      <c r="A144" s="1">
        <f t="shared" si="26"/>
        <v>45962</v>
      </c>
      <c r="B144" s="13">
        <f t="shared" si="34"/>
        <v>2025</v>
      </c>
      <c r="C144" s="13">
        <f t="shared" si="35"/>
        <v>11</v>
      </c>
      <c r="D144" s="4"/>
      <c r="E144" s="13">
        <f ca="1">E132</f>
        <v>403.99833333333333</v>
      </c>
      <c r="F144">
        <f t="shared" si="36"/>
        <v>0</v>
      </c>
      <c r="G144">
        <f t="shared" si="36"/>
        <v>1</v>
      </c>
      <c r="H144">
        <f>MonthlyData!BU144</f>
        <v>0</v>
      </c>
      <c r="I144">
        <f t="shared" si="28"/>
        <v>5.0238805208462773</v>
      </c>
      <c r="K144" s="4">
        <f t="shared" si="29"/>
        <v>4628412.7605719203</v>
      </c>
      <c r="L144" s="4">
        <f t="shared" ca="1" si="30"/>
        <v>540668.77454033564</v>
      </c>
      <c r="M144" s="4">
        <f t="shared" si="31"/>
        <v>0</v>
      </c>
      <c r="N144" s="4">
        <f t="shared" si="32"/>
        <v>-269170.44459088001</v>
      </c>
      <c r="O144" s="4">
        <f t="shared" ca="1" si="33"/>
        <v>4899911.0905213766</v>
      </c>
    </row>
    <row r="145" spans="1:18" x14ac:dyDescent="0.35">
      <c r="A145" s="1">
        <f t="shared" si="26"/>
        <v>45992</v>
      </c>
      <c r="B145" s="13">
        <f t="shared" si="34"/>
        <v>2025</v>
      </c>
      <c r="C145" s="13">
        <f t="shared" si="35"/>
        <v>12</v>
      </c>
      <c r="D145" s="4"/>
      <c r="E145" s="13">
        <f ca="1">E133</f>
        <v>629.70466952460959</v>
      </c>
      <c r="F145">
        <f t="shared" si="36"/>
        <v>0</v>
      </c>
      <c r="G145">
        <f t="shared" si="36"/>
        <v>0</v>
      </c>
      <c r="H145">
        <f>MonthlyData!BU145</f>
        <v>0</v>
      </c>
      <c r="I145">
        <f t="shared" si="28"/>
        <v>5.0304379213924362</v>
      </c>
      <c r="K145" s="4">
        <f t="shared" si="29"/>
        <v>4628412.7605719203</v>
      </c>
      <c r="L145" s="4">
        <f t="shared" ca="1" si="30"/>
        <v>842730.33798208169</v>
      </c>
      <c r="M145" s="4">
        <f t="shared" si="31"/>
        <v>0</v>
      </c>
      <c r="N145" s="4">
        <f t="shared" si="32"/>
        <v>0</v>
      </c>
      <c r="O145" s="4">
        <f t="shared" ca="1" si="33"/>
        <v>5471143.0985540021</v>
      </c>
      <c r="Q145" s="17"/>
      <c r="R145" s="17"/>
    </row>
    <row r="146" spans="1:18" x14ac:dyDescent="0.35">
      <c r="A146" s="1"/>
      <c r="D146" s="4"/>
    </row>
    <row r="147" spans="1:18" x14ac:dyDescent="0.35">
      <c r="A147" s="1"/>
      <c r="D147" s="4"/>
    </row>
    <row r="148" spans="1:18" x14ac:dyDescent="0.35">
      <c r="A148" s="1"/>
      <c r="D148" s="4"/>
    </row>
    <row r="149" spans="1:18" x14ac:dyDescent="0.35">
      <c r="A149" s="1"/>
      <c r="D149" s="4"/>
    </row>
    <row r="150" spans="1:18" x14ac:dyDescent="0.35">
      <c r="A150" s="1"/>
      <c r="D150" s="4"/>
    </row>
    <row r="151" spans="1:18" x14ac:dyDescent="0.35">
      <c r="A151" s="1"/>
      <c r="D151" s="4"/>
    </row>
    <row r="152" spans="1:18" x14ac:dyDescent="0.35">
      <c r="A152" s="1"/>
      <c r="D152" s="4"/>
    </row>
    <row r="153" spans="1:18" x14ac:dyDescent="0.35">
      <c r="A153" s="1"/>
      <c r="D153" s="4"/>
    </row>
    <row r="154" spans="1:18" x14ac:dyDescent="0.35">
      <c r="A154" s="1"/>
      <c r="D154" s="4"/>
    </row>
    <row r="155" spans="1:18" x14ac:dyDescent="0.35">
      <c r="A155" s="1"/>
      <c r="D155" s="4"/>
    </row>
    <row r="156" spans="1:18" x14ac:dyDescent="0.35">
      <c r="A156" s="1"/>
      <c r="D156" s="4"/>
    </row>
    <row r="157" spans="1:18" x14ac:dyDescent="0.35">
      <c r="A157" s="1"/>
      <c r="D157" s="4"/>
    </row>
    <row r="158" spans="1:18" x14ac:dyDescent="0.35">
      <c r="A158" s="1"/>
      <c r="D158" s="4"/>
    </row>
    <row r="159" spans="1:18" x14ac:dyDescent="0.35">
      <c r="A159" s="1"/>
      <c r="D159" s="4"/>
    </row>
    <row r="160" spans="1:18" x14ac:dyDescent="0.35">
      <c r="A160" s="1"/>
      <c r="D160" s="4"/>
    </row>
    <row r="161" spans="1:4" x14ac:dyDescent="0.35">
      <c r="A161" s="1"/>
      <c r="D161" s="4"/>
    </row>
    <row r="162" spans="1:4" x14ac:dyDescent="0.35">
      <c r="A162" s="1"/>
      <c r="D162" s="4"/>
    </row>
    <row r="163" spans="1:4" x14ac:dyDescent="0.35">
      <c r="A163" s="1"/>
      <c r="D163" s="4"/>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2120-2354-4DC0-9228-C49CE5DE0AC1}">
  <sheetPr codeName="Sheet16"/>
  <dimension ref="B2:L32"/>
  <sheetViews>
    <sheetView topLeftCell="A4" workbookViewId="0">
      <selection activeCell="O24" sqref="O24"/>
    </sheetView>
  </sheetViews>
  <sheetFormatPr defaultRowHeight="14" x14ac:dyDescent="0.3"/>
  <cols>
    <col min="1" max="1" width="8.7265625" style="355"/>
    <col min="2" max="2" width="8.81640625" style="355" bestFit="1" customWidth="1"/>
    <col min="3" max="3" width="13.90625" style="355" bestFit="1" customWidth="1"/>
    <col min="4" max="4" width="11.26953125" style="355" bestFit="1" customWidth="1"/>
    <col min="5" max="5" width="9.81640625" style="355" customWidth="1"/>
    <col min="6" max="6" width="10.7265625" style="355" bestFit="1" customWidth="1"/>
    <col min="7" max="7" width="14.36328125" style="355" bestFit="1" customWidth="1"/>
    <col min="8" max="8" width="8.7265625" style="355"/>
    <col min="9" max="9" width="8.81640625" style="355" bestFit="1" customWidth="1"/>
    <col min="10" max="10" width="10.81640625" style="355" bestFit="1" customWidth="1"/>
    <col min="11" max="11" width="11.81640625" style="355" customWidth="1"/>
    <col min="12" max="12" width="10.453125" style="355" customWidth="1"/>
    <col min="13" max="16384" width="8.7265625" style="355"/>
  </cols>
  <sheetData>
    <row r="2" spans="2:12" x14ac:dyDescent="0.3">
      <c r="D2" s="356" t="s">
        <v>438</v>
      </c>
      <c r="J2" s="356" t="s">
        <v>439</v>
      </c>
    </row>
    <row r="4" spans="2:12" x14ac:dyDescent="0.3">
      <c r="C4" s="355" t="s">
        <v>117</v>
      </c>
      <c r="D4" s="355" t="s">
        <v>118</v>
      </c>
      <c r="E4" s="355" t="s">
        <v>119</v>
      </c>
      <c r="J4" s="355" t="s">
        <v>117</v>
      </c>
      <c r="K4" s="355" t="s">
        <v>118</v>
      </c>
      <c r="L4" s="355" t="s">
        <v>119</v>
      </c>
    </row>
    <row r="5" spans="2:12" x14ac:dyDescent="0.3">
      <c r="C5" s="354" t="s">
        <v>113</v>
      </c>
      <c r="D5" s="354" t="s">
        <v>114</v>
      </c>
      <c r="E5" s="354" t="s">
        <v>170</v>
      </c>
      <c r="J5" s="354" t="s">
        <v>113</v>
      </c>
      <c r="K5" s="354" t="s">
        <v>114</v>
      </c>
      <c r="L5" s="354" t="s">
        <v>170</v>
      </c>
    </row>
    <row r="6" spans="2:12" x14ac:dyDescent="0.3">
      <c r="B6" s="355">
        <v>2014</v>
      </c>
      <c r="C6" s="357">
        <f>'Normalized Annual Summary'!Y5</f>
        <v>55514123</v>
      </c>
      <c r="D6" s="357">
        <f>SUMIFS(MonthlyData!O:O,MonthlyData!B:B,'kW Forecast'!B6)</f>
        <v>140476.78</v>
      </c>
      <c r="E6" s="358">
        <f>D6/C6</f>
        <v>2.5304692285240639E-3</v>
      </c>
      <c r="F6" s="358"/>
      <c r="G6" s="358"/>
      <c r="I6" s="355">
        <v>2014</v>
      </c>
      <c r="J6" s="357">
        <f>SUMIFS(MonthlyData!M:M,MonthlyData!B:B,'kW Forecast'!I6)</f>
        <v>1444270</v>
      </c>
      <c r="K6" s="357">
        <f>SUMIFS(MonthlyData!P:P,MonthlyData!B:B,'kW Forecast'!I6)</f>
        <v>2714.92</v>
      </c>
      <c r="L6" s="358">
        <f>K6/J6</f>
        <v>1.8797870204324677E-3</v>
      </c>
    </row>
    <row r="7" spans="2:12" x14ac:dyDescent="0.3">
      <c r="B7" s="355">
        <f>B6+1</f>
        <v>2015</v>
      </c>
      <c r="C7" s="357">
        <f>'Normalized Annual Summary'!Y6</f>
        <v>59448871</v>
      </c>
      <c r="D7" s="357">
        <f>SUMIFS(MonthlyData!O:O,MonthlyData!B:B,'kW Forecast'!B7)</f>
        <v>174544.44</v>
      </c>
      <c r="E7" s="358">
        <f t="shared" ref="E7:E15" si="0">D7/C7</f>
        <v>2.9360429738018068E-3</v>
      </c>
      <c r="F7" s="358"/>
      <c r="G7" s="358"/>
      <c r="I7" s="355">
        <f>I6+1</f>
        <v>2015</v>
      </c>
      <c r="J7" s="357">
        <f>SUMIFS(MonthlyData!M:M,MonthlyData!B:B,'kW Forecast'!I7)</f>
        <v>664378</v>
      </c>
      <c r="K7" s="357">
        <f>SUMIFS(MonthlyData!P:P,MonthlyData!B:B,'kW Forecast'!I7)</f>
        <v>1980</v>
      </c>
      <c r="L7" s="358">
        <f t="shared" ref="L7:L15" si="1">K7/J7</f>
        <v>2.9802311334812411E-3</v>
      </c>
    </row>
    <row r="8" spans="2:12" x14ac:dyDescent="0.3">
      <c r="B8" s="355">
        <f t="shared" ref="B8:B16" si="2">B7+1</f>
        <v>2016</v>
      </c>
      <c r="C8" s="357">
        <f>'Normalized Annual Summary'!Y7</f>
        <v>60749110</v>
      </c>
      <c r="D8" s="357">
        <f>SUMIFS(MonthlyData!O:O,MonthlyData!B:B,'kW Forecast'!B8)</f>
        <v>171061.99000000002</v>
      </c>
      <c r="E8" s="358">
        <f t="shared" si="0"/>
        <v>2.8158764795072721E-3</v>
      </c>
      <c r="F8" s="358"/>
      <c r="G8" s="358"/>
      <c r="I8" s="355">
        <f t="shared" ref="I8:I16" si="3">I7+1</f>
        <v>2016</v>
      </c>
      <c r="J8" s="357">
        <f>SUMIFS(MonthlyData!M:M,MonthlyData!B:B,'kW Forecast'!I8)</f>
        <v>607008</v>
      </c>
      <c r="K8" s="357">
        <f>SUMIFS(MonthlyData!P:P,MonthlyData!B:B,'kW Forecast'!I8)</f>
        <v>1503.36</v>
      </c>
      <c r="L8" s="358">
        <f t="shared" si="1"/>
        <v>2.4766724656017712E-3</v>
      </c>
    </row>
    <row r="9" spans="2:12" x14ac:dyDescent="0.3">
      <c r="B9" s="355">
        <f t="shared" si="2"/>
        <v>2017</v>
      </c>
      <c r="C9" s="357">
        <f>'Normalized Annual Summary'!Y8</f>
        <v>59958732.662860565</v>
      </c>
      <c r="D9" s="357">
        <f>SUMIFS(MonthlyData!O:O,MonthlyData!B:B,'kW Forecast'!B9)</f>
        <v>171235.85000000003</v>
      </c>
      <c r="E9" s="358">
        <f t="shared" si="0"/>
        <v>2.8558950864227715E-3</v>
      </c>
      <c r="F9" s="358"/>
      <c r="G9" s="358"/>
      <c r="I9" s="355">
        <f t="shared" si="3"/>
        <v>2017</v>
      </c>
      <c r="J9" s="357">
        <f>SUMIFS(MonthlyData!M:M,MonthlyData!B:B,'kW Forecast'!I9)</f>
        <v>513973.00000000006</v>
      </c>
      <c r="K9" s="357">
        <f>SUMIFS(MonthlyData!P:P,MonthlyData!B:B,'kW Forecast'!I9)</f>
        <v>1392.24</v>
      </c>
      <c r="L9" s="358">
        <f t="shared" si="1"/>
        <v>2.7087804223179038E-3</v>
      </c>
    </row>
    <row r="10" spans="2:12" x14ac:dyDescent="0.3">
      <c r="B10" s="355">
        <f t="shared" si="2"/>
        <v>2018</v>
      </c>
      <c r="C10" s="357">
        <f>'Normalized Annual Summary'!Y9</f>
        <v>59526842.000000007</v>
      </c>
      <c r="D10" s="357">
        <f>SUMIFS(MonthlyData!O:O,MonthlyData!B:B,'kW Forecast'!B10)</f>
        <v>183204.57</v>
      </c>
      <c r="E10" s="358">
        <f t="shared" si="0"/>
        <v>3.0776799817467215E-3</v>
      </c>
      <c r="F10" s="358"/>
      <c r="G10" s="358"/>
      <c r="I10" s="355">
        <f t="shared" si="3"/>
        <v>2018</v>
      </c>
      <c r="J10" s="357">
        <f>SUMIFS(MonthlyData!M:M,MonthlyData!B:B,'kW Forecast'!I10)</f>
        <v>517432.00000000006</v>
      </c>
      <c r="K10" s="357">
        <f>SUMIFS(MonthlyData!P:P,MonthlyData!B:B,'kW Forecast'!I10)</f>
        <v>1421.0400000000002</v>
      </c>
      <c r="L10" s="358">
        <f t="shared" si="1"/>
        <v>2.7463318851559241E-3</v>
      </c>
    </row>
    <row r="11" spans="2:12" x14ac:dyDescent="0.3">
      <c r="B11" s="355">
        <f t="shared" si="2"/>
        <v>2019</v>
      </c>
      <c r="C11" s="357">
        <f>'Normalized Annual Summary'!Y10</f>
        <v>60254777</v>
      </c>
      <c r="D11" s="357">
        <f>SUMIFS(MonthlyData!O:O,MonthlyData!B:B,'kW Forecast'!B11)</f>
        <v>171054.99999999997</v>
      </c>
      <c r="E11" s="358">
        <f t="shared" si="0"/>
        <v>2.8388620540409598E-3</v>
      </c>
      <c r="F11" s="358"/>
      <c r="G11" s="358"/>
      <c r="I11" s="355">
        <f t="shared" si="3"/>
        <v>2019</v>
      </c>
      <c r="J11" s="357">
        <f>SUMIFS(MonthlyData!M:M,MonthlyData!B:B,'kW Forecast'!I11)</f>
        <v>524449</v>
      </c>
      <c r="K11" s="357">
        <f>SUMIFS(MonthlyData!P:P,MonthlyData!B:B,'kW Forecast'!I11)</f>
        <v>1463.0400000000002</v>
      </c>
      <c r="L11" s="358">
        <f t="shared" si="1"/>
        <v>2.7896706829453393E-3</v>
      </c>
    </row>
    <row r="12" spans="2:12" x14ac:dyDescent="0.3">
      <c r="B12" s="355">
        <f t="shared" si="2"/>
        <v>2020</v>
      </c>
      <c r="C12" s="357">
        <f>'Normalized Annual Summary'!Y11</f>
        <v>57599230</v>
      </c>
      <c r="D12" s="357">
        <f>SUMIFS(MonthlyData!O:O,MonthlyData!B:B,'kW Forecast'!B12)</f>
        <v>161087.01</v>
      </c>
      <c r="E12" s="358">
        <f t="shared" si="0"/>
        <v>2.7966868654320555E-3</v>
      </c>
      <c r="F12" s="358"/>
      <c r="G12" s="358"/>
      <c r="I12" s="355">
        <f t="shared" si="3"/>
        <v>2020</v>
      </c>
      <c r="J12" s="357">
        <f>SUMIFS(MonthlyData!M:M,MonthlyData!B:B,'kW Forecast'!I12)</f>
        <v>526417</v>
      </c>
      <c r="K12" s="357">
        <f>SUMIFS(MonthlyData!P:P,MonthlyData!B:B,'kW Forecast'!I12)</f>
        <v>1500</v>
      </c>
      <c r="L12" s="358">
        <f t="shared" si="1"/>
        <v>2.8494520503707138E-3</v>
      </c>
    </row>
    <row r="13" spans="2:12" x14ac:dyDescent="0.3">
      <c r="B13" s="355">
        <f t="shared" si="2"/>
        <v>2021</v>
      </c>
      <c r="C13" s="357">
        <f>'Normalized Annual Summary'!Y12</f>
        <v>57309860.999999985</v>
      </c>
      <c r="D13" s="357">
        <f>SUMIFS(MonthlyData!O:O,MonthlyData!B:B,'kW Forecast'!B13)</f>
        <v>156226.97999999998</v>
      </c>
      <c r="E13" s="358">
        <f t="shared" si="0"/>
        <v>2.7260052157516142E-3</v>
      </c>
      <c r="F13" s="358"/>
      <c r="G13" s="358"/>
      <c r="I13" s="355">
        <f t="shared" si="3"/>
        <v>2021</v>
      </c>
      <c r="J13" s="357">
        <f>SUMIFS(MonthlyData!M:M,MonthlyData!B:B,'kW Forecast'!I13)</f>
        <v>531088</v>
      </c>
      <c r="K13" s="357">
        <f>SUMIFS(MonthlyData!P:P,MonthlyData!B:B,'kW Forecast'!I13)</f>
        <v>1532.0400000000002</v>
      </c>
      <c r="L13" s="358">
        <f t="shared" si="1"/>
        <v>2.8847196698099003E-3</v>
      </c>
    </row>
    <row r="14" spans="2:12" x14ac:dyDescent="0.3">
      <c r="B14" s="355">
        <f t="shared" si="2"/>
        <v>2022</v>
      </c>
      <c r="C14" s="357">
        <f>'Normalized Annual Summary'!Y13</f>
        <v>56933855</v>
      </c>
      <c r="D14" s="357">
        <f>SUMIFS(MonthlyData!O:O,MonthlyData!B:B,'kW Forecast'!B14)</f>
        <v>155849</v>
      </c>
      <c r="E14" s="358">
        <f t="shared" si="0"/>
        <v>2.7373695317136001E-3</v>
      </c>
      <c r="F14" s="358"/>
      <c r="G14" s="358"/>
      <c r="I14" s="355">
        <f t="shared" si="3"/>
        <v>2022</v>
      </c>
      <c r="J14" s="357">
        <f>SUMIFS(MonthlyData!M:M,MonthlyData!B:B,'kW Forecast'!I14)</f>
        <v>492971.99999999994</v>
      </c>
      <c r="K14" s="357">
        <f>SUMIFS(MonthlyData!P:P,MonthlyData!B:B,'kW Forecast'!I14)</f>
        <v>1517.0400000000002</v>
      </c>
      <c r="L14" s="358">
        <f t="shared" si="1"/>
        <v>3.0773350210559634E-3</v>
      </c>
    </row>
    <row r="15" spans="2:12" x14ac:dyDescent="0.3">
      <c r="B15" s="355">
        <f t="shared" si="2"/>
        <v>2023</v>
      </c>
      <c r="C15" s="357">
        <f>'Normalized Annual Summary'!Y14</f>
        <v>56007213.399999999</v>
      </c>
      <c r="D15" s="357">
        <f>SUMIFS(MonthlyData!O:O,MonthlyData!B:B,'kW Forecast'!B15)</f>
        <v>151259.79</v>
      </c>
      <c r="E15" s="358">
        <f t="shared" si="0"/>
        <v>2.7007197969253012E-3</v>
      </c>
      <c r="F15" s="358"/>
      <c r="G15" s="358"/>
      <c r="I15" s="355">
        <f t="shared" si="3"/>
        <v>2023</v>
      </c>
      <c r="J15" s="357">
        <f>SUMIFS(MonthlyData!M:M,MonthlyData!B:B,'kW Forecast'!I15)</f>
        <v>491060.4</v>
      </c>
      <c r="K15" s="357">
        <f>SUMIFS(MonthlyData!P:P,MonthlyData!B:B,'kW Forecast'!I15)</f>
        <v>1424.76</v>
      </c>
      <c r="L15" s="358">
        <f t="shared" si="1"/>
        <v>2.9013946145932351E-3</v>
      </c>
    </row>
    <row r="16" spans="2:12" ht="14.5" x14ac:dyDescent="0.35">
      <c r="B16" s="424">
        <f t="shared" si="2"/>
        <v>2024</v>
      </c>
      <c r="C16" s="425">
        <f>SUMIFS(MonthlyData!L:L,MonthlyData!B:B,'kW Forecast'!B16)</f>
        <v>51069550.916802809</v>
      </c>
      <c r="D16" s="425">
        <f>SUMIFS(MonthlyData!O:O,MonthlyData!B:B,'kW Forecast'!B16)</f>
        <v>128896.36</v>
      </c>
      <c r="E16" s="426">
        <f t="shared" ref="E16" si="4">D16/C16</f>
        <v>2.52393760442469E-3</v>
      </c>
      <c r="F16" s="426"/>
      <c r="G16" s="426"/>
      <c r="H16" s="424"/>
      <c r="I16" s="424">
        <f t="shared" si="3"/>
        <v>2024</v>
      </c>
      <c r="J16" s="425">
        <f>SUMIFS(MonthlyData!M:M,MonthlyData!B:B,'kW Forecast'!I16)</f>
        <v>392098</v>
      </c>
      <c r="K16" s="425">
        <f>SUMIFS(MonthlyData!P:P,MonthlyData!B:B,'kW Forecast'!I16)</f>
        <v>1187.3</v>
      </c>
      <c r="L16" s="426">
        <f t="shared" ref="L16" si="5">K16/J16</f>
        <v>3.0280695132339362E-3</v>
      </c>
    </row>
    <row r="17" spans="2:12" x14ac:dyDescent="0.3">
      <c r="C17" s="357"/>
      <c r="D17" s="357"/>
      <c r="E17" s="358"/>
      <c r="F17" s="358"/>
      <c r="G17" s="358"/>
      <c r="J17" s="357"/>
      <c r="K17" s="357"/>
      <c r="L17" s="358"/>
    </row>
    <row r="18" spans="2:12" ht="28" x14ac:dyDescent="0.35">
      <c r="B18" s="348"/>
      <c r="C18" s="360" t="s">
        <v>471</v>
      </c>
      <c r="D18" s="360" t="s">
        <v>472</v>
      </c>
      <c r="E18" s="360" t="s">
        <v>473</v>
      </c>
      <c r="F18" s="361" t="s">
        <v>474</v>
      </c>
      <c r="G18" s="361" t="s">
        <v>121</v>
      </c>
      <c r="J18" s="360" t="s">
        <v>471</v>
      </c>
      <c r="K18" s="360" t="s">
        <v>472</v>
      </c>
      <c r="L18" s="360" t="s">
        <v>473</v>
      </c>
    </row>
    <row r="19" spans="2:12" ht="14.5" x14ac:dyDescent="0.35">
      <c r="B19" s="348"/>
      <c r="C19" s="354" t="s">
        <v>159</v>
      </c>
      <c r="D19" s="354" t="s">
        <v>475</v>
      </c>
      <c r="E19" s="354" t="s">
        <v>476</v>
      </c>
      <c r="F19" s="361" t="s">
        <v>162</v>
      </c>
      <c r="G19" s="361" t="s">
        <v>477</v>
      </c>
      <c r="J19" s="354" t="s">
        <v>159</v>
      </c>
      <c r="K19" s="354" t="s">
        <v>475</v>
      </c>
      <c r="L19" s="354" t="s">
        <v>476</v>
      </c>
    </row>
    <row r="20" spans="2:12" x14ac:dyDescent="0.3">
      <c r="B20" s="355">
        <f t="shared" ref="B20:B25" si="6">B10+1</f>
        <v>2019</v>
      </c>
      <c r="C20" s="357">
        <f ca="1">'Normalized Annual Summary WN'!AG10</f>
        <v>59865828.087934792</v>
      </c>
      <c r="D20" s="357">
        <f t="shared" ref="D20:D23" ca="1" si="7">C20*E20</f>
        <v>173902.52676758353</v>
      </c>
      <c r="E20" s="358">
        <f>AVERAGE(E7:E11)</f>
        <v>2.9048713151039068E-3</v>
      </c>
      <c r="F20" s="358"/>
      <c r="G20" s="358"/>
      <c r="I20" s="355">
        <f t="shared" ref="I20:I25" si="8">I10+1</f>
        <v>2019</v>
      </c>
      <c r="J20" s="357">
        <f>'Normalized Annual Summary'!AM10</f>
        <v>524449</v>
      </c>
      <c r="K20" s="357">
        <f t="shared" ref="K20:K23" si="9">J20*L20</f>
        <v>1430.4640972711707</v>
      </c>
      <c r="L20" s="358">
        <f t="shared" ref="L20:L23" si="10">AVERAGE(L9:L10)</f>
        <v>2.7275561537369137E-3</v>
      </c>
    </row>
    <row r="21" spans="2:12" x14ac:dyDescent="0.3">
      <c r="B21" s="355">
        <f t="shared" si="6"/>
        <v>2020</v>
      </c>
      <c r="C21" s="357">
        <f ca="1">'Normalized Annual Summary WN'!AG11</f>
        <v>57773169.349516988</v>
      </c>
      <c r="D21" s="357">
        <f t="shared" ca="1" si="7"/>
        <v>166213.41361630507</v>
      </c>
      <c r="E21" s="358">
        <f>AVERAGE(E8:E12)</f>
        <v>2.8770000934299563E-3</v>
      </c>
      <c r="F21" s="358"/>
      <c r="G21" s="358"/>
      <c r="I21" s="355">
        <f t="shared" si="8"/>
        <v>2020</v>
      </c>
      <c r="J21" s="357">
        <f>'Normalized Annual Summary'!AM11</f>
        <v>526417</v>
      </c>
      <c r="K21" s="357">
        <f t="shared" si="9"/>
        <v>1457.1229319460815</v>
      </c>
      <c r="L21" s="358">
        <f t="shared" si="10"/>
        <v>2.7680012840506319E-3</v>
      </c>
    </row>
    <row r="22" spans="2:12" x14ac:dyDescent="0.3">
      <c r="B22" s="355">
        <f t="shared" si="6"/>
        <v>2021</v>
      </c>
      <c r="C22" s="357">
        <f ca="1">'Normalized Annual Summary WN'!AG12</f>
        <v>57835575.864955328</v>
      </c>
      <c r="D22" s="357">
        <f t="shared" ca="1" si="7"/>
        <v>165353.40590844784</v>
      </c>
      <c r="E22" s="358">
        <f>AVERAGE(E9:E13)</f>
        <v>2.8590258406788246E-3</v>
      </c>
      <c r="F22" s="358"/>
      <c r="G22" s="358"/>
      <c r="I22" s="355">
        <f t="shared" si="8"/>
        <v>2021</v>
      </c>
      <c r="J22" s="357">
        <f>'Normalized Annual Summary'!AM12</f>
        <v>531088</v>
      </c>
      <c r="K22" s="357">
        <f t="shared" si="9"/>
        <v>1497.4352070956782</v>
      </c>
      <c r="L22" s="358">
        <f t="shared" si="10"/>
        <v>2.8195613666580268E-3</v>
      </c>
    </row>
    <row r="23" spans="2:12" x14ac:dyDescent="0.3">
      <c r="B23" s="355">
        <f t="shared" si="6"/>
        <v>2022</v>
      </c>
      <c r="C23" s="357">
        <f ca="1">'Normalized Annual Summary WN'!AG13</f>
        <v>56887372.271772362</v>
      </c>
      <c r="D23" s="357">
        <f t="shared" ca="1" si="7"/>
        <v>161293.94586242145</v>
      </c>
      <c r="E23" s="358">
        <f>AVERAGE(E10:E14)</f>
        <v>2.8353207297369906E-3</v>
      </c>
      <c r="F23" s="358"/>
      <c r="G23" s="358"/>
      <c r="I23" s="355">
        <f t="shared" si="8"/>
        <v>2022</v>
      </c>
      <c r="J23" s="357">
        <f>'Normalized Annual Summary'!AM13</f>
        <v>492971.99999999994</v>
      </c>
      <c r="K23" s="357">
        <f t="shared" si="9"/>
        <v>1413.3930506204388</v>
      </c>
      <c r="L23" s="358">
        <f t="shared" si="10"/>
        <v>2.8670858600903073E-3</v>
      </c>
    </row>
    <row r="24" spans="2:12" x14ac:dyDescent="0.3">
      <c r="B24" s="355">
        <f t="shared" si="6"/>
        <v>2023</v>
      </c>
      <c r="C24" s="357">
        <f ca="1">'Normalized Annual Summary WN'!AG14</f>
        <v>56536592.634033322</v>
      </c>
      <c r="D24" s="357">
        <f ca="1">C24*E24</f>
        <v>156036.96420227061</v>
      </c>
      <c r="E24" s="358">
        <f>AVERAGE(E11:E15)</f>
        <v>2.7599286927727064E-3</v>
      </c>
      <c r="F24" s="358"/>
      <c r="G24" s="358"/>
      <c r="I24" s="355">
        <f t="shared" si="8"/>
        <v>2023</v>
      </c>
      <c r="J24" s="357">
        <f>'Normalized Annual Summary'!AM14</f>
        <v>491060.4</v>
      </c>
      <c r="K24" s="357">
        <f>J24*L24</f>
        <v>1463.8644806592338</v>
      </c>
      <c r="L24" s="358">
        <f>AVERAGE(L13:L14)</f>
        <v>2.9810273454329321E-3</v>
      </c>
    </row>
    <row r="25" spans="2:12" x14ac:dyDescent="0.3">
      <c r="B25" s="355">
        <f t="shared" si="6"/>
        <v>2024</v>
      </c>
      <c r="C25" s="357">
        <f ca="1">'Normalized Annual Summary'!AG15</f>
        <v>57474896.950161465</v>
      </c>
      <c r="D25" s="357">
        <f ca="1">C25*E25</f>
        <v>158626.61720690515</v>
      </c>
      <c r="E25" s="358">
        <f>E24</f>
        <v>2.7599286927727064E-3</v>
      </c>
      <c r="F25" s="357">
        <f>'Total Additional Loads'!G6</f>
        <v>91.441471415342718</v>
      </c>
      <c r="G25" s="357">
        <f ca="1">D25+F25</f>
        <v>158718.05867832049</v>
      </c>
      <c r="I25" s="355">
        <f t="shared" si="8"/>
        <v>2024</v>
      </c>
      <c r="J25" s="357">
        <f>'Normalized Annual Summary'!AM15</f>
        <v>491060.4</v>
      </c>
      <c r="K25" s="357">
        <f>J25*L25</f>
        <v>1467.9586831868749</v>
      </c>
      <c r="L25" s="358">
        <f>AVERAGE(L14:L15)</f>
        <v>2.9893648178245993E-3</v>
      </c>
    </row>
    <row r="26" spans="2:12" x14ac:dyDescent="0.3">
      <c r="B26" s="355">
        <f>B25+1</f>
        <v>2025</v>
      </c>
      <c r="C26" s="357">
        <f ca="1">'Normalized Annual Summary'!AG16</f>
        <v>57702437.563970186</v>
      </c>
      <c r="D26" s="357">
        <f ca="1">C26*E26</f>
        <v>159254.61307572696</v>
      </c>
      <c r="E26" s="358">
        <f>E25</f>
        <v>2.7599286927727064E-3</v>
      </c>
      <c r="F26" s="357">
        <f>'Total Additional Loads'!H6</f>
        <v>295.85947185103214</v>
      </c>
      <c r="G26" s="357">
        <f ca="1">D26+F26</f>
        <v>159550.47254757799</v>
      </c>
      <c r="I26" s="355">
        <f>I25+1</f>
        <v>2025</v>
      </c>
      <c r="J26" s="357">
        <f>'Normalized Annual Summary'!AM16</f>
        <v>491060.4</v>
      </c>
      <c r="K26" s="357">
        <f>J26*L26</f>
        <v>1467.9586831868749</v>
      </c>
      <c r="L26" s="358">
        <f>L25</f>
        <v>2.9893648178245993E-3</v>
      </c>
    </row>
    <row r="27" spans="2:12" x14ac:dyDescent="0.3">
      <c r="L27" s="359"/>
    </row>
    <row r="28" spans="2:12" x14ac:dyDescent="0.3">
      <c r="C28" s="362" t="s">
        <v>117</v>
      </c>
      <c r="D28" s="363" t="s">
        <v>118</v>
      </c>
      <c r="E28" s="364" t="s">
        <v>478</v>
      </c>
      <c r="F28" s="20"/>
      <c r="G28" s="20"/>
      <c r="H28" s="20"/>
      <c r="I28" s="20"/>
      <c r="J28" s="362" t="s">
        <v>117</v>
      </c>
      <c r="K28" s="363" t="s">
        <v>118</v>
      </c>
      <c r="L28" s="364" t="s">
        <v>478</v>
      </c>
    </row>
    <row r="29" spans="2:12" x14ac:dyDescent="0.3">
      <c r="B29" s="355" t="s">
        <v>480</v>
      </c>
      <c r="C29" s="365">
        <f>C15/C11-1</f>
        <v>-7.0493391752159407E-2</v>
      </c>
      <c r="D29" s="365">
        <f>D15/D11-1</f>
        <v>-0.11572424074128185</v>
      </c>
      <c r="E29" s="366">
        <f>D29-C29</f>
        <v>-4.5230848989122441E-2</v>
      </c>
      <c r="F29" s="20"/>
      <c r="G29" s="20"/>
      <c r="H29" s="20"/>
      <c r="I29" s="20"/>
      <c r="J29" s="365">
        <f>J15/J11-1</f>
        <v>-6.3664150374964867E-2</v>
      </c>
      <c r="K29" s="365">
        <f>K15/K11-1</f>
        <v>-2.6164698162729816E-2</v>
      </c>
      <c r="L29" s="366">
        <f>K29-J29</f>
        <v>3.7499452212235052E-2</v>
      </c>
    </row>
    <row r="30" spans="2:12" x14ac:dyDescent="0.3">
      <c r="B30" s="355" t="s">
        <v>481</v>
      </c>
      <c r="C30" s="365">
        <f>C15/C6-1</f>
        <v>8.8822514587865165E-3</v>
      </c>
      <c r="D30" s="365">
        <f>D15/D6-1</f>
        <v>7.6760088037325591E-2</v>
      </c>
      <c r="E30" s="366">
        <f>D30-C30</f>
        <v>6.7877836578539075E-2</v>
      </c>
      <c r="F30" s="20"/>
      <c r="G30" s="20"/>
      <c r="H30" s="20"/>
      <c r="I30" s="20"/>
      <c r="J30" s="365">
        <f>J15/J6-1</f>
        <v>-0.65999404543471785</v>
      </c>
      <c r="K30" s="365">
        <f>K15/K6-1</f>
        <v>-0.47521105594271651</v>
      </c>
      <c r="L30" s="366">
        <f>K30-J30</f>
        <v>0.18478298949200134</v>
      </c>
    </row>
    <row r="31" spans="2:12" x14ac:dyDescent="0.3">
      <c r="C31" s="367"/>
      <c r="D31" s="368"/>
      <c r="E31" s="20"/>
      <c r="F31" s="20"/>
      <c r="G31" s="20"/>
      <c r="H31" s="20"/>
      <c r="I31" s="20"/>
      <c r="J31" s="20"/>
      <c r="K31" s="20"/>
      <c r="L31" s="20"/>
    </row>
    <row r="32" spans="2:12" x14ac:dyDescent="0.3">
      <c r="C32" s="20"/>
      <c r="D32" s="20" t="s">
        <v>479</v>
      </c>
      <c r="E32" s="20"/>
      <c r="F32" s="20"/>
      <c r="G32" s="20"/>
      <c r="H32" s="20"/>
      <c r="I32" s="20"/>
      <c r="J32" s="20" t="s">
        <v>482</v>
      </c>
      <c r="K32" s="369"/>
      <c r="L32" s="2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5907-8A55-4A10-9094-248768F7B6D8}">
  <sheetPr codeName="Sheet17"/>
  <dimension ref="A2:AS74"/>
  <sheetViews>
    <sheetView workbookViewId="0">
      <selection activeCell="C19" sqref="C19"/>
    </sheetView>
  </sheetViews>
  <sheetFormatPr defaultRowHeight="14.5" x14ac:dyDescent="0.35"/>
  <cols>
    <col min="1" max="1" width="6.36328125" customWidth="1"/>
    <col min="2" max="2" width="5.26953125" bestFit="1" customWidth="1"/>
    <col min="3" max="3" width="10.6328125" bestFit="1" customWidth="1"/>
    <col min="4" max="4" width="10.453125" customWidth="1"/>
    <col min="5" max="5" width="5.6328125" customWidth="1"/>
    <col min="6" max="6" width="9.453125" customWidth="1"/>
    <col min="7" max="7" width="10.6328125" bestFit="1" customWidth="1"/>
    <col min="8" max="8" width="9.81640625" bestFit="1" customWidth="1"/>
    <col min="9" max="9" width="6.08984375" customWidth="1"/>
    <col min="10" max="10" width="8.1796875" customWidth="1"/>
    <col min="11" max="11" width="10.6328125" bestFit="1" customWidth="1"/>
    <col min="12" max="12" width="11.6328125" customWidth="1"/>
    <col min="13" max="13" width="7" customWidth="1"/>
    <col min="14" max="14" width="7.6328125" customWidth="1"/>
    <col min="15" max="15" width="10.6328125" bestFit="1" customWidth="1"/>
    <col min="16" max="16" width="9.81640625" bestFit="1" customWidth="1"/>
    <col min="17" max="17" width="7.54296875" customWidth="1"/>
    <col min="18" max="18" width="7.90625" customWidth="1"/>
    <col min="19" max="19" width="10.6328125" bestFit="1" customWidth="1"/>
    <col min="20" max="20" width="8.81640625" bestFit="1" customWidth="1"/>
  </cols>
  <sheetData>
    <row r="2" spans="2:23" ht="13" customHeight="1" x14ac:dyDescent="0.35">
      <c r="B2" s="455" t="s">
        <v>100</v>
      </c>
      <c r="C2" s="455"/>
      <c r="D2" s="456" t="s">
        <v>101</v>
      </c>
      <c r="E2" s="20"/>
      <c r="F2" s="455" t="s">
        <v>102</v>
      </c>
      <c r="G2" s="455"/>
      <c r="H2" s="456" t="s">
        <v>101</v>
      </c>
      <c r="I2" s="20"/>
      <c r="J2" s="455" t="s">
        <v>103</v>
      </c>
      <c r="K2" s="455"/>
      <c r="L2" s="456" t="s">
        <v>101</v>
      </c>
      <c r="M2" s="20"/>
      <c r="N2" s="455" t="s">
        <v>104</v>
      </c>
      <c r="O2" s="455"/>
      <c r="P2" s="456" t="s">
        <v>101</v>
      </c>
      <c r="Q2" s="20"/>
      <c r="R2" s="455" t="s">
        <v>105</v>
      </c>
      <c r="S2" s="455"/>
      <c r="T2" s="456" t="s">
        <v>101</v>
      </c>
      <c r="U2" s="20"/>
    </row>
    <row r="3" spans="2:23" x14ac:dyDescent="0.35">
      <c r="B3" s="21" t="s">
        <v>1</v>
      </c>
      <c r="C3" s="21" t="s">
        <v>106</v>
      </c>
      <c r="D3" s="456"/>
      <c r="E3" s="20"/>
      <c r="F3" s="21" t="s">
        <v>1</v>
      </c>
      <c r="G3" s="21" t="s">
        <v>106</v>
      </c>
      <c r="H3" s="456"/>
      <c r="I3" s="20"/>
      <c r="J3" s="21" t="s">
        <v>1</v>
      </c>
      <c r="K3" s="21" t="s">
        <v>106</v>
      </c>
      <c r="L3" s="456"/>
      <c r="M3" s="20"/>
      <c r="N3" s="21" t="s">
        <v>1</v>
      </c>
      <c r="O3" s="21" t="s">
        <v>107</v>
      </c>
      <c r="P3" s="456"/>
      <c r="Q3" s="20"/>
      <c r="R3" s="21" t="s">
        <v>1</v>
      </c>
      <c r="S3" s="21" t="s">
        <v>107</v>
      </c>
      <c r="T3" s="456"/>
      <c r="U3" s="20"/>
    </row>
    <row r="4" spans="2:23" x14ac:dyDescent="0.35">
      <c r="B4" s="20">
        <v>2014</v>
      </c>
      <c r="C4" s="22">
        <f>AVERAGEIFS(MonthlyData!$Q:$Q,MonthlyData!$B:$B,B4)</f>
        <v>5263.25</v>
      </c>
      <c r="D4" s="23"/>
      <c r="E4" s="24"/>
      <c r="F4" s="20">
        <v>2014</v>
      </c>
      <c r="G4" s="22">
        <f>AVERAGEIFS(MonthlyData!$R:$R,MonthlyData!$B:$B,B4)</f>
        <v>757.58333333333337</v>
      </c>
      <c r="H4" s="23"/>
      <c r="I4" s="24"/>
      <c r="J4" s="20">
        <v>2014</v>
      </c>
      <c r="K4" s="22">
        <f>AVERAGEIFS(MonthlyData!$S:$S,MonthlyData!$B:$B,F4)</f>
        <v>68.083333333333329</v>
      </c>
      <c r="L4" s="23"/>
      <c r="M4" s="24"/>
      <c r="N4" s="20">
        <v>2014</v>
      </c>
      <c r="O4" s="22">
        <f>AVERAGEIFS(MonthlyData!$T:$T,MonthlyData!$B:$B,F4)</f>
        <v>1650</v>
      </c>
      <c r="P4" s="23"/>
      <c r="Q4" s="24"/>
      <c r="R4" s="20">
        <v>2014</v>
      </c>
      <c r="S4" s="22">
        <f>AVERAGEIFS(MonthlyData!$U:$U,MonthlyData!$B:$B,F4)</f>
        <v>22.333333333333332</v>
      </c>
      <c r="T4" s="23"/>
      <c r="U4" s="24"/>
      <c r="V4" s="37"/>
    </row>
    <row r="5" spans="2:23" x14ac:dyDescent="0.35">
      <c r="B5" s="20">
        <f t="shared" ref="B5:B15" si="0">B4+1</f>
        <v>2015</v>
      </c>
      <c r="C5" s="22">
        <f>AVERAGEIFS(MonthlyData!$Q:$Q,MonthlyData!$B:$B,B5)</f>
        <v>5233.333333333333</v>
      </c>
      <c r="D5" s="23">
        <f t="shared" ref="D5:D13" si="1">C5/C4</f>
        <v>0.99431593280450925</v>
      </c>
      <c r="E5" s="24"/>
      <c r="F5" s="20">
        <f t="shared" ref="F5:F13" si="2">F4+1</f>
        <v>2015</v>
      </c>
      <c r="G5" s="22">
        <f>AVERAGEIFS(MonthlyData!$R:$R,MonthlyData!$B:$B,B5)</f>
        <v>777.91666666666663</v>
      </c>
      <c r="H5" s="23">
        <f t="shared" ref="H5:H13" si="3">G5/G4</f>
        <v>1.0268397316026838</v>
      </c>
      <c r="I5" s="24"/>
      <c r="J5" s="20">
        <f t="shared" ref="J5:J13" si="4">J4+1</f>
        <v>2015</v>
      </c>
      <c r="K5" s="22">
        <f>AVERAGEIFS(MonthlyData!$S:$S,MonthlyData!$B:$B,F5)</f>
        <v>69.25</v>
      </c>
      <c r="L5" s="23">
        <f t="shared" ref="L5:L13" si="5">K5/K4</f>
        <v>1.0171358629130967</v>
      </c>
      <c r="M5" s="24"/>
      <c r="N5" s="20">
        <f t="shared" ref="N5:N13" si="6">N4+1</f>
        <v>2015</v>
      </c>
      <c r="O5" s="22">
        <f>AVERAGEIFS(MonthlyData!$T:$T,MonthlyData!$B:$B,F5)</f>
        <v>1650</v>
      </c>
      <c r="P5" s="23">
        <f t="shared" ref="P5:P13" si="7">O5/O4</f>
        <v>1</v>
      </c>
      <c r="Q5" s="24"/>
      <c r="R5" s="20">
        <f t="shared" ref="R5:R13" si="8">R4+1</f>
        <v>2015</v>
      </c>
      <c r="S5" s="22">
        <f>AVERAGEIFS(MonthlyData!$U:$U,MonthlyData!$B:$B,F5)</f>
        <v>23</v>
      </c>
      <c r="T5" s="23">
        <f t="shared" ref="T5:T13" si="9">S5/S4</f>
        <v>1.0298507462686568</v>
      </c>
      <c r="U5" s="24"/>
      <c r="V5" s="37"/>
    </row>
    <row r="6" spans="2:23" x14ac:dyDescent="0.35">
      <c r="B6" s="20">
        <f t="shared" si="0"/>
        <v>2016</v>
      </c>
      <c r="C6" s="22">
        <f>AVERAGEIFS(MonthlyData!$Q:$Q,MonthlyData!$B:$B,B6)</f>
        <v>5208.083333333333</v>
      </c>
      <c r="D6" s="23">
        <f t="shared" si="1"/>
        <v>0.99517515923566879</v>
      </c>
      <c r="E6" s="24"/>
      <c r="F6" s="20">
        <f t="shared" si="2"/>
        <v>2016</v>
      </c>
      <c r="G6" s="22">
        <f>AVERAGEIFS(MonthlyData!$R:$R,MonthlyData!$B:$B,B6)</f>
        <v>728.83333333333337</v>
      </c>
      <c r="H6" s="23">
        <f t="shared" si="3"/>
        <v>0.93690412426352443</v>
      </c>
      <c r="I6" s="24"/>
      <c r="J6" s="20">
        <f t="shared" si="4"/>
        <v>2016</v>
      </c>
      <c r="K6" s="22">
        <f>AVERAGEIFS(MonthlyData!$S:$S,MonthlyData!$B:$B,F6)</f>
        <v>62.666666666666664</v>
      </c>
      <c r="L6" s="23">
        <f t="shared" si="5"/>
        <v>0.90493381468110712</v>
      </c>
      <c r="M6" s="24"/>
      <c r="N6" s="20">
        <f t="shared" si="6"/>
        <v>2016</v>
      </c>
      <c r="O6" s="22">
        <f>AVERAGEIFS(MonthlyData!$T:$T,MonthlyData!$B:$B,F6)</f>
        <v>1650</v>
      </c>
      <c r="P6" s="23">
        <f t="shared" si="7"/>
        <v>1</v>
      </c>
      <c r="Q6" s="24"/>
      <c r="R6" s="20">
        <f t="shared" si="8"/>
        <v>2016</v>
      </c>
      <c r="S6" s="22">
        <f>AVERAGEIFS(MonthlyData!$U:$U,MonthlyData!$B:$B,F6)</f>
        <v>23</v>
      </c>
      <c r="T6" s="23">
        <f t="shared" si="9"/>
        <v>1</v>
      </c>
      <c r="U6" s="24"/>
      <c r="V6" s="37"/>
    </row>
    <row r="7" spans="2:23" x14ac:dyDescent="0.35">
      <c r="B7" s="20">
        <f t="shared" si="0"/>
        <v>2017</v>
      </c>
      <c r="C7" s="22">
        <f>AVERAGEIFS(MonthlyData!$Q:$Q,MonthlyData!$B:$B,B7)</f>
        <v>5201.75</v>
      </c>
      <c r="D7" s="23">
        <f t="shared" si="1"/>
        <v>0.99878394162919826</v>
      </c>
      <c r="E7" s="24"/>
      <c r="F7" s="20">
        <f t="shared" si="2"/>
        <v>2017</v>
      </c>
      <c r="G7" s="22">
        <f>AVERAGEIFS(MonthlyData!$R:$R,MonthlyData!$B:$B,B7)</f>
        <v>747.08333333333337</v>
      </c>
      <c r="H7" s="23">
        <f t="shared" si="3"/>
        <v>1.0250400182940773</v>
      </c>
      <c r="I7" s="24"/>
      <c r="J7" s="20">
        <f t="shared" si="4"/>
        <v>2017</v>
      </c>
      <c r="K7" s="22">
        <f>AVERAGEIFS(MonthlyData!$S:$S,MonthlyData!$B:$B,F7)</f>
        <v>54</v>
      </c>
      <c r="L7" s="23">
        <f t="shared" si="5"/>
        <v>0.86170212765957455</v>
      </c>
      <c r="M7" s="24"/>
      <c r="N7" s="20">
        <f t="shared" si="6"/>
        <v>2017</v>
      </c>
      <c r="O7" s="22">
        <f>AVERAGEIFS(MonthlyData!$T:$T,MonthlyData!$B:$B,F7)</f>
        <v>1650</v>
      </c>
      <c r="P7" s="23">
        <f t="shared" si="7"/>
        <v>1</v>
      </c>
      <c r="Q7" s="24"/>
      <c r="R7" s="20">
        <f t="shared" si="8"/>
        <v>2017</v>
      </c>
      <c r="S7" s="22">
        <f>AVERAGEIFS(MonthlyData!$U:$U,MonthlyData!$B:$B,F7)</f>
        <v>23</v>
      </c>
      <c r="T7" s="23">
        <f t="shared" si="9"/>
        <v>1</v>
      </c>
      <c r="U7" s="24"/>
      <c r="V7" s="37"/>
    </row>
    <row r="8" spans="2:23" x14ac:dyDescent="0.35">
      <c r="B8" s="20">
        <f t="shared" si="0"/>
        <v>2018</v>
      </c>
      <c r="C8" s="22">
        <f>AVERAGEIFS(MonthlyData!$Q:$Q,MonthlyData!$B:$B,B8)</f>
        <v>5157.25</v>
      </c>
      <c r="D8" s="23">
        <f t="shared" si="1"/>
        <v>0.99144518671600901</v>
      </c>
      <c r="E8" s="24"/>
      <c r="F8" s="20">
        <f t="shared" si="2"/>
        <v>2018</v>
      </c>
      <c r="G8" s="22">
        <f>AVERAGEIFS(MonthlyData!$R:$R,MonthlyData!$B:$B,B8)</f>
        <v>713.16666666666663</v>
      </c>
      <c r="H8" s="23">
        <f t="shared" si="3"/>
        <v>0.95460122699386496</v>
      </c>
      <c r="I8" s="24"/>
      <c r="J8" s="20">
        <f t="shared" si="4"/>
        <v>2018</v>
      </c>
      <c r="K8" s="22">
        <f>AVERAGEIFS(MonthlyData!$S:$S,MonthlyData!$B:$B,F8)</f>
        <v>68.666666666666671</v>
      </c>
      <c r="L8" s="23">
        <f t="shared" si="5"/>
        <v>1.271604938271605</v>
      </c>
      <c r="M8" s="24"/>
      <c r="N8" s="20">
        <f t="shared" si="6"/>
        <v>2018</v>
      </c>
      <c r="O8" s="22">
        <f>AVERAGEIFS(MonthlyData!$T:$T,MonthlyData!$B:$B,F8)</f>
        <v>1659.5833333333333</v>
      </c>
      <c r="P8" s="23">
        <f t="shared" si="7"/>
        <v>1.0058080808080807</v>
      </c>
      <c r="Q8" s="24"/>
      <c r="R8" s="20">
        <f t="shared" si="8"/>
        <v>2018</v>
      </c>
      <c r="S8" s="22">
        <f>AVERAGEIFS(MonthlyData!$U:$U,MonthlyData!$B:$B,F8)</f>
        <v>23</v>
      </c>
      <c r="T8" s="23">
        <f t="shared" si="9"/>
        <v>1</v>
      </c>
      <c r="U8" s="24"/>
      <c r="V8" s="37"/>
    </row>
    <row r="9" spans="2:23" s="25" customFormat="1" x14ac:dyDescent="0.35">
      <c r="B9" s="20">
        <f t="shared" si="0"/>
        <v>2019</v>
      </c>
      <c r="C9" s="22">
        <f>AVERAGEIFS(MonthlyData!$Q:$Q,MonthlyData!$B:$B,B9)</f>
        <v>5106.833333333333</v>
      </c>
      <c r="D9" s="23">
        <f t="shared" si="1"/>
        <v>0.99022411815082323</v>
      </c>
      <c r="E9" s="24"/>
      <c r="F9" s="20">
        <f t="shared" si="2"/>
        <v>2019</v>
      </c>
      <c r="G9" s="22">
        <f>AVERAGEIFS(MonthlyData!$R:$R,MonthlyData!$B:$B,B9)</f>
        <v>742.5</v>
      </c>
      <c r="H9" s="23">
        <f t="shared" si="3"/>
        <v>1.0411311053984575</v>
      </c>
      <c r="I9" s="24"/>
      <c r="J9" s="20">
        <f t="shared" si="4"/>
        <v>2019</v>
      </c>
      <c r="K9" s="22">
        <f>AVERAGEIFS(MonthlyData!$S:$S,MonthlyData!$B:$B,F9)</f>
        <v>68.5</v>
      </c>
      <c r="L9" s="23">
        <f t="shared" si="5"/>
        <v>0.99757281553398047</v>
      </c>
      <c r="M9" s="24"/>
      <c r="N9" s="20">
        <f t="shared" si="6"/>
        <v>2019</v>
      </c>
      <c r="O9" s="22">
        <f>AVERAGEIFS(MonthlyData!$T:$T,MonthlyData!$B:$B,F9)</f>
        <v>1710</v>
      </c>
      <c r="P9" s="23">
        <f t="shared" si="7"/>
        <v>1.0303791112226965</v>
      </c>
      <c r="Q9" s="24"/>
      <c r="R9" s="20">
        <f t="shared" si="8"/>
        <v>2019</v>
      </c>
      <c r="S9" s="22">
        <f>AVERAGEIFS(MonthlyData!$U:$U,MonthlyData!$B:$B,F9)</f>
        <v>23</v>
      </c>
      <c r="T9" s="23">
        <f t="shared" si="9"/>
        <v>1</v>
      </c>
      <c r="U9" s="24"/>
      <c r="V9" s="37"/>
    </row>
    <row r="10" spans="2:23" s="25" customFormat="1" x14ac:dyDescent="0.35">
      <c r="B10" s="20">
        <f t="shared" si="0"/>
        <v>2020</v>
      </c>
      <c r="C10" s="22">
        <f>AVERAGEIFS(MonthlyData!$Q:$Q,MonthlyData!$B:$B,B10)</f>
        <v>5154.5</v>
      </c>
      <c r="D10" s="23">
        <f t="shared" si="1"/>
        <v>1.0093338990241834</v>
      </c>
      <c r="E10" s="24"/>
      <c r="F10" s="20">
        <f t="shared" si="2"/>
        <v>2020</v>
      </c>
      <c r="G10" s="22">
        <f>AVERAGEIFS(MonthlyData!$R:$R,MonthlyData!$B:$B,B10)</f>
        <v>717.33333333333337</v>
      </c>
      <c r="H10" s="23">
        <f t="shared" si="3"/>
        <v>0.96610549943883284</v>
      </c>
      <c r="I10" s="24"/>
      <c r="J10" s="20">
        <f t="shared" si="4"/>
        <v>2020</v>
      </c>
      <c r="K10" s="22">
        <f>AVERAGEIFS(MonthlyData!$S:$S,MonthlyData!$B:$B,F10)</f>
        <v>71.833333333333329</v>
      </c>
      <c r="L10" s="23">
        <f t="shared" si="5"/>
        <v>1.0486618004866179</v>
      </c>
      <c r="M10" s="24"/>
      <c r="N10" s="20">
        <f t="shared" si="6"/>
        <v>2020</v>
      </c>
      <c r="O10" s="22">
        <f>AVERAGEIFS(MonthlyData!$T:$T,MonthlyData!$B:$B,F10)</f>
        <v>1710</v>
      </c>
      <c r="P10" s="23">
        <f t="shared" si="7"/>
        <v>1</v>
      </c>
      <c r="Q10" s="24"/>
      <c r="R10" s="20">
        <f t="shared" si="8"/>
        <v>2020</v>
      </c>
      <c r="S10" s="22">
        <f>AVERAGEIFS(MonthlyData!$U:$U,MonthlyData!$B:$B,F10)</f>
        <v>23</v>
      </c>
      <c r="T10" s="23">
        <f t="shared" si="9"/>
        <v>1</v>
      </c>
      <c r="U10" s="24"/>
      <c r="V10" s="37"/>
    </row>
    <row r="11" spans="2:23" s="25" customFormat="1" x14ac:dyDescent="0.35">
      <c r="B11" s="20">
        <f t="shared" si="0"/>
        <v>2021</v>
      </c>
      <c r="C11" s="22">
        <f>AVERAGEIFS(MonthlyData!$Q:$Q,MonthlyData!$B:$B,B11)</f>
        <v>5165.916666666667</v>
      </c>
      <c r="D11" s="23">
        <f t="shared" si="1"/>
        <v>1.002214893135448</v>
      </c>
      <c r="E11" s="24"/>
      <c r="F11" s="20">
        <f t="shared" si="2"/>
        <v>2021</v>
      </c>
      <c r="G11" s="22">
        <f>AVERAGEIFS(MonthlyData!$R:$R,MonthlyData!$B:$B,B11)</f>
        <v>705.83333333333337</v>
      </c>
      <c r="H11" s="23">
        <f t="shared" si="3"/>
        <v>0.98396840148698883</v>
      </c>
      <c r="I11" s="24"/>
      <c r="J11" s="20">
        <f t="shared" si="4"/>
        <v>2021</v>
      </c>
      <c r="K11" s="22">
        <f>AVERAGEIFS(MonthlyData!$S:$S,MonthlyData!$B:$B,F11)</f>
        <v>70.666666666666671</v>
      </c>
      <c r="L11" s="23">
        <f t="shared" si="5"/>
        <v>0.98375870069605587</v>
      </c>
      <c r="M11" s="24"/>
      <c r="N11" s="20">
        <f t="shared" si="6"/>
        <v>2021</v>
      </c>
      <c r="O11" s="22">
        <f>AVERAGEIFS(MonthlyData!$T:$T,MonthlyData!$B:$B,F11)</f>
        <v>1710</v>
      </c>
      <c r="P11" s="23">
        <f t="shared" si="7"/>
        <v>1</v>
      </c>
      <c r="Q11" s="24"/>
      <c r="R11" s="20">
        <f t="shared" si="8"/>
        <v>2021</v>
      </c>
      <c r="S11" s="22">
        <f>AVERAGEIFS(MonthlyData!$U:$U,MonthlyData!$B:$B,F11)</f>
        <v>23</v>
      </c>
      <c r="T11" s="23">
        <f t="shared" si="9"/>
        <v>1</v>
      </c>
      <c r="U11" s="24"/>
      <c r="V11" s="37"/>
    </row>
    <row r="12" spans="2:23" s="25" customFormat="1" x14ac:dyDescent="0.35">
      <c r="B12" s="20">
        <f t="shared" si="0"/>
        <v>2022</v>
      </c>
      <c r="C12" s="22">
        <f>AVERAGEIFS(MonthlyData!$Q:$Q,MonthlyData!$B:$B,B12)</f>
        <v>5161.083333333333</v>
      </c>
      <c r="D12" s="23">
        <f t="shared" si="1"/>
        <v>0.99906438031327116</v>
      </c>
      <c r="E12" s="24"/>
      <c r="F12" s="20">
        <f t="shared" si="2"/>
        <v>2022</v>
      </c>
      <c r="G12" s="22">
        <f>AVERAGEIFS(MonthlyData!$R:$R,MonthlyData!$B:$B,B12)</f>
        <v>712.16666666666663</v>
      </c>
      <c r="H12" s="23">
        <f t="shared" si="3"/>
        <v>1.0089728453364817</v>
      </c>
      <c r="I12" s="24"/>
      <c r="J12" s="20">
        <f t="shared" si="4"/>
        <v>2022</v>
      </c>
      <c r="K12" s="22">
        <f>AVERAGEIFS(MonthlyData!$S:$S,MonthlyData!$B:$B,F12)</f>
        <v>67.75</v>
      </c>
      <c r="L12" s="23">
        <f t="shared" si="5"/>
        <v>0.95872641509433953</v>
      </c>
      <c r="M12" s="24"/>
      <c r="N12" s="20">
        <f t="shared" si="6"/>
        <v>2022</v>
      </c>
      <c r="O12" s="22">
        <f>AVERAGEIFS(MonthlyData!$T:$T,MonthlyData!$B:$B,F12)</f>
        <v>1710</v>
      </c>
      <c r="P12" s="23">
        <f t="shared" si="7"/>
        <v>1</v>
      </c>
      <c r="Q12" s="24"/>
      <c r="R12" s="20">
        <f t="shared" si="8"/>
        <v>2022</v>
      </c>
      <c r="S12" s="22">
        <f>AVERAGEIFS(MonthlyData!$U:$U,MonthlyData!$B:$B,F12)</f>
        <v>22</v>
      </c>
      <c r="T12" s="23">
        <f t="shared" si="9"/>
        <v>0.95652173913043481</v>
      </c>
      <c r="U12" s="24"/>
      <c r="V12" s="37"/>
    </row>
    <row r="13" spans="2:23" s="25" customFormat="1" x14ac:dyDescent="0.35">
      <c r="B13" s="20">
        <f t="shared" si="0"/>
        <v>2023</v>
      </c>
      <c r="C13" s="22">
        <f>AVERAGEIFS(MonthlyData!$Q:$Q,MonthlyData!$B:$B,B13)</f>
        <v>5194.166666666667</v>
      </c>
      <c r="D13" s="23">
        <f t="shared" si="1"/>
        <v>1.0064101529071741</v>
      </c>
      <c r="E13" s="24"/>
      <c r="F13" s="20">
        <f t="shared" si="2"/>
        <v>2023</v>
      </c>
      <c r="G13" s="22">
        <f>AVERAGEIFS(MonthlyData!$R:$R,MonthlyData!$B:$B,B13)</f>
        <v>715.91666666666663</v>
      </c>
      <c r="H13" s="23">
        <f t="shared" si="3"/>
        <v>1.0052656213433184</v>
      </c>
      <c r="I13" s="24"/>
      <c r="J13" s="20">
        <f t="shared" si="4"/>
        <v>2023</v>
      </c>
      <c r="K13" s="22">
        <f>AVERAGEIFS(MonthlyData!$S:$S,MonthlyData!$B:$B,F13)</f>
        <v>68.833333333333329</v>
      </c>
      <c r="L13" s="23">
        <f t="shared" si="5"/>
        <v>1.015990159901599</v>
      </c>
      <c r="M13" s="24"/>
      <c r="N13" s="20">
        <f t="shared" si="6"/>
        <v>2023</v>
      </c>
      <c r="O13" s="22">
        <f>AVERAGEIFS(MonthlyData!$T:$T,MonthlyData!$B:$B,F13)</f>
        <v>1710</v>
      </c>
      <c r="P13" s="23">
        <f t="shared" si="7"/>
        <v>1</v>
      </c>
      <c r="Q13" s="24"/>
      <c r="R13" s="20">
        <f t="shared" si="8"/>
        <v>2023</v>
      </c>
      <c r="S13" s="22">
        <f>AVERAGEIFS(MonthlyData!$U:$U,MonthlyData!$B:$B,F13)</f>
        <v>22</v>
      </c>
      <c r="T13" s="23">
        <f t="shared" si="9"/>
        <v>1</v>
      </c>
      <c r="U13" s="24"/>
      <c r="V13" s="37"/>
      <c r="W13"/>
    </row>
    <row r="14" spans="2:23" x14ac:dyDescent="0.35">
      <c r="B14" s="24">
        <f>B13+1</f>
        <v>2024</v>
      </c>
      <c r="C14" s="353">
        <f>C13*D14</f>
        <v>5186.5469326499269</v>
      </c>
      <c r="D14" s="27">
        <f>GEOMEAN(D5:D13)</f>
        <v>0.9985330208855947</v>
      </c>
      <c r="E14" s="24"/>
      <c r="F14" s="24">
        <f>F13+1</f>
        <v>2024</v>
      </c>
      <c r="G14" s="353">
        <f>G13*H14</f>
        <v>711.43086361529981</v>
      </c>
      <c r="H14" s="27">
        <f>GEOMEAN(H5:H13)</f>
        <v>0.99373418267763924</v>
      </c>
      <c r="I14" s="24"/>
      <c r="J14" s="24">
        <f>J13+1</f>
        <v>2024</v>
      </c>
      <c r="K14" s="353">
        <f>K13*L14</f>
        <v>68.91717500657785</v>
      </c>
      <c r="L14" s="27">
        <f>GEOMEAN(L5:L13)</f>
        <v>1.0012180388364822</v>
      </c>
      <c r="M14" s="24"/>
      <c r="N14" s="24">
        <f>N13+1</f>
        <v>2024</v>
      </c>
      <c r="O14" s="26">
        <f>O13*P14</f>
        <v>1710</v>
      </c>
      <c r="P14" s="36">
        <v>1</v>
      </c>
      <c r="Q14" s="24"/>
      <c r="R14" s="24">
        <f>R13+1</f>
        <v>2024</v>
      </c>
      <c r="S14" s="26">
        <f>S13*T14</f>
        <v>22</v>
      </c>
      <c r="T14" s="36">
        <v>1</v>
      </c>
      <c r="U14" s="24"/>
      <c r="V14" s="427" t="s">
        <v>496</v>
      </c>
    </row>
    <row r="15" spans="2:23" x14ac:dyDescent="0.35">
      <c r="B15" s="24">
        <f t="shared" si="0"/>
        <v>2025</v>
      </c>
      <c r="C15" s="353">
        <f>C18*D15</f>
        <v>5174.8512741508339</v>
      </c>
      <c r="D15" s="27">
        <f>D14</f>
        <v>0.9985330208855947</v>
      </c>
      <c r="E15" s="24"/>
      <c r="F15" s="24">
        <f>F14+1</f>
        <v>2025</v>
      </c>
      <c r="G15" s="353">
        <f>G18*H15</f>
        <v>710.39141663015459</v>
      </c>
      <c r="H15" s="27">
        <f>H14</f>
        <v>0.99373418267763924</v>
      </c>
      <c r="I15" s="24"/>
      <c r="J15" s="24">
        <f>J14+1</f>
        <v>2025</v>
      </c>
      <c r="K15" s="353">
        <f>K18*L15</f>
        <v>69.641332500542873</v>
      </c>
      <c r="L15" s="27">
        <f>L14</f>
        <v>1.0012180388364822</v>
      </c>
      <c r="M15" s="24"/>
      <c r="N15" s="24">
        <f>N14+1</f>
        <v>2025</v>
      </c>
      <c r="O15" s="353">
        <f>O18*P15</f>
        <v>1710</v>
      </c>
      <c r="P15" s="27">
        <f>P14</f>
        <v>1</v>
      </c>
      <c r="Q15" s="24"/>
      <c r="R15" s="24">
        <f>R14+1</f>
        <v>2025</v>
      </c>
      <c r="S15" s="353">
        <f>S18*T15</f>
        <v>22</v>
      </c>
      <c r="T15" s="27">
        <f>T14</f>
        <v>1</v>
      </c>
      <c r="V15" s="37"/>
    </row>
    <row r="17" spans="1:45" x14ac:dyDescent="0.35">
      <c r="A17" t="s">
        <v>223</v>
      </c>
      <c r="K17" s="178"/>
    </row>
    <row r="18" spans="1:45" x14ac:dyDescent="0.35">
      <c r="B18" s="24">
        <v>2024</v>
      </c>
      <c r="C18" s="26">
        <f>AVERAGE(C48:C59)</f>
        <v>5182.4538256744681</v>
      </c>
      <c r="D18" s="27">
        <f>C18/C13</f>
        <v>0.997745000932033</v>
      </c>
      <c r="E18" s="24"/>
      <c r="F18" s="24">
        <f>F13</f>
        <v>2023</v>
      </c>
      <c r="G18" s="26">
        <f>AVERAGE(G48:G59)</f>
        <v>714.87066563010728</v>
      </c>
      <c r="H18" s="27">
        <f>G18/G13</f>
        <v>0.99853893464803722</v>
      </c>
      <c r="I18" s="24"/>
      <c r="J18" s="24">
        <f>J13</f>
        <v>2023</v>
      </c>
      <c r="K18" s="26">
        <f>AVERAGE(K48:K59)</f>
        <v>69.556609848413473</v>
      </c>
      <c r="L18" s="27">
        <f>K18/K13</f>
        <v>1.0105076491294935</v>
      </c>
      <c r="M18" s="24"/>
      <c r="N18" s="24">
        <f>N13</f>
        <v>2023</v>
      </c>
      <c r="O18" s="26">
        <f>AVERAGE(O48:O59)</f>
        <v>1710</v>
      </c>
      <c r="P18" s="27">
        <f>O18/O13</f>
        <v>1</v>
      </c>
      <c r="Q18" s="24"/>
      <c r="R18" s="24">
        <f>R13</f>
        <v>2023</v>
      </c>
      <c r="S18" s="26">
        <f>AVERAGE(S48:S59)</f>
        <v>22</v>
      </c>
      <c r="T18" s="27">
        <f>S18/S13</f>
        <v>1</v>
      </c>
      <c r="V18" s="427" t="s">
        <v>497</v>
      </c>
    </row>
    <row r="19" spans="1:45" x14ac:dyDescent="0.35">
      <c r="B19" s="24">
        <v>2025</v>
      </c>
      <c r="C19" s="26">
        <f>AVERAGE(C60:C71)</f>
        <v>5181.9975292897507</v>
      </c>
      <c r="D19" s="27">
        <f>C19/C18</f>
        <v>0.99991195360343454</v>
      </c>
      <c r="E19" s="24"/>
      <c r="F19" s="24">
        <f>F14</f>
        <v>2024</v>
      </c>
      <c r="G19" s="26">
        <f>AVERAGE(G60:G71)</f>
        <v>717.00480232140092</v>
      </c>
      <c r="H19" s="27">
        <f>G19/G18</f>
        <v>1.0029853465723237</v>
      </c>
      <c r="I19" s="24"/>
      <c r="J19" s="24">
        <f>J14</f>
        <v>2024</v>
      </c>
      <c r="K19" s="26">
        <f>AVERAGE(K60:K71)</f>
        <v>70.996992952874038</v>
      </c>
      <c r="L19" s="27">
        <f>K19/K18</f>
        <v>1.0207080694070576</v>
      </c>
      <c r="M19" s="24"/>
      <c r="N19" s="24">
        <f>N14</f>
        <v>2024</v>
      </c>
      <c r="O19" s="26">
        <f>AVERAGE(O60:O71)</f>
        <v>1710</v>
      </c>
      <c r="P19" s="27">
        <f>O19/O18</f>
        <v>1</v>
      </c>
      <c r="Q19" s="24"/>
      <c r="R19" s="24">
        <f>R14</f>
        <v>2024</v>
      </c>
      <c r="S19" s="26">
        <f>AVERAGE(S60:S71)</f>
        <v>22</v>
      </c>
      <c r="T19" s="27">
        <f>S19/S18</f>
        <v>1</v>
      </c>
    </row>
    <row r="20" spans="1:45" x14ac:dyDescent="0.35">
      <c r="H20" s="179"/>
      <c r="L20" s="179"/>
    </row>
    <row r="21" spans="1:45" x14ac:dyDescent="0.35">
      <c r="A21" s="180" t="s">
        <v>221</v>
      </c>
      <c r="C21" s="181" t="str">
        <f>IF(ROUND(C19,0)=ROUND(C15,0),"Match","Check")</f>
        <v>Check</v>
      </c>
      <c r="G21" s="181" t="str">
        <f>IF(ROUND(G19,0)=ROUND(G15,0),"Match","Check")</f>
        <v>Check</v>
      </c>
      <c r="K21" s="181" t="str">
        <f>IF(ROUND(K19,0)=ROUND(K15,0),"Match","Check")</f>
        <v>Check</v>
      </c>
      <c r="O21" s="181" t="str">
        <f>IF(ROUND(O19,0)=ROUND(O15,0),"Match","Check")</f>
        <v>Match</v>
      </c>
      <c r="S21" s="181" t="str">
        <f>IF(ROUND(S19,0)=ROUND(S15,0),"Match","Check")</f>
        <v>Match</v>
      </c>
    </row>
    <row r="22" spans="1:45" x14ac:dyDescent="0.35">
      <c r="A22" s="25"/>
      <c r="C22" s="181"/>
      <c r="G22" s="181"/>
      <c r="H22" s="182"/>
      <c r="K22" s="181"/>
      <c r="O22" s="181"/>
      <c r="S22" s="181"/>
      <c r="W22" s="181"/>
      <c r="AA22" s="25"/>
      <c r="AC22" s="181"/>
      <c r="AG22" s="181"/>
      <c r="AK22" s="181"/>
      <c r="AL22" s="181"/>
      <c r="AO22" s="181"/>
      <c r="AS22" s="181"/>
    </row>
    <row r="24" spans="1:45" x14ac:dyDescent="0.35">
      <c r="A24">
        <v>2022</v>
      </c>
      <c r="B24" t="s">
        <v>17</v>
      </c>
      <c r="C24" s="183">
        <f>MonthlyData!Q98</f>
        <v>5171</v>
      </c>
      <c r="G24" s="183">
        <f>MonthlyData!R98</f>
        <v>709</v>
      </c>
      <c r="K24" s="183">
        <f>MonthlyData!S98</f>
        <v>67</v>
      </c>
      <c r="O24" s="184">
        <f>MonthlyData!T98</f>
        <v>1710</v>
      </c>
      <c r="S24" s="184">
        <f>MonthlyData!U98</f>
        <v>22</v>
      </c>
    </row>
    <row r="25" spans="1:45" x14ac:dyDescent="0.35">
      <c r="B25" t="s">
        <v>18</v>
      </c>
      <c r="C25" s="183">
        <f>MonthlyData!Q99</f>
        <v>5169</v>
      </c>
      <c r="D25" s="158">
        <f t="shared" ref="D25:D36" si="10">C25/C24</f>
        <v>0.99961322761554827</v>
      </c>
      <c r="G25" s="183">
        <f>MonthlyData!R99</f>
        <v>709</v>
      </c>
      <c r="H25" s="158">
        <f t="shared" ref="H25:H36" si="11">G25/G24</f>
        <v>1</v>
      </c>
      <c r="K25" s="183">
        <f>MonthlyData!S99</f>
        <v>67</v>
      </c>
      <c r="L25" s="158">
        <f t="shared" ref="L25:L36" si="12">K25/K24</f>
        <v>1</v>
      </c>
      <c r="O25" s="184">
        <f>MonthlyData!T99</f>
        <v>1710</v>
      </c>
      <c r="P25" s="182">
        <f t="shared" ref="P25:P36" si="13">O25/O24</f>
        <v>1</v>
      </c>
      <c r="S25" s="184">
        <f>MonthlyData!U99</f>
        <v>22</v>
      </c>
      <c r="T25" s="182">
        <f t="shared" ref="T25:T36" si="14">S25/S24</f>
        <v>1</v>
      </c>
    </row>
    <row r="26" spans="1:45" x14ac:dyDescent="0.35">
      <c r="B26" t="s">
        <v>19</v>
      </c>
      <c r="C26" s="183">
        <f>MonthlyData!Q100</f>
        <v>5156</v>
      </c>
      <c r="D26" s="158">
        <f t="shared" si="10"/>
        <v>0.99748500677113561</v>
      </c>
      <c r="G26" s="183">
        <f>MonthlyData!R100</f>
        <v>705</v>
      </c>
      <c r="H26" s="158">
        <f t="shared" si="11"/>
        <v>0.99435825105782794</v>
      </c>
      <c r="K26" s="183">
        <f>MonthlyData!S100</f>
        <v>67</v>
      </c>
      <c r="L26" s="158">
        <f t="shared" si="12"/>
        <v>1</v>
      </c>
      <c r="O26" s="184">
        <f>MonthlyData!T100</f>
        <v>1710</v>
      </c>
      <c r="P26" s="182">
        <f t="shared" si="13"/>
        <v>1</v>
      </c>
      <c r="S26" s="184">
        <f>MonthlyData!U100</f>
        <v>22</v>
      </c>
      <c r="T26" s="182">
        <f t="shared" si="14"/>
        <v>1</v>
      </c>
    </row>
    <row r="27" spans="1:45" x14ac:dyDescent="0.35">
      <c r="B27" t="s">
        <v>20</v>
      </c>
      <c r="C27" s="183">
        <f>MonthlyData!Q101</f>
        <v>5146</v>
      </c>
      <c r="D27" s="158">
        <f t="shared" si="10"/>
        <v>0.99806051202482549</v>
      </c>
      <c r="G27" s="183">
        <f>MonthlyData!R101</f>
        <v>709</v>
      </c>
      <c r="H27" s="158">
        <f t="shared" si="11"/>
        <v>1.0056737588652482</v>
      </c>
      <c r="K27" s="183">
        <f>MonthlyData!S101</f>
        <v>67</v>
      </c>
      <c r="L27" s="158">
        <f t="shared" si="12"/>
        <v>1</v>
      </c>
      <c r="O27" s="184">
        <f>MonthlyData!T101</f>
        <v>1710</v>
      </c>
      <c r="P27" s="182">
        <f t="shared" si="13"/>
        <v>1</v>
      </c>
      <c r="S27" s="184">
        <f>MonthlyData!U101</f>
        <v>22</v>
      </c>
      <c r="T27" s="182">
        <f t="shared" si="14"/>
        <v>1</v>
      </c>
    </row>
    <row r="28" spans="1:45" x14ac:dyDescent="0.35">
      <c r="B28" t="s">
        <v>21</v>
      </c>
      <c r="C28" s="183">
        <f>MonthlyData!Q102</f>
        <v>5171</v>
      </c>
      <c r="D28" s="158">
        <f t="shared" si="10"/>
        <v>1.0048581422464049</v>
      </c>
      <c r="G28" s="183">
        <f>MonthlyData!R102</f>
        <v>712</v>
      </c>
      <c r="H28" s="158">
        <f t="shared" si="11"/>
        <v>1.004231311706629</v>
      </c>
      <c r="K28" s="183">
        <f>MonthlyData!S102</f>
        <v>68</v>
      </c>
      <c r="L28" s="158">
        <f t="shared" si="12"/>
        <v>1.0149253731343284</v>
      </c>
      <c r="O28" s="184">
        <f>MonthlyData!T102</f>
        <v>1710</v>
      </c>
      <c r="P28" s="182">
        <f t="shared" si="13"/>
        <v>1</v>
      </c>
      <c r="S28" s="184">
        <f>MonthlyData!U102</f>
        <v>22</v>
      </c>
      <c r="T28" s="182">
        <f t="shared" si="14"/>
        <v>1</v>
      </c>
    </row>
    <row r="29" spans="1:45" x14ac:dyDescent="0.35">
      <c r="B29" t="s">
        <v>58</v>
      </c>
      <c r="C29" s="183">
        <f>MonthlyData!Q103</f>
        <v>5172</v>
      </c>
      <c r="D29" s="158">
        <f t="shared" si="10"/>
        <v>1.0001933861922259</v>
      </c>
      <c r="G29" s="183">
        <f>MonthlyData!R103</f>
        <v>715</v>
      </c>
      <c r="H29" s="158">
        <f t="shared" si="11"/>
        <v>1.0042134831460674</v>
      </c>
      <c r="K29" s="183">
        <f>MonthlyData!S103</f>
        <v>69</v>
      </c>
      <c r="L29" s="158">
        <f t="shared" si="12"/>
        <v>1.0147058823529411</v>
      </c>
      <c r="O29" s="184">
        <f>MonthlyData!T103</f>
        <v>1710</v>
      </c>
      <c r="P29" s="182">
        <f t="shared" si="13"/>
        <v>1</v>
      </c>
      <c r="S29" s="184">
        <f>MonthlyData!U103</f>
        <v>22</v>
      </c>
      <c r="T29" s="182">
        <f t="shared" si="14"/>
        <v>1</v>
      </c>
    </row>
    <row r="30" spans="1:45" x14ac:dyDescent="0.35">
      <c r="B30" t="s">
        <v>59</v>
      </c>
      <c r="C30" s="183">
        <f>MonthlyData!Q104</f>
        <v>5167</v>
      </c>
      <c r="D30" s="158">
        <f t="shared" si="10"/>
        <v>0.99903325599381287</v>
      </c>
      <c r="G30" s="183">
        <f>MonthlyData!R104</f>
        <v>715</v>
      </c>
      <c r="H30" s="158">
        <f t="shared" si="11"/>
        <v>1</v>
      </c>
      <c r="K30" s="183">
        <f>MonthlyData!S104</f>
        <v>70</v>
      </c>
      <c r="L30" s="158">
        <f t="shared" si="12"/>
        <v>1.0144927536231885</v>
      </c>
      <c r="O30" s="184">
        <f>MonthlyData!T104</f>
        <v>1710</v>
      </c>
      <c r="P30" s="182">
        <f t="shared" si="13"/>
        <v>1</v>
      </c>
      <c r="S30" s="184">
        <f>MonthlyData!U104</f>
        <v>22</v>
      </c>
      <c r="T30" s="182">
        <f t="shared" si="14"/>
        <v>1</v>
      </c>
    </row>
    <row r="31" spans="1:45" x14ac:dyDescent="0.35">
      <c r="B31" t="s">
        <v>60</v>
      </c>
      <c r="C31" s="183">
        <f>MonthlyData!Q105</f>
        <v>5158</v>
      </c>
      <c r="D31" s="158">
        <f t="shared" si="10"/>
        <v>0.9982581768918134</v>
      </c>
      <c r="G31" s="183">
        <f>MonthlyData!R105</f>
        <v>715</v>
      </c>
      <c r="H31" s="158">
        <f t="shared" si="11"/>
        <v>1</v>
      </c>
      <c r="K31" s="183">
        <f>MonthlyData!S105</f>
        <v>68</v>
      </c>
      <c r="L31" s="158">
        <f t="shared" si="12"/>
        <v>0.97142857142857142</v>
      </c>
      <c r="O31" s="184">
        <f>MonthlyData!T105</f>
        <v>1710</v>
      </c>
      <c r="P31" s="182">
        <f t="shared" si="13"/>
        <v>1</v>
      </c>
      <c r="S31" s="184">
        <f>MonthlyData!U105</f>
        <v>22</v>
      </c>
      <c r="T31" s="182">
        <f t="shared" si="14"/>
        <v>1</v>
      </c>
    </row>
    <row r="32" spans="1:45" x14ac:dyDescent="0.35">
      <c r="B32" t="s">
        <v>222</v>
      </c>
      <c r="C32" s="183">
        <f>MonthlyData!Q106</f>
        <v>5149</v>
      </c>
      <c r="D32" s="158">
        <f t="shared" si="10"/>
        <v>0.99825513765025209</v>
      </c>
      <c r="G32" s="183">
        <f>MonthlyData!R106</f>
        <v>715</v>
      </c>
      <c r="H32" s="158">
        <f t="shared" si="11"/>
        <v>1</v>
      </c>
      <c r="K32" s="183">
        <f>MonthlyData!S106</f>
        <v>68</v>
      </c>
      <c r="L32" s="158">
        <f t="shared" si="12"/>
        <v>1</v>
      </c>
      <c r="O32" s="184">
        <f>MonthlyData!T106</f>
        <v>1710</v>
      </c>
      <c r="P32" s="182">
        <f t="shared" si="13"/>
        <v>1</v>
      </c>
      <c r="S32" s="184">
        <f>MonthlyData!U106</f>
        <v>22</v>
      </c>
      <c r="T32" s="182">
        <f t="shared" si="14"/>
        <v>1</v>
      </c>
    </row>
    <row r="33" spans="1:20" x14ac:dyDescent="0.35">
      <c r="B33" t="s">
        <v>26</v>
      </c>
      <c r="C33" s="183">
        <f>MonthlyData!Q107</f>
        <v>5147</v>
      </c>
      <c r="D33" s="158">
        <f t="shared" si="10"/>
        <v>0.99961157506311904</v>
      </c>
      <c r="G33" s="183">
        <f>MonthlyData!R107</f>
        <v>714</v>
      </c>
      <c r="H33" s="158">
        <f t="shared" si="11"/>
        <v>0.99860139860139863</v>
      </c>
      <c r="K33" s="183">
        <f>MonthlyData!S107</f>
        <v>68</v>
      </c>
      <c r="L33" s="158">
        <f t="shared" si="12"/>
        <v>1</v>
      </c>
      <c r="O33" s="184">
        <f>MonthlyData!T107</f>
        <v>1710</v>
      </c>
      <c r="P33" s="182">
        <f t="shared" si="13"/>
        <v>1</v>
      </c>
      <c r="S33" s="184">
        <f>MonthlyData!U107</f>
        <v>22</v>
      </c>
      <c r="T33" s="182">
        <f t="shared" si="14"/>
        <v>1</v>
      </c>
    </row>
    <row r="34" spans="1:20" x14ac:dyDescent="0.35">
      <c r="B34" t="s">
        <v>27</v>
      </c>
      <c r="C34" s="183">
        <f>MonthlyData!Q108</f>
        <v>5168</v>
      </c>
      <c r="D34" s="158">
        <f t="shared" si="10"/>
        <v>1.0040800466291044</v>
      </c>
      <c r="G34" s="183">
        <f>MonthlyData!R108</f>
        <v>713</v>
      </c>
      <c r="H34" s="158">
        <f t="shared" si="11"/>
        <v>0.99859943977591037</v>
      </c>
      <c r="K34" s="183">
        <f>MonthlyData!S108</f>
        <v>67</v>
      </c>
      <c r="L34" s="158">
        <f t="shared" si="12"/>
        <v>0.98529411764705888</v>
      </c>
      <c r="O34" s="184">
        <f>MonthlyData!T108</f>
        <v>1710</v>
      </c>
      <c r="P34" s="182">
        <f t="shared" si="13"/>
        <v>1</v>
      </c>
      <c r="S34" s="184">
        <f>MonthlyData!U108</f>
        <v>22</v>
      </c>
      <c r="T34" s="182">
        <f t="shared" si="14"/>
        <v>1</v>
      </c>
    </row>
    <row r="35" spans="1:20" x14ac:dyDescent="0.35">
      <c r="B35" t="s">
        <v>28</v>
      </c>
      <c r="C35" s="183">
        <f>MonthlyData!Q109</f>
        <v>5159</v>
      </c>
      <c r="D35" s="158">
        <f t="shared" si="10"/>
        <v>0.99825851393188858</v>
      </c>
      <c r="G35" s="183">
        <f>MonthlyData!R109</f>
        <v>715</v>
      </c>
      <c r="H35" s="158">
        <f t="shared" si="11"/>
        <v>1.0028050490883591</v>
      </c>
      <c r="K35" s="183">
        <f>MonthlyData!S109</f>
        <v>67</v>
      </c>
      <c r="L35" s="158">
        <f t="shared" si="12"/>
        <v>1</v>
      </c>
      <c r="O35" s="184">
        <f>MonthlyData!T109</f>
        <v>1710</v>
      </c>
      <c r="P35" s="182">
        <f t="shared" si="13"/>
        <v>1</v>
      </c>
      <c r="S35" s="184">
        <f>MonthlyData!U109</f>
        <v>22</v>
      </c>
      <c r="T35" s="182">
        <f t="shared" si="14"/>
        <v>1</v>
      </c>
    </row>
    <row r="36" spans="1:20" x14ac:dyDescent="0.35">
      <c r="A36">
        <v>2023</v>
      </c>
      <c r="B36" t="s">
        <v>17</v>
      </c>
      <c r="C36" s="183">
        <f>MonthlyData!Q110</f>
        <v>5187</v>
      </c>
      <c r="D36" s="158">
        <f t="shared" si="10"/>
        <v>1.005427408412483</v>
      </c>
      <c r="G36" s="183">
        <f>MonthlyData!R110</f>
        <v>718</v>
      </c>
      <c r="H36" s="158">
        <f t="shared" si="11"/>
        <v>1.0041958041958041</v>
      </c>
      <c r="K36" s="183">
        <f>MonthlyData!S110</f>
        <v>67</v>
      </c>
      <c r="L36" s="158">
        <f t="shared" si="12"/>
        <v>1</v>
      </c>
      <c r="O36" s="184">
        <f>MonthlyData!T110</f>
        <v>1710</v>
      </c>
      <c r="P36" s="182">
        <f t="shared" si="13"/>
        <v>1</v>
      </c>
      <c r="S36" s="184">
        <f>MonthlyData!U110</f>
        <v>22</v>
      </c>
      <c r="T36" s="182">
        <f t="shared" si="14"/>
        <v>1</v>
      </c>
    </row>
    <row r="37" spans="1:20" x14ac:dyDescent="0.35">
      <c r="B37" t="s">
        <v>18</v>
      </c>
      <c r="C37" s="183">
        <f>MonthlyData!Q111</f>
        <v>5189</v>
      </c>
      <c r="D37" s="158">
        <f>C37/C36</f>
        <v>1.0003855793329477</v>
      </c>
      <c r="G37" s="183">
        <f>MonthlyData!R111</f>
        <v>716</v>
      </c>
      <c r="H37" s="158">
        <f>G37/G36</f>
        <v>0.99721448467966578</v>
      </c>
      <c r="K37" s="183">
        <f>MonthlyData!S111</f>
        <v>67</v>
      </c>
      <c r="L37" s="158">
        <f>K37/K36</f>
        <v>1</v>
      </c>
      <c r="O37" s="184">
        <f>MonthlyData!T111</f>
        <v>1710</v>
      </c>
      <c r="P37" s="182">
        <f>O37/O36</f>
        <v>1</v>
      </c>
      <c r="S37" s="184">
        <f>MonthlyData!U111</f>
        <v>22</v>
      </c>
      <c r="T37" s="182">
        <f>S37/S36</f>
        <v>1</v>
      </c>
    </row>
    <row r="38" spans="1:20" x14ac:dyDescent="0.35">
      <c r="B38" t="s">
        <v>19</v>
      </c>
      <c r="C38" s="183">
        <f>MonthlyData!Q112</f>
        <v>5186</v>
      </c>
      <c r="D38" s="158">
        <f t="shared" ref="D38:D57" si="15">C38/C37</f>
        <v>0.99942185392175753</v>
      </c>
      <c r="G38" s="183">
        <f>MonthlyData!R112</f>
        <v>719</v>
      </c>
      <c r="H38" s="158">
        <f t="shared" ref="H38:H57" si="16">G38/G37</f>
        <v>1.0041899441340782</v>
      </c>
      <c r="K38" s="183">
        <f>MonthlyData!S112</f>
        <v>67</v>
      </c>
      <c r="L38" s="158">
        <f t="shared" ref="L38:L57" si="17">K38/K37</f>
        <v>1</v>
      </c>
      <c r="O38" s="184">
        <f>MonthlyData!T112</f>
        <v>1710</v>
      </c>
      <c r="P38" s="182">
        <f t="shared" ref="P38:P57" si="18">O38/O37</f>
        <v>1</v>
      </c>
      <c r="S38" s="184">
        <f>MonthlyData!U112</f>
        <v>22</v>
      </c>
      <c r="T38" s="182">
        <f t="shared" ref="T38:T57" si="19">S38/S37</f>
        <v>1</v>
      </c>
    </row>
    <row r="39" spans="1:20" x14ac:dyDescent="0.35">
      <c r="B39" t="s">
        <v>20</v>
      </c>
      <c r="C39" s="183">
        <f>MonthlyData!Q113</f>
        <v>5182</v>
      </c>
      <c r="D39" s="158">
        <f t="shared" si="15"/>
        <v>0.9992286926340147</v>
      </c>
      <c r="G39" s="183">
        <f>MonthlyData!R113</f>
        <v>714</v>
      </c>
      <c r="H39" s="158">
        <f t="shared" si="16"/>
        <v>0.99304589707927682</v>
      </c>
      <c r="K39" s="183">
        <f>MonthlyData!S113</f>
        <v>68</v>
      </c>
      <c r="L39" s="158">
        <f t="shared" si="17"/>
        <v>1.0149253731343284</v>
      </c>
      <c r="O39" s="184">
        <f>MonthlyData!T113</f>
        <v>1710</v>
      </c>
      <c r="P39" s="182">
        <f t="shared" si="18"/>
        <v>1</v>
      </c>
      <c r="S39" s="184">
        <f>MonthlyData!U113</f>
        <v>22</v>
      </c>
      <c r="T39" s="182">
        <f t="shared" si="19"/>
        <v>1</v>
      </c>
    </row>
    <row r="40" spans="1:20" x14ac:dyDescent="0.35">
      <c r="B40" t="s">
        <v>21</v>
      </c>
      <c r="C40" s="183">
        <f>MonthlyData!Q114</f>
        <v>5201</v>
      </c>
      <c r="D40" s="158">
        <f t="shared" si="15"/>
        <v>1.00366653801621</v>
      </c>
      <c r="G40" s="183">
        <f>MonthlyData!R114</f>
        <v>714</v>
      </c>
      <c r="H40" s="158">
        <f t="shared" si="16"/>
        <v>1</v>
      </c>
      <c r="K40" s="183">
        <f>MonthlyData!S114</f>
        <v>68</v>
      </c>
      <c r="L40" s="158">
        <f t="shared" si="17"/>
        <v>1</v>
      </c>
      <c r="O40" s="184">
        <f>MonthlyData!T114</f>
        <v>1710</v>
      </c>
      <c r="P40" s="182">
        <f t="shared" si="18"/>
        <v>1</v>
      </c>
      <c r="S40" s="184">
        <f>MonthlyData!U114</f>
        <v>22</v>
      </c>
      <c r="T40" s="182">
        <f t="shared" si="19"/>
        <v>1</v>
      </c>
    </row>
    <row r="41" spans="1:20" x14ac:dyDescent="0.35">
      <c r="B41" t="s">
        <v>58</v>
      </c>
      <c r="C41" s="183">
        <f>MonthlyData!Q115</f>
        <v>5191</v>
      </c>
      <c r="D41" s="158">
        <f t="shared" si="15"/>
        <v>0.99807729282830226</v>
      </c>
      <c r="G41" s="183">
        <f>MonthlyData!R115</f>
        <v>720</v>
      </c>
      <c r="H41" s="158">
        <f t="shared" si="16"/>
        <v>1.0084033613445378</v>
      </c>
      <c r="K41" s="183">
        <f>MonthlyData!S115</f>
        <v>69</v>
      </c>
      <c r="L41" s="158">
        <f t="shared" si="17"/>
        <v>1.0147058823529411</v>
      </c>
      <c r="O41" s="184">
        <f>MonthlyData!T115</f>
        <v>1710</v>
      </c>
      <c r="P41" s="182">
        <f t="shared" si="18"/>
        <v>1</v>
      </c>
      <c r="S41" s="184">
        <f>MonthlyData!U115</f>
        <v>22</v>
      </c>
      <c r="T41" s="182">
        <f t="shared" si="19"/>
        <v>1</v>
      </c>
    </row>
    <row r="42" spans="1:20" x14ac:dyDescent="0.35">
      <c r="B42" t="s">
        <v>59</v>
      </c>
      <c r="C42" s="183">
        <f>MonthlyData!Q116</f>
        <v>5202</v>
      </c>
      <c r="D42" s="158">
        <f t="shared" si="15"/>
        <v>1.0021190522057406</v>
      </c>
      <c r="G42" s="183">
        <f>MonthlyData!R116</f>
        <v>720</v>
      </c>
      <c r="H42" s="158">
        <f t="shared" si="16"/>
        <v>1</v>
      </c>
      <c r="K42" s="183">
        <f>MonthlyData!S116</f>
        <v>70</v>
      </c>
      <c r="L42" s="158">
        <f t="shared" si="17"/>
        <v>1.0144927536231885</v>
      </c>
      <c r="O42" s="184">
        <f>MonthlyData!T116</f>
        <v>1710</v>
      </c>
      <c r="P42" s="182">
        <f t="shared" si="18"/>
        <v>1</v>
      </c>
      <c r="S42" s="184">
        <f>MonthlyData!U116</f>
        <v>22</v>
      </c>
      <c r="T42" s="182">
        <f t="shared" si="19"/>
        <v>1</v>
      </c>
    </row>
    <row r="43" spans="1:20" x14ac:dyDescent="0.35">
      <c r="B43" t="s">
        <v>60</v>
      </c>
      <c r="C43" s="183">
        <f>MonthlyData!Q117</f>
        <v>5197</v>
      </c>
      <c r="D43" s="158">
        <f t="shared" si="15"/>
        <v>0.99903883121876202</v>
      </c>
      <c r="E43" s="185"/>
      <c r="F43" s="185"/>
      <c r="G43" s="183">
        <f>MonthlyData!R117</f>
        <v>714</v>
      </c>
      <c r="H43" s="158">
        <f t="shared" si="16"/>
        <v>0.9916666666666667</v>
      </c>
      <c r="I43" s="185"/>
      <c r="J43" s="185"/>
      <c r="K43" s="183">
        <f>MonthlyData!S117</f>
        <v>69</v>
      </c>
      <c r="L43" s="158">
        <f t="shared" si="17"/>
        <v>0.98571428571428577</v>
      </c>
      <c r="M43" s="185"/>
      <c r="N43" s="185"/>
      <c r="O43" s="184">
        <f>MonthlyData!T117</f>
        <v>1710</v>
      </c>
      <c r="P43" s="182">
        <f t="shared" si="18"/>
        <v>1</v>
      </c>
      <c r="Q43" s="185"/>
      <c r="R43" s="185"/>
      <c r="S43" s="184">
        <f>MonthlyData!U117</f>
        <v>22</v>
      </c>
      <c r="T43" s="182">
        <f t="shared" si="19"/>
        <v>1</v>
      </c>
    </row>
    <row r="44" spans="1:20" x14ac:dyDescent="0.35">
      <c r="B44" t="s">
        <v>222</v>
      </c>
      <c r="C44" s="183">
        <f>MonthlyData!Q118</f>
        <v>5192</v>
      </c>
      <c r="D44" s="158">
        <f t="shared" si="15"/>
        <v>0.9990379064845103</v>
      </c>
      <c r="E44" s="185"/>
      <c r="F44" s="185"/>
      <c r="G44" s="183">
        <f>MonthlyData!R118</f>
        <v>714</v>
      </c>
      <c r="H44" s="158">
        <f t="shared" si="16"/>
        <v>1</v>
      </c>
      <c r="I44" s="185"/>
      <c r="J44" s="185"/>
      <c r="K44" s="183">
        <f>MonthlyData!S118</f>
        <v>69</v>
      </c>
      <c r="L44" s="158">
        <f t="shared" si="17"/>
        <v>1</v>
      </c>
      <c r="M44" s="185"/>
      <c r="N44" s="185"/>
      <c r="O44" s="184">
        <f>MonthlyData!T118</f>
        <v>1710</v>
      </c>
      <c r="P44" s="182">
        <f t="shared" si="18"/>
        <v>1</v>
      </c>
      <c r="Q44" s="185"/>
      <c r="R44" s="185"/>
      <c r="S44" s="184">
        <f>MonthlyData!U118</f>
        <v>22</v>
      </c>
      <c r="T44" s="182">
        <f t="shared" si="19"/>
        <v>1</v>
      </c>
    </row>
    <row r="45" spans="1:20" x14ac:dyDescent="0.35">
      <c r="B45" t="s">
        <v>26</v>
      </c>
      <c r="C45" s="183">
        <f>MonthlyData!Q119</f>
        <v>5197</v>
      </c>
      <c r="D45" s="158">
        <f t="shared" si="15"/>
        <v>1.0009630200308166</v>
      </c>
      <c r="E45" s="185"/>
      <c r="F45" s="185"/>
      <c r="G45" s="183">
        <f>MonthlyData!R119</f>
        <v>712</v>
      </c>
      <c r="H45" s="158">
        <f t="shared" si="16"/>
        <v>0.99719887955182074</v>
      </c>
      <c r="I45" s="185"/>
      <c r="J45" s="185"/>
      <c r="K45" s="183">
        <f>MonthlyData!S119</f>
        <v>70</v>
      </c>
      <c r="L45" s="158">
        <f t="shared" si="17"/>
        <v>1.0144927536231885</v>
      </c>
      <c r="M45" s="185"/>
      <c r="N45" s="185"/>
      <c r="O45" s="184">
        <f>MonthlyData!T119</f>
        <v>1710</v>
      </c>
      <c r="P45" s="182">
        <f t="shared" si="18"/>
        <v>1</v>
      </c>
      <c r="Q45" s="185"/>
      <c r="R45" s="185"/>
      <c r="S45" s="184">
        <f>MonthlyData!U119</f>
        <v>22</v>
      </c>
      <c r="T45" s="182">
        <f t="shared" si="19"/>
        <v>1</v>
      </c>
    </row>
    <row r="46" spans="1:20" x14ac:dyDescent="0.35">
      <c r="B46" t="s">
        <v>27</v>
      </c>
      <c r="C46" s="183">
        <f>MonthlyData!Q120</f>
        <v>5219</v>
      </c>
      <c r="D46" s="158">
        <f t="shared" si="15"/>
        <v>1.0042332114681547</v>
      </c>
      <c r="E46" s="185"/>
      <c r="F46" s="185"/>
      <c r="G46" s="183">
        <f>MonthlyData!R120</f>
        <v>716</v>
      </c>
      <c r="H46" s="158">
        <f t="shared" si="16"/>
        <v>1.0056179775280898</v>
      </c>
      <c r="I46" s="185"/>
      <c r="J46" s="185"/>
      <c r="K46" s="183">
        <f>MonthlyData!S120</f>
        <v>72</v>
      </c>
      <c r="L46" s="158">
        <f t="shared" si="17"/>
        <v>1.0285714285714285</v>
      </c>
      <c r="M46" s="185"/>
      <c r="N46" s="185"/>
      <c r="O46" s="184">
        <f>MonthlyData!T120</f>
        <v>1710</v>
      </c>
      <c r="P46" s="182">
        <f t="shared" si="18"/>
        <v>1</v>
      </c>
      <c r="Q46" s="185"/>
      <c r="R46" s="185"/>
      <c r="S46" s="184">
        <f>MonthlyData!U120</f>
        <v>22</v>
      </c>
      <c r="T46" s="182">
        <f t="shared" si="19"/>
        <v>1</v>
      </c>
    </row>
    <row r="47" spans="1:20" x14ac:dyDescent="0.35">
      <c r="B47" t="s">
        <v>28</v>
      </c>
      <c r="C47" s="183">
        <f>MonthlyData!Q121</f>
        <v>5187</v>
      </c>
      <c r="D47" s="158">
        <f t="shared" si="15"/>
        <v>0.99386855719486489</v>
      </c>
      <c r="E47" s="185"/>
      <c r="F47" s="185"/>
      <c r="G47" s="183">
        <f>MonthlyData!R121</f>
        <v>714</v>
      </c>
      <c r="H47" s="158">
        <f t="shared" si="16"/>
        <v>0.9972067039106145</v>
      </c>
      <c r="I47" s="185"/>
      <c r="J47" s="185"/>
      <c r="K47" s="183">
        <f>MonthlyData!S121</f>
        <v>70</v>
      </c>
      <c r="L47" s="158">
        <f t="shared" si="17"/>
        <v>0.97222222222222221</v>
      </c>
      <c r="M47" s="185"/>
      <c r="N47" s="185"/>
      <c r="O47" s="184">
        <f>MonthlyData!T121</f>
        <v>1710</v>
      </c>
      <c r="P47" s="182">
        <f t="shared" si="18"/>
        <v>1</v>
      </c>
      <c r="Q47" s="185"/>
      <c r="R47" s="185"/>
      <c r="S47" s="184">
        <f>MonthlyData!U121</f>
        <v>22</v>
      </c>
      <c r="T47" s="182">
        <f t="shared" si="19"/>
        <v>1</v>
      </c>
    </row>
    <row r="48" spans="1:20" x14ac:dyDescent="0.35">
      <c r="A48">
        <v>2024</v>
      </c>
      <c r="B48" t="s">
        <v>17</v>
      </c>
      <c r="C48" s="183">
        <f>MonthlyData!Q122</f>
        <v>5196</v>
      </c>
      <c r="D48" s="158">
        <f t="shared" si="15"/>
        <v>1.001735106998265</v>
      </c>
      <c r="E48" s="35"/>
      <c r="F48" s="35"/>
      <c r="G48" s="183">
        <f>MonthlyData!R122</f>
        <v>710</v>
      </c>
      <c r="H48" s="158">
        <f t="shared" si="16"/>
        <v>0.99439775910364148</v>
      </c>
      <c r="I48" s="35"/>
      <c r="J48" s="35"/>
      <c r="K48" s="183">
        <f>MonthlyData!S122</f>
        <v>69</v>
      </c>
      <c r="L48" s="158">
        <f t="shared" si="17"/>
        <v>0.98571428571428577</v>
      </c>
      <c r="M48" s="35"/>
      <c r="N48" s="35"/>
      <c r="O48" s="184">
        <f>MonthlyData!T122</f>
        <v>1710</v>
      </c>
      <c r="P48" s="187">
        <f t="shared" si="18"/>
        <v>1</v>
      </c>
      <c r="Q48" s="35"/>
      <c r="R48" s="35"/>
      <c r="S48" s="184">
        <f>MonthlyData!U122</f>
        <v>22</v>
      </c>
      <c r="T48" s="187">
        <f t="shared" si="19"/>
        <v>1</v>
      </c>
    </row>
    <row r="49" spans="1:22" x14ac:dyDescent="0.35">
      <c r="B49" t="s">
        <v>18</v>
      </c>
      <c r="C49" s="183">
        <f>MonthlyData!Q123</f>
        <v>5188</v>
      </c>
      <c r="D49" s="158">
        <f t="shared" si="15"/>
        <v>0.99846035411855272</v>
      </c>
      <c r="E49" s="35"/>
      <c r="F49" s="35"/>
      <c r="G49" s="183">
        <f>MonthlyData!R123</f>
        <v>711</v>
      </c>
      <c r="H49" s="158">
        <f t="shared" si="16"/>
        <v>1.0014084507042254</v>
      </c>
      <c r="I49" s="35"/>
      <c r="J49" s="35"/>
      <c r="K49" s="183">
        <f>MonthlyData!S123</f>
        <v>69</v>
      </c>
      <c r="L49" s="158">
        <f t="shared" si="17"/>
        <v>1</v>
      </c>
      <c r="M49" s="35"/>
      <c r="N49" s="35"/>
      <c r="O49" s="184">
        <f>MonthlyData!T123</f>
        <v>1710</v>
      </c>
      <c r="P49" s="187">
        <f t="shared" si="18"/>
        <v>1</v>
      </c>
      <c r="Q49" s="35"/>
      <c r="R49" s="35"/>
      <c r="S49" s="184">
        <f>MonthlyData!U123</f>
        <v>22</v>
      </c>
      <c r="T49" s="187">
        <f t="shared" si="19"/>
        <v>1</v>
      </c>
    </row>
    <row r="50" spans="1:22" x14ac:dyDescent="0.35">
      <c r="B50" t="s">
        <v>19</v>
      </c>
      <c r="C50" s="183">
        <f>MonthlyData!Q124</f>
        <v>5185</v>
      </c>
      <c r="D50" s="158">
        <f t="shared" si="15"/>
        <v>0.99942174248265225</v>
      </c>
      <c r="E50" s="35"/>
      <c r="F50" s="35"/>
      <c r="G50" s="183">
        <f>MonthlyData!R124</f>
        <v>714</v>
      </c>
      <c r="H50" s="158">
        <f t="shared" si="16"/>
        <v>1.0042194092827004</v>
      </c>
      <c r="I50" s="35"/>
      <c r="J50" s="35"/>
      <c r="K50" s="183">
        <f>MonthlyData!S124</f>
        <v>70</v>
      </c>
      <c r="L50" s="158">
        <f t="shared" si="17"/>
        <v>1.0144927536231885</v>
      </c>
      <c r="M50" s="35"/>
      <c r="N50" s="35"/>
      <c r="O50" s="184">
        <f>MonthlyData!T124</f>
        <v>1710</v>
      </c>
      <c r="P50" s="187">
        <f t="shared" si="18"/>
        <v>1</v>
      </c>
      <c r="Q50" s="35"/>
      <c r="R50" s="35"/>
      <c r="S50" s="184">
        <f>MonthlyData!U124</f>
        <v>22</v>
      </c>
      <c r="T50" s="187">
        <f t="shared" si="19"/>
        <v>1</v>
      </c>
    </row>
    <row r="51" spans="1:22" x14ac:dyDescent="0.35">
      <c r="B51" t="s">
        <v>20</v>
      </c>
      <c r="C51" s="183">
        <f>MonthlyData!Q125</f>
        <v>5187</v>
      </c>
      <c r="D51" s="158">
        <f t="shared" si="15"/>
        <v>1.0003857280617166</v>
      </c>
      <c r="E51" s="35"/>
      <c r="F51" s="35"/>
      <c r="G51" s="183">
        <f>MonthlyData!R125</f>
        <v>713</v>
      </c>
      <c r="H51" s="158">
        <f t="shared" si="16"/>
        <v>0.99859943977591037</v>
      </c>
      <c r="I51" s="35"/>
      <c r="J51" s="35"/>
      <c r="K51" s="183">
        <f>MonthlyData!S125</f>
        <v>69</v>
      </c>
      <c r="L51" s="158">
        <f t="shared" si="17"/>
        <v>0.98571428571428577</v>
      </c>
      <c r="M51" s="35"/>
      <c r="N51" s="35"/>
      <c r="O51" s="184">
        <f>MonthlyData!T125</f>
        <v>1710</v>
      </c>
      <c r="P51" s="187">
        <f t="shared" si="18"/>
        <v>1</v>
      </c>
      <c r="Q51" s="35"/>
      <c r="R51" s="35"/>
      <c r="S51" s="184">
        <f>MonthlyData!U125</f>
        <v>22</v>
      </c>
      <c r="T51" s="187">
        <f t="shared" si="19"/>
        <v>1</v>
      </c>
    </row>
    <row r="52" spans="1:22" x14ac:dyDescent="0.35">
      <c r="B52" t="s">
        <v>21</v>
      </c>
      <c r="C52" s="183">
        <f>MonthlyData!Q126</f>
        <v>5196</v>
      </c>
      <c r="D52" s="158">
        <f t="shared" si="15"/>
        <v>1.001735106998265</v>
      </c>
      <c r="E52" s="35"/>
      <c r="F52" s="35"/>
      <c r="G52" s="183">
        <f>MonthlyData!R126</f>
        <v>717</v>
      </c>
      <c r="H52" s="158">
        <f t="shared" si="16"/>
        <v>1.0056100981767182</v>
      </c>
      <c r="I52" s="35"/>
      <c r="J52" s="35"/>
      <c r="K52" s="183">
        <f>MonthlyData!S126</f>
        <v>69</v>
      </c>
      <c r="L52" s="158">
        <f t="shared" si="17"/>
        <v>1</v>
      </c>
      <c r="M52" s="35"/>
      <c r="N52" s="35"/>
      <c r="O52" s="184">
        <f>MonthlyData!T126</f>
        <v>1710</v>
      </c>
      <c r="P52" s="187">
        <f t="shared" si="18"/>
        <v>1</v>
      </c>
      <c r="Q52" s="35"/>
      <c r="R52" s="35"/>
      <c r="S52" s="184">
        <f>MonthlyData!U126</f>
        <v>22</v>
      </c>
      <c r="T52" s="187">
        <f t="shared" si="19"/>
        <v>1</v>
      </c>
    </row>
    <row r="53" spans="1:22" x14ac:dyDescent="0.35">
      <c r="B53" t="s">
        <v>58</v>
      </c>
      <c r="C53" s="183">
        <f>MonthlyData!Q127</f>
        <v>5177</v>
      </c>
      <c r="D53" s="158">
        <f t="shared" si="15"/>
        <v>0.99634334103156275</v>
      </c>
      <c r="E53" s="35"/>
      <c r="F53" s="35"/>
      <c r="G53" s="183">
        <f>MonthlyData!R127</f>
        <v>718</v>
      </c>
      <c r="H53" s="158">
        <f t="shared" si="16"/>
        <v>1.0013947001394701</v>
      </c>
      <c r="I53" s="35"/>
      <c r="J53" s="35"/>
      <c r="K53" s="183">
        <f>MonthlyData!S127</f>
        <v>69</v>
      </c>
      <c r="L53" s="158">
        <f t="shared" si="17"/>
        <v>1</v>
      </c>
      <c r="M53" s="35"/>
      <c r="N53" s="35"/>
      <c r="O53" s="184">
        <f>MonthlyData!T127</f>
        <v>1710</v>
      </c>
      <c r="P53" s="187">
        <f t="shared" si="18"/>
        <v>1</v>
      </c>
      <c r="Q53" s="35"/>
      <c r="R53" s="35"/>
      <c r="S53" s="184">
        <f>MonthlyData!U127</f>
        <v>22</v>
      </c>
      <c r="T53" s="187">
        <f t="shared" si="19"/>
        <v>1</v>
      </c>
    </row>
    <row r="54" spans="1:22" x14ac:dyDescent="0.35">
      <c r="B54" t="s">
        <v>59</v>
      </c>
      <c r="C54" s="183">
        <f>MonthlyData!Q128</f>
        <v>5167</v>
      </c>
      <c r="D54" s="158">
        <f t="shared" si="15"/>
        <v>0.99806837937029169</v>
      </c>
      <c r="E54" s="35"/>
      <c r="F54" s="35"/>
      <c r="G54" s="183">
        <f>MonthlyData!R128</f>
        <v>716</v>
      </c>
      <c r="H54" s="158">
        <f t="shared" si="16"/>
        <v>0.99721448467966578</v>
      </c>
      <c r="I54" s="35"/>
      <c r="J54" s="35"/>
      <c r="K54" s="183">
        <f>MonthlyData!S128</f>
        <v>69</v>
      </c>
      <c r="L54" s="158">
        <f t="shared" si="17"/>
        <v>1</v>
      </c>
      <c r="M54" s="35"/>
      <c r="N54" s="35"/>
      <c r="O54" s="184">
        <f>MonthlyData!T128</f>
        <v>1710</v>
      </c>
      <c r="P54" s="187">
        <f t="shared" si="18"/>
        <v>1</v>
      </c>
      <c r="Q54" s="35"/>
      <c r="R54" s="35"/>
      <c r="S54" s="184">
        <f>MonthlyData!U128</f>
        <v>22</v>
      </c>
      <c r="T54" s="187">
        <f t="shared" si="19"/>
        <v>1</v>
      </c>
    </row>
    <row r="55" spans="1:22" x14ac:dyDescent="0.35">
      <c r="B55" t="s">
        <v>60</v>
      </c>
      <c r="C55" s="183">
        <f>MonthlyData!Q129</f>
        <v>5177</v>
      </c>
      <c r="D55" s="158">
        <f t="shared" si="15"/>
        <v>1.0019353590090962</v>
      </c>
      <c r="E55" s="35"/>
      <c r="F55" s="35"/>
      <c r="G55" s="183">
        <f>MonthlyData!R129</f>
        <v>716</v>
      </c>
      <c r="H55" s="158">
        <f t="shared" si="16"/>
        <v>1</v>
      </c>
      <c r="I55" s="35"/>
      <c r="J55" s="35"/>
      <c r="K55" s="183">
        <f>MonthlyData!S129</f>
        <v>70</v>
      </c>
      <c r="L55" s="158">
        <f t="shared" si="17"/>
        <v>1.0144927536231885</v>
      </c>
      <c r="M55" s="35"/>
      <c r="N55" s="35"/>
      <c r="O55" s="184">
        <f>MonthlyData!T129</f>
        <v>1710</v>
      </c>
      <c r="P55" s="187">
        <f t="shared" si="18"/>
        <v>1</v>
      </c>
      <c r="Q55" s="35"/>
      <c r="R55" s="35"/>
      <c r="S55" s="184">
        <f>MonthlyData!U129</f>
        <v>22</v>
      </c>
      <c r="T55" s="187">
        <f t="shared" si="19"/>
        <v>1</v>
      </c>
    </row>
    <row r="56" spans="1:22" x14ac:dyDescent="0.35">
      <c r="B56" t="s">
        <v>222</v>
      </c>
      <c r="C56" s="183">
        <f>MonthlyData!Q130</f>
        <v>5178</v>
      </c>
      <c r="D56" s="158">
        <f t="shared" si="15"/>
        <v>1.0001931620629709</v>
      </c>
      <c r="E56" s="35"/>
      <c r="F56" s="35"/>
      <c r="G56" s="183">
        <f>MonthlyData!R130</f>
        <v>717</v>
      </c>
      <c r="H56" s="158">
        <f t="shared" si="16"/>
        <v>1.0013966480446927</v>
      </c>
      <c r="I56" s="35"/>
      <c r="J56" s="35"/>
      <c r="K56" s="183">
        <f>MonthlyData!S130</f>
        <v>70</v>
      </c>
      <c r="L56" s="158">
        <f t="shared" si="17"/>
        <v>1</v>
      </c>
      <c r="M56" s="35"/>
      <c r="N56" s="35"/>
      <c r="O56" s="184">
        <f>MonthlyData!T130</f>
        <v>1710</v>
      </c>
      <c r="P56" s="187">
        <f t="shared" si="18"/>
        <v>1</v>
      </c>
      <c r="Q56" s="35"/>
      <c r="R56" s="35"/>
      <c r="S56" s="184">
        <f>MonthlyData!U130</f>
        <v>22</v>
      </c>
      <c r="T56" s="187">
        <f t="shared" si="19"/>
        <v>1</v>
      </c>
    </row>
    <row r="57" spans="1:22" x14ac:dyDescent="0.35">
      <c r="B57" t="s">
        <v>26</v>
      </c>
      <c r="C57" s="183">
        <f>MonthlyData!Q131</f>
        <v>5177</v>
      </c>
      <c r="D57" s="158">
        <f t="shared" si="15"/>
        <v>0.99980687524140599</v>
      </c>
      <c r="E57" s="35"/>
      <c r="F57" s="35"/>
      <c r="G57" s="183">
        <f>MonthlyData!R131</f>
        <v>715</v>
      </c>
      <c r="H57" s="158">
        <f t="shared" si="16"/>
        <v>0.99721059972105996</v>
      </c>
      <c r="I57" s="35"/>
      <c r="J57" s="35"/>
      <c r="K57" s="183">
        <f>MonthlyData!S131</f>
        <v>70</v>
      </c>
      <c r="L57" s="158">
        <f t="shared" si="17"/>
        <v>1</v>
      </c>
      <c r="M57" s="35"/>
      <c r="N57" s="35"/>
      <c r="O57" s="184">
        <f>MonthlyData!T131</f>
        <v>1710</v>
      </c>
      <c r="P57" s="187">
        <f t="shared" si="18"/>
        <v>1</v>
      </c>
      <c r="Q57" s="35"/>
      <c r="R57" s="35"/>
      <c r="S57" s="184">
        <f>MonthlyData!U131</f>
        <v>22</v>
      </c>
      <c r="T57" s="187">
        <f t="shared" si="19"/>
        <v>1</v>
      </c>
    </row>
    <row r="58" spans="1:22" x14ac:dyDescent="0.35">
      <c r="B58" t="s">
        <v>27</v>
      </c>
      <c r="C58" s="186">
        <f>C57*D58+3.45</f>
        <v>5180.6319268209245</v>
      </c>
      <c r="D58" s="434">
        <f>GEOMEAN(D25:D57)</f>
        <v>1.0000351413600395</v>
      </c>
      <c r="E58" s="35"/>
      <c r="F58" s="433"/>
      <c r="G58" s="186">
        <f>G57*H58+0.45</f>
        <v>715.63260866503299</v>
      </c>
      <c r="H58" s="434">
        <f>GEOMEAN(H25:H57)</f>
        <v>1.0002553967343117</v>
      </c>
      <c r="I58" s="35"/>
      <c r="J58" s="433"/>
      <c r="K58" s="186">
        <f>K57*L58+0.2</f>
        <v>70.292976346652111</v>
      </c>
      <c r="L58" s="434">
        <f>GEOMEAN(L25:L57)</f>
        <v>1.0013282335236016</v>
      </c>
      <c r="M58" s="35"/>
      <c r="N58" s="433"/>
      <c r="O58" s="186">
        <f>O57*P58</f>
        <v>1710</v>
      </c>
      <c r="P58" s="434">
        <f>GEOMEAN(P25:P57)</f>
        <v>1</v>
      </c>
      <c r="Q58" s="35"/>
      <c r="R58" s="433"/>
      <c r="S58" s="186">
        <f>S57*T58</f>
        <v>22</v>
      </c>
      <c r="T58" s="434">
        <f>GEOMEAN(T25:T57)</f>
        <v>1</v>
      </c>
      <c r="U58" s="35"/>
      <c r="V58" s="433"/>
    </row>
    <row r="59" spans="1:22" x14ac:dyDescent="0.35">
      <c r="B59" t="s">
        <v>28</v>
      </c>
      <c r="C59" s="186">
        <f t="shared" ref="C59:C71" si="20">C58*D59</f>
        <v>5180.8139812726968</v>
      </c>
      <c r="D59" s="434">
        <f>D58</f>
        <v>1.0000351413600395</v>
      </c>
      <c r="E59" s="35"/>
      <c r="F59" s="433"/>
      <c r="G59" s="186">
        <f t="shared" ref="G59:G71" si="21">G58*H59</f>
        <v>715.81537889625304</v>
      </c>
      <c r="H59" s="434">
        <f>H58</f>
        <v>1.0002553967343117</v>
      </c>
      <c r="I59" s="35"/>
      <c r="J59" s="433"/>
      <c r="K59" s="186">
        <f t="shared" ref="K59:K71" si="22">K58*L59</f>
        <v>70.386341834309462</v>
      </c>
      <c r="L59" s="434">
        <f>L58</f>
        <v>1.0013282335236016</v>
      </c>
      <c r="M59" s="35"/>
      <c r="N59" s="433"/>
      <c r="O59" s="186">
        <f t="shared" ref="O59:O71" si="23">O58*P59</f>
        <v>1710</v>
      </c>
      <c r="P59" s="434">
        <f>P58</f>
        <v>1</v>
      </c>
      <c r="Q59" s="35"/>
      <c r="R59" s="433"/>
      <c r="S59" s="186">
        <f t="shared" ref="S59:S71" si="24">S58*T59</f>
        <v>22</v>
      </c>
      <c r="T59" s="434">
        <f>T58</f>
        <v>1</v>
      </c>
      <c r="U59" s="35"/>
      <c r="V59" s="433"/>
    </row>
    <row r="60" spans="1:22" x14ac:dyDescent="0.35">
      <c r="A60">
        <v>2025</v>
      </c>
      <c r="B60" t="s">
        <v>17</v>
      </c>
      <c r="C60" s="186">
        <f t="shared" si="20"/>
        <v>5180.9960421221103</v>
      </c>
      <c r="D60" s="434">
        <f t="shared" ref="D60:D71" si="25">D59</f>
        <v>1.0000351413600395</v>
      </c>
      <c r="E60" s="35"/>
      <c r="F60" s="433"/>
      <c r="G60" s="186">
        <f t="shared" si="21"/>
        <v>715.99819580639326</v>
      </c>
      <c r="H60" s="434">
        <f t="shared" ref="H60:H71" si="26">H59</f>
        <v>1.0002553967343117</v>
      </c>
      <c r="I60" s="35"/>
      <c r="J60" s="433"/>
      <c r="K60" s="186">
        <f t="shared" si="22"/>
        <v>70.479831333137469</v>
      </c>
      <c r="L60" s="434">
        <f t="shared" ref="L60:L71" si="27">L59</f>
        <v>1.0013282335236016</v>
      </c>
      <c r="M60" s="35"/>
      <c r="N60" s="433"/>
      <c r="O60" s="186">
        <f t="shared" si="23"/>
        <v>1710</v>
      </c>
      <c r="P60" s="434">
        <f t="shared" ref="P60:P71" si="28">P59</f>
        <v>1</v>
      </c>
      <c r="Q60" s="35"/>
      <c r="R60" s="433"/>
      <c r="S60" s="186">
        <f t="shared" si="24"/>
        <v>22</v>
      </c>
      <c r="T60" s="434">
        <f t="shared" ref="T60:T71" si="29">T59</f>
        <v>1</v>
      </c>
      <c r="U60" s="35"/>
      <c r="V60" s="433"/>
    </row>
    <row r="61" spans="1:22" x14ac:dyDescent="0.35">
      <c r="B61" t="s">
        <v>18</v>
      </c>
      <c r="C61" s="186">
        <f t="shared" si="20"/>
        <v>5181.1781093693899</v>
      </c>
      <c r="D61" s="434">
        <f t="shared" si="25"/>
        <v>1.0000351413600395</v>
      </c>
      <c r="E61" s="35"/>
      <c r="F61" s="433"/>
      <c r="G61" s="186">
        <f t="shared" si="21"/>
        <v>716.1810594073753</v>
      </c>
      <c r="H61" s="434">
        <f t="shared" si="26"/>
        <v>1.0002553967343117</v>
      </c>
      <c r="I61" s="35"/>
      <c r="J61" s="433"/>
      <c r="K61" s="186">
        <f t="shared" si="22"/>
        <v>70.57344500785193</v>
      </c>
      <c r="L61" s="434">
        <f t="shared" si="27"/>
        <v>1.0013282335236016</v>
      </c>
      <c r="M61" s="35"/>
      <c r="N61" s="433"/>
      <c r="O61" s="186">
        <f t="shared" si="23"/>
        <v>1710</v>
      </c>
      <c r="P61" s="434">
        <f t="shared" si="28"/>
        <v>1</v>
      </c>
      <c r="Q61" s="35"/>
      <c r="R61" s="433"/>
      <c r="S61" s="186">
        <f t="shared" si="24"/>
        <v>22</v>
      </c>
      <c r="T61" s="434">
        <f t="shared" si="29"/>
        <v>1</v>
      </c>
      <c r="U61" s="35"/>
      <c r="V61" s="433"/>
    </row>
    <row r="62" spans="1:22" x14ac:dyDescent="0.35">
      <c r="B62" t="s">
        <v>19</v>
      </c>
      <c r="C62" s="186">
        <f t="shared" si="20"/>
        <v>5181.36018301476</v>
      </c>
      <c r="D62" s="434">
        <f t="shared" si="25"/>
        <v>1.0000351413600395</v>
      </c>
      <c r="E62" s="35"/>
      <c r="F62" s="433"/>
      <c r="G62" s="186">
        <f t="shared" si="21"/>
        <v>716.3639697111239</v>
      </c>
      <c r="H62" s="434">
        <f t="shared" si="26"/>
        <v>1.0002553967343117</v>
      </c>
      <c r="I62" s="35"/>
      <c r="J62" s="433"/>
      <c r="K62" s="186">
        <f t="shared" si="22"/>
        <v>70.667183023387409</v>
      </c>
      <c r="L62" s="434">
        <f t="shared" si="27"/>
        <v>1.0013282335236016</v>
      </c>
      <c r="M62" s="35"/>
      <c r="N62" s="433"/>
      <c r="O62" s="186">
        <f t="shared" si="23"/>
        <v>1710</v>
      </c>
      <c r="P62" s="434">
        <f t="shared" si="28"/>
        <v>1</v>
      </c>
      <c r="Q62" s="35"/>
      <c r="R62" s="433"/>
      <c r="S62" s="186">
        <f t="shared" si="24"/>
        <v>22</v>
      </c>
      <c r="T62" s="434">
        <f t="shared" si="29"/>
        <v>1</v>
      </c>
      <c r="U62" s="35"/>
      <c r="V62" s="433"/>
    </row>
    <row r="63" spans="1:22" x14ac:dyDescent="0.35">
      <c r="B63" t="s">
        <v>20</v>
      </c>
      <c r="C63" s="186">
        <f t="shared" si="20"/>
        <v>5181.5422630584453</v>
      </c>
      <c r="D63" s="434">
        <f t="shared" si="25"/>
        <v>1.0000351413600395</v>
      </c>
      <c r="E63" s="35"/>
      <c r="F63" s="433"/>
      <c r="G63" s="186">
        <f t="shared" si="21"/>
        <v>716.54692672956674</v>
      </c>
      <c r="H63" s="434">
        <f t="shared" si="26"/>
        <v>1.0002553967343117</v>
      </c>
      <c r="I63" s="35"/>
      <c r="J63" s="433"/>
      <c r="K63" s="186">
        <f t="shared" si="22"/>
        <v>70.761045544897556</v>
      </c>
      <c r="L63" s="434">
        <f t="shared" si="27"/>
        <v>1.0013282335236016</v>
      </c>
      <c r="M63" s="35"/>
      <c r="N63" s="433"/>
      <c r="O63" s="186">
        <f t="shared" si="23"/>
        <v>1710</v>
      </c>
      <c r="P63" s="434">
        <f t="shared" si="28"/>
        <v>1</v>
      </c>
      <c r="Q63" s="35"/>
      <c r="R63" s="433"/>
      <c r="S63" s="186">
        <f t="shared" si="24"/>
        <v>22</v>
      </c>
      <c r="T63" s="434">
        <f t="shared" si="29"/>
        <v>1</v>
      </c>
      <c r="U63" s="35"/>
      <c r="V63" s="433"/>
    </row>
    <row r="64" spans="1:22" x14ac:dyDescent="0.35">
      <c r="B64" t="s">
        <v>21</v>
      </c>
      <c r="C64" s="186">
        <f t="shared" si="20"/>
        <v>5181.7243495006715</v>
      </c>
      <c r="D64" s="434">
        <f t="shared" si="25"/>
        <v>1.0000351413600395</v>
      </c>
      <c r="E64" s="35"/>
      <c r="F64" s="433"/>
      <c r="G64" s="186">
        <f t="shared" si="21"/>
        <v>716.72993047463456</v>
      </c>
      <c r="H64" s="434">
        <f t="shared" si="26"/>
        <v>1.0002553967343117</v>
      </c>
      <c r="I64" s="35"/>
      <c r="J64" s="433"/>
      <c r="K64" s="186">
        <f t="shared" si="22"/>
        <v>70.85503273775538</v>
      </c>
      <c r="L64" s="434">
        <f t="shared" si="27"/>
        <v>1.0013282335236016</v>
      </c>
      <c r="M64" s="35"/>
      <c r="N64" s="433"/>
      <c r="O64" s="186">
        <f t="shared" si="23"/>
        <v>1710</v>
      </c>
      <c r="P64" s="434">
        <f t="shared" si="28"/>
        <v>1</v>
      </c>
      <c r="Q64" s="35"/>
      <c r="R64" s="433"/>
      <c r="S64" s="186">
        <f t="shared" si="24"/>
        <v>22</v>
      </c>
      <c r="T64" s="434">
        <f t="shared" si="29"/>
        <v>1</v>
      </c>
      <c r="U64" s="35"/>
      <c r="V64" s="433"/>
    </row>
    <row r="65" spans="2:22" x14ac:dyDescent="0.35">
      <c r="B65" t="s">
        <v>58</v>
      </c>
      <c r="C65" s="186">
        <f t="shared" si="20"/>
        <v>5181.9064423416621</v>
      </c>
      <c r="D65" s="434">
        <f t="shared" si="25"/>
        <v>1.0000351413600395</v>
      </c>
      <c r="E65" s="35"/>
      <c r="F65" s="433"/>
      <c r="G65" s="186">
        <f t="shared" si="21"/>
        <v>716.9129809582613</v>
      </c>
      <c r="H65" s="434">
        <f t="shared" si="26"/>
        <v>1.0002553967343117</v>
      </c>
      <c r="I65" s="35"/>
      <c r="J65" s="433"/>
      <c r="K65" s="186">
        <f t="shared" si="22"/>
        <v>70.949144767553548</v>
      </c>
      <c r="L65" s="434">
        <f t="shared" si="27"/>
        <v>1.0013282335236016</v>
      </c>
      <c r="M65" s="35"/>
      <c r="N65" s="433"/>
      <c r="O65" s="186">
        <f t="shared" si="23"/>
        <v>1710</v>
      </c>
      <c r="P65" s="434">
        <f t="shared" si="28"/>
        <v>1</v>
      </c>
      <c r="Q65" s="35"/>
      <c r="R65" s="433"/>
      <c r="S65" s="186">
        <f t="shared" si="24"/>
        <v>22</v>
      </c>
      <c r="T65" s="434">
        <f t="shared" si="29"/>
        <v>1</v>
      </c>
      <c r="U65" s="35"/>
      <c r="V65" s="433"/>
    </row>
    <row r="66" spans="2:22" x14ac:dyDescent="0.35">
      <c r="B66" t="s">
        <v>59</v>
      </c>
      <c r="C66" s="186">
        <f t="shared" si="20"/>
        <v>5182.0885415816429</v>
      </c>
      <c r="D66" s="434">
        <f t="shared" si="25"/>
        <v>1.0000351413600395</v>
      </c>
      <c r="E66" s="35"/>
      <c r="F66" s="433"/>
      <c r="G66" s="186">
        <f t="shared" si="21"/>
        <v>717.09607819238374</v>
      </c>
      <c r="H66" s="434">
        <f t="shared" si="26"/>
        <v>1.0002553967343117</v>
      </c>
      <c r="I66" s="35"/>
      <c r="J66" s="433"/>
      <c r="K66" s="186">
        <f t="shared" si="22"/>
        <v>71.043381800104669</v>
      </c>
      <c r="L66" s="434">
        <f t="shared" si="27"/>
        <v>1.0013282335236016</v>
      </c>
      <c r="M66" s="35"/>
      <c r="N66" s="433"/>
      <c r="O66" s="186">
        <f t="shared" si="23"/>
        <v>1710</v>
      </c>
      <c r="P66" s="434">
        <f t="shared" si="28"/>
        <v>1</v>
      </c>
      <c r="Q66" s="35"/>
      <c r="R66" s="433"/>
      <c r="S66" s="186">
        <f t="shared" si="24"/>
        <v>22</v>
      </c>
      <c r="T66" s="434">
        <f t="shared" si="29"/>
        <v>1</v>
      </c>
      <c r="U66" s="35"/>
      <c r="V66" s="433"/>
    </row>
    <row r="67" spans="2:22" x14ac:dyDescent="0.35">
      <c r="B67" t="s">
        <v>60</v>
      </c>
      <c r="C67" s="186">
        <f t="shared" si="20"/>
        <v>5182.2706472208392</v>
      </c>
      <c r="D67" s="434">
        <f t="shared" si="25"/>
        <v>1.0000351413600395</v>
      </c>
      <c r="E67" s="35"/>
      <c r="F67" s="433"/>
      <c r="G67" s="186">
        <f t="shared" si="21"/>
        <v>717.27922218894184</v>
      </c>
      <c r="H67" s="434">
        <f t="shared" si="26"/>
        <v>1.0002553967343117</v>
      </c>
      <c r="I67" s="35"/>
      <c r="J67" s="433"/>
      <c r="K67" s="186">
        <f t="shared" si="22"/>
        <v>71.13774400144159</v>
      </c>
      <c r="L67" s="434">
        <f t="shared" si="27"/>
        <v>1.0013282335236016</v>
      </c>
      <c r="M67" s="35"/>
      <c r="N67" s="433"/>
      <c r="O67" s="186">
        <f t="shared" si="23"/>
        <v>1710</v>
      </c>
      <c r="P67" s="434">
        <f t="shared" si="28"/>
        <v>1</v>
      </c>
      <c r="Q67" s="35"/>
      <c r="R67" s="433"/>
      <c r="S67" s="186">
        <f t="shared" si="24"/>
        <v>22</v>
      </c>
      <c r="T67" s="434">
        <f t="shared" si="29"/>
        <v>1</v>
      </c>
      <c r="U67" s="35"/>
      <c r="V67" s="433"/>
    </row>
    <row r="68" spans="2:22" x14ac:dyDescent="0.35">
      <c r="B68" t="s">
        <v>222</v>
      </c>
      <c r="C68" s="186">
        <f t="shared" si="20"/>
        <v>5182.452759259475</v>
      </c>
      <c r="D68" s="434">
        <f t="shared" si="25"/>
        <v>1.0000351413600395</v>
      </c>
      <c r="E68" s="35"/>
      <c r="F68" s="433"/>
      <c r="G68" s="186">
        <f t="shared" si="21"/>
        <v>717.46241295987852</v>
      </c>
      <c r="H68" s="434">
        <f t="shared" si="26"/>
        <v>1.0002553967343117</v>
      </c>
      <c r="I68" s="35"/>
      <c r="J68" s="433"/>
      <c r="K68" s="186">
        <f t="shared" si="22"/>
        <v>71.232231537817697</v>
      </c>
      <c r="L68" s="434">
        <f t="shared" si="27"/>
        <v>1.0013282335236016</v>
      </c>
      <c r="M68" s="35"/>
      <c r="N68" s="433"/>
      <c r="O68" s="186">
        <f t="shared" si="23"/>
        <v>1710</v>
      </c>
      <c r="P68" s="434">
        <f t="shared" si="28"/>
        <v>1</v>
      </c>
      <c r="Q68" s="35"/>
      <c r="R68" s="433"/>
      <c r="S68" s="186">
        <f t="shared" si="24"/>
        <v>22</v>
      </c>
      <c r="T68" s="434">
        <f t="shared" si="29"/>
        <v>1</v>
      </c>
      <c r="U68" s="35"/>
      <c r="V68" s="433"/>
    </row>
    <row r="69" spans="2:22" x14ac:dyDescent="0.35">
      <c r="B69" t="s">
        <v>26</v>
      </c>
      <c r="C69" s="186">
        <f t="shared" si="20"/>
        <v>5182.6348776977757</v>
      </c>
      <c r="D69" s="434">
        <f t="shared" si="25"/>
        <v>1.0000351413600395</v>
      </c>
      <c r="E69" s="35"/>
      <c r="F69" s="433"/>
      <c r="G69" s="186">
        <f t="shared" si="21"/>
        <v>717.64565051713987</v>
      </c>
      <c r="H69" s="434">
        <f t="shared" si="26"/>
        <v>1.0002553967343117</v>
      </c>
      <c r="I69" s="35"/>
      <c r="J69" s="433"/>
      <c r="K69" s="186">
        <f t="shared" si="22"/>
        <v>71.32684457570717</v>
      </c>
      <c r="L69" s="434">
        <f t="shared" si="27"/>
        <v>1.0013282335236016</v>
      </c>
      <c r="M69" s="35"/>
      <c r="N69" s="433"/>
      <c r="O69" s="186">
        <f t="shared" si="23"/>
        <v>1710</v>
      </c>
      <c r="P69" s="434">
        <f t="shared" si="28"/>
        <v>1</v>
      </c>
      <c r="Q69" s="35"/>
      <c r="R69" s="433"/>
      <c r="S69" s="186">
        <f t="shared" si="24"/>
        <v>22</v>
      </c>
      <c r="T69" s="434">
        <f t="shared" si="29"/>
        <v>1</v>
      </c>
      <c r="U69" s="35"/>
      <c r="V69" s="433"/>
    </row>
    <row r="70" spans="2:22" x14ac:dyDescent="0.35">
      <c r="B70" t="s">
        <v>27</v>
      </c>
      <c r="C70" s="186">
        <f t="shared" si="20"/>
        <v>5182.8170025359659</v>
      </c>
      <c r="D70" s="434">
        <f t="shared" si="25"/>
        <v>1.0000351413600395</v>
      </c>
      <c r="E70" s="35"/>
      <c r="F70" s="433"/>
      <c r="G70" s="186">
        <f t="shared" si="21"/>
        <v>717.82893487267495</v>
      </c>
      <c r="H70" s="434">
        <f t="shared" si="26"/>
        <v>1.0002553967343117</v>
      </c>
      <c r="I70" s="35"/>
      <c r="J70" s="433"/>
      <c r="K70" s="186">
        <f t="shared" si="22"/>
        <v>71.42158328180534</v>
      </c>
      <c r="L70" s="434">
        <f t="shared" si="27"/>
        <v>1.0013282335236016</v>
      </c>
      <c r="M70" s="35"/>
      <c r="N70" s="433"/>
      <c r="O70" s="186">
        <f t="shared" si="23"/>
        <v>1710</v>
      </c>
      <c r="P70" s="434">
        <f t="shared" si="28"/>
        <v>1</v>
      </c>
      <c r="Q70" s="35"/>
      <c r="R70" s="433"/>
      <c r="S70" s="186">
        <f t="shared" si="24"/>
        <v>22</v>
      </c>
      <c r="T70" s="434">
        <f t="shared" si="29"/>
        <v>1</v>
      </c>
      <c r="U70" s="35"/>
      <c r="V70" s="433"/>
    </row>
    <row r="71" spans="2:22" x14ac:dyDescent="0.35">
      <c r="B71" t="s">
        <v>28</v>
      </c>
      <c r="C71" s="186">
        <f t="shared" si="20"/>
        <v>5182.9991337742704</v>
      </c>
      <c r="D71" s="434">
        <f t="shared" si="25"/>
        <v>1.0000351413600395</v>
      </c>
      <c r="E71" s="35"/>
      <c r="F71" s="433"/>
      <c r="G71" s="186">
        <f t="shared" si="21"/>
        <v>718.01226603843588</v>
      </c>
      <c r="H71" s="434">
        <f t="shared" si="26"/>
        <v>1.0002553967343117</v>
      </c>
      <c r="I71" s="35"/>
      <c r="J71" s="433"/>
      <c r="K71" s="186">
        <f t="shared" si="22"/>
        <v>71.51644782302894</v>
      </c>
      <c r="L71" s="434">
        <f t="shared" si="27"/>
        <v>1.0013282335236016</v>
      </c>
      <c r="M71" s="35"/>
      <c r="N71" s="433"/>
      <c r="O71" s="186">
        <f t="shared" si="23"/>
        <v>1710</v>
      </c>
      <c r="P71" s="434">
        <f t="shared" si="28"/>
        <v>1</v>
      </c>
      <c r="Q71" s="35"/>
      <c r="R71" s="433"/>
      <c r="S71" s="186">
        <f t="shared" si="24"/>
        <v>22</v>
      </c>
      <c r="T71" s="434">
        <f t="shared" si="29"/>
        <v>1</v>
      </c>
      <c r="U71" s="35"/>
      <c r="V71" s="433"/>
    </row>
    <row r="73" spans="2:22" x14ac:dyDescent="0.35">
      <c r="C73" s="190"/>
      <c r="D73" s="190"/>
      <c r="E73" s="190"/>
      <c r="F73" s="190"/>
      <c r="G73" s="190"/>
      <c r="H73" s="190"/>
      <c r="I73" s="190"/>
      <c r="J73" s="190"/>
      <c r="K73" s="190"/>
      <c r="L73" s="190"/>
      <c r="M73" s="190"/>
      <c r="N73" s="190"/>
      <c r="O73" s="190"/>
      <c r="P73" s="190"/>
      <c r="Q73" s="190"/>
      <c r="R73" s="190"/>
      <c r="S73" s="190"/>
      <c r="T73" s="17"/>
      <c r="U73" s="17"/>
      <c r="V73" s="17"/>
    </row>
    <row r="74" spans="2:22" x14ac:dyDescent="0.35">
      <c r="C74" s="190"/>
      <c r="D74" s="190"/>
      <c r="E74" s="190"/>
      <c r="F74" s="190"/>
      <c r="G74" s="190"/>
      <c r="H74" s="190"/>
      <c r="I74" s="190"/>
      <c r="J74" s="190"/>
      <c r="K74" s="190"/>
      <c r="L74" s="190"/>
      <c r="M74" s="190"/>
      <c r="N74" s="190"/>
      <c r="O74" s="190"/>
      <c r="P74" s="190"/>
      <c r="Q74" s="190"/>
      <c r="R74" s="190"/>
      <c r="S74" s="190"/>
    </row>
  </sheetData>
  <mergeCells count="10">
    <mergeCell ref="N2:O2"/>
    <mergeCell ref="P2:P3"/>
    <mergeCell ref="R2:S2"/>
    <mergeCell ref="T2:T3"/>
    <mergeCell ref="B2:C2"/>
    <mergeCell ref="D2:D3"/>
    <mergeCell ref="F2:G2"/>
    <mergeCell ref="H2:H3"/>
    <mergeCell ref="J2:K2"/>
    <mergeCell ref="L2:L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1A5B-DB07-4B1E-8387-AB557103F77E}">
  <sheetPr codeName="Sheet18">
    <tabColor rgb="FFFF0000"/>
  </sheetPr>
  <dimension ref="B2:AS17"/>
  <sheetViews>
    <sheetView workbookViewId="0">
      <selection activeCell="J19" sqref="J19"/>
    </sheetView>
  </sheetViews>
  <sheetFormatPr defaultRowHeight="14.5" x14ac:dyDescent="0.35"/>
  <cols>
    <col min="3" max="3" width="11.7265625" customWidth="1"/>
    <col min="4" max="4" width="11.1796875" customWidth="1"/>
    <col min="5" max="5" width="12.26953125" customWidth="1"/>
    <col min="6" max="6" width="3.08984375" customWidth="1"/>
    <col min="7" max="7" width="11.453125" customWidth="1"/>
    <col min="8" max="8" width="13.36328125" customWidth="1"/>
    <col min="9" max="9" width="9.90625" bestFit="1" customWidth="1"/>
    <col min="11" max="11" width="12.54296875" bestFit="1" customWidth="1"/>
    <col min="14" max="14" width="9.90625" bestFit="1" customWidth="1"/>
    <col min="15" max="15" width="10.7265625" customWidth="1"/>
    <col min="16" max="16" width="11.08984375" customWidth="1"/>
    <col min="17" max="17" width="3.08984375" customWidth="1"/>
    <col min="18" max="18" width="11.08984375" customWidth="1"/>
    <col min="19" max="19" width="10.81640625" customWidth="1"/>
    <col min="20" max="20" width="11" customWidth="1"/>
    <col min="22" max="22" width="12.81640625" customWidth="1"/>
    <col min="25" max="25" width="9.90625" bestFit="1" customWidth="1"/>
    <col min="26" max="26" width="9.26953125" customWidth="1"/>
    <col min="27" max="27" width="11.90625" customWidth="1"/>
    <col min="28" max="28" width="2.1796875" customWidth="1"/>
    <col min="29" max="29" width="11.1796875" customWidth="1"/>
    <col min="30" max="30" width="10.6328125" customWidth="1"/>
    <col min="31" max="31" width="10.90625" customWidth="1"/>
    <col min="32" max="32" width="10.36328125" customWidth="1"/>
    <col min="33" max="33" width="12.81640625" customWidth="1"/>
    <col min="36" max="36" width="8.90625" bestFit="1" customWidth="1"/>
    <col min="37" max="37" width="11.6328125" bestFit="1" customWidth="1"/>
    <col min="38" max="38" width="11.90625" customWidth="1"/>
    <col min="43" max="43" width="11.6328125" bestFit="1" customWidth="1"/>
    <col min="44" max="44" width="10.81640625" customWidth="1"/>
  </cols>
  <sheetData>
    <row r="2" spans="2:45" x14ac:dyDescent="0.35">
      <c r="B2" s="457" t="s">
        <v>39</v>
      </c>
      <c r="C2" s="457"/>
      <c r="D2" s="457"/>
      <c r="E2" s="457"/>
      <c r="F2" s="457"/>
      <c r="G2" s="457"/>
      <c r="H2" s="457"/>
      <c r="I2" s="457"/>
      <c r="J2" s="457"/>
      <c r="K2" s="457"/>
      <c r="M2" s="457" t="s">
        <v>224</v>
      </c>
      <c r="N2" s="457"/>
      <c r="O2" s="457"/>
      <c r="P2" s="457"/>
      <c r="Q2" s="457"/>
      <c r="R2" s="457"/>
      <c r="S2" s="457"/>
      <c r="T2" s="457"/>
      <c r="U2" s="457"/>
      <c r="V2" s="457"/>
      <c r="X2" s="457" t="s">
        <v>225</v>
      </c>
      <c r="Y2" s="457"/>
      <c r="Z2" s="457"/>
      <c r="AA2" s="457"/>
      <c r="AB2" s="457"/>
      <c r="AC2" s="457"/>
      <c r="AD2" s="457"/>
      <c r="AE2" s="457"/>
      <c r="AF2" s="457"/>
      <c r="AG2" s="457"/>
      <c r="AI2" s="457" t="s">
        <v>108</v>
      </c>
      <c r="AJ2" s="457"/>
      <c r="AK2" s="457"/>
      <c r="AL2" s="457"/>
      <c r="AM2" s="457"/>
      <c r="AO2" s="457" t="s">
        <v>105</v>
      </c>
      <c r="AP2" s="457"/>
      <c r="AQ2" s="457"/>
      <c r="AR2" s="457"/>
      <c r="AS2" s="457"/>
    </row>
    <row r="3" spans="2:45" ht="50" x14ac:dyDescent="0.35">
      <c r="B3" s="380" t="s">
        <v>1</v>
      </c>
      <c r="C3" s="380" t="s">
        <v>109</v>
      </c>
      <c r="D3" s="380" t="s">
        <v>226</v>
      </c>
      <c r="E3" s="380" t="s">
        <v>227</v>
      </c>
      <c r="F3" s="380"/>
      <c r="G3" s="380" t="s">
        <v>228</v>
      </c>
      <c r="H3" s="380" t="s">
        <v>226</v>
      </c>
      <c r="I3" s="380" t="s">
        <v>229</v>
      </c>
      <c r="J3" s="380" t="s">
        <v>230</v>
      </c>
      <c r="K3" s="380" t="s">
        <v>231</v>
      </c>
      <c r="L3" s="30"/>
      <c r="M3" s="380" t="s">
        <v>1</v>
      </c>
      <c r="N3" s="380" t="s">
        <v>109</v>
      </c>
      <c r="O3" s="380" t="s">
        <v>226</v>
      </c>
      <c r="P3" s="380" t="s">
        <v>227</v>
      </c>
      <c r="Q3" s="380"/>
      <c r="R3" s="380" t="s">
        <v>232</v>
      </c>
      <c r="S3" s="380" t="s">
        <v>226</v>
      </c>
      <c r="T3" s="380" t="s">
        <v>229</v>
      </c>
      <c r="U3" s="380" t="s">
        <v>230</v>
      </c>
      <c r="V3" s="380" t="s">
        <v>231</v>
      </c>
      <c r="W3" s="30"/>
      <c r="X3" s="380" t="s">
        <v>1</v>
      </c>
      <c r="Y3" s="380" t="s">
        <v>109</v>
      </c>
      <c r="Z3" s="380" t="s">
        <v>226</v>
      </c>
      <c r="AA3" s="380" t="s">
        <v>227</v>
      </c>
      <c r="AB3" s="380"/>
      <c r="AC3" s="380" t="s">
        <v>228</v>
      </c>
      <c r="AD3" s="380" t="s">
        <v>226</v>
      </c>
      <c r="AE3" s="380" t="s">
        <v>229</v>
      </c>
      <c r="AF3" s="380" t="s">
        <v>233</v>
      </c>
      <c r="AG3" s="380" t="s">
        <v>231</v>
      </c>
      <c r="AI3" s="380" t="s">
        <v>1</v>
      </c>
      <c r="AJ3" s="380" t="s">
        <v>109</v>
      </c>
      <c r="AK3" s="380" t="s">
        <v>483</v>
      </c>
      <c r="AL3" s="380" t="s">
        <v>484</v>
      </c>
      <c r="AM3" s="380" t="s">
        <v>112</v>
      </c>
      <c r="AN3" s="30"/>
      <c r="AO3" s="380" t="s">
        <v>1</v>
      </c>
      <c r="AP3" s="380" t="s">
        <v>109</v>
      </c>
      <c r="AQ3" s="380" t="s">
        <v>483</v>
      </c>
      <c r="AR3" s="380" t="s">
        <v>484</v>
      </c>
      <c r="AS3" s="380" t="s">
        <v>112</v>
      </c>
    </row>
    <row r="4" spans="2:45" x14ac:dyDescent="0.35">
      <c r="B4" s="382"/>
      <c r="C4" s="382" t="s">
        <v>113</v>
      </c>
      <c r="D4" s="382" t="s">
        <v>114</v>
      </c>
      <c r="E4" s="382" t="s">
        <v>234</v>
      </c>
      <c r="F4" s="382"/>
      <c r="G4" s="382" t="s">
        <v>158</v>
      </c>
      <c r="H4" s="382" t="s">
        <v>235</v>
      </c>
      <c r="I4" s="382" t="s">
        <v>236</v>
      </c>
      <c r="J4" s="382" t="s">
        <v>161</v>
      </c>
      <c r="K4" s="382" t="s">
        <v>237</v>
      </c>
      <c r="M4" s="382"/>
      <c r="N4" s="382" t="s">
        <v>113</v>
      </c>
      <c r="O4" s="382" t="s">
        <v>114</v>
      </c>
      <c r="P4" s="382" t="s">
        <v>234</v>
      </c>
      <c r="Q4" s="382"/>
      <c r="R4" s="382" t="s">
        <v>158</v>
      </c>
      <c r="S4" s="382" t="s">
        <v>235</v>
      </c>
      <c r="T4" s="382" t="s">
        <v>236</v>
      </c>
      <c r="U4" s="382" t="s">
        <v>161</v>
      </c>
      <c r="V4" s="382" t="s">
        <v>237</v>
      </c>
      <c r="X4" s="381"/>
      <c r="Y4" s="381" t="s">
        <v>113</v>
      </c>
      <c r="Z4" s="381" t="s">
        <v>114</v>
      </c>
      <c r="AA4" s="381" t="s">
        <v>234</v>
      </c>
      <c r="AB4" s="381"/>
      <c r="AC4" s="381" t="s">
        <v>158</v>
      </c>
      <c r="AD4" s="381" t="s">
        <v>235</v>
      </c>
      <c r="AE4" s="381" t="s">
        <v>236</v>
      </c>
      <c r="AF4" s="381" t="s">
        <v>161</v>
      </c>
      <c r="AG4" s="381" t="s">
        <v>237</v>
      </c>
      <c r="AI4" s="382"/>
      <c r="AJ4" s="382" t="s">
        <v>113</v>
      </c>
      <c r="AK4" s="382" t="s">
        <v>114</v>
      </c>
      <c r="AL4" s="382" t="s">
        <v>115</v>
      </c>
      <c r="AM4" s="382" t="s">
        <v>116</v>
      </c>
      <c r="AO4" s="382"/>
      <c r="AP4" s="382" t="s">
        <v>113</v>
      </c>
      <c r="AQ4" s="382" t="s">
        <v>114</v>
      </c>
      <c r="AR4" s="382" t="s">
        <v>115</v>
      </c>
      <c r="AS4" s="382" t="s">
        <v>116</v>
      </c>
    </row>
    <row r="5" spans="2:45" x14ac:dyDescent="0.35">
      <c r="B5" s="31">
        <v>2014</v>
      </c>
      <c r="C5" s="32">
        <f>SUMIF(MonthlyData!$B:$B,B5,MonthlyData!D:D)</f>
        <v>43480804</v>
      </c>
      <c r="D5" s="32">
        <f>SUMIF(MonthlyData!$B:$B,B5,MonthlyData!E:E)</f>
        <v>383972.97660165495</v>
      </c>
      <c r="E5" s="32">
        <f t="shared" ref="E5:E14" si="0">C5+D5</f>
        <v>43864776.976601653</v>
      </c>
      <c r="F5" s="32"/>
      <c r="G5" s="32">
        <f ca="1">SUMIFS('Res Normalized'!M:M,'Res Normalized'!B:B,'Normalized Annual Summary'!B5)</f>
        <v>41212042.214663744</v>
      </c>
      <c r="H5" s="32">
        <f t="shared" ref="H5:H14" si="1">D5</f>
        <v>383972.97660165495</v>
      </c>
      <c r="I5" s="32">
        <f t="shared" ref="I5:I16" ca="1" si="2">G5-H5</f>
        <v>40828069.238062091</v>
      </c>
      <c r="J5" s="32"/>
      <c r="K5" s="32">
        <f t="shared" ref="K5:K16" ca="1" si="3">I5+J5</f>
        <v>40828069.238062091</v>
      </c>
      <c r="M5" s="31">
        <f>B5</f>
        <v>2014</v>
      </c>
      <c r="N5" s="32">
        <f>SUMIF(MonthlyData!$B:$B,M5,MonthlyData!G:G)</f>
        <v>20165300</v>
      </c>
      <c r="O5" s="32">
        <f>SUMIF(MonthlyData!$B:$B,M5,MonthlyData!H:H)</f>
        <v>1304823.4673604672</v>
      </c>
      <c r="P5" s="32">
        <f t="shared" ref="P5:P14" si="4">N5+O5</f>
        <v>21470123.467360467</v>
      </c>
      <c r="Q5" s="32"/>
      <c r="R5" s="32">
        <f ca="1">SUMIFS('GS &lt; 50 Normalized'!O:O,'GS &lt; 50 Normalized'!B:B,'Normalized Annual Summary'!M5)</f>
        <v>20560802.006265458</v>
      </c>
      <c r="S5" s="32">
        <f t="shared" ref="S5:S14" si="5">O5</f>
        <v>1304823.4673604672</v>
      </c>
      <c r="T5" s="32">
        <f t="shared" ref="T5:T16" ca="1" si="6">R5-S5</f>
        <v>19255978.538904991</v>
      </c>
      <c r="U5" s="32"/>
      <c r="V5" s="32">
        <f t="shared" ref="V5:V16" ca="1" si="7">T5+U5</f>
        <v>19255978.538904991</v>
      </c>
      <c r="X5" s="31">
        <f>M5</f>
        <v>2014</v>
      </c>
      <c r="Y5" s="32">
        <f>SUMIF(MonthlyData!$B:$B,M5,MonthlyData!J:J)</f>
        <v>55514123</v>
      </c>
      <c r="Z5" s="32">
        <f>SUMIF(MonthlyData!$B:$B,M5,MonthlyData!K:K)</f>
        <v>411345.1831284659</v>
      </c>
      <c r="AA5" s="32">
        <f t="shared" ref="AA5:AA14" si="8">Y5+Z5</f>
        <v>55925468.183128469</v>
      </c>
      <c r="AB5" s="32"/>
      <c r="AC5" s="32">
        <f ca="1">SUMIFS('GS &gt; 50 Normalized'!O:O,'GS &gt; 50 Normalized'!B:B,'Normalized Annual Summary'!X5)</f>
        <v>60545559.763588637</v>
      </c>
      <c r="AD5" s="32">
        <f t="shared" ref="AD5:AD14" si="9">Z5</f>
        <v>411345.1831284659</v>
      </c>
      <c r="AE5" s="32">
        <f t="shared" ref="AE5:AE16" ca="1" si="10">AC5-AD5</f>
        <v>60134214.580460168</v>
      </c>
      <c r="AF5" s="32"/>
      <c r="AG5" s="32">
        <f t="shared" ref="AG5:AG16" ca="1" si="11">AE5+AF5</f>
        <v>60134214.580460168</v>
      </c>
      <c r="AI5" s="31">
        <f>X5</f>
        <v>2014</v>
      </c>
      <c r="AJ5" s="32">
        <f>SUMIFS(MonthlyData!M:M,MonthlyData!B:B,'Normalized Annual Summary'!AI5)</f>
        <v>1444270</v>
      </c>
      <c r="AK5" s="32">
        <f>'Customer Count'!O4</f>
        <v>1650</v>
      </c>
      <c r="AL5" s="32">
        <f t="shared" ref="AL5:AL14" si="12">AJ5/AK5</f>
        <v>875.31515151515157</v>
      </c>
      <c r="AM5" s="32">
        <f t="shared" ref="AM5:AM16" si="13">AL5*AK5</f>
        <v>1444270</v>
      </c>
      <c r="AO5" s="31">
        <f>AI5</f>
        <v>2014</v>
      </c>
      <c r="AP5" s="32">
        <f>SUMIFS(MonthlyData!N:N,MonthlyData!B:B,'Normalized Annual Summary'!AI5)</f>
        <v>157125</v>
      </c>
      <c r="AQ5" s="32">
        <f>'Customer Count'!S4</f>
        <v>22.333333333333332</v>
      </c>
      <c r="AR5" s="22">
        <f t="shared" ref="AR5:AR14" si="14">AP5/AQ5</f>
        <v>7035.4477611940301</v>
      </c>
      <c r="AS5" s="32">
        <f t="shared" ref="AS5:AS16" si="15">AR5*AQ5</f>
        <v>157125</v>
      </c>
    </row>
    <row r="6" spans="2:45" x14ac:dyDescent="0.35">
      <c r="B6" s="31">
        <f t="shared" ref="B6:B16" si="16">B5+1</f>
        <v>2015</v>
      </c>
      <c r="C6" s="32">
        <f>SUMIF(MonthlyData!$B:$B,B6,MonthlyData!D:D)</f>
        <v>41684695.999999993</v>
      </c>
      <c r="D6" s="32">
        <f>SUMIF(MonthlyData!$B:$B,B6,MonthlyData!E:E)</f>
        <v>539617.51842840959</v>
      </c>
      <c r="E6" s="32">
        <f t="shared" si="0"/>
        <v>42224313.5184284</v>
      </c>
      <c r="F6" s="32"/>
      <c r="G6" s="32">
        <f ca="1">SUMIFS('Res Normalized'!M:M,'Res Normalized'!B:B,'Normalized Annual Summary'!B6)</f>
        <v>41212042.214663744</v>
      </c>
      <c r="H6" s="32">
        <f t="shared" si="1"/>
        <v>539617.51842840959</v>
      </c>
      <c r="I6" s="32">
        <f t="shared" ca="1" si="2"/>
        <v>40672424.696235336</v>
      </c>
      <c r="J6" s="32"/>
      <c r="K6" s="32">
        <f t="shared" ca="1" si="3"/>
        <v>40672424.696235336</v>
      </c>
      <c r="M6" s="31">
        <f t="shared" ref="M6:M16" si="17">M5+1</f>
        <v>2015</v>
      </c>
      <c r="N6" s="32">
        <f>SUMIF(MonthlyData!$B:$B,M6,MonthlyData!G:G)</f>
        <v>19810828.000000004</v>
      </c>
      <c r="O6" s="32">
        <f>SUMIF(MonthlyData!$B:$B,M6,MonthlyData!H:H)</f>
        <v>1608023.1836894662</v>
      </c>
      <c r="P6" s="32">
        <f t="shared" si="4"/>
        <v>21418851.183689471</v>
      </c>
      <c r="Q6" s="32"/>
      <c r="R6" s="32">
        <f ca="1">SUMIFS('GS &lt; 50 Normalized'!O:O,'GS &lt; 50 Normalized'!B:B,'Normalized Annual Summary'!M6)</f>
        <v>20992485.679118618</v>
      </c>
      <c r="S6" s="32">
        <f t="shared" si="5"/>
        <v>1608023.1836894662</v>
      </c>
      <c r="T6" s="32">
        <f t="shared" ca="1" si="6"/>
        <v>19384462.495429151</v>
      </c>
      <c r="U6" s="32"/>
      <c r="V6" s="32">
        <f t="shared" ca="1" si="7"/>
        <v>19384462.495429151</v>
      </c>
      <c r="X6" s="31">
        <f t="shared" ref="X6:X16" si="18">X5+1</f>
        <v>2015</v>
      </c>
      <c r="Y6" s="32">
        <f>SUMIF(MonthlyData!$B:$B,M6,MonthlyData!J:J)</f>
        <v>59448871</v>
      </c>
      <c r="Z6" s="32">
        <f>SUMIF(MonthlyData!$B:$B,M6,MonthlyData!K:K)</f>
        <v>696730.39320644853</v>
      </c>
      <c r="AA6" s="32">
        <f t="shared" si="8"/>
        <v>60145601.393206447</v>
      </c>
      <c r="AB6" s="32"/>
      <c r="AC6" s="32">
        <f ca="1">SUMIFS('GS &gt; 50 Normalized'!O:O,'GS &gt; 50 Normalized'!B:B,'Normalized Annual Summary'!X6)</f>
        <v>60545559.763588637</v>
      </c>
      <c r="AD6" s="32">
        <f t="shared" si="9"/>
        <v>696730.39320644853</v>
      </c>
      <c r="AE6" s="32">
        <f t="shared" ca="1" si="10"/>
        <v>59848829.37038219</v>
      </c>
      <c r="AF6" s="32"/>
      <c r="AG6" s="32">
        <f t="shared" ca="1" si="11"/>
        <v>59848829.37038219</v>
      </c>
      <c r="AI6" s="31">
        <f t="shared" ref="AI6:AI14" si="19">AI5+1</f>
        <v>2015</v>
      </c>
      <c r="AJ6" s="32">
        <f>SUMIFS(MonthlyData!M:M,MonthlyData!B:B,'Normalized Annual Summary'!AI6)</f>
        <v>664378</v>
      </c>
      <c r="AK6" s="32">
        <f>'Customer Count'!O5</f>
        <v>1650</v>
      </c>
      <c r="AL6" s="32">
        <f t="shared" si="12"/>
        <v>402.65333333333331</v>
      </c>
      <c r="AM6" s="32">
        <f t="shared" si="13"/>
        <v>664378</v>
      </c>
      <c r="AO6" s="31">
        <f t="shared" ref="AO6:AO14" si="20">AO5+1</f>
        <v>2015</v>
      </c>
      <c r="AP6" s="32">
        <f>SUMIFS(MonthlyData!N:N,MonthlyData!B:B,'Normalized Annual Summary'!AI6)</f>
        <v>164177.99999999997</v>
      </c>
      <c r="AQ6" s="32">
        <f>'Customer Count'!S5</f>
        <v>23</v>
      </c>
      <c r="AR6" s="32">
        <f t="shared" si="14"/>
        <v>7138.1739130434771</v>
      </c>
      <c r="AS6" s="32">
        <f t="shared" si="15"/>
        <v>164177.99999999997</v>
      </c>
    </row>
    <row r="7" spans="2:45" x14ac:dyDescent="0.35">
      <c r="B7" s="31">
        <f t="shared" si="16"/>
        <v>2016</v>
      </c>
      <c r="C7" s="32">
        <f>SUMIF(MonthlyData!$B:$B,B7,MonthlyData!D:D)</f>
        <v>38772515</v>
      </c>
      <c r="D7" s="32">
        <f>SUMIF(MonthlyData!$B:$B,B7,MonthlyData!E:E)</f>
        <v>804074.91156592034</v>
      </c>
      <c r="E7" s="32">
        <f t="shared" si="0"/>
        <v>39576589.911565922</v>
      </c>
      <c r="F7" s="32"/>
      <c r="G7" s="32">
        <f ca="1">SUMIFS('Res Normalized'!M:M,'Res Normalized'!B:B,'Normalized Annual Summary'!B7)</f>
        <v>41212042.214663744</v>
      </c>
      <c r="H7" s="32">
        <f t="shared" si="1"/>
        <v>804074.91156592034</v>
      </c>
      <c r="I7" s="32">
        <f t="shared" ca="1" si="2"/>
        <v>40407967.303097822</v>
      </c>
      <c r="J7" s="32"/>
      <c r="K7" s="32">
        <f t="shared" ca="1" si="3"/>
        <v>40407967.303097822</v>
      </c>
      <c r="M7" s="31">
        <f t="shared" si="17"/>
        <v>2016</v>
      </c>
      <c r="N7" s="32">
        <f>SUMIF(MonthlyData!$B:$B,M7,MonthlyData!G:G)</f>
        <v>18349612</v>
      </c>
      <c r="O7" s="32">
        <f>SUMIF(MonthlyData!$B:$B,M7,MonthlyData!H:H)</f>
        <v>1693541.2987300951</v>
      </c>
      <c r="P7" s="32">
        <f t="shared" si="4"/>
        <v>20043153.298730094</v>
      </c>
      <c r="Q7" s="32"/>
      <c r="R7" s="32">
        <f ca="1">SUMIFS('GS &lt; 50 Normalized'!O:O,'GS &lt; 50 Normalized'!B:B,'Normalized Annual Summary'!M7)</f>
        <v>19950429.599977169</v>
      </c>
      <c r="S7" s="32">
        <f t="shared" si="5"/>
        <v>1693541.2987300951</v>
      </c>
      <c r="T7" s="32">
        <f t="shared" ca="1" si="6"/>
        <v>18256888.301247075</v>
      </c>
      <c r="U7" s="32"/>
      <c r="V7" s="32">
        <f t="shared" ca="1" si="7"/>
        <v>18256888.301247075</v>
      </c>
      <c r="X7" s="31">
        <f t="shared" si="18"/>
        <v>2016</v>
      </c>
      <c r="Y7" s="32">
        <f>SUMIF(MonthlyData!$B:$B,M7,MonthlyData!J:J)</f>
        <v>60749110</v>
      </c>
      <c r="Z7" s="32">
        <f>SUMIF(MonthlyData!$B:$B,M7,MonthlyData!K:K)</f>
        <v>1374277.7890631584</v>
      </c>
      <c r="AA7" s="32">
        <f t="shared" si="8"/>
        <v>62123387.789063156</v>
      </c>
      <c r="AB7" s="32"/>
      <c r="AC7" s="32">
        <f ca="1">SUMIFS('GS &gt; 50 Normalized'!O:O,'GS &gt; 50 Normalized'!B:B,'Normalized Annual Summary'!X7)</f>
        <v>60545559.763588637</v>
      </c>
      <c r="AD7" s="32">
        <f t="shared" si="9"/>
        <v>1374277.7890631584</v>
      </c>
      <c r="AE7" s="32">
        <f t="shared" ca="1" si="10"/>
        <v>59171281.974525481</v>
      </c>
      <c r="AF7" s="32"/>
      <c r="AG7" s="32">
        <f t="shared" ca="1" si="11"/>
        <v>59171281.974525481</v>
      </c>
      <c r="AI7" s="31">
        <f t="shared" si="19"/>
        <v>2016</v>
      </c>
      <c r="AJ7" s="32">
        <f>SUMIFS(MonthlyData!M:M,MonthlyData!B:B,'Normalized Annual Summary'!AI7)</f>
        <v>607008</v>
      </c>
      <c r="AK7" s="32">
        <f>'Customer Count'!O6</f>
        <v>1650</v>
      </c>
      <c r="AL7" s="32">
        <f t="shared" si="12"/>
        <v>367.88363636363636</v>
      </c>
      <c r="AM7" s="32">
        <f t="shared" si="13"/>
        <v>607008</v>
      </c>
      <c r="AO7" s="31">
        <f t="shared" si="20"/>
        <v>2016</v>
      </c>
      <c r="AP7" s="32">
        <f>SUMIFS(MonthlyData!N:N,MonthlyData!B:B,'Normalized Annual Summary'!AI7)</f>
        <v>164177.99999999997</v>
      </c>
      <c r="AQ7" s="32">
        <f>'Customer Count'!S6</f>
        <v>23</v>
      </c>
      <c r="AR7" s="32">
        <f t="shared" si="14"/>
        <v>7138.1739130434771</v>
      </c>
      <c r="AS7" s="32">
        <f t="shared" si="15"/>
        <v>164177.99999999997</v>
      </c>
    </row>
    <row r="8" spans="2:45" x14ac:dyDescent="0.35">
      <c r="B8" s="31">
        <f t="shared" si="16"/>
        <v>2017</v>
      </c>
      <c r="C8" s="32">
        <f>SUMIF(MonthlyData!$B:$B,B8,MonthlyData!D:D)</f>
        <v>37483079.333000004</v>
      </c>
      <c r="D8" s="32">
        <f>SUMIF(MonthlyData!$B:$B,B8,MonthlyData!E:E)</f>
        <v>1413616.8545100112</v>
      </c>
      <c r="E8" s="32">
        <f t="shared" si="0"/>
        <v>38896696.187510014</v>
      </c>
      <c r="F8" s="32"/>
      <c r="G8" s="32">
        <f ca="1">SUMIFS('Res Normalized'!M:M,'Res Normalized'!B:B,'Normalized Annual Summary'!B8)</f>
        <v>41212042.214663744</v>
      </c>
      <c r="H8" s="32">
        <f t="shared" si="1"/>
        <v>1413616.8545100112</v>
      </c>
      <c r="I8" s="32">
        <f t="shared" ca="1" si="2"/>
        <v>39798425.360153735</v>
      </c>
      <c r="J8" s="32"/>
      <c r="K8" s="32">
        <f t="shared" ca="1" si="3"/>
        <v>39798425.360153735</v>
      </c>
      <c r="M8" s="31">
        <f t="shared" si="17"/>
        <v>2017</v>
      </c>
      <c r="N8" s="32">
        <f>SUMIF(MonthlyData!$B:$B,M8,MonthlyData!G:G)</f>
        <v>17706302.366</v>
      </c>
      <c r="O8" s="32">
        <f>SUMIF(MonthlyData!$B:$B,M8,MonthlyData!H:H)</f>
        <v>1745077.6084331679</v>
      </c>
      <c r="P8" s="32">
        <f t="shared" si="4"/>
        <v>19451379.974433169</v>
      </c>
      <c r="Q8" s="32"/>
      <c r="R8" s="32">
        <f ca="1">SUMIFS('GS &lt; 50 Normalized'!O:O,'GS &lt; 50 Normalized'!B:B,'Normalized Annual Summary'!M8)</f>
        <v>20337883.388316691</v>
      </c>
      <c r="S8" s="32">
        <f t="shared" si="5"/>
        <v>1745077.6084331679</v>
      </c>
      <c r="T8" s="32">
        <f t="shared" ca="1" si="6"/>
        <v>18592805.779883523</v>
      </c>
      <c r="U8" s="32"/>
      <c r="V8" s="32">
        <f t="shared" ca="1" si="7"/>
        <v>18592805.779883523</v>
      </c>
      <c r="X8" s="31">
        <f t="shared" si="18"/>
        <v>2017</v>
      </c>
      <c r="Y8" s="32">
        <f>SUMIF(MonthlyData!$B:$B,M8,MonthlyData!J:J)</f>
        <v>59958732.662860565</v>
      </c>
      <c r="Z8" s="32">
        <f>SUMIF(MonthlyData!$B:$B,M8,MonthlyData!K:K)</f>
        <v>1919013.8986125889</v>
      </c>
      <c r="AA8" s="32">
        <f t="shared" si="8"/>
        <v>61877746.561473154</v>
      </c>
      <c r="AB8" s="32"/>
      <c r="AC8" s="32">
        <f ca="1">SUMIFS('GS &gt; 50 Normalized'!O:O,'GS &gt; 50 Normalized'!B:B,'Normalized Annual Summary'!X8)</f>
        <v>60545559.763588637</v>
      </c>
      <c r="AD8" s="32">
        <f t="shared" si="9"/>
        <v>1919013.8986125889</v>
      </c>
      <c r="AE8" s="32">
        <f t="shared" ca="1" si="10"/>
        <v>58626545.864976048</v>
      </c>
      <c r="AF8" s="32"/>
      <c r="AG8" s="32">
        <f t="shared" ca="1" si="11"/>
        <v>58626545.864976048</v>
      </c>
      <c r="AI8" s="31">
        <f t="shared" si="19"/>
        <v>2017</v>
      </c>
      <c r="AJ8" s="32">
        <f>SUMIFS(MonthlyData!M:M,MonthlyData!B:B,'Normalized Annual Summary'!AI8)</f>
        <v>513973.00000000006</v>
      </c>
      <c r="AK8" s="32">
        <f>'Customer Count'!O7</f>
        <v>1650</v>
      </c>
      <c r="AL8" s="32">
        <f t="shared" si="12"/>
        <v>311.49878787878794</v>
      </c>
      <c r="AM8" s="32">
        <f t="shared" si="13"/>
        <v>513973.00000000012</v>
      </c>
      <c r="AO8" s="31">
        <f t="shared" si="20"/>
        <v>2017</v>
      </c>
      <c r="AP8" s="32">
        <f>SUMIFS(MonthlyData!N:N,MonthlyData!B:B,'Normalized Annual Summary'!AI8)</f>
        <v>164177.99999999997</v>
      </c>
      <c r="AQ8" s="32">
        <f>'Customer Count'!S7</f>
        <v>23</v>
      </c>
      <c r="AR8" s="32">
        <f t="shared" si="14"/>
        <v>7138.1739130434771</v>
      </c>
      <c r="AS8" s="32">
        <f t="shared" si="15"/>
        <v>164177.99999999997</v>
      </c>
    </row>
    <row r="9" spans="2:45" x14ac:dyDescent="0.35">
      <c r="B9" s="31">
        <f t="shared" si="16"/>
        <v>2018</v>
      </c>
      <c r="C9" s="32">
        <f>SUMIF(MonthlyData!$B:$B,B9,MonthlyData!D:D)</f>
        <v>38878731</v>
      </c>
      <c r="D9" s="32">
        <f>SUMIF(MonthlyData!$B:$B,B9,MonthlyData!E:E)</f>
        <v>1728989.2096043185</v>
      </c>
      <c r="E9" s="32">
        <f t="shared" si="0"/>
        <v>40607720.209604315</v>
      </c>
      <c r="F9" s="34"/>
      <c r="G9" s="32">
        <f ca="1">SUMIFS('Res Normalized'!M:M,'Res Normalized'!B:B,'Normalized Annual Summary'!B9)</f>
        <v>41212042.214663744</v>
      </c>
      <c r="H9" s="32">
        <f t="shared" si="1"/>
        <v>1728989.2096043185</v>
      </c>
      <c r="I9" s="32">
        <f t="shared" ca="1" si="2"/>
        <v>39483053.005059429</v>
      </c>
      <c r="J9" s="32"/>
      <c r="K9" s="32">
        <f t="shared" ca="1" si="3"/>
        <v>39483053.005059429</v>
      </c>
      <c r="M9" s="31">
        <f t="shared" si="17"/>
        <v>2018</v>
      </c>
      <c r="N9" s="32">
        <f>SUMIF(MonthlyData!$B:$B,M9,MonthlyData!G:G)</f>
        <v>17940823</v>
      </c>
      <c r="O9" s="32">
        <f>SUMIF(MonthlyData!$B:$B,M9,MonthlyData!H:H)</f>
        <v>2372762.8470745124</v>
      </c>
      <c r="P9" s="32">
        <f t="shared" si="4"/>
        <v>20313585.847074512</v>
      </c>
      <c r="Q9" s="34"/>
      <c r="R9" s="32">
        <f ca="1">SUMIFS('GS &lt; 50 Normalized'!O:O,'GS &lt; 50 Normalized'!B:B,'Normalized Annual Summary'!M9)</f>
        <v>19617820.868434563</v>
      </c>
      <c r="S9" s="32">
        <f t="shared" si="5"/>
        <v>2372762.8470745124</v>
      </c>
      <c r="T9" s="32">
        <f t="shared" ca="1" si="6"/>
        <v>17245058.021360051</v>
      </c>
      <c r="U9" s="32"/>
      <c r="V9" s="32">
        <f t="shared" ca="1" si="7"/>
        <v>17245058.021360051</v>
      </c>
      <c r="X9" s="31">
        <f t="shared" si="18"/>
        <v>2018</v>
      </c>
      <c r="Y9" s="32">
        <f>SUMIF(MonthlyData!$B:$B,M9,MonthlyData!J:J)</f>
        <v>59526842.000000007</v>
      </c>
      <c r="Z9" s="32">
        <f>SUMIF(MonthlyData!$B:$B,M9,MonthlyData!K:K)</f>
        <v>2330005.4104717188</v>
      </c>
      <c r="AA9" s="32">
        <f t="shared" si="8"/>
        <v>61856847.410471722</v>
      </c>
      <c r="AB9" s="34"/>
      <c r="AC9" s="32">
        <f ca="1">SUMIFS('GS &gt; 50 Normalized'!O:O,'GS &gt; 50 Normalized'!B:B,'Normalized Annual Summary'!X9)</f>
        <v>60545559.763588637</v>
      </c>
      <c r="AD9" s="32">
        <f t="shared" si="9"/>
        <v>2330005.4104717188</v>
      </c>
      <c r="AE9" s="32">
        <f t="shared" ca="1" si="10"/>
        <v>58215554.353116915</v>
      </c>
      <c r="AF9" s="32"/>
      <c r="AG9" s="32">
        <f t="shared" ca="1" si="11"/>
        <v>58215554.353116915</v>
      </c>
      <c r="AI9" s="31">
        <f t="shared" si="19"/>
        <v>2018</v>
      </c>
      <c r="AJ9" s="32">
        <f>SUMIFS(MonthlyData!M:M,MonthlyData!B:B,'Normalized Annual Summary'!AI9)</f>
        <v>517432.00000000006</v>
      </c>
      <c r="AK9" s="32">
        <f>'Customer Count'!O8</f>
        <v>1659.5833333333333</v>
      </c>
      <c r="AL9" s="32">
        <f t="shared" si="12"/>
        <v>311.78428320361542</v>
      </c>
      <c r="AM9" s="32">
        <f t="shared" si="13"/>
        <v>517432.00000000006</v>
      </c>
      <c r="AO9" s="31">
        <f t="shared" si="20"/>
        <v>2018</v>
      </c>
      <c r="AP9" s="32">
        <f>SUMIFS(MonthlyData!N:N,MonthlyData!B:B,'Normalized Annual Summary'!AI9)</f>
        <v>164177.99999999997</v>
      </c>
      <c r="AQ9" s="32">
        <f>'Customer Count'!S8</f>
        <v>23</v>
      </c>
      <c r="AR9" s="32">
        <f t="shared" si="14"/>
        <v>7138.1739130434771</v>
      </c>
      <c r="AS9" s="32">
        <f t="shared" si="15"/>
        <v>164177.99999999997</v>
      </c>
    </row>
    <row r="10" spans="2:45" x14ac:dyDescent="0.35">
      <c r="B10" s="31">
        <f t="shared" si="16"/>
        <v>2019</v>
      </c>
      <c r="C10" s="32">
        <f>SUMIF(MonthlyData!$B:$B,B10,MonthlyData!D:D)</f>
        <v>38802690</v>
      </c>
      <c r="D10" s="32">
        <f>SUMIF(MonthlyData!$B:$B,B10,MonthlyData!E:E)</f>
        <v>1836729.2465835006</v>
      </c>
      <c r="E10" s="32">
        <f t="shared" si="0"/>
        <v>40639419.246583499</v>
      </c>
      <c r="F10" s="34"/>
      <c r="G10" s="32">
        <f ca="1">SUMIFS('Res Normalized'!M:M,'Res Normalized'!B:B,'Normalized Annual Summary'!B10)</f>
        <v>41212042.214663744</v>
      </c>
      <c r="H10" s="32">
        <f t="shared" si="1"/>
        <v>1836729.2465835006</v>
      </c>
      <c r="I10" s="32">
        <f t="shared" ca="1" si="2"/>
        <v>39375312.968080245</v>
      </c>
      <c r="J10" s="32"/>
      <c r="K10" s="32">
        <f t="shared" ca="1" si="3"/>
        <v>39375312.968080245</v>
      </c>
      <c r="M10" s="31">
        <f t="shared" si="17"/>
        <v>2019</v>
      </c>
      <c r="N10" s="32">
        <f>SUMIF(MonthlyData!$B:$B,M10,MonthlyData!G:G)</f>
        <v>17709285.999999996</v>
      </c>
      <c r="O10" s="32">
        <f>SUMIF(MonthlyData!$B:$B,M10,MonthlyData!H:H)</f>
        <v>2450850.0391563908</v>
      </c>
      <c r="P10" s="32">
        <f t="shared" si="4"/>
        <v>20160136.039156388</v>
      </c>
      <c r="Q10" s="34"/>
      <c r="R10" s="32">
        <f ca="1">SUMIFS('GS &lt; 50 Normalized'!O:O,'GS &lt; 50 Normalized'!B:B,'Normalized Annual Summary'!M10)</f>
        <v>20240577.642386671</v>
      </c>
      <c r="S10" s="32">
        <f t="shared" si="5"/>
        <v>2450850.0391563908</v>
      </c>
      <c r="T10" s="32">
        <f t="shared" ca="1" si="6"/>
        <v>17789727.603230279</v>
      </c>
      <c r="U10" s="32"/>
      <c r="V10" s="32">
        <f t="shared" ca="1" si="7"/>
        <v>17789727.603230279</v>
      </c>
      <c r="X10" s="31">
        <f t="shared" si="18"/>
        <v>2019</v>
      </c>
      <c r="Y10" s="32">
        <f>SUMIF(MonthlyData!$B:$B,M10,MonthlyData!J:J)</f>
        <v>60254777</v>
      </c>
      <c r="Z10" s="32">
        <f>SUMIF(MonthlyData!$B:$B,M10,MonthlyData!K:K)</f>
        <v>2578058.248162664</v>
      </c>
      <c r="AA10" s="32">
        <f t="shared" si="8"/>
        <v>62832835.248162664</v>
      </c>
      <c r="AB10" s="34"/>
      <c r="AC10" s="32">
        <f ca="1">SUMIFS('GS &gt; 50 Normalized'!O:O,'GS &gt; 50 Normalized'!B:B,'Normalized Annual Summary'!X10)</f>
        <v>60545559.763588637</v>
      </c>
      <c r="AD10" s="32">
        <f t="shared" si="9"/>
        <v>2578058.248162664</v>
      </c>
      <c r="AE10" s="32">
        <f t="shared" ca="1" si="10"/>
        <v>57967501.515425973</v>
      </c>
      <c r="AF10" s="32"/>
      <c r="AG10" s="32">
        <f t="shared" ca="1" si="11"/>
        <v>57967501.515425973</v>
      </c>
      <c r="AI10" s="31">
        <f t="shared" si="19"/>
        <v>2019</v>
      </c>
      <c r="AJ10" s="32">
        <f>SUMIFS(MonthlyData!M:M,MonthlyData!B:B,'Normalized Annual Summary'!AI10)</f>
        <v>524449</v>
      </c>
      <c r="AK10" s="32">
        <f>'Customer Count'!O9</f>
        <v>1710</v>
      </c>
      <c r="AL10" s="32">
        <f t="shared" si="12"/>
        <v>306.6953216374269</v>
      </c>
      <c r="AM10" s="32">
        <f t="shared" si="13"/>
        <v>524449</v>
      </c>
      <c r="AO10" s="31">
        <f t="shared" si="20"/>
        <v>2019</v>
      </c>
      <c r="AP10" s="32">
        <f>SUMIFS(MonthlyData!N:N,MonthlyData!B:B,'Normalized Annual Summary'!AI10)</f>
        <v>164177.99999999997</v>
      </c>
      <c r="AQ10" s="32">
        <f>'Customer Count'!S9</f>
        <v>23</v>
      </c>
      <c r="AR10" s="32">
        <f t="shared" si="14"/>
        <v>7138.1739130434771</v>
      </c>
      <c r="AS10" s="32">
        <f t="shared" si="15"/>
        <v>164177.99999999997</v>
      </c>
    </row>
    <row r="11" spans="2:45" x14ac:dyDescent="0.35">
      <c r="B11" s="31">
        <f t="shared" si="16"/>
        <v>2020</v>
      </c>
      <c r="C11" s="32">
        <f>SUMIF(MonthlyData!$B:$B,B11,MonthlyData!D:D)</f>
        <v>40126980.999999993</v>
      </c>
      <c r="D11" s="32">
        <f>SUMIF(MonthlyData!$B:$B,B11,MonthlyData!E:E)</f>
        <v>1802376.4005966298</v>
      </c>
      <c r="E11" s="32">
        <f t="shared" si="0"/>
        <v>41929357.400596619</v>
      </c>
      <c r="F11" s="32"/>
      <c r="G11" s="32">
        <f ca="1">SUMIFS('Res Normalized'!M:M,'Res Normalized'!B:B,'Normalized Annual Summary'!B11)</f>
        <v>41212042.214663744</v>
      </c>
      <c r="H11" s="32">
        <f t="shared" si="1"/>
        <v>1802376.4005966298</v>
      </c>
      <c r="I11" s="32">
        <f t="shared" ca="1" si="2"/>
        <v>39409665.81406711</v>
      </c>
      <c r="J11" s="32"/>
      <c r="K11" s="32">
        <f t="shared" ca="1" si="3"/>
        <v>39409665.81406711</v>
      </c>
      <c r="M11" s="31">
        <f t="shared" si="17"/>
        <v>2020</v>
      </c>
      <c r="N11" s="32">
        <f>SUMIF(MonthlyData!$B:$B,M11,MonthlyData!G:G)</f>
        <v>16586732.999999998</v>
      </c>
      <c r="O11" s="32">
        <f>SUMIF(MonthlyData!$B:$B,M11,MonthlyData!H:H)</f>
        <v>2331748.4550660593</v>
      </c>
      <c r="P11" s="32">
        <f t="shared" si="4"/>
        <v>18918481.455066059</v>
      </c>
      <c r="Q11" s="32"/>
      <c r="R11" s="32">
        <f ca="1">SUMIFS('GS &lt; 50 Normalized'!O:O,'GS &lt; 50 Normalized'!B:B,'Normalized Annual Summary'!M11)</f>
        <v>19706280.637461852</v>
      </c>
      <c r="S11" s="32">
        <f t="shared" si="5"/>
        <v>2331748.4550660593</v>
      </c>
      <c r="T11" s="32">
        <f t="shared" ca="1" si="6"/>
        <v>17374532.182395793</v>
      </c>
      <c r="U11" s="32"/>
      <c r="V11" s="32">
        <f t="shared" ca="1" si="7"/>
        <v>17374532.182395793</v>
      </c>
      <c r="X11" s="31">
        <f t="shared" si="18"/>
        <v>2020</v>
      </c>
      <c r="Y11" s="32">
        <f>SUMIF(MonthlyData!$B:$B,M11,MonthlyData!J:J)</f>
        <v>57599230</v>
      </c>
      <c r="Z11" s="32">
        <f>SUMIF(MonthlyData!$B:$B,M11,MonthlyData!K:K)</f>
        <v>2575221.3902231087</v>
      </c>
      <c r="AA11" s="32">
        <f t="shared" si="8"/>
        <v>60174451.390223108</v>
      </c>
      <c r="AB11" s="32"/>
      <c r="AC11" s="32">
        <f ca="1">SUMIFS('GS &gt; 50 Normalized'!O:O,'GS &gt; 50 Normalized'!B:B,'Normalized Annual Summary'!X11)</f>
        <v>60545559.763588637</v>
      </c>
      <c r="AD11" s="32">
        <f t="shared" si="9"/>
        <v>2575221.3902231087</v>
      </c>
      <c r="AE11" s="32">
        <f t="shared" ca="1" si="10"/>
        <v>57970338.373365529</v>
      </c>
      <c r="AF11" s="32"/>
      <c r="AG11" s="32">
        <f t="shared" ca="1" si="11"/>
        <v>57970338.373365529</v>
      </c>
      <c r="AI11" s="31">
        <f t="shared" si="19"/>
        <v>2020</v>
      </c>
      <c r="AJ11" s="32">
        <f>SUMIFS(MonthlyData!M:M,MonthlyData!B:B,'Normalized Annual Summary'!AI11)</f>
        <v>526417</v>
      </c>
      <c r="AK11" s="32">
        <f>'Customer Count'!O10</f>
        <v>1710</v>
      </c>
      <c r="AL11" s="32">
        <f t="shared" si="12"/>
        <v>307.84619883040938</v>
      </c>
      <c r="AM11" s="32">
        <f t="shared" si="13"/>
        <v>526417</v>
      </c>
      <c r="AO11" s="31">
        <f t="shared" si="20"/>
        <v>2020</v>
      </c>
      <c r="AP11" s="32">
        <f>SUMIFS(MonthlyData!N:N,MonthlyData!B:B,'Normalized Annual Summary'!AI11)</f>
        <v>164177.99999999997</v>
      </c>
      <c r="AQ11" s="32">
        <f>'Customer Count'!S10</f>
        <v>23</v>
      </c>
      <c r="AR11" s="32">
        <f t="shared" si="14"/>
        <v>7138.1739130434771</v>
      </c>
      <c r="AS11" s="32">
        <f t="shared" si="15"/>
        <v>164177.99999999997</v>
      </c>
    </row>
    <row r="12" spans="2:45" x14ac:dyDescent="0.35">
      <c r="B12" s="31">
        <f t="shared" si="16"/>
        <v>2021</v>
      </c>
      <c r="C12" s="32">
        <f>SUMIF(MonthlyData!$B:$B,B12,MonthlyData!D:D)</f>
        <v>39104541</v>
      </c>
      <c r="D12" s="32">
        <f>SUMIF(MonthlyData!$B:$B,B12,MonthlyData!E:E)</f>
        <v>1750816.0127679738</v>
      </c>
      <c r="E12" s="32">
        <f t="shared" si="0"/>
        <v>40855357.012767971</v>
      </c>
      <c r="F12" s="34"/>
      <c r="G12" s="32">
        <f ca="1">SUMIFS('Res Normalized'!M:M,'Res Normalized'!B:B,'Normalized Annual Summary'!B12)</f>
        <v>41212042.214663744</v>
      </c>
      <c r="H12" s="32">
        <f t="shared" si="1"/>
        <v>1750816.0127679738</v>
      </c>
      <c r="I12" s="32">
        <f t="shared" ca="1" si="2"/>
        <v>39461226.201895773</v>
      </c>
      <c r="J12" s="32"/>
      <c r="K12" s="32">
        <f t="shared" ca="1" si="3"/>
        <v>39461226.201895773</v>
      </c>
      <c r="M12" s="31">
        <f t="shared" si="17"/>
        <v>2021</v>
      </c>
      <c r="N12" s="32">
        <f>SUMIF(MonthlyData!$B:$B,M12,MonthlyData!G:G)</f>
        <v>17080206</v>
      </c>
      <c r="O12" s="32">
        <f>SUMIF(MonthlyData!$B:$B,M12,MonthlyData!H:H)</f>
        <v>2196633.4102569288</v>
      </c>
      <c r="P12" s="32">
        <f t="shared" si="4"/>
        <v>19276839.41025693</v>
      </c>
      <c r="Q12" s="34"/>
      <c r="R12" s="32">
        <f ca="1">SUMIFS('GS &lt; 50 Normalized'!O:O,'GS &lt; 50 Normalized'!B:B,'Normalized Annual Summary'!M12)</f>
        <v>19462131.674946539</v>
      </c>
      <c r="S12" s="32">
        <f t="shared" si="5"/>
        <v>2196633.4102569288</v>
      </c>
      <c r="T12" s="32">
        <f t="shared" ca="1" si="6"/>
        <v>17265498.264689609</v>
      </c>
      <c r="U12" s="32"/>
      <c r="V12" s="32">
        <f t="shared" ca="1" si="7"/>
        <v>17265498.264689609</v>
      </c>
      <c r="X12" s="31">
        <f t="shared" si="18"/>
        <v>2021</v>
      </c>
      <c r="Y12" s="32">
        <f>SUMIF(MonthlyData!$B:$B,M12,MonthlyData!J:J)</f>
        <v>57309860.999999985</v>
      </c>
      <c r="Z12" s="32">
        <f>SUMIF(MonthlyData!$B:$B,M12,MonthlyData!K:K)</f>
        <v>2683750.8059621458</v>
      </c>
      <c r="AA12" s="32">
        <f t="shared" si="8"/>
        <v>59993611.80596213</v>
      </c>
      <c r="AB12" s="34"/>
      <c r="AC12" s="32">
        <f ca="1">SUMIFS('GS &gt; 50 Normalized'!O:O,'GS &gt; 50 Normalized'!B:B,'Normalized Annual Summary'!X12)</f>
        <v>60545559.763588637</v>
      </c>
      <c r="AD12" s="32">
        <f t="shared" si="9"/>
        <v>2683750.8059621458</v>
      </c>
      <c r="AE12" s="32">
        <f t="shared" ca="1" si="10"/>
        <v>57861808.957626492</v>
      </c>
      <c r="AF12" s="32"/>
      <c r="AG12" s="32">
        <f t="shared" ca="1" si="11"/>
        <v>57861808.957626492</v>
      </c>
      <c r="AI12" s="31">
        <f t="shared" si="19"/>
        <v>2021</v>
      </c>
      <c r="AJ12" s="32">
        <f>SUMIFS(MonthlyData!M:M,MonthlyData!B:B,'Normalized Annual Summary'!AI12)</f>
        <v>531088</v>
      </c>
      <c r="AK12" s="32">
        <f>'Customer Count'!O11</f>
        <v>1710</v>
      </c>
      <c r="AL12" s="32">
        <f t="shared" si="12"/>
        <v>310.57777777777778</v>
      </c>
      <c r="AM12" s="32">
        <f t="shared" si="13"/>
        <v>531088</v>
      </c>
      <c r="AO12" s="31">
        <f t="shared" si="20"/>
        <v>2021</v>
      </c>
      <c r="AP12" s="32">
        <f>SUMIFS(MonthlyData!N:N,MonthlyData!B:B,'Normalized Annual Summary'!AI12)</f>
        <v>164159</v>
      </c>
      <c r="AQ12" s="32">
        <f>'Customer Count'!S11</f>
        <v>23</v>
      </c>
      <c r="AR12" s="32">
        <f t="shared" si="14"/>
        <v>7137.347826086957</v>
      </c>
      <c r="AS12" s="32">
        <f t="shared" si="15"/>
        <v>164159</v>
      </c>
    </row>
    <row r="13" spans="2:45" x14ac:dyDescent="0.35">
      <c r="B13" s="31">
        <f t="shared" si="16"/>
        <v>2022</v>
      </c>
      <c r="C13" s="32">
        <f>SUMIF(MonthlyData!$B:$B,B13,MonthlyData!D:D)</f>
        <v>39671263</v>
      </c>
      <c r="D13" s="32">
        <f>SUMIF(MonthlyData!$B:$B,B13,MonthlyData!E:E)</f>
        <v>1759544.0191166112</v>
      </c>
      <c r="E13" s="32">
        <f t="shared" si="0"/>
        <v>41430807.01911661</v>
      </c>
      <c r="F13" s="34"/>
      <c r="G13" s="32">
        <f ca="1">SUMIFS('Res Normalized'!M:M,'Res Normalized'!B:B,'Normalized Annual Summary'!B13)</f>
        <v>41212042.214663744</v>
      </c>
      <c r="H13" s="32">
        <f t="shared" si="1"/>
        <v>1759544.0191166112</v>
      </c>
      <c r="I13" s="32">
        <f t="shared" ca="1" si="2"/>
        <v>39452498.195547134</v>
      </c>
      <c r="J13" s="32"/>
      <c r="K13" s="32">
        <f t="shared" ca="1" si="3"/>
        <v>39452498.195547134</v>
      </c>
      <c r="M13" s="31">
        <f t="shared" si="17"/>
        <v>2022</v>
      </c>
      <c r="N13" s="32">
        <f>SUMIF(MonthlyData!$B:$B,M13,MonthlyData!G:G)</f>
        <v>17769474</v>
      </c>
      <c r="O13" s="32">
        <f>SUMIF(MonthlyData!$B:$B,M13,MonthlyData!H:H)</f>
        <v>2085334.6474465071</v>
      </c>
      <c r="P13" s="32">
        <f t="shared" si="4"/>
        <v>19854808.647446506</v>
      </c>
      <c r="Q13" s="34"/>
      <c r="R13" s="32">
        <f ca="1">SUMIFS('GS &lt; 50 Normalized'!O:O,'GS &lt; 50 Normalized'!B:B,'Normalized Annual Summary'!M13)</f>
        <v>19596590.523868021</v>
      </c>
      <c r="S13" s="32">
        <f t="shared" si="5"/>
        <v>2085334.6474465071</v>
      </c>
      <c r="T13" s="32">
        <f t="shared" ca="1" si="6"/>
        <v>17511255.876421515</v>
      </c>
      <c r="U13" s="32"/>
      <c r="V13" s="32">
        <f t="shared" ca="1" si="7"/>
        <v>17511255.876421515</v>
      </c>
      <c r="X13" s="31">
        <f t="shared" si="18"/>
        <v>2022</v>
      </c>
      <c r="Y13" s="32">
        <f>SUMIF(MonthlyData!$B:$B,M13,MonthlyData!J:J)</f>
        <v>56933855</v>
      </c>
      <c r="Z13" s="32">
        <f>SUMIF(MonthlyData!$B:$B,M13,MonthlyData!K:K)</f>
        <v>2727421.3350247396</v>
      </c>
      <c r="AA13" s="32">
        <f t="shared" si="8"/>
        <v>59661276.335024737</v>
      </c>
      <c r="AB13" s="34"/>
      <c r="AC13" s="32">
        <f ca="1">SUMIFS('GS &gt; 50 Normalized'!O:O,'GS &gt; 50 Normalized'!B:B,'Normalized Annual Summary'!X13)</f>
        <v>60545559.763588637</v>
      </c>
      <c r="AD13" s="32">
        <f t="shared" si="9"/>
        <v>2727421.3350247396</v>
      </c>
      <c r="AE13" s="32">
        <f t="shared" ca="1" si="10"/>
        <v>57818138.4285639</v>
      </c>
      <c r="AF13" s="32"/>
      <c r="AG13" s="32">
        <f t="shared" ca="1" si="11"/>
        <v>57818138.4285639</v>
      </c>
      <c r="AI13" s="31">
        <f t="shared" si="19"/>
        <v>2022</v>
      </c>
      <c r="AJ13" s="32">
        <f>SUMIFS(MonthlyData!M:M,MonthlyData!B:B,'Normalized Annual Summary'!AI13)</f>
        <v>492971.99999999994</v>
      </c>
      <c r="AK13" s="32">
        <f>'Customer Count'!O12</f>
        <v>1710</v>
      </c>
      <c r="AL13" s="32">
        <f t="shared" si="12"/>
        <v>288.28771929824558</v>
      </c>
      <c r="AM13" s="32">
        <f t="shared" si="13"/>
        <v>492971.99999999994</v>
      </c>
      <c r="AO13" s="31">
        <f t="shared" si="20"/>
        <v>2022</v>
      </c>
      <c r="AP13" s="32">
        <f>SUMIFS(MonthlyData!N:N,MonthlyData!B:B,'Normalized Annual Summary'!AI13)</f>
        <v>163953</v>
      </c>
      <c r="AQ13" s="32">
        <f>'Customer Count'!S12</f>
        <v>22</v>
      </c>
      <c r="AR13" s="32">
        <f t="shared" si="14"/>
        <v>7452.409090909091</v>
      </c>
      <c r="AS13" s="32">
        <f t="shared" si="15"/>
        <v>163953</v>
      </c>
    </row>
    <row r="14" spans="2:45" x14ac:dyDescent="0.35">
      <c r="B14" s="31">
        <f t="shared" si="16"/>
        <v>2023</v>
      </c>
      <c r="C14" s="32">
        <f>SUMIF(MonthlyData!$B:$B,B14,MonthlyData!D:D)</f>
        <v>39128268.20000001</v>
      </c>
      <c r="D14" s="32">
        <f>SUMIF(MonthlyData!$B:$B,B14,MonthlyData!E:E)</f>
        <v>1772842.7825173272</v>
      </c>
      <c r="E14" s="32">
        <f t="shared" si="0"/>
        <v>40901110.982517339</v>
      </c>
      <c r="F14" s="32"/>
      <c r="G14" s="32">
        <f ca="1">SUMIFS('Res Normalized'!M:M,'Res Normalized'!B:B,'Normalized Annual Summary'!B14)</f>
        <v>41212042.214663744</v>
      </c>
      <c r="H14" s="32">
        <f t="shared" si="1"/>
        <v>1772842.7825173272</v>
      </c>
      <c r="I14" s="32">
        <f t="shared" ca="1" si="2"/>
        <v>39439199.432146415</v>
      </c>
      <c r="J14" s="32"/>
      <c r="K14" s="32">
        <f t="shared" ca="1" si="3"/>
        <v>39439199.432146415</v>
      </c>
      <c r="M14" s="31">
        <f t="shared" si="17"/>
        <v>2023</v>
      </c>
      <c r="N14" s="32">
        <f>SUMIF(MonthlyData!$B:$B,M14,MonthlyData!G:G)</f>
        <v>17511886.100000001</v>
      </c>
      <c r="O14" s="32">
        <f>SUMIF(MonthlyData!$B:$B,M14,MonthlyData!H:H)</f>
        <v>2009333.1502453932</v>
      </c>
      <c r="P14" s="32">
        <f t="shared" si="4"/>
        <v>19521219.250245396</v>
      </c>
      <c r="Q14" s="32"/>
      <c r="R14" s="32">
        <f ca="1">SUMIFS('GS &lt; 50 Normalized'!O:O,'GS &lt; 50 Normalized'!B:B,'Normalized Annual Summary'!M14)</f>
        <v>19676204.315992579</v>
      </c>
      <c r="S14" s="32">
        <f t="shared" si="5"/>
        <v>2009333.1502453932</v>
      </c>
      <c r="T14" s="32">
        <f t="shared" ca="1" si="6"/>
        <v>17666871.165747184</v>
      </c>
      <c r="U14" s="32"/>
      <c r="V14" s="32">
        <f t="shared" ca="1" si="7"/>
        <v>17666871.165747184</v>
      </c>
      <c r="X14" s="31">
        <f t="shared" si="18"/>
        <v>2023</v>
      </c>
      <c r="Y14" s="32">
        <f>SUMIF(MonthlyData!$B:$B,M14,MonthlyData!J:J)</f>
        <v>56007213.399999999</v>
      </c>
      <c r="Z14" s="32">
        <f>SUMIF(MonthlyData!$B:$B,M14,MonthlyData!K:K)</f>
        <v>3140523.1870274679</v>
      </c>
      <c r="AA14" s="32">
        <f t="shared" si="8"/>
        <v>59147736.587027468</v>
      </c>
      <c r="AB14" s="32"/>
      <c r="AC14" s="32">
        <f ca="1">SUMIFS('GS &gt; 50 Normalized'!O:O,'GS &gt; 50 Normalized'!B:B,'Normalized Annual Summary'!X14)</f>
        <v>60545559.763588637</v>
      </c>
      <c r="AD14" s="32">
        <f t="shared" si="9"/>
        <v>3140523.1870274679</v>
      </c>
      <c r="AE14" s="32">
        <f t="shared" ca="1" si="10"/>
        <v>57405036.576561168</v>
      </c>
      <c r="AF14" s="32"/>
      <c r="AG14" s="32">
        <f t="shared" ca="1" si="11"/>
        <v>57405036.576561168</v>
      </c>
      <c r="AI14" s="31">
        <f t="shared" si="19"/>
        <v>2023</v>
      </c>
      <c r="AJ14" s="32">
        <f>SUMIFS(MonthlyData!M:M,MonthlyData!B:B,'Normalized Annual Summary'!AI14)</f>
        <v>491060.4</v>
      </c>
      <c r="AK14" s="32">
        <f>'Customer Count'!O13</f>
        <v>1710</v>
      </c>
      <c r="AL14" s="32">
        <f t="shared" si="12"/>
        <v>287.16982456140352</v>
      </c>
      <c r="AM14" s="32">
        <f t="shared" si="13"/>
        <v>491060.4</v>
      </c>
      <c r="AO14" s="31">
        <f t="shared" si="20"/>
        <v>2023</v>
      </c>
      <c r="AP14" s="32">
        <f>SUMIFS(MonthlyData!N:N,MonthlyData!B:B,'Normalized Annual Summary'!AI14)</f>
        <v>163953</v>
      </c>
      <c r="AQ14" s="32">
        <f>'Customer Count'!S13</f>
        <v>22</v>
      </c>
      <c r="AR14" s="32">
        <f t="shared" si="14"/>
        <v>7452.409090909091</v>
      </c>
      <c r="AS14" s="32">
        <f t="shared" si="15"/>
        <v>163953</v>
      </c>
    </row>
    <row r="15" spans="2:45" x14ac:dyDescent="0.35">
      <c r="B15" s="33">
        <f t="shared" si="16"/>
        <v>2024</v>
      </c>
      <c r="C15" s="34"/>
      <c r="D15" s="34"/>
      <c r="E15" s="34"/>
      <c r="F15" s="34"/>
      <c r="G15" s="32">
        <f ca="1">SUMIFS('Res Normalized'!M:M,'Res Normalized'!B:B,'Normalized Annual Summary'!B15)</f>
        <v>41212042.214663744</v>
      </c>
      <c r="H15" s="34">
        <f>CDM!L30</f>
        <v>1752542.008638843</v>
      </c>
      <c r="I15" s="34">
        <f t="shared" ca="1" si="2"/>
        <v>39459500.2060249</v>
      </c>
      <c r="J15" s="34">
        <f ca="1">'Total Additional Loads'!D12</f>
        <v>109113.9819273871</v>
      </c>
      <c r="K15" s="34">
        <f t="shared" ca="1" si="3"/>
        <v>39568614.187952287</v>
      </c>
      <c r="L15" s="35"/>
      <c r="M15" s="33">
        <f t="shared" si="17"/>
        <v>2024</v>
      </c>
      <c r="N15" s="34"/>
      <c r="O15" s="34"/>
      <c r="P15" s="34"/>
      <c r="Q15" s="34"/>
      <c r="R15" s="32">
        <f ca="1">SUMIFS('GS &lt; 50 Normalized'!O:O,'GS &lt; 50 Normalized'!B:B,'Normalized Annual Summary'!M15)</f>
        <v>19653997.353569448</v>
      </c>
      <c r="S15" s="34">
        <f>CDM!M30</f>
        <v>1745158.3418531928</v>
      </c>
      <c r="T15" s="34">
        <f t="shared" ca="1" si="6"/>
        <v>17908839.011716254</v>
      </c>
      <c r="U15" s="34">
        <f ca="1">'Total Additional Loads'!D13</f>
        <v>41755.75402972001</v>
      </c>
      <c r="V15" s="34">
        <f t="shared" ca="1" si="7"/>
        <v>17950594.765745975</v>
      </c>
      <c r="W15" s="35"/>
      <c r="X15" s="33">
        <f t="shared" si="18"/>
        <v>2024</v>
      </c>
      <c r="Y15" s="34"/>
      <c r="Z15" s="34"/>
      <c r="AA15" s="34"/>
      <c r="AB15" s="34"/>
      <c r="AC15" s="32">
        <f ca="1">SUMIFS('GS &gt; 50 Normalized'!O:O,'GS &gt; 50 Normalized'!B:B,'Normalized Annual Summary'!X15)</f>
        <v>60545559.763588637</v>
      </c>
      <c r="AD15" s="34">
        <f>CDM!N30</f>
        <v>3084013.2682538084</v>
      </c>
      <c r="AE15" s="34">
        <f t="shared" ca="1" si="10"/>
        <v>57461546.495334826</v>
      </c>
      <c r="AF15" s="34">
        <f>'Total Additional Loads'!D14</f>
        <v>13350.454826640038</v>
      </c>
      <c r="AG15" s="34">
        <f t="shared" ca="1" si="11"/>
        <v>57474896.950161465</v>
      </c>
      <c r="AI15" s="33">
        <f>AI14+1</f>
        <v>2024</v>
      </c>
      <c r="AJ15" s="34"/>
      <c r="AK15" s="32">
        <f>'Customer Count'!O14</f>
        <v>1710</v>
      </c>
      <c r="AL15" s="26">
        <f>AL14</f>
        <v>287.16982456140352</v>
      </c>
      <c r="AM15" s="34">
        <f t="shared" si="13"/>
        <v>491060.4</v>
      </c>
      <c r="AN15" s="35"/>
      <c r="AO15" s="33">
        <f>AO14+1</f>
        <v>2024</v>
      </c>
      <c r="AP15" s="34"/>
      <c r="AQ15" s="32">
        <f>'Customer Count'!S14</f>
        <v>22</v>
      </c>
      <c r="AR15" s="34">
        <f>AR14</f>
        <v>7452.409090909091</v>
      </c>
      <c r="AS15" s="34">
        <f t="shared" si="15"/>
        <v>163953</v>
      </c>
    </row>
    <row r="16" spans="2:45" x14ac:dyDescent="0.35">
      <c r="B16" s="33">
        <f t="shared" si="16"/>
        <v>2025</v>
      </c>
      <c r="C16" s="33"/>
      <c r="D16" s="33"/>
      <c r="E16" s="33"/>
      <c r="F16" s="33"/>
      <c r="G16" s="32">
        <f ca="1">SUMIFS('Res Normalized'!M:M,'Res Normalized'!B:B,'Normalized Annual Summary'!B16)</f>
        <v>41212042.214663744</v>
      </c>
      <c r="H16" s="34">
        <f>CDM!L31</f>
        <v>1722969.5923942949</v>
      </c>
      <c r="I16" s="34">
        <f t="shared" ca="1" si="2"/>
        <v>39489072.622269452</v>
      </c>
      <c r="J16" s="34">
        <f ca="1">'Total Additional Loads'!E12</f>
        <v>278933.61051726528</v>
      </c>
      <c r="K16" s="34">
        <f t="shared" ca="1" si="3"/>
        <v>39768006.232786715</v>
      </c>
      <c r="L16" s="193"/>
      <c r="M16" s="33">
        <f t="shared" si="17"/>
        <v>2025</v>
      </c>
      <c r="N16" s="33"/>
      <c r="O16" s="33"/>
      <c r="P16" s="33"/>
      <c r="Q16" s="33"/>
      <c r="R16" s="32">
        <f ca="1">SUMIFS('GS &lt; 50 Normalized'!O:O,'GS &lt; 50 Normalized'!B:B,'Normalized Annual Summary'!M16)</f>
        <v>19699305.810877729</v>
      </c>
      <c r="S16" s="34">
        <f>CDM!M31</f>
        <v>1396904.3499840943</v>
      </c>
      <c r="T16" s="34">
        <f t="shared" ca="1" si="6"/>
        <v>18302401.460893635</v>
      </c>
      <c r="U16" s="34">
        <f ca="1">'Total Additional Loads'!E13</f>
        <v>97787.992663815618</v>
      </c>
      <c r="V16" s="34">
        <f t="shared" ca="1" si="7"/>
        <v>18400189.45355745</v>
      </c>
      <c r="W16" s="35"/>
      <c r="X16" s="33">
        <f t="shared" si="18"/>
        <v>2025</v>
      </c>
      <c r="Y16" s="33"/>
      <c r="Z16" s="33"/>
      <c r="AA16" s="33"/>
      <c r="AB16" s="33"/>
      <c r="AC16" s="32">
        <f ca="1">SUMIFS('GS &gt; 50 Normalized'!O:O,'GS &gt; 50 Normalized'!B:B,'Normalized Annual Summary'!X16)</f>
        <v>60545559.763588637</v>
      </c>
      <c r="AD16" s="34">
        <f>CDM!N31</f>
        <v>2886317.6825086963</v>
      </c>
      <c r="AE16" s="34">
        <f t="shared" ca="1" si="10"/>
        <v>57659242.081079938</v>
      </c>
      <c r="AF16" s="34">
        <f>'Total Additional Loads'!E14</f>
        <v>43195.482890250692</v>
      </c>
      <c r="AG16" s="34">
        <f t="shared" ca="1" si="11"/>
        <v>57702437.563970186</v>
      </c>
      <c r="AI16" s="33">
        <f>AI15+1</f>
        <v>2025</v>
      </c>
      <c r="AJ16" s="33"/>
      <c r="AK16" s="32">
        <f>'Customer Count'!O15</f>
        <v>1710</v>
      </c>
      <c r="AL16" s="26">
        <f>AL15</f>
        <v>287.16982456140352</v>
      </c>
      <c r="AM16" s="34">
        <f t="shared" si="13"/>
        <v>491060.4</v>
      </c>
      <c r="AN16" s="35"/>
      <c r="AO16" s="33">
        <f>AO15+1</f>
        <v>2025</v>
      </c>
      <c r="AP16" s="33"/>
      <c r="AQ16" s="32">
        <f>'Customer Count'!S15</f>
        <v>22</v>
      </c>
      <c r="AR16" s="34">
        <f>AR15</f>
        <v>7452.409090909091</v>
      </c>
      <c r="AS16" s="34">
        <f t="shared" si="15"/>
        <v>163953</v>
      </c>
    </row>
    <row r="17" spans="2:33" x14ac:dyDescent="0.35">
      <c r="B17" s="33"/>
      <c r="C17" s="33"/>
      <c r="D17" s="33"/>
      <c r="E17" s="33"/>
      <c r="F17" s="33"/>
      <c r="G17" s="34"/>
      <c r="H17" s="34"/>
      <c r="I17" s="34"/>
      <c r="J17" s="34"/>
      <c r="K17" s="34"/>
      <c r="L17" s="35"/>
      <c r="M17" s="33"/>
      <c r="N17" s="33"/>
      <c r="O17" s="33"/>
      <c r="P17" s="33"/>
      <c r="Q17" s="33"/>
      <c r="R17" s="34"/>
      <c r="S17" s="34"/>
      <c r="T17" s="34"/>
      <c r="U17" s="34"/>
      <c r="V17" s="34"/>
      <c r="W17" s="35"/>
      <c r="X17" s="33"/>
      <c r="Y17" s="33"/>
      <c r="Z17" s="33"/>
      <c r="AA17" s="33"/>
      <c r="AB17" s="33"/>
      <c r="AC17" s="34"/>
      <c r="AD17" s="34"/>
      <c r="AE17" s="34"/>
      <c r="AF17" s="34"/>
      <c r="AG17" s="34"/>
    </row>
  </sheetData>
  <mergeCells count="5">
    <mergeCell ref="AI2:AM2"/>
    <mergeCell ref="AO2:AS2"/>
    <mergeCell ref="B2:K2"/>
    <mergeCell ref="M2:V2"/>
    <mergeCell ref="X2:A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DE75-DEB0-4801-89D0-0E92D5CFA1A2}">
  <sheetPr codeName="Sheet1"/>
  <dimension ref="A1:CK131"/>
  <sheetViews>
    <sheetView workbookViewId="0">
      <pane xSplit="1" ySplit="1" topLeftCell="B107" activePane="bottomRight" state="frozen"/>
      <selection pane="topRight" activeCell="B1" sqref="B1"/>
      <selection pane="bottomLeft" activeCell="A2" sqref="A2"/>
      <selection pane="bottomRight" activeCell="AI2" sqref="AI2"/>
    </sheetView>
  </sheetViews>
  <sheetFormatPr defaultRowHeight="14.5" x14ac:dyDescent="0.35"/>
  <cols>
    <col min="1" max="1" width="10.08984375" style="1" bestFit="1" customWidth="1"/>
    <col min="4" max="4" width="12.7265625" bestFit="1" customWidth="1"/>
    <col min="5" max="6" width="12.7265625" customWidth="1"/>
    <col min="7" max="7" width="12.7265625" bestFit="1" customWidth="1"/>
    <col min="8" max="9" width="12.7265625" customWidth="1"/>
    <col min="10" max="10" width="12.7265625" bestFit="1" customWidth="1"/>
    <col min="11" max="12" width="12.7265625" customWidth="1"/>
    <col min="13" max="13" width="11.1796875" bestFit="1" customWidth="1"/>
    <col min="14" max="14" width="10.1796875" bestFit="1" customWidth="1"/>
    <col min="15" max="15" width="11.7265625" customWidth="1"/>
    <col min="16" max="16" width="8.81640625" bestFit="1" customWidth="1"/>
    <col min="17" max="17" width="9.1796875" bestFit="1" customWidth="1"/>
    <col min="18" max="19" width="8.81640625" bestFit="1" customWidth="1"/>
    <col min="20" max="20" width="9.1796875" bestFit="1" customWidth="1"/>
    <col min="21" max="21" width="8.81640625" bestFit="1" customWidth="1"/>
    <col min="22" max="22" width="9.1796875" bestFit="1" customWidth="1"/>
    <col min="23" max="23" width="8.81640625" bestFit="1" customWidth="1"/>
    <col min="24" max="24" width="9.1796875" bestFit="1" customWidth="1"/>
    <col min="25" max="25" width="8.81640625" bestFit="1" customWidth="1"/>
    <col min="26" max="26" width="9.1796875" bestFit="1" customWidth="1"/>
    <col min="27" max="27" width="8.81640625" bestFit="1" customWidth="1"/>
    <col min="28" max="28" width="9.1796875" bestFit="1" customWidth="1"/>
    <col min="29" max="29" width="8.81640625" bestFit="1" customWidth="1"/>
    <col min="30" max="30" width="9.1796875" bestFit="1" customWidth="1"/>
    <col min="31" max="33" width="8.81640625" bestFit="1" customWidth="1"/>
    <col min="34" max="35" width="8.81640625" customWidth="1"/>
    <col min="37" max="37" width="11.1796875" bestFit="1" customWidth="1"/>
    <col min="38" max="39" width="9.1796875" bestFit="1" customWidth="1"/>
    <col min="40" max="41" width="8.81640625" bestFit="1" customWidth="1"/>
    <col min="42" max="45" width="8.81640625" customWidth="1"/>
    <col min="46" max="46" width="11.1796875" bestFit="1" customWidth="1"/>
    <col min="47" max="47" width="9.1796875" bestFit="1" customWidth="1"/>
    <col min="48" max="49" width="9.1796875" customWidth="1"/>
    <col min="50" max="51" width="9.1796875" bestFit="1" customWidth="1"/>
    <col min="76" max="76" width="12.7265625" customWidth="1"/>
    <col min="87" max="87" width="12.08984375" bestFit="1" customWidth="1"/>
    <col min="88" max="89" width="11.08984375" bestFit="1" customWidth="1"/>
  </cols>
  <sheetData>
    <row r="1" spans="1:89" x14ac:dyDescent="0.35">
      <c r="A1" s="1" t="s">
        <v>0</v>
      </c>
      <c r="B1" t="s">
        <v>1</v>
      </c>
      <c r="C1" t="s">
        <v>2</v>
      </c>
      <c r="D1" t="s">
        <v>39</v>
      </c>
      <c r="E1" t="s">
        <v>189</v>
      </c>
      <c r="F1" t="s">
        <v>190</v>
      </c>
      <c r="G1" t="s">
        <v>40</v>
      </c>
      <c r="H1" t="s">
        <v>453</v>
      </c>
      <c r="I1" t="s">
        <v>454</v>
      </c>
      <c r="J1" t="s">
        <v>41</v>
      </c>
      <c r="K1" t="s">
        <v>458</v>
      </c>
      <c r="L1" t="s">
        <v>457</v>
      </c>
      <c r="M1" t="s">
        <v>42</v>
      </c>
      <c r="N1" t="s">
        <v>43</v>
      </c>
      <c r="O1" t="s">
        <v>44</v>
      </c>
      <c r="P1" t="s">
        <v>45</v>
      </c>
      <c r="Q1" t="s">
        <v>46</v>
      </c>
      <c r="R1" t="s">
        <v>455</v>
      </c>
      <c r="S1" t="s">
        <v>456</v>
      </c>
      <c r="T1" t="s">
        <v>47</v>
      </c>
      <c r="U1" t="s">
        <v>48</v>
      </c>
      <c r="V1" t="s">
        <v>3</v>
      </c>
      <c r="W1" t="s">
        <v>4</v>
      </c>
      <c r="X1" t="s">
        <v>5</v>
      </c>
      <c r="Y1" t="s">
        <v>6</v>
      </c>
      <c r="Z1" t="s">
        <v>7</v>
      </c>
      <c r="AA1" t="s">
        <v>8</v>
      </c>
      <c r="AB1" t="s">
        <v>9</v>
      </c>
      <c r="AC1" t="s">
        <v>10</v>
      </c>
      <c r="AD1" t="s">
        <v>11</v>
      </c>
      <c r="AE1" t="s">
        <v>12</v>
      </c>
      <c r="AF1" t="s">
        <v>13</v>
      </c>
      <c r="AG1" t="s">
        <v>14</v>
      </c>
      <c r="AH1" t="s">
        <v>468</v>
      </c>
      <c r="AI1" t="s">
        <v>469</v>
      </c>
      <c r="AJ1" t="s">
        <v>15</v>
      </c>
      <c r="AK1" t="s">
        <v>49</v>
      </c>
      <c r="AL1" t="s">
        <v>50</v>
      </c>
      <c r="AM1" t="s">
        <v>51</v>
      </c>
      <c r="AN1" t="s">
        <v>52</v>
      </c>
      <c r="AO1" t="s">
        <v>53</v>
      </c>
      <c r="AP1" t="s">
        <v>447</v>
      </c>
      <c r="AQ1" t="s">
        <v>448</v>
      </c>
      <c r="AR1" t="s">
        <v>449</v>
      </c>
      <c r="AS1" t="s">
        <v>450</v>
      </c>
      <c r="AT1" t="s">
        <v>54</v>
      </c>
      <c r="AU1" t="s">
        <v>55</v>
      </c>
      <c r="AV1" t="s">
        <v>445</v>
      </c>
      <c r="AW1" t="s">
        <v>446</v>
      </c>
      <c r="AX1" t="s">
        <v>219</v>
      </c>
      <c r="AY1" t="s">
        <v>220</v>
      </c>
      <c r="AZ1" t="s">
        <v>56</v>
      </c>
      <c r="BA1" t="s">
        <v>464</v>
      </c>
      <c r="BB1" t="s">
        <v>57</v>
      </c>
      <c r="BC1" t="s">
        <v>17</v>
      </c>
      <c r="BD1" t="s">
        <v>18</v>
      </c>
      <c r="BE1" t="s">
        <v>19</v>
      </c>
      <c r="BF1" t="s">
        <v>20</v>
      </c>
      <c r="BG1" t="s">
        <v>21</v>
      </c>
      <c r="BH1" t="s">
        <v>58</v>
      </c>
      <c r="BI1" t="s">
        <v>59</v>
      </c>
      <c r="BJ1" t="s">
        <v>60</v>
      </c>
      <c r="BK1" t="s">
        <v>25</v>
      </c>
      <c r="BL1" t="s">
        <v>26</v>
      </c>
      <c r="BM1" t="s">
        <v>27</v>
      </c>
      <c r="BN1" t="s">
        <v>28</v>
      </c>
      <c r="BO1" t="s">
        <v>61</v>
      </c>
      <c r="BP1" t="s">
        <v>62</v>
      </c>
      <c r="BQ1" t="s">
        <v>63</v>
      </c>
      <c r="BR1" t="s">
        <v>64</v>
      </c>
      <c r="BS1" t="s">
        <v>65</v>
      </c>
      <c r="BT1" t="s">
        <v>66</v>
      </c>
      <c r="BU1" t="s">
        <v>67</v>
      </c>
      <c r="BV1" t="s">
        <v>68</v>
      </c>
      <c r="BW1" t="s">
        <v>69</v>
      </c>
      <c r="BX1" t="s">
        <v>70</v>
      </c>
      <c r="BY1" t="s">
        <v>71</v>
      </c>
      <c r="BZ1" t="s">
        <v>72</v>
      </c>
      <c r="CA1" t="s">
        <v>73</v>
      </c>
      <c r="CB1" t="s">
        <v>74</v>
      </c>
      <c r="CC1" t="s">
        <v>75</v>
      </c>
      <c r="CD1" t="s">
        <v>76</v>
      </c>
      <c r="CE1" t="s">
        <v>77</v>
      </c>
      <c r="CF1" t="s">
        <v>78</v>
      </c>
      <c r="CG1" t="s">
        <v>79</v>
      </c>
      <c r="CH1" t="s">
        <v>80</v>
      </c>
      <c r="CI1" t="s">
        <v>81</v>
      </c>
      <c r="CJ1" t="s">
        <v>82</v>
      </c>
      <c r="CK1" t="s">
        <v>83</v>
      </c>
    </row>
    <row r="2" spans="1:89" x14ac:dyDescent="0.35">
      <c r="A2" s="1">
        <v>41640</v>
      </c>
      <c r="B2">
        <v>2014</v>
      </c>
      <c r="C2">
        <f>MONTH(A2)</f>
        <v>1</v>
      </c>
      <c r="D2" s="4">
        <v>5178709.5898425179</v>
      </c>
      <c r="E2" s="4">
        <f>IFERROR(VLOOKUP($B2-1,CDM!$K$5:$N$19,2,FALSE)/12,0)+IFERROR(VLOOKUP($B2,CDM!$K$35:$N$47,2,FALSE)/24,0)+IFERROR(VLOOKUP($B2,CDM!$K$35:$N$47,2,FALSE)/2*$C2/78,0)</f>
        <v>26136.617929882246</v>
      </c>
      <c r="F2" s="4">
        <f>D2+E2</f>
        <v>5204846.2077724002</v>
      </c>
      <c r="G2" s="4">
        <v>2178359.4414563035</v>
      </c>
      <c r="H2" s="4">
        <f>IFERROR(VLOOKUP($B2-1,CDM!$K$5:$N$19,3,FALSE)/12,0)+IFERROR(VLOOKUP($B2,CDM!$K$35:$N$47,3,FALSE)/24,0)+IFERROR(VLOOKUP($B2,CDM!$K$35:$N$47,3,FALSE)/2*$C2/78,0)</f>
        <v>89353.1085590398</v>
      </c>
      <c r="I2" s="4">
        <f>G2+H2</f>
        <v>2267712.5500153434</v>
      </c>
      <c r="J2" s="4">
        <v>6085336.2868296029</v>
      </c>
      <c r="K2" s="4">
        <f>IFERROR(VLOOKUP($B2-1,CDM!$K$5:$N$19,4,FALSE)/12,0)+IFERROR(VLOOKUP($B2,CDM!$K$35:$N$47,4,FALSE)/24,0)+IFERROR(VLOOKUP($B2,CDM!$K$35:$N$47,4,FALSE)/2*$C2/78,0)</f>
        <v>31783.554301208958</v>
      </c>
      <c r="L2" s="4">
        <f>J2+K2</f>
        <v>6117119.8411308117</v>
      </c>
      <c r="M2" s="4">
        <v>164858</v>
      </c>
      <c r="N2" s="4">
        <v>13627.086727680049</v>
      </c>
      <c r="O2" s="4">
        <v>15905.83</v>
      </c>
      <c r="P2" s="4">
        <v>239.95</v>
      </c>
      <c r="Q2" s="4">
        <v>5287</v>
      </c>
      <c r="R2" s="4">
        <v>767</v>
      </c>
      <c r="S2" s="4">
        <v>74</v>
      </c>
      <c r="T2" s="4">
        <v>1650</v>
      </c>
      <c r="U2" s="4">
        <v>24</v>
      </c>
      <c r="V2" s="4">
        <f>Weather!D122</f>
        <v>1233.8693065763684</v>
      </c>
      <c r="W2" s="4">
        <f>Weather!E122</f>
        <v>0</v>
      </c>
      <c r="X2" s="4">
        <f>Weather!F122</f>
        <v>1171.8693065763684</v>
      </c>
      <c r="Y2" s="4">
        <f>Weather!G122</f>
        <v>0</v>
      </c>
      <c r="Z2" s="4">
        <f>Weather!H122</f>
        <v>1109.8693065763684</v>
      </c>
      <c r="AA2" s="4">
        <f>Weather!I122</f>
        <v>0</v>
      </c>
      <c r="AB2" s="4">
        <f>Weather!J122</f>
        <v>1047.8693065763682</v>
      </c>
      <c r="AC2" s="4">
        <f>Weather!K122</f>
        <v>0</v>
      </c>
      <c r="AD2" s="4">
        <f>Weather!L122</f>
        <v>985.86930657636822</v>
      </c>
      <c r="AE2" s="4">
        <f>Weather!M122</f>
        <v>0</v>
      </c>
      <c r="AF2" s="4">
        <f>Weather!N122</f>
        <v>923.86930657636822</v>
      </c>
      <c r="AG2" s="4">
        <f>Weather!O122</f>
        <v>0</v>
      </c>
      <c r="AH2" s="4">
        <f>Weather!P122</f>
        <v>861.86930657636822</v>
      </c>
      <c r="AI2" s="4">
        <f>Weather!Q122</f>
        <v>0</v>
      </c>
      <c r="AJ2" s="4">
        <f>Weather!R122</f>
        <v>-19.802235696011884</v>
      </c>
      <c r="AK2" s="4">
        <f>'Economic Data'!F4</f>
        <v>708787.6</v>
      </c>
      <c r="AL2" s="4">
        <f>'Economic Data'!G4</f>
        <v>6474.7</v>
      </c>
      <c r="AM2" s="4">
        <f>'Economic Data'!H4</f>
        <v>8082.4</v>
      </c>
      <c r="AN2" s="4">
        <f>'Economic Data'!I4</f>
        <v>10.8</v>
      </c>
      <c r="AO2" s="4">
        <f>'Economic Data'!J4</f>
        <v>292</v>
      </c>
      <c r="AP2" s="4">
        <f>'Economic Data'!K4</f>
        <v>447.4</v>
      </c>
      <c r="AQ2" s="4">
        <f>'Economic Data'!L4</f>
        <v>291.89999999999998</v>
      </c>
      <c r="AR2" s="4">
        <f>'Economic Data'!M4</f>
        <v>1617.3</v>
      </c>
      <c r="AS2" s="4">
        <f>'Economic Data'!N4</f>
        <v>2758.5</v>
      </c>
      <c r="AT2" s="4">
        <f>'Economic Data'!O4</f>
        <v>699057</v>
      </c>
      <c r="AU2" s="4">
        <f>'Economic Data'!P4</f>
        <v>6558</v>
      </c>
      <c r="AV2" s="4">
        <f>'Economic Data'!Q4</f>
        <v>3545</v>
      </c>
      <c r="AW2" s="4">
        <f>'Economic Data'!R4</f>
        <v>4831</v>
      </c>
      <c r="AX2" s="4">
        <f>'Economic Data'!E4</f>
        <v>6770.4</v>
      </c>
      <c r="AY2" s="4">
        <f>'Economic Data'!D4</f>
        <v>6812.5</v>
      </c>
      <c r="AZ2">
        <v>1</v>
      </c>
      <c r="BA2" s="14">
        <f>LN(AZ2+9)</f>
        <v>2.3025850929940459</v>
      </c>
      <c r="BB2">
        <f>AZ2^2</f>
        <v>1</v>
      </c>
      <c r="BC2">
        <v>1</v>
      </c>
      <c r="BD2">
        <v>0</v>
      </c>
      <c r="BE2">
        <v>0</v>
      </c>
      <c r="BF2">
        <v>0</v>
      </c>
      <c r="BG2">
        <v>0</v>
      </c>
      <c r="BH2">
        <v>0</v>
      </c>
      <c r="BI2">
        <v>0</v>
      </c>
      <c r="BJ2">
        <v>0</v>
      </c>
      <c r="BK2">
        <v>0</v>
      </c>
      <c r="BL2">
        <v>0</v>
      </c>
      <c r="BM2">
        <v>0</v>
      </c>
      <c r="BN2">
        <v>0</v>
      </c>
      <c r="BO2">
        <v>0</v>
      </c>
      <c r="BP2">
        <v>0</v>
      </c>
      <c r="BQ2">
        <v>0</v>
      </c>
      <c r="BR2">
        <v>31</v>
      </c>
      <c r="BS2">
        <v>22</v>
      </c>
      <c r="BT2">
        <v>0</v>
      </c>
      <c r="BU2">
        <v>0</v>
      </c>
      <c r="BV2">
        <v>0</v>
      </c>
      <c r="BW2">
        <v>0</v>
      </c>
      <c r="BX2" s="17">
        <f t="shared" ref="BX2:BX33" si="0">$BT2*V2</f>
        <v>0</v>
      </c>
      <c r="BY2" s="17">
        <f t="shared" ref="BY2:BY33" si="1">$BT2*W2</f>
        <v>0</v>
      </c>
      <c r="BZ2" s="17">
        <f t="shared" ref="BZ2:BZ33" si="2">$BT2*X2</f>
        <v>0</v>
      </c>
      <c r="CA2" s="17">
        <f t="shared" ref="CA2:CA33" si="3">$BT2*Y2</f>
        <v>0</v>
      </c>
      <c r="CB2" s="17">
        <f t="shared" ref="CB2:CB33" si="4">$BT2*Z2</f>
        <v>0</v>
      </c>
      <c r="CC2" s="17">
        <f t="shared" ref="CC2:CC33" si="5">$BT2*AA2</f>
        <v>0</v>
      </c>
      <c r="CD2" s="17">
        <f t="shared" ref="CD2:CD33" si="6">$BT2*AB2</f>
        <v>0</v>
      </c>
      <c r="CE2" s="17">
        <f t="shared" ref="CE2:CE33" si="7">$BT2*AC2</f>
        <v>0</v>
      </c>
      <c r="CF2" s="17">
        <f t="shared" ref="CF2:CF33" si="8">$BT2*AD2</f>
        <v>0</v>
      </c>
      <c r="CG2" s="17">
        <f t="shared" ref="CG2:CG33" si="9">$BT2*AE2</f>
        <v>0</v>
      </c>
      <c r="CH2" s="17">
        <f t="shared" ref="CH2:CH33" si="10">$BT2*AF2</f>
        <v>0</v>
      </c>
      <c r="CI2" s="17">
        <f t="shared" ref="CI2:CI33" si="11">$BT2*AG2</f>
        <v>0</v>
      </c>
      <c r="CJ2" s="17">
        <f t="shared" ref="CJ2:CJ65" si="12">$BT2*AH2</f>
        <v>0</v>
      </c>
      <c r="CK2" s="17">
        <f t="shared" ref="CK2:CK65" si="13">$BT2*AI2</f>
        <v>0</v>
      </c>
    </row>
    <row r="3" spans="1:89" x14ac:dyDescent="0.35">
      <c r="A3" s="1">
        <v>41671</v>
      </c>
      <c r="B3">
        <v>2014</v>
      </c>
      <c r="C3">
        <f t="shared" ref="C3:C66" si="14">MONTH(A3)</f>
        <v>2</v>
      </c>
      <c r="D3" s="4">
        <v>5237097.8861879287</v>
      </c>
      <c r="E3" s="4">
        <f>IFERROR(VLOOKUP($B3-1,CDM!$K$5:$N$19,2,FALSE)/12,0)+IFERROR(VLOOKUP($B3,CDM!$K$35:$N$47,2,FALSE)/24,0)+IFERROR(VLOOKUP($B3,CDM!$K$35:$N$47,2,FALSE)/2*$C3/78,0)</f>
        <v>27202.277951746913</v>
      </c>
      <c r="F3" s="4">
        <f t="shared" ref="F3:F66" si="15">D3+E3</f>
        <v>5264300.1641396759</v>
      </c>
      <c r="G3" s="4">
        <v>2211535.7984690666</v>
      </c>
      <c r="H3" s="4">
        <f>IFERROR(VLOOKUP($B3-1,CDM!$K$5:$N$19,3,FALSE)/12,0)+IFERROR(VLOOKUP($B3,CDM!$K$35:$N$47,3,FALSE)/24,0)+IFERROR(VLOOKUP($B3,CDM!$K$35:$N$47,3,FALSE)/2*$C3/78,0)</f>
        <v>92877.141356797219</v>
      </c>
      <c r="I3" s="4">
        <f t="shared" ref="I3:I66" si="16">G3+H3</f>
        <v>2304412.939825864</v>
      </c>
      <c r="J3" s="4">
        <v>5460248.4525826341</v>
      </c>
      <c r="K3" s="4">
        <f>IFERROR(VLOOKUP($B3-1,CDM!$K$5:$N$19,4,FALSE)/12,0)+IFERROR(VLOOKUP($B3,CDM!$K$35:$N$47,4,FALSE)/24,0)+IFERROR(VLOOKUP($B3,CDM!$K$35:$N$47,4,FALSE)/2*$C3/78,0)</f>
        <v>32237.229021117419</v>
      </c>
      <c r="L3" s="4">
        <f t="shared" ref="L3:L66" si="17">J3+K3</f>
        <v>5492485.6816037511</v>
      </c>
      <c r="M3" s="4">
        <v>161851</v>
      </c>
      <c r="N3" s="4">
        <v>13627.086727680049</v>
      </c>
      <c r="O3" s="4">
        <v>11734.61</v>
      </c>
      <c r="P3" s="4">
        <v>245.95</v>
      </c>
      <c r="Q3" s="4">
        <v>5268</v>
      </c>
      <c r="R3" s="4">
        <v>759</v>
      </c>
      <c r="S3" s="4">
        <v>66</v>
      </c>
      <c r="T3" s="4">
        <v>1650</v>
      </c>
      <c r="U3" s="4">
        <v>22</v>
      </c>
      <c r="V3" s="4">
        <f>Weather!D123</f>
        <v>1030.3601038254235</v>
      </c>
      <c r="W3" s="4">
        <f>Weather!E123</f>
        <v>0</v>
      </c>
      <c r="X3" s="4">
        <f>Weather!F123</f>
        <v>974.36010382542349</v>
      </c>
      <c r="Y3" s="4">
        <f>Weather!G123</f>
        <v>0</v>
      </c>
      <c r="Z3" s="4">
        <f>Weather!H123</f>
        <v>918.36010382542349</v>
      </c>
      <c r="AA3" s="4">
        <f>Weather!I123</f>
        <v>0</v>
      </c>
      <c r="AB3" s="4">
        <f>Weather!J123</f>
        <v>862.36010382542349</v>
      </c>
      <c r="AC3" s="4">
        <f>Weather!K123</f>
        <v>0</v>
      </c>
      <c r="AD3" s="4">
        <f>Weather!L123</f>
        <v>806.36010382542349</v>
      </c>
      <c r="AE3" s="4">
        <f>Weather!M123</f>
        <v>0</v>
      </c>
      <c r="AF3" s="4">
        <f>Weather!N123</f>
        <v>750.36010382542349</v>
      </c>
      <c r="AG3" s="4">
        <f>Weather!O123</f>
        <v>0</v>
      </c>
      <c r="AH3" s="4">
        <f>Weather!P123</f>
        <v>694.36010382542349</v>
      </c>
      <c r="AI3" s="4">
        <f>Weather!Q123</f>
        <v>0</v>
      </c>
      <c r="AJ3" s="4">
        <f>Weather!R123</f>
        <v>-16.798575136622272</v>
      </c>
      <c r="AK3" s="4">
        <f>'Economic Data'!F5</f>
        <v>708787.6</v>
      </c>
      <c r="AL3" s="4">
        <f>'Economic Data'!G5</f>
        <v>6474.7</v>
      </c>
      <c r="AM3" s="4">
        <f>'Economic Data'!H5</f>
        <v>8082.4</v>
      </c>
      <c r="AN3" s="4">
        <f>'Economic Data'!I5</f>
        <v>10.8</v>
      </c>
      <c r="AO3" s="4">
        <f>'Economic Data'!J5</f>
        <v>292</v>
      </c>
      <c r="AP3" s="4">
        <f>'Economic Data'!K5</f>
        <v>447.4</v>
      </c>
      <c r="AQ3" s="4">
        <f>'Economic Data'!L5</f>
        <v>291.89999999999998</v>
      </c>
      <c r="AR3" s="4">
        <f>'Economic Data'!M5</f>
        <v>1617.3</v>
      </c>
      <c r="AS3" s="4">
        <f>'Economic Data'!N5</f>
        <v>2758.5</v>
      </c>
      <c r="AT3" s="4">
        <f>'Economic Data'!O5</f>
        <v>699057</v>
      </c>
      <c r="AU3" s="4">
        <f>'Economic Data'!P5</f>
        <v>6558</v>
      </c>
      <c r="AV3" s="4">
        <f>'Economic Data'!Q5</f>
        <v>3545</v>
      </c>
      <c r="AW3" s="4">
        <f>'Economic Data'!R5</f>
        <v>4831</v>
      </c>
      <c r="AX3" s="4">
        <f>'Economic Data'!E5</f>
        <v>6732.3</v>
      </c>
      <c r="AY3" s="4">
        <f>'Economic Data'!D5</f>
        <v>6810.3</v>
      </c>
      <c r="AZ3">
        <v>2</v>
      </c>
      <c r="BA3" s="14">
        <f t="shared" ref="BA3:BA66" si="18">LN(AZ3+9)</f>
        <v>2.3978952727983707</v>
      </c>
      <c r="BB3">
        <f t="shared" ref="BB3:BB66" si="19">AZ3^2</f>
        <v>4</v>
      </c>
      <c r="BC3">
        <v>0</v>
      </c>
      <c r="BD3">
        <v>1</v>
      </c>
      <c r="BE3">
        <v>0</v>
      </c>
      <c r="BF3">
        <v>0</v>
      </c>
      <c r="BG3">
        <v>0</v>
      </c>
      <c r="BH3">
        <v>0</v>
      </c>
      <c r="BI3">
        <v>0</v>
      </c>
      <c r="BJ3">
        <v>0</v>
      </c>
      <c r="BK3">
        <v>0</v>
      </c>
      <c r="BL3">
        <v>0</v>
      </c>
      <c r="BM3">
        <v>0</v>
      </c>
      <c r="BN3">
        <v>0</v>
      </c>
      <c r="BO3">
        <v>0</v>
      </c>
      <c r="BP3">
        <v>0</v>
      </c>
      <c r="BQ3">
        <v>0</v>
      </c>
      <c r="BR3">
        <v>28</v>
      </c>
      <c r="BS3">
        <v>19</v>
      </c>
      <c r="BT3">
        <v>0</v>
      </c>
      <c r="BU3">
        <v>0</v>
      </c>
      <c r="BV3">
        <v>0</v>
      </c>
      <c r="BW3">
        <v>0</v>
      </c>
      <c r="BX3" s="17">
        <f t="shared" si="0"/>
        <v>0</v>
      </c>
      <c r="BY3" s="17">
        <f t="shared" si="1"/>
        <v>0</v>
      </c>
      <c r="BZ3" s="17">
        <f t="shared" si="2"/>
        <v>0</v>
      </c>
      <c r="CA3" s="17">
        <f t="shared" si="3"/>
        <v>0</v>
      </c>
      <c r="CB3" s="17">
        <f t="shared" si="4"/>
        <v>0</v>
      </c>
      <c r="CC3" s="17">
        <f t="shared" si="5"/>
        <v>0</v>
      </c>
      <c r="CD3" s="17">
        <f t="shared" si="6"/>
        <v>0</v>
      </c>
      <c r="CE3" s="17">
        <f t="shared" si="7"/>
        <v>0</v>
      </c>
      <c r="CF3" s="17">
        <f t="shared" si="8"/>
        <v>0</v>
      </c>
      <c r="CG3" s="17">
        <f t="shared" si="9"/>
        <v>0</v>
      </c>
      <c r="CH3" s="17">
        <f t="shared" si="10"/>
        <v>0</v>
      </c>
      <c r="CI3" s="17">
        <f t="shared" si="11"/>
        <v>0</v>
      </c>
      <c r="CJ3" s="17">
        <f t="shared" si="12"/>
        <v>0</v>
      </c>
      <c r="CK3" s="17">
        <f t="shared" si="13"/>
        <v>0</v>
      </c>
    </row>
    <row r="4" spans="1:89" x14ac:dyDescent="0.35">
      <c r="A4" s="1">
        <v>41699</v>
      </c>
      <c r="B4">
        <v>2014</v>
      </c>
      <c r="C4">
        <f t="shared" si="14"/>
        <v>3</v>
      </c>
      <c r="D4" s="4">
        <v>4197909.409754918</v>
      </c>
      <c r="E4" s="4">
        <f>IFERROR(VLOOKUP($B4-1,CDM!$K$5:$N$19,2,FALSE)/12,0)+IFERROR(VLOOKUP($B4,CDM!$K$35:$N$47,2,FALSE)/24,0)+IFERROR(VLOOKUP($B4,CDM!$K$35:$N$47,2,FALSE)/2*$C4/78,0)</f>
        <v>28267.937973611581</v>
      </c>
      <c r="F4" s="4">
        <f t="shared" si="15"/>
        <v>4226177.3477285299</v>
      </c>
      <c r="G4" s="4">
        <v>1901464.4617728577</v>
      </c>
      <c r="H4" s="4">
        <f>IFERROR(VLOOKUP($B4-1,CDM!$K$5:$N$19,3,FALSE)/12,0)+IFERROR(VLOOKUP($B4,CDM!$K$35:$N$47,3,FALSE)/24,0)+IFERROR(VLOOKUP($B4,CDM!$K$35:$N$47,3,FALSE)/2*$C4/78,0)</f>
        <v>96401.174154554639</v>
      </c>
      <c r="I4" s="4">
        <f t="shared" si="16"/>
        <v>1997865.6359274124</v>
      </c>
      <c r="J4" s="4">
        <v>5172562.6477001542</v>
      </c>
      <c r="K4" s="4">
        <f>IFERROR(VLOOKUP($B4-1,CDM!$K$5:$N$19,4,FALSE)/12,0)+IFERROR(VLOOKUP($B4,CDM!$K$35:$N$47,4,FALSE)/24,0)+IFERROR(VLOOKUP($B4,CDM!$K$35:$N$47,4,FALSE)/2*$C4/78,0)</f>
        <v>32690.903741025879</v>
      </c>
      <c r="L4" s="4">
        <f t="shared" si="17"/>
        <v>5205253.5514411805</v>
      </c>
      <c r="M4" s="4">
        <v>134597</v>
      </c>
      <c r="N4" s="4">
        <v>12987.082654463989</v>
      </c>
      <c r="O4" s="4">
        <v>13089.53</v>
      </c>
      <c r="P4" s="4">
        <v>245.95</v>
      </c>
      <c r="Q4" s="4">
        <v>5282</v>
      </c>
      <c r="R4" s="4">
        <v>767</v>
      </c>
      <c r="S4" s="4">
        <v>67</v>
      </c>
      <c r="T4" s="4">
        <v>1650</v>
      </c>
      <c r="U4" s="4">
        <v>24</v>
      </c>
      <c r="V4" s="4">
        <f>Weather!D124</f>
        <v>1028.2909803903922</v>
      </c>
      <c r="W4" s="4">
        <f>Weather!E124</f>
        <v>0</v>
      </c>
      <c r="X4" s="4">
        <f>Weather!F124</f>
        <v>966.29098039039206</v>
      </c>
      <c r="Y4" s="4">
        <f>Weather!G124</f>
        <v>0</v>
      </c>
      <c r="Z4" s="4">
        <f>Weather!H124</f>
        <v>904.29098039039206</v>
      </c>
      <c r="AA4" s="4">
        <f>Weather!I124</f>
        <v>0</v>
      </c>
      <c r="AB4" s="4">
        <f>Weather!J124</f>
        <v>842.29098039039206</v>
      </c>
      <c r="AC4" s="4">
        <f>Weather!K124</f>
        <v>0</v>
      </c>
      <c r="AD4" s="4">
        <f>Weather!L124</f>
        <v>780.29098039039206</v>
      </c>
      <c r="AE4" s="4">
        <f>Weather!M124</f>
        <v>0</v>
      </c>
      <c r="AF4" s="4">
        <f>Weather!N124</f>
        <v>718.29098039039206</v>
      </c>
      <c r="AG4" s="4">
        <f>Weather!O124</f>
        <v>0</v>
      </c>
      <c r="AH4" s="4">
        <f>Weather!P124</f>
        <v>656.29098039039206</v>
      </c>
      <c r="AI4" s="4">
        <f>Weather!Q124</f>
        <v>0</v>
      </c>
      <c r="AJ4" s="4">
        <f>Weather!R124</f>
        <v>-13.170676786786844</v>
      </c>
      <c r="AK4" s="4">
        <f>'Economic Data'!F6</f>
        <v>708787.6</v>
      </c>
      <c r="AL4" s="4">
        <f>'Economic Data'!G6</f>
        <v>6474.7</v>
      </c>
      <c r="AM4" s="4">
        <f>'Economic Data'!H6</f>
        <v>8082.4</v>
      </c>
      <c r="AN4" s="4">
        <f>'Economic Data'!I6</f>
        <v>10.8</v>
      </c>
      <c r="AO4" s="4">
        <f>'Economic Data'!J6</f>
        <v>292</v>
      </c>
      <c r="AP4" s="4">
        <f>'Economic Data'!K6</f>
        <v>447.4</v>
      </c>
      <c r="AQ4" s="4">
        <f>'Economic Data'!L6</f>
        <v>291.89999999999998</v>
      </c>
      <c r="AR4" s="4">
        <f>'Economic Data'!M6</f>
        <v>1617.3</v>
      </c>
      <c r="AS4" s="4">
        <f>'Economic Data'!N6</f>
        <v>2758.5</v>
      </c>
      <c r="AT4" s="4">
        <f>'Economic Data'!O6</f>
        <v>699057</v>
      </c>
      <c r="AU4" s="4">
        <f>'Economic Data'!P6</f>
        <v>6558</v>
      </c>
      <c r="AV4" s="4">
        <f>'Economic Data'!Q6</f>
        <v>3545</v>
      </c>
      <c r="AW4" s="4">
        <f>'Economic Data'!R6</f>
        <v>4831</v>
      </c>
      <c r="AX4" s="4">
        <f>'Economic Data'!E6</f>
        <v>6704.5</v>
      </c>
      <c r="AY4" s="4">
        <f>'Economic Data'!D6</f>
        <v>6810.9</v>
      </c>
      <c r="AZ4">
        <v>3</v>
      </c>
      <c r="BA4" s="14">
        <f t="shared" si="18"/>
        <v>2.4849066497880004</v>
      </c>
      <c r="BB4">
        <f t="shared" si="19"/>
        <v>9</v>
      </c>
      <c r="BC4">
        <v>0</v>
      </c>
      <c r="BD4">
        <v>0</v>
      </c>
      <c r="BE4">
        <v>1</v>
      </c>
      <c r="BF4">
        <v>0</v>
      </c>
      <c r="BG4">
        <v>0</v>
      </c>
      <c r="BH4">
        <v>0</v>
      </c>
      <c r="BI4">
        <v>0</v>
      </c>
      <c r="BJ4">
        <v>0</v>
      </c>
      <c r="BK4">
        <v>0</v>
      </c>
      <c r="BL4">
        <v>0</v>
      </c>
      <c r="BM4">
        <v>0</v>
      </c>
      <c r="BN4">
        <v>0</v>
      </c>
      <c r="BO4">
        <v>1</v>
      </c>
      <c r="BP4">
        <v>0</v>
      </c>
      <c r="BQ4">
        <v>1</v>
      </c>
      <c r="BR4">
        <v>31</v>
      </c>
      <c r="BS4">
        <v>21</v>
      </c>
      <c r="BT4">
        <v>0</v>
      </c>
      <c r="BU4">
        <v>0</v>
      </c>
      <c r="BV4">
        <v>0</v>
      </c>
      <c r="BW4">
        <v>0</v>
      </c>
      <c r="BX4" s="17">
        <f t="shared" si="0"/>
        <v>0</v>
      </c>
      <c r="BY4" s="17">
        <f t="shared" si="1"/>
        <v>0</v>
      </c>
      <c r="BZ4" s="17">
        <f t="shared" si="2"/>
        <v>0</v>
      </c>
      <c r="CA4" s="17">
        <f t="shared" si="3"/>
        <v>0</v>
      </c>
      <c r="CB4" s="17">
        <f t="shared" si="4"/>
        <v>0</v>
      </c>
      <c r="CC4" s="17">
        <f t="shared" si="5"/>
        <v>0</v>
      </c>
      <c r="CD4" s="17">
        <f t="shared" si="6"/>
        <v>0</v>
      </c>
      <c r="CE4" s="17">
        <f t="shared" si="7"/>
        <v>0</v>
      </c>
      <c r="CF4" s="17">
        <f t="shared" si="8"/>
        <v>0</v>
      </c>
      <c r="CG4" s="17">
        <f t="shared" si="9"/>
        <v>0</v>
      </c>
      <c r="CH4" s="17">
        <f t="shared" si="10"/>
        <v>0</v>
      </c>
      <c r="CI4" s="17">
        <f t="shared" si="11"/>
        <v>0</v>
      </c>
      <c r="CJ4" s="17">
        <f t="shared" si="12"/>
        <v>0</v>
      </c>
      <c r="CK4" s="17">
        <f t="shared" si="13"/>
        <v>0</v>
      </c>
    </row>
    <row r="5" spans="1:89" x14ac:dyDescent="0.35">
      <c r="A5" s="1">
        <v>41730</v>
      </c>
      <c r="B5">
        <v>2014</v>
      </c>
      <c r="C5">
        <f t="shared" si="14"/>
        <v>4</v>
      </c>
      <c r="D5" s="4">
        <v>4274125.4912524289</v>
      </c>
      <c r="E5" s="4">
        <f>IFERROR(VLOOKUP($B5-1,CDM!$K$5:$N$19,2,FALSE)/12,0)+IFERROR(VLOOKUP($B5,CDM!$K$35:$N$47,2,FALSE)/24,0)+IFERROR(VLOOKUP($B5,CDM!$K$35:$N$47,2,FALSE)/2*$C5/78,0)</f>
        <v>29333.597995476248</v>
      </c>
      <c r="F5" s="4">
        <f t="shared" si="15"/>
        <v>4303459.0892479047</v>
      </c>
      <c r="G5" s="4">
        <v>1943195.9108474783</v>
      </c>
      <c r="H5" s="4">
        <f>IFERROR(VLOOKUP($B5-1,CDM!$K$5:$N$19,3,FALSE)/12,0)+IFERROR(VLOOKUP($B5,CDM!$K$35:$N$47,3,FALSE)/24,0)+IFERROR(VLOOKUP($B5,CDM!$K$35:$N$47,3,FALSE)/2*$C5/78,0)</f>
        <v>99925.206952312059</v>
      </c>
      <c r="I5" s="4">
        <f t="shared" si="16"/>
        <v>2043121.1177997903</v>
      </c>
      <c r="J5" s="4">
        <v>5061230.4695344418</v>
      </c>
      <c r="K5" s="4">
        <f>IFERROR(VLOOKUP($B5-1,CDM!$K$5:$N$19,4,FALSE)/12,0)+IFERROR(VLOOKUP($B5,CDM!$K$35:$N$47,4,FALSE)/24,0)+IFERROR(VLOOKUP($B5,CDM!$K$35:$N$47,4,FALSE)/2*$C5/78,0)</f>
        <v>33144.578460934339</v>
      </c>
      <c r="L5" s="4">
        <f t="shared" si="17"/>
        <v>5094375.0479953764</v>
      </c>
      <c r="M5" s="4">
        <v>134418</v>
      </c>
      <c r="N5" s="4">
        <v>12987.082654463989</v>
      </c>
      <c r="O5" s="4">
        <v>12577.25</v>
      </c>
      <c r="P5" s="4">
        <v>245.95</v>
      </c>
      <c r="Q5" s="4">
        <v>5274</v>
      </c>
      <c r="R5" s="4">
        <v>762</v>
      </c>
      <c r="S5" s="4">
        <v>64</v>
      </c>
      <c r="T5" s="4">
        <v>1650</v>
      </c>
      <c r="U5" s="4">
        <v>22</v>
      </c>
      <c r="V5" s="4">
        <f>Weather!D125</f>
        <v>642.04088813973726</v>
      </c>
      <c r="W5" s="4">
        <f>Weather!E125</f>
        <v>0</v>
      </c>
      <c r="X5" s="4">
        <f>Weather!F125</f>
        <v>582.04088813973726</v>
      </c>
      <c r="Y5" s="4">
        <f>Weather!G125</f>
        <v>0</v>
      </c>
      <c r="Z5" s="4">
        <f>Weather!H125</f>
        <v>522.04088813973726</v>
      </c>
      <c r="AA5" s="4">
        <f>Weather!I125</f>
        <v>0</v>
      </c>
      <c r="AB5" s="4">
        <f>Weather!J125</f>
        <v>462.04088813973715</v>
      </c>
      <c r="AC5" s="4">
        <f>Weather!K125</f>
        <v>0</v>
      </c>
      <c r="AD5" s="4">
        <f>Weather!L125</f>
        <v>402.04088813973715</v>
      </c>
      <c r="AE5" s="4">
        <f>Weather!M125</f>
        <v>0</v>
      </c>
      <c r="AF5" s="4">
        <f>Weather!N125</f>
        <v>342.04088813973715</v>
      </c>
      <c r="AG5" s="4">
        <f>Weather!O125</f>
        <v>0</v>
      </c>
      <c r="AH5" s="4">
        <f>Weather!P125</f>
        <v>282.04088813973726</v>
      </c>
      <c r="AI5" s="4">
        <f>Weather!Q125</f>
        <v>0</v>
      </c>
      <c r="AJ5" s="4">
        <f>Weather!R125</f>
        <v>-1.4013629379912407</v>
      </c>
      <c r="AK5" s="4">
        <f>'Economic Data'!F7</f>
        <v>708787.6</v>
      </c>
      <c r="AL5" s="4">
        <f>'Economic Data'!G7</f>
        <v>6474.7</v>
      </c>
      <c r="AM5" s="4">
        <f>'Economic Data'!H7</f>
        <v>8082.4</v>
      </c>
      <c r="AN5" s="4">
        <f>'Economic Data'!I7</f>
        <v>10.8</v>
      </c>
      <c r="AO5" s="4">
        <f>'Economic Data'!J7</f>
        <v>292</v>
      </c>
      <c r="AP5" s="4">
        <f>'Economic Data'!K7</f>
        <v>447.4</v>
      </c>
      <c r="AQ5" s="4">
        <f>'Economic Data'!L7</f>
        <v>291.89999999999998</v>
      </c>
      <c r="AR5" s="4">
        <f>'Economic Data'!M7</f>
        <v>1617.3</v>
      </c>
      <c r="AS5" s="4">
        <f>'Economic Data'!N7</f>
        <v>2758.5</v>
      </c>
      <c r="AT5" s="4">
        <f>'Economic Data'!O7</f>
        <v>705966</v>
      </c>
      <c r="AU5" s="4">
        <f>'Economic Data'!P7</f>
        <v>6382</v>
      </c>
      <c r="AV5" s="4">
        <f>'Economic Data'!Q7</f>
        <v>3701</v>
      </c>
      <c r="AW5" s="4">
        <f>'Economic Data'!R7</f>
        <v>4782</v>
      </c>
      <c r="AX5" s="4">
        <f>'Economic Data'!E7</f>
        <v>6732.1</v>
      </c>
      <c r="AY5" s="4">
        <f>'Economic Data'!D7</f>
        <v>6819.5</v>
      </c>
      <c r="AZ5">
        <v>4</v>
      </c>
      <c r="BA5" s="14">
        <f t="shared" si="18"/>
        <v>2.5649493574615367</v>
      </c>
      <c r="BB5">
        <f t="shared" si="19"/>
        <v>16</v>
      </c>
      <c r="BC5">
        <v>0</v>
      </c>
      <c r="BD5">
        <v>0</v>
      </c>
      <c r="BE5">
        <v>0</v>
      </c>
      <c r="BF5">
        <v>1</v>
      </c>
      <c r="BG5">
        <v>0</v>
      </c>
      <c r="BH5">
        <v>0</v>
      </c>
      <c r="BI5">
        <v>0</v>
      </c>
      <c r="BJ5">
        <v>0</v>
      </c>
      <c r="BK5">
        <v>0</v>
      </c>
      <c r="BL5">
        <v>0</v>
      </c>
      <c r="BM5">
        <v>0</v>
      </c>
      <c r="BN5">
        <v>0</v>
      </c>
      <c r="BO5">
        <v>1</v>
      </c>
      <c r="BP5">
        <v>0</v>
      </c>
      <c r="BQ5">
        <v>1</v>
      </c>
      <c r="BR5">
        <v>30</v>
      </c>
      <c r="BS5">
        <v>20</v>
      </c>
      <c r="BT5">
        <v>0</v>
      </c>
      <c r="BU5">
        <v>0</v>
      </c>
      <c r="BV5">
        <v>0</v>
      </c>
      <c r="BW5">
        <v>0</v>
      </c>
      <c r="BX5" s="17">
        <f t="shared" si="0"/>
        <v>0</v>
      </c>
      <c r="BY5" s="17">
        <f t="shared" si="1"/>
        <v>0</v>
      </c>
      <c r="BZ5" s="17">
        <f t="shared" si="2"/>
        <v>0</v>
      </c>
      <c r="CA5" s="17">
        <f t="shared" si="3"/>
        <v>0</v>
      </c>
      <c r="CB5" s="17">
        <f t="shared" si="4"/>
        <v>0</v>
      </c>
      <c r="CC5" s="17">
        <f t="shared" si="5"/>
        <v>0</v>
      </c>
      <c r="CD5" s="17">
        <f t="shared" si="6"/>
        <v>0</v>
      </c>
      <c r="CE5" s="17">
        <f t="shared" si="7"/>
        <v>0</v>
      </c>
      <c r="CF5" s="17">
        <f t="shared" si="8"/>
        <v>0</v>
      </c>
      <c r="CG5" s="17">
        <f t="shared" si="9"/>
        <v>0</v>
      </c>
      <c r="CH5" s="17">
        <f t="shared" si="10"/>
        <v>0</v>
      </c>
      <c r="CI5" s="17">
        <f t="shared" si="11"/>
        <v>0</v>
      </c>
      <c r="CJ5" s="17">
        <f t="shared" si="12"/>
        <v>0</v>
      </c>
      <c r="CK5" s="17">
        <f t="shared" si="13"/>
        <v>0</v>
      </c>
    </row>
    <row r="6" spans="1:89" x14ac:dyDescent="0.35">
      <c r="A6" s="1">
        <v>41760</v>
      </c>
      <c r="B6">
        <v>2014</v>
      </c>
      <c r="C6">
        <f t="shared" si="14"/>
        <v>5</v>
      </c>
      <c r="D6" s="4">
        <v>3307920.1352782971</v>
      </c>
      <c r="E6" s="4">
        <f>IFERROR(VLOOKUP($B6-1,CDM!$K$5:$N$19,2,FALSE)/12,0)+IFERROR(VLOOKUP($B6,CDM!$K$35:$N$47,2,FALSE)/24,0)+IFERROR(VLOOKUP($B6,CDM!$K$35:$N$47,2,FALSE)/2*$C6/78,0)</f>
        <v>30399.258017340915</v>
      </c>
      <c r="F6" s="4">
        <f t="shared" si="15"/>
        <v>3338319.3932956383</v>
      </c>
      <c r="G6" s="4">
        <v>1577775.97854172</v>
      </c>
      <c r="H6" s="4">
        <f>IFERROR(VLOOKUP($B6-1,CDM!$K$5:$N$19,3,FALSE)/12,0)+IFERROR(VLOOKUP($B6,CDM!$K$35:$N$47,3,FALSE)/24,0)+IFERROR(VLOOKUP($B6,CDM!$K$35:$N$47,3,FALSE)/2*$C6/78,0)</f>
        <v>103449.23975006948</v>
      </c>
      <c r="I6" s="4">
        <f t="shared" si="16"/>
        <v>1681225.2182917895</v>
      </c>
      <c r="J6" s="4">
        <v>4469448.4751047166</v>
      </c>
      <c r="K6" s="4">
        <f>IFERROR(VLOOKUP($B6-1,CDM!$K$5:$N$19,4,FALSE)/12,0)+IFERROR(VLOOKUP($B6,CDM!$K$35:$N$47,4,FALSE)/24,0)+IFERROR(VLOOKUP($B6,CDM!$K$35:$N$47,4,FALSE)/2*$C6/78,0)</f>
        <v>33598.253180842796</v>
      </c>
      <c r="L6" s="4">
        <f t="shared" si="17"/>
        <v>4503046.7282855595</v>
      </c>
      <c r="M6" s="4">
        <v>113550</v>
      </c>
      <c r="N6" s="4">
        <v>12987.082654463989</v>
      </c>
      <c r="O6" s="4">
        <v>12275.74</v>
      </c>
      <c r="P6" s="4">
        <v>239.95</v>
      </c>
      <c r="Q6" s="4">
        <v>5270</v>
      </c>
      <c r="R6" s="4">
        <v>755</v>
      </c>
      <c r="S6" s="4">
        <v>68</v>
      </c>
      <c r="T6" s="4">
        <v>1650</v>
      </c>
      <c r="U6" s="4">
        <v>22</v>
      </c>
      <c r="V6" s="4">
        <f>Weather!D126</f>
        <v>336.18488766724647</v>
      </c>
      <c r="W6" s="4">
        <f>Weather!E126</f>
        <v>0</v>
      </c>
      <c r="X6" s="4">
        <f>Weather!F126</f>
        <v>276.75155433391319</v>
      </c>
      <c r="Y6" s="4">
        <f>Weather!G126</f>
        <v>2.5666666666666629</v>
      </c>
      <c r="Z6" s="4">
        <f>Weather!H126</f>
        <v>220.69322100057985</v>
      </c>
      <c r="AA6" s="4">
        <f>Weather!I126</f>
        <v>8.5083333333333293</v>
      </c>
      <c r="AB6" s="4">
        <f>Weather!J126</f>
        <v>165.41845418341626</v>
      </c>
      <c r="AC6" s="4">
        <f>Weather!K126</f>
        <v>15.233566516169693</v>
      </c>
      <c r="AD6" s="4">
        <f>Weather!L126</f>
        <v>117.02392769644609</v>
      </c>
      <c r="AE6" s="4">
        <f>Weather!M126</f>
        <v>28.839040029199509</v>
      </c>
      <c r="AF6" s="4">
        <f>Weather!N126</f>
        <v>76.76559436311274</v>
      </c>
      <c r="AG6" s="4">
        <f>Weather!O126</f>
        <v>50.580706695866176</v>
      </c>
      <c r="AH6" s="4">
        <f>Weather!P126</f>
        <v>47.078094363112726</v>
      </c>
      <c r="AI6" s="4">
        <f>Weather!Q126</f>
        <v>82.893206695866169</v>
      </c>
      <c r="AJ6" s="4">
        <f>Weather!R126</f>
        <v>9.1553262042823693</v>
      </c>
      <c r="AK6" s="4">
        <f>'Economic Data'!F8</f>
        <v>708787.6</v>
      </c>
      <c r="AL6" s="4">
        <f>'Economic Data'!G8</f>
        <v>6474.7</v>
      </c>
      <c r="AM6" s="4">
        <f>'Economic Data'!H8</f>
        <v>8082.4</v>
      </c>
      <c r="AN6" s="4">
        <f>'Economic Data'!I8</f>
        <v>10.8</v>
      </c>
      <c r="AO6" s="4">
        <f>'Economic Data'!J8</f>
        <v>292</v>
      </c>
      <c r="AP6" s="4">
        <f>'Economic Data'!K8</f>
        <v>447.4</v>
      </c>
      <c r="AQ6" s="4">
        <f>'Economic Data'!L8</f>
        <v>291.89999999999998</v>
      </c>
      <c r="AR6" s="4">
        <f>'Economic Data'!M8</f>
        <v>1617.3</v>
      </c>
      <c r="AS6" s="4">
        <f>'Economic Data'!N8</f>
        <v>2758.5</v>
      </c>
      <c r="AT6" s="4">
        <f>'Economic Data'!O8</f>
        <v>705966</v>
      </c>
      <c r="AU6" s="4">
        <f>'Economic Data'!P8</f>
        <v>6382</v>
      </c>
      <c r="AV6" s="4">
        <f>'Economic Data'!Q8</f>
        <v>3701</v>
      </c>
      <c r="AW6" s="4">
        <f>'Economic Data'!R8</f>
        <v>4782</v>
      </c>
      <c r="AX6" s="4">
        <f>'Economic Data'!E8</f>
        <v>6790.3</v>
      </c>
      <c r="AY6" s="4">
        <f>'Economic Data'!D8</f>
        <v>6821.5</v>
      </c>
      <c r="AZ6">
        <v>5</v>
      </c>
      <c r="BA6" s="14">
        <f t="shared" si="18"/>
        <v>2.6390573296152584</v>
      </c>
      <c r="BB6">
        <f t="shared" si="19"/>
        <v>25</v>
      </c>
      <c r="BC6">
        <v>0</v>
      </c>
      <c r="BD6">
        <v>0</v>
      </c>
      <c r="BE6">
        <v>0</v>
      </c>
      <c r="BF6">
        <v>0</v>
      </c>
      <c r="BG6">
        <v>1</v>
      </c>
      <c r="BH6">
        <v>0</v>
      </c>
      <c r="BI6">
        <v>0</v>
      </c>
      <c r="BJ6">
        <v>0</v>
      </c>
      <c r="BK6">
        <v>0</v>
      </c>
      <c r="BL6">
        <v>0</v>
      </c>
      <c r="BM6">
        <v>0</v>
      </c>
      <c r="BN6">
        <v>0</v>
      </c>
      <c r="BO6">
        <v>1</v>
      </c>
      <c r="BP6">
        <v>0</v>
      </c>
      <c r="BQ6">
        <v>1</v>
      </c>
      <c r="BR6">
        <v>31</v>
      </c>
      <c r="BS6">
        <v>22</v>
      </c>
      <c r="BT6">
        <v>0</v>
      </c>
      <c r="BU6">
        <v>0</v>
      </c>
      <c r="BV6">
        <v>0</v>
      </c>
      <c r="BW6">
        <v>0</v>
      </c>
      <c r="BX6" s="17">
        <f t="shared" si="0"/>
        <v>0</v>
      </c>
      <c r="BY6" s="17">
        <f t="shared" si="1"/>
        <v>0</v>
      </c>
      <c r="BZ6" s="17">
        <f t="shared" si="2"/>
        <v>0</v>
      </c>
      <c r="CA6" s="17">
        <f t="shared" si="3"/>
        <v>0</v>
      </c>
      <c r="CB6" s="17">
        <f t="shared" si="4"/>
        <v>0</v>
      </c>
      <c r="CC6" s="17">
        <f t="shared" si="5"/>
        <v>0</v>
      </c>
      <c r="CD6" s="17">
        <f t="shared" si="6"/>
        <v>0</v>
      </c>
      <c r="CE6" s="17">
        <f t="shared" si="7"/>
        <v>0</v>
      </c>
      <c r="CF6" s="17">
        <f t="shared" si="8"/>
        <v>0</v>
      </c>
      <c r="CG6" s="17">
        <f t="shared" si="9"/>
        <v>0</v>
      </c>
      <c r="CH6" s="17">
        <f t="shared" si="10"/>
        <v>0</v>
      </c>
      <c r="CI6" s="17">
        <f t="shared" si="11"/>
        <v>0</v>
      </c>
      <c r="CJ6" s="17">
        <f t="shared" si="12"/>
        <v>0</v>
      </c>
      <c r="CK6" s="17">
        <f t="shared" si="13"/>
        <v>0</v>
      </c>
    </row>
    <row r="7" spans="1:89" x14ac:dyDescent="0.35">
      <c r="A7" s="1">
        <v>41791</v>
      </c>
      <c r="B7">
        <v>2014</v>
      </c>
      <c r="C7">
        <f t="shared" si="14"/>
        <v>6</v>
      </c>
      <c r="D7" s="4">
        <v>2901813.0293948702</v>
      </c>
      <c r="E7" s="4">
        <f>IFERROR(VLOOKUP($B7-1,CDM!$K$5:$N$19,2,FALSE)/12,0)+IFERROR(VLOOKUP($B7,CDM!$K$35:$N$47,2,FALSE)/24,0)+IFERROR(VLOOKUP($B7,CDM!$K$35:$N$47,2,FALSE)/2*$C7/78,0)</f>
        <v>31464.918039205582</v>
      </c>
      <c r="F7" s="4">
        <f t="shared" si="15"/>
        <v>2933277.9474340756</v>
      </c>
      <c r="G7" s="4">
        <v>1495789.0962759738</v>
      </c>
      <c r="H7" s="4">
        <f>IFERROR(VLOOKUP($B7-1,CDM!$K$5:$N$19,3,FALSE)/12,0)+IFERROR(VLOOKUP($B7,CDM!$K$35:$N$47,3,FALSE)/24,0)+IFERROR(VLOOKUP($B7,CDM!$K$35:$N$47,3,FALSE)/2*$C7/78,0)</f>
        <v>106973.2725478269</v>
      </c>
      <c r="I7" s="4">
        <f t="shared" si="16"/>
        <v>1602762.3688238007</v>
      </c>
      <c r="J7" s="4">
        <v>4170335.0096188965</v>
      </c>
      <c r="K7" s="4">
        <f>IFERROR(VLOOKUP($B7-1,CDM!$K$5:$N$19,4,FALSE)/12,0)+IFERROR(VLOOKUP($B7,CDM!$K$35:$N$47,4,FALSE)/24,0)+IFERROR(VLOOKUP($B7,CDM!$K$35:$N$47,4,FALSE)/2*$C7/78,0)</f>
        <v>34051.92790075126</v>
      </c>
      <c r="L7" s="4">
        <f t="shared" si="17"/>
        <v>4204386.9375196481</v>
      </c>
      <c r="M7" s="4">
        <v>102691</v>
      </c>
      <c r="N7" s="4">
        <v>12987.082654463989</v>
      </c>
      <c r="O7" s="4">
        <v>10772.65</v>
      </c>
      <c r="P7" s="4">
        <v>239.95</v>
      </c>
      <c r="Q7" s="4">
        <v>5297</v>
      </c>
      <c r="R7" s="4">
        <v>760</v>
      </c>
      <c r="S7" s="4">
        <v>68</v>
      </c>
      <c r="T7" s="4">
        <v>1650</v>
      </c>
      <c r="U7" s="4">
        <v>22</v>
      </c>
      <c r="V7" s="4">
        <f>Weather!D127</f>
        <v>125.79087622747539</v>
      </c>
      <c r="W7" s="4">
        <f>Weather!E127</f>
        <v>9.19166666666667</v>
      </c>
      <c r="X7" s="4">
        <f>Weather!F127</f>
        <v>81.08254289414208</v>
      </c>
      <c r="Y7" s="4">
        <f>Weather!G127</f>
        <v>24.483333333333334</v>
      </c>
      <c r="Z7" s="4">
        <f>Weather!H127</f>
        <v>46.461892702145953</v>
      </c>
      <c r="AA7" s="4">
        <f>Weather!I127</f>
        <v>49.862683141337214</v>
      </c>
      <c r="AB7" s="4">
        <f>Weather!J127</f>
        <v>19.608333333333341</v>
      </c>
      <c r="AC7" s="4">
        <f>Weather!K127</f>
        <v>83.009123772524603</v>
      </c>
      <c r="AD7" s="4">
        <f>Weather!L127</f>
        <v>5.9500000000000064</v>
      </c>
      <c r="AE7" s="4">
        <f>Weather!M127</f>
        <v>129.35079043919126</v>
      </c>
      <c r="AF7" s="4">
        <f>Weather!N127</f>
        <v>0</v>
      </c>
      <c r="AG7" s="4">
        <f>Weather!O127</f>
        <v>183.40079043919127</v>
      </c>
      <c r="AH7" s="4">
        <f>Weather!P127</f>
        <v>0</v>
      </c>
      <c r="AI7" s="4">
        <f>Weather!Q127</f>
        <v>243.40079043919121</v>
      </c>
      <c r="AJ7" s="4">
        <f>Weather!R127</f>
        <v>16.113359681306374</v>
      </c>
      <c r="AK7" s="4">
        <f>'Economic Data'!F9</f>
        <v>708787.6</v>
      </c>
      <c r="AL7" s="4">
        <f>'Economic Data'!G9</f>
        <v>6474.7</v>
      </c>
      <c r="AM7" s="4">
        <f>'Economic Data'!H9</f>
        <v>8082.4</v>
      </c>
      <c r="AN7" s="4">
        <f>'Economic Data'!I9</f>
        <v>10.8</v>
      </c>
      <c r="AO7" s="4">
        <f>'Economic Data'!J9</f>
        <v>292</v>
      </c>
      <c r="AP7" s="4">
        <f>'Economic Data'!K9</f>
        <v>447.4</v>
      </c>
      <c r="AQ7" s="4">
        <f>'Economic Data'!L9</f>
        <v>291.89999999999998</v>
      </c>
      <c r="AR7" s="4">
        <f>'Economic Data'!M9</f>
        <v>1617.3</v>
      </c>
      <c r="AS7" s="4">
        <f>'Economic Data'!N9</f>
        <v>2758.5</v>
      </c>
      <c r="AT7" s="4">
        <f>'Economic Data'!O9</f>
        <v>705966</v>
      </c>
      <c r="AU7" s="4">
        <f>'Economic Data'!P9</f>
        <v>6382</v>
      </c>
      <c r="AV7" s="4">
        <f>'Economic Data'!Q9</f>
        <v>3701</v>
      </c>
      <c r="AW7" s="4">
        <f>'Economic Data'!R9</f>
        <v>4782</v>
      </c>
      <c r="AX7" s="4">
        <f>'Economic Data'!E9</f>
        <v>6875.4</v>
      </c>
      <c r="AY7" s="4">
        <f>'Economic Data'!D9</f>
        <v>6826.1</v>
      </c>
      <c r="AZ7">
        <v>6</v>
      </c>
      <c r="BA7" s="14">
        <f t="shared" si="18"/>
        <v>2.7080502011022101</v>
      </c>
      <c r="BB7">
        <f t="shared" si="19"/>
        <v>36</v>
      </c>
      <c r="BC7">
        <v>0</v>
      </c>
      <c r="BD7">
        <v>0</v>
      </c>
      <c r="BE7">
        <v>0</v>
      </c>
      <c r="BF7">
        <v>0</v>
      </c>
      <c r="BG7">
        <v>0</v>
      </c>
      <c r="BH7">
        <v>1</v>
      </c>
      <c r="BI7">
        <v>0</v>
      </c>
      <c r="BJ7">
        <v>0</v>
      </c>
      <c r="BK7">
        <v>0</v>
      </c>
      <c r="BL7">
        <v>0</v>
      </c>
      <c r="BM7">
        <v>0</v>
      </c>
      <c r="BN7">
        <v>0</v>
      </c>
      <c r="BO7">
        <v>0</v>
      </c>
      <c r="BP7">
        <v>0</v>
      </c>
      <c r="BQ7">
        <v>0</v>
      </c>
      <c r="BR7">
        <v>30</v>
      </c>
      <c r="BS7">
        <v>21</v>
      </c>
      <c r="BT7">
        <v>0</v>
      </c>
      <c r="BU7">
        <v>0</v>
      </c>
      <c r="BV7">
        <v>0</v>
      </c>
      <c r="BW7">
        <v>0</v>
      </c>
      <c r="BX7" s="17">
        <f t="shared" si="0"/>
        <v>0</v>
      </c>
      <c r="BY7" s="17">
        <f t="shared" si="1"/>
        <v>0</v>
      </c>
      <c r="BZ7" s="17">
        <f t="shared" si="2"/>
        <v>0</v>
      </c>
      <c r="CA7" s="17">
        <f t="shared" si="3"/>
        <v>0</v>
      </c>
      <c r="CB7" s="17">
        <f t="shared" si="4"/>
        <v>0</v>
      </c>
      <c r="CC7" s="17">
        <f t="shared" si="5"/>
        <v>0</v>
      </c>
      <c r="CD7" s="17">
        <f t="shared" si="6"/>
        <v>0</v>
      </c>
      <c r="CE7" s="17">
        <f t="shared" si="7"/>
        <v>0</v>
      </c>
      <c r="CF7" s="17">
        <f t="shared" si="8"/>
        <v>0</v>
      </c>
      <c r="CG7" s="17">
        <f t="shared" si="9"/>
        <v>0</v>
      </c>
      <c r="CH7" s="17">
        <f t="shared" si="10"/>
        <v>0</v>
      </c>
      <c r="CI7" s="17">
        <f t="shared" si="11"/>
        <v>0</v>
      </c>
      <c r="CJ7" s="17">
        <f t="shared" si="12"/>
        <v>0</v>
      </c>
      <c r="CK7" s="17">
        <f t="shared" si="13"/>
        <v>0</v>
      </c>
    </row>
    <row r="8" spans="1:89" x14ac:dyDescent="0.35">
      <c r="A8" s="1">
        <v>41821</v>
      </c>
      <c r="B8">
        <v>2014</v>
      </c>
      <c r="C8">
        <f t="shared" si="14"/>
        <v>7</v>
      </c>
      <c r="D8" s="4">
        <v>2782138.4716282813</v>
      </c>
      <c r="E8" s="4">
        <f>IFERROR(VLOOKUP($B8-1,CDM!$K$5:$N$19,2,FALSE)/12,0)+IFERROR(VLOOKUP($B8,CDM!$K$35:$N$47,2,FALSE)/24,0)+IFERROR(VLOOKUP($B8,CDM!$K$35:$N$47,2,FALSE)/2*$C8/78,0)</f>
        <v>32530.57806107025</v>
      </c>
      <c r="F8" s="4">
        <f t="shared" si="15"/>
        <v>2814669.0496893516</v>
      </c>
      <c r="G8" s="4">
        <v>1430690.3957449619</v>
      </c>
      <c r="H8" s="4">
        <f>IFERROR(VLOOKUP($B8-1,CDM!$K$5:$N$19,3,FALSE)/12,0)+IFERROR(VLOOKUP($B8,CDM!$K$35:$N$47,3,FALSE)/24,0)+IFERROR(VLOOKUP($B8,CDM!$K$35:$N$47,3,FALSE)/2*$C8/78,0)</f>
        <v>110497.30534558432</v>
      </c>
      <c r="I8" s="4">
        <f t="shared" si="16"/>
        <v>1541187.7010905463</v>
      </c>
      <c r="J8" s="4">
        <v>3957121.0265625431</v>
      </c>
      <c r="K8" s="4">
        <f>IFERROR(VLOOKUP($B8-1,CDM!$K$5:$N$19,4,FALSE)/12,0)+IFERROR(VLOOKUP($B8,CDM!$K$35:$N$47,4,FALSE)/24,0)+IFERROR(VLOOKUP($B8,CDM!$K$35:$N$47,4,FALSE)/2*$C8/78,0)</f>
        <v>34505.602620659716</v>
      </c>
      <c r="L8" s="4">
        <f t="shared" si="17"/>
        <v>3991626.629183203</v>
      </c>
      <c r="M8" s="4">
        <v>92110</v>
      </c>
      <c r="N8" s="4">
        <v>12987.082654463989</v>
      </c>
      <c r="O8" s="4">
        <v>10319.48</v>
      </c>
      <c r="P8" s="4">
        <v>239.95</v>
      </c>
      <c r="Q8" s="4">
        <v>5283</v>
      </c>
      <c r="R8" s="4">
        <v>757</v>
      </c>
      <c r="S8" s="4">
        <v>68</v>
      </c>
      <c r="T8" s="4">
        <v>1650</v>
      </c>
      <c r="U8" s="4">
        <v>22</v>
      </c>
      <c r="V8" s="4">
        <f>Weather!D128</f>
        <v>133.16666666666669</v>
      </c>
      <c r="W8" s="4">
        <f>Weather!E128</f>
        <v>2.0374999999999979</v>
      </c>
      <c r="X8" s="4">
        <f>Weather!F128</f>
        <v>84.508333333333354</v>
      </c>
      <c r="Y8" s="4">
        <f>Weather!G128</f>
        <v>15.379166666666656</v>
      </c>
      <c r="Z8" s="4">
        <f>Weather!H128</f>
        <v>46.274999999999999</v>
      </c>
      <c r="AA8" s="4">
        <f>Weather!I128</f>
        <v>39.1458333333333</v>
      </c>
      <c r="AB8" s="4">
        <f>Weather!J128</f>
        <v>20.06666666666667</v>
      </c>
      <c r="AC8" s="4">
        <f>Weather!K128</f>
        <v>74.937499999999972</v>
      </c>
      <c r="AD8" s="4">
        <f>Weather!L128</f>
        <v>3.1999999999999975</v>
      </c>
      <c r="AE8" s="4">
        <f>Weather!M128</f>
        <v>120.0708333333333</v>
      </c>
      <c r="AF8" s="4">
        <f>Weather!N128</f>
        <v>0</v>
      </c>
      <c r="AG8" s="4">
        <f>Weather!O128</f>
        <v>178.87083333333334</v>
      </c>
      <c r="AH8" s="4">
        <f>Weather!P128</f>
        <v>0</v>
      </c>
      <c r="AI8" s="4">
        <f>Weather!Q128</f>
        <v>240.87083333333334</v>
      </c>
      <c r="AJ8" s="4">
        <f>Weather!R128</f>
        <v>15.77002688172043</v>
      </c>
      <c r="AK8" s="4">
        <f>'Economic Data'!F10</f>
        <v>708787.6</v>
      </c>
      <c r="AL8" s="4">
        <f>'Economic Data'!G10</f>
        <v>6474.7</v>
      </c>
      <c r="AM8" s="4">
        <f>'Economic Data'!H10</f>
        <v>8082.4</v>
      </c>
      <c r="AN8" s="4">
        <f>'Economic Data'!I10</f>
        <v>10.8</v>
      </c>
      <c r="AO8" s="4">
        <f>'Economic Data'!J10</f>
        <v>292</v>
      </c>
      <c r="AP8" s="4">
        <f>'Economic Data'!K10</f>
        <v>447.4</v>
      </c>
      <c r="AQ8" s="4">
        <f>'Economic Data'!L10</f>
        <v>291.89999999999998</v>
      </c>
      <c r="AR8" s="4">
        <f>'Economic Data'!M10</f>
        <v>1617.3</v>
      </c>
      <c r="AS8" s="4">
        <f>'Economic Data'!N10</f>
        <v>2758.5</v>
      </c>
      <c r="AT8" s="4">
        <f>'Economic Data'!O10</f>
        <v>713152</v>
      </c>
      <c r="AU8" s="4">
        <f>'Economic Data'!P10</f>
        <v>6336</v>
      </c>
      <c r="AV8" s="4">
        <f>'Economic Data'!Q10</f>
        <v>3799</v>
      </c>
      <c r="AW8" s="4">
        <f>'Economic Data'!R10</f>
        <v>4733</v>
      </c>
      <c r="AX8" s="4">
        <f>'Economic Data'!E10</f>
        <v>6932</v>
      </c>
      <c r="AY8" s="4">
        <f>'Economic Data'!D10</f>
        <v>6836.5</v>
      </c>
      <c r="AZ8">
        <v>7</v>
      </c>
      <c r="BA8" s="14">
        <f t="shared" si="18"/>
        <v>2.7725887222397811</v>
      </c>
      <c r="BB8">
        <f t="shared" si="19"/>
        <v>49</v>
      </c>
      <c r="BC8">
        <v>0</v>
      </c>
      <c r="BD8">
        <v>0</v>
      </c>
      <c r="BE8">
        <v>0</v>
      </c>
      <c r="BF8">
        <v>0</v>
      </c>
      <c r="BG8">
        <v>0</v>
      </c>
      <c r="BH8">
        <v>0</v>
      </c>
      <c r="BI8">
        <v>1</v>
      </c>
      <c r="BJ8">
        <v>0</v>
      </c>
      <c r="BK8">
        <v>0</v>
      </c>
      <c r="BL8">
        <v>0</v>
      </c>
      <c r="BM8">
        <v>0</v>
      </c>
      <c r="BN8">
        <v>0</v>
      </c>
      <c r="BO8">
        <v>0</v>
      </c>
      <c r="BP8">
        <v>0</v>
      </c>
      <c r="BQ8">
        <v>0</v>
      </c>
      <c r="BR8">
        <v>31</v>
      </c>
      <c r="BS8">
        <v>22</v>
      </c>
      <c r="BT8">
        <v>0</v>
      </c>
      <c r="BU8">
        <v>0</v>
      </c>
      <c r="BV8">
        <v>0</v>
      </c>
      <c r="BW8">
        <v>0</v>
      </c>
      <c r="BX8" s="17">
        <f t="shared" si="0"/>
        <v>0</v>
      </c>
      <c r="BY8" s="17">
        <f t="shared" si="1"/>
        <v>0</v>
      </c>
      <c r="BZ8" s="17">
        <f t="shared" si="2"/>
        <v>0</v>
      </c>
      <c r="CA8" s="17">
        <f t="shared" si="3"/>
        <v>0</v>
      </c>
      <c r="CB8" s="17">
        <f t="shared" si="4"/>
        <v>0</v>
      </c>
      <c r="CC8" s="17">
        <f t="shared" si="5"/>
        <v>0</v>
      </c>
      <c r="CD8" s="17">
        <f t="shared" si="6"/>
        <v>0</v>
      </c>
      <c r="CE8" s="17">
        <f t="shared" si="7"/>
        <v>0</v>
      </c>
      <c r="CF8" s="17">
        <f t="shared" si="8"/>
        <v>0</v>
      </c>
      <c r="CG8" s="17">
        <f t="shared" si="9"/>
        <v>0</v>
      </c>
      <c r="CH8" s="17">
        <f t="shared" si="10"/>
        <v>0</v>
      </c>
      <c r="CI8" s="17">
        <f t="shared" si="11"/>
        <v>0</v>
      </c>
      <c r="CJ8" s="17">
        <f t="shared" si="12"/>
        <v>0</v>
      </c>
      <c r="CK8" s="17">
        <f t="shared" si="13"/>
        <v>0</v>
      </c>
    </row>
    <row r="9" spans="1:89" x14ac:dyDescent="0.35">
      <c r="A9" s="1">
        <v>41852</v>
      </c>
      <c r="B9">
        <v>2014</v>
      </c>
      <c r="C9">
        <f t="shared" si="14"/>
        <v>8</v>
      </c>
      <c r="D9" s="4">
        <v>2832140.8690346349</v>
      </c>
      <c r="E9" s="4">
        <f>IFERROR(VLOOKUP($B9-1,CDM!$K$5:$N$19,2,FALSE)/12,0)+IFERROR(VLOOKUP($B9,CDM!$K$35:$N$47,2,FALSE)/24,0)+IFERROR(VLOOKUP($B9,CDM!$K$35:$N$47,2,FALSE)/2*$C9/78,0)</f>
        <v>33596.238082934913</v>
      </c>
      <c r="F9" s="4">
        <f t="shared" si="15"/>
        <v>2865737.10711757</v>
      </c>
      <c r="G9" s="4">
        <v>1461241.724509639</v>
      </c>
      <c r="H9" s="4">
        <f>IFERROR(VLOOKUP($B9-1,CDM!$K$5:$N$19,3,FALSE)/12,0)+IFERROR(VLOOKUP($B9,CDM!$K$35:$N$47,3,FALSE)/24,0)+IFERROR(VLOOKUP($B9,CDM!$K$35:$N$47,3,FALSE)/2*$C9/78,0)</f>
        <v>114021.33814334174</v>
      </c>
      <c r="I9" s="4">
        <f t="shared" si="16"/>
        <v>1575263.0626529807</v>
      </c>
      <c r="J9" s="4">
        <v>3986178.2489946145</v>
      </c>
      <c r="K9" s="4">
        <f>IFERROR(VLOOKUP($B9-1,CDM!$K$5:$N$19,4,FALSE)/12,0)+IFERROR(VLOOKUP($B9,CDM!$K$35:$N$47,4,FALSE)/24,0)+IFERROR(VLOOKUP($B9,CDM!$K$35:$N$47,4,FALSE)/2*$C9/78,0)</f>
        <v>34959.27734056818</v>
      </c>
      <c r="L9" s="4">
        <f t="shared" si="17"/>
        <v>4021137.5263351826</v>
      </c>
      <c r="M9" s="4">
        <v>98430</v>
      </c>
      <c r="N9" s="4">
        <v>12987.082654463989</v>
      </c>
      <c r="O9" s="4">
        <v>10088.35</v>
      </c>
      <c r="P9" s="4">
        <v>239.95</v>
      </c>
      <c r="Q9" s="4">
        <v>5213</v>
      </c>
      <c r="R9" s="4">
        <v>748</v>
      </c>
      <c r="S9" s="4">
        <v>68</v>
      </c>
      <c r="T9" s="4">
        <v>1650</v>
      </c>
      <c r="U9" s="4">
        <v>22</v>
      </c>
      <c r="V9" s="4">
        <f>Weather!D129</f>
        <v>130.47083333333333</v>
      </c>
      <c r="W9" s="4">
        <f>Weather!E129</f>
        <v>3.8458333333333314</v>
      </c>
      <c r="X9" s="4">
        <f>Weather!F129</f>
        <v>80.912500000000023</v>
      </c>
      <c r="Y9" s="4">
        <f>Weather!G129</f>
        <v>16.287500000000001</v>
      </c>
      <c r="Z9" s="4">
        <f>Weather!H129</f>
        <v>42.191666666666677</v>
      </c>
      <c r="AA9" s="4">
        <f>Weather!I129</f>
        <v>39.56666666666667</v>
      </c>
      <c r="AB9" s="4">
        <f>Weather!J129</f>
        <v>16.945833333333333</v>
      </c>
      <c r="AC9" s="4">
        <f>Weather!K129</f>
        <v>76.320833333333297</v>
      </c>
      <c r="AD9" s="4">
        <f>Weather!L129</f>
        <v>5.1833333333333353</v>
      </c>
      <c r="AE9" s="4">
        <f>Weather!M129</f>
        <v>126.55833333333331</v>
      </c>
      <c r="AF9" s="4">
        <f>Weather!N129</f>
        <v>0.84166666666666856</v>
      </c>
      <c r="AG9" s="4">
        <f>Weather!O129</f>
        <v>184.21666666666664</v>
      </c>
      <c r="AH9" s="4">
        <f>Weather!P129</f>
        <v>0</v>
      </c>
      <c r="AI9" s="4">
        <f>Weather!Q129</f>
        <v>245.37499999999997</v>
      </c>
      <c r="AJ9" s="4">
        <f>Weather!R129</f>
        <v>15.915322580645162</v>
      </c>
      <c r="AK9" s="4">
        <f>'Economic Data'!F11</f>
        <v>708787.6</v>
      </c>
      <c r="AL9" s="4">
        <f>'Economic Data'!G11</f>
        <v>6474.7</v>
      </c>
      <c r="AM9" s="4">
        <f>'Economic Data'!H11</f>
        <v>8082.4</v>
      </c>
      <c r="AN9" s="4">
        <f>'Economic Data'!I11</f>
        <v>10.8</v>
      </c>
      <c r="AO9" s="4">
        <f>'Economic Data'!J11</f>
        <v>292</v>
      </c>
      <c r="AP9" s="4">
        <f>'Economic Data'!K11</f>
        <v>447.4</v>
      </c>
      <c r="AQ9" s="4">
        <f>'Economic Data'!L11</f>
        <v>291.89999999999998</v>
      </c>
      <c r="AR9" s="4">
        <f>'Economic Data'!M11</f>
        <v>1617.3</v>
      </c>
      <c r="AS9" s="4">
        <f>'Economic Data'!N11</f>
        <v>2758.5</v>
      </c>
      <c r="AT9" s="4">
        <f>'Economic Data'!O11</f>
        <v>713152</v>
      </c>
      <c r="AU9" s="4">
        <f>'Economic Data'!P11</f>
        <v>6336</v>
      </c>
      <c r="AV9" s="4">
        <f>'Economic Data'!Q11</f>
        <v>3799</v>
      </c>
      <c r="AW9" s="4">
        <f>'Economic Data'!R11</f>
        <v>4733</v>
      </c>
      <c r="AX9" s="4">
        <f>'Economic Data'!E11</f>
        <v>6947.8</v>
      </c>
      <c r="AY9" s="4">
        <f>'Economic Data'!D11</f>
        <v>6842.5</v>
      </c>
      <c r="AZ9">
        <v>8</v>
      </c>
      <c r="BA9" s="14">
        <f t="shared" si="18"/>
        <v>2.8332133440562162</v>
      </c>
      <c r="BB9">
        <f t="shared" si="19"/>
        <v>64</v>
      </c>
      <c r="BC9">
        <v>0</v>
      </c>
      <c r="BD9">
        <v>0</v>
      </c>
      <c r="BE9">
        <v>0</v>
      </c>
      <c r="BF9">
        <v>0</v>
      </c>
      <c r="BG9">
        <v>0</v>
      </c>
      <c r="BH9">
        <v>0</v>
      </c>
      <c r="BI9">
        <v>0</v>
      </c>
      <c r="BJ9">
        <v>1</v>
      </c>
      <c r="BK9">
        <v>0</v>
      </c>
      <c r="BL9">
        <v>0</v>
      </c>
      <c r="BM9">
        <v>0</v>
      </c>
      <c r="BN9">
        <v>0</v>
      </c>
      <c r="BO9">
        <v>0</v>
      </c>
      <c r="BP9">
        <v>0</v>
      </c>
      <c r="BQ9">
        <v>0</v>
      </c>
      <c r="BR9">
        <v>31</v>
      </c>
      <c r="BS9">
        <v>20</v>
      </c>
      <c r="BT9">
        <v>0</v>
      </c>
      <c r="BU9">
        <v>0</v>
      </c>
      <c r="BV9">
        <v>0</v>
      </c>
      <c r="BW9">
        <v>0</v>
      </c>
      <c r="BX9" s="17">
        <f t="shared" si="0"/>
        <v>0</v>
      </c>
      <c r="BY9" s="17">
        <f t="shared" si="1"/>
        <v>0</v>
      </c>
      <c r="BZ9" s="17">
        <f t="shared" si="2"/>
        <v>0</v>
      </c>
      <c r="CA9" s="17">
        <f t="shared" si="3"/>
        <v>0</v>
      </c>
      <c r="CB9" s="17">
        <f t="shared" si="4"/>
        <v>0</v>
      </c>
      <c r="CC9" s="17">
        <f t="shared" si="5"/>
        <v>0</v>
      </c>
      <c r="CD9" s="17">
        <f t="shared" si="6"/>
        <v>0</v>
      </c>
      <c r="CE9" s="17">
        <f t="shared" si="7"/>
        <v>0</v>
      </c>
      <c r="CF9" s="17">
        <f t="shared" si="8"/>
        <v>0</v>
      </c>
      <c r="CG9" s="17">
        <f t="shared" si="9"/>
        <v>0</v>
      </c>
      <c r="CH9" s="17">
        <f t="shared" si="10"/>
        <v>0</v>
      </c>
      <c r="CI9" s="17">
        <f t="shared" si="11"/>
        <v>0</v>
      </c>
      <c r="CJ9" s="17">
        <f t="shared" si="12"/>
        <v>0</v>
      </c>
      <c r="CK9" s="17">
        <f t="shared" si="13"/>
        <v>0</v>
      </c>
    </row>
    <row r="10" spans="1:89" x14ac:dyDescent="0.35">
      <c r="A10" s="1">
        <v>41883</v>
      </c>
      <c r="B10">
        <v>2014</v>
      </c>
      <c r="C10">
        <f t="shared" si="14"/>
        <v>9</v>
      </c>
      <c r="D10" s="4">
        <v>2848056.6772285337</v>
      </c>
      <c r="E10" s="4">
        <f>IFERROR(VLOOKUP($B10-1,CDM!$K$5:$N$19,2,FALSE)/12,0)+IFERROR(VLOOKUP($B10,CDM!$K$35:$N$47,2,FALSE)/24,0)+IFERROR(VLOOKUP($B10,CDM!$K$35:$N$47,2,FALSE)/2*$C10/78,0)</f>
        <v>34661.898104799584</v>
      </c>
      <c r="F10" s="4">
        <f t="shared" si="15"/>
        <v>2882718.5753333331</v>
      </c>
      <c r="G10" s="4">
        <v>1409743.1703306157</v>
      </c>
      <c r="H10" s="4">
        <f>IFERROR(VLOOKUP($B10-1,CDM!$K$5:$N$19,3,FALSE)/12,0)+IFERROR(VLOOKUP($B10,CDM!$K$35:$N$47,3,FALSE)/24,0)+IFERROR(VLOOKUP($B10,CDM!$K$35:$N$47,3,FALSE)/2*$C10/78,0)</f>
        <v>117545.37094109916</v>
      </c>
      <c r="I10" s="4">
        <f t="shared" si="16"/>
        <v>1527288.541271715</v>
      </c>
      <c r="J10" s="4">
        <v>3887763.9479821268</v>
      </c>
      <c r="K10" s="4">
        <f>IFERROR(VLOOKUP($B10-1,CDM!$K$5:$N$19,4,FALSE)/12,0)+IFERROR(VLOOKUP($B10,CDM!$K$35:$N$47,4,FALSE)/24,0)+IFERROR(VLOOKUP($B10,CDM!$K$35:$N$47,4,FALSE)/2*$C10/78,0)</f>
        <v>35412.952060476637</v>
      </c>
      <c r="L10" s="4">
        <f t="shared" si="17"/>
        <v>3923176.9000426033</v>
      </c>
      <c r="M10" s="4">
        <v>96630</v>
      </c>
      <c r="N10" s="4">
        <v>12987.082654463989</v>
      </c>
      <c r="O10" s="4">
        <v>10369.280000000001</v>
      </c>
      <c r="P10" s="4">
        <v>194.33</v>
      </c>
      <c r="Q10" s="4">
        <v>5255</v>
      </c>
      <c r="R10" s="4">
        <v>753</v>
      </c>
      <c r="S10" s="4">
        <v>68</v>
      </c>
      <c r="T10" s="4">
        <v>1650</v>
      </c>
      <c r="U10" s="4">
        <v>22</v>
      </c>
      <c r="V10" s="4">
        <f>Weather!D130</f>
        <v>288.13718511879762</v>
      </c>
      <c r="W10" s="4">
        <f>Weather!E130</f>
        <v>0</v>
      </c>
      <c r="X10" s="4">
        <f>Weather!F130</f>
        <v>228.76218511879759</v>
      </c>
      <c r="Y10" s="4">
        <f>Weather!G130</f>
        <v>0.62499999999999289</v>
      </c>
      <c r="Z10" s="4">
        <f>Weather!H130</f>
        <v>177.93718511879763</v>
      </c>
      <c r="AA10" s="4">
        <f>Weather!I130</f>
        <v>9.7999999999999865</v>
      </c>
      <c r="AB10" s="4">
        <f>Weather!J130</f>
        <v>137.41670615587688</v>
      </c>
      <c r="AC10" s="4">
        <f>Weather!K130</f>
        <v>29.279521037079267</v>
      </c>
      <c r="AD10" s="4">
        <f>Weather!L130</f>
        <v>99.445872822543521</v>
      </c>
      <c r="AE10" s="4">
        <f>Weather!M130</f>
        <v>51.308687703745932</v>
      </c>
      <c r="AF10" s="4">
        <f>Weather!N130</f>
        <v>63.679206155876841</v>
      </c>
      <c r="AG10" s="4">
        <f>Weather!O130</f>
        <v>75.542021037079252</v>
      </c>
      <c r="AH10" s="4">
        <f>Weather!P130</f>
        <v>36.845833333333331</v>
      </c>
      <c r="AI10" s="4">
        <f>Weather!Q130</f>
        <v>108.70864821453576</v>
      </c>
      <c r="AJ10" s="4">
        <f>Weather!R130</f>
        <v>10.395427162706744</v>
      </c>
      <c r="AK10" s="4">
        <f>'Economic Data'!F12</f>
        <v>708787.6</v>
      </c>
      <c r="AL10" s="4">
        <f>'Economic Data'!G12</f>
        <v>6474.7</v>
      </c>
      <c r="AM10" s="4">
        <f>'Economic Data'!H12</f>
        <v>8082.4</v>
      </c>
      <c r="AN10" s="4">
        <f>'Economic Data'!I12</f>
        <v>10.8</v>
      </c>
      <c r="AO10" s="4">
        <f>'Economic Data'!J12</f>
        <v>292</v>
      </c>
      <c r="AP10" s="4">
        <f>'Economic Data'!K12</f>
        <v>447.4</v>
      </c>
      <c r="AQ10" s="4">
        <f>'Economic Data'!L12</f>
        <v>291.89999999999998</v>
      </c>
      <c r="AR10" s="4">
        <f>'Economic Data'!M12</f>
        <v>1617.3</v>
      </c>
      <c r="AS10" s="4">
        <f>'Economic Data'!N12</f>
        <v>2758.5</v>
      </c>
      <c r="AT10" s="4">
        <f>'Economic Data'!O12</f>
        <v>713152</v>
      </c>
      <c r="AU10" s="4">
        <f>'Economic Data'!P12</f>
        <v>6336</v>
      </c>
      <c r="AV10" s="4">
        <f>'Economic Data'!Q12</f>
        <v>3799</v>
      </c>
      <c r="AW10" s="4">
        <f>'Economic Data'!R12</f>
        <v>4733</v>
      </c>
      <c r="AX10" s="4">
        <f>'Economic Data'!E12</f>
        <v>6917.2</v>
      </c>
      <c r="AY10" s="4">
        <f>'Economic Data'!D12</f>
        <v>6853.6</v>
      </c>
      <c r="AZ10">
        <v>9</v>
      </c>
      <c r="BA10" s="14">
        <f t="shared" si="18"/>
        <v>2.8903717578961645</v>
      </c>
      <c r="BB10">
        <f t="shared" si="19"/>
        <v>81</v>
      </c>
      <c r="BC10">
        <v>0</v>
      </c>
      <c r="BD10">
        <v>0</v>
      </c>
      <c r="BE10">
        <v>0</v>
      </c>
      <c r="BF10">
        <v>0</v>
      </c>
      <c r="BG10">
        <v>0</v>
      </c>
      <c r="BH10">
        <v>0</v>
      </c>
      <c r="BI10">
        <v>0</v>
      </c>
      <c r="BJ10">
        <v>0</v>
      </c>
      <c r="BK10">
        <v>1</v>
      </c>
      <c r="BL10">
        <v>0</v>
      </c>
      <c r="BM10">
        <v>0</v>
      </c>
      <c r="BN10">
        <v>0</v>
      </c>
      <c r="BO10">
        <v>0</v>
      </c>
      <c r="BP10">
        <v>0</v>
      </c>
      <c r="BQ10">
        <v>0</v>
      </c>
      <c r="BR10">
        <v>30</v>
      </c>
      <c r="BS10">
        <v>21</v>
      </c>
      <c r="BT10">
        <v>0</v>
      </c>
      <c r="BU10">
        <v>0</v>
      </c>
      <c r="BV10">
        <v>0</v>
      </c>
      <c r="BW10">
        <v>0</v>
      </c>
      <c r="BX10" s="17">
        <f t="shared" si="0"/>
        <v>0</v>
      </c>
      <c r="BY10" s="17">
        <f t="shared" si="1"/>
        <v>0</v>
      </c>
      <c r="BZ10" s="17">
        <f t="shared" si="2"/>
        <v>0</v>
      </c>
      <c r="CA10" s="17">
        <f t="shared" si="3"/>
        <v>0</v>
      </c>
      <c r="CB10" s="17">
        <f t="shared" si="4"/>
        <v>0</v>
      </c>
      <c r="CC10" s="17">
        <f t="shared" si="5"/>
        <v>0</v>
      </c>
      <c r="CD10" s="17">
        <f t="shared" si="6"/>
        <v>0</v>
      </c>
      <c r="CE10" s="17">
        <f t="shared" si="7"/>
        <v>0</v>
      </c>
      <c r="CF10" s="17">
        <f t="shared" si="8"/>
        <v>0</v>
      </c>
      <c r="CG10" s="17">
        <f t="shared" si="9"/>
        <v>0</v>
      </c>
      <c r="CH10" s="17">
        <f t="shared" si="10"/>
        <v>0</v>
      </c>
      <c r="CI10" s="17">
        <f t="shared" si="11"/>
        <v>0</v>
      </c>
      <c r="CJ10" s="17">
        <f t="shared" si="12"/>
        <v>0</v>
      </c>
      <c r="CK10" s="17">
        <f t="shared" si="13"/>
        <v>0</v>
      </c>
    </row>
    <row r="11" spans="1:89" x14ac:dyDescent="0.35">
      <c r="A11" s="1">
        <v>41913</v>
      </c>
      <c r="B11">
        <v>2014</v>
      </c>
      <c r="C11">
        <f t="shared" si="14"/>
        <v>10</v>
      </c>
      <c r="D11" s="4">
        <v>2824636.9594664634</v>
      </c>
      <c r="E11" s="4">
        <f>IFERROR(VLOOKUP($B11-1,CDM!$K$5:$N$19,2,FALSE)/12,0)+IFERROR(VLOOKUP($B11,CDM!$K$35:$N$47,2,FALSE)/24,0)+IFERROR(VLOOKUP($B11,CDM!$K$35:$N$47,2,FALSE)/2*$C11/78,0)</f>
        <v>35727.558126664255</v>
      </c>
      <c r="F11" s="4">
        <f t="shared" si="15"/>
        <v>2860364.5175931277</v>
      </c>
      <c r="G11" s="4">
        <v>1345749.4816907027</v>
      </c>
      <c r="H11" s="4">
        <f>IFERROR(VLOOKUP($B11-1,CDM!$K$5:$N$19,3,FALSE)/12,0)+IFERROR(VLOOKUP($B11,CDM!$K$35:$N$47,3,FALSE)/24,0)+IFERROR(VLOOKUP($B11,CDM!$K$35:$N$47,3,FALSE)/2*$C11/78,0)</f>
        <v>121069.40373885658</v>
      </c>
      <c r="I11" s="4">
        <f t="shared" si="16"/>
        <v>1466818.8854295593</v>
      </c>
      <c r="J11" s="4">
        <v>3942139.8495821971</v>
      </c>
      <c r="K11" s="4">
        <f>IFERROR(VLOOKUP($B11-1,CDM!$K$5:$N$19,4,FALSE)/12,0)+IFERROR(VLOOKUP($B11,CDM!$K$35:$N$47,4,FALSE)/24,0)+IFERROR(VLOOKUP($B11,CDM!$K$35:$N$47,4,FALSE)/2*$C11/78,0)</f>
        <v>35866.626780385101</v>
      </c>
      <c r="L11" s="4">
        <f t="shared" si="17"/>
        <v>3978006.4763625823</v>
      </c>
      <c r="M11" s="4">
        <v>106098</v>
      </c>
      <c r="N11" s="4">
        <v>12987.082654463989</v>
      </c>
      <c r="O11" s="4">
        <v>10457.84</v>
      </c>
      <c r="P11" s="4">
        <v>194.33</v>
      </c>
      <c r="Q11" s="4">
        <v>5247</v>
      </c>
      <c r="R11" s="4">
        <v>754</v>
      </c>
      <c r="S11" s="4">
        <v>68</v>
      </c>
      <c r="T11" s="4">
        <v>1650</v>
      </c>
      <c r="U11" s="4">
        <v>22</v>
      </c>
      <c r="V11" s="4">
        <f>Weather!D131</f>
        <v>482.59999999999997</v>
      </c>
      <c r="W11" s="4">
        <f>Weather!E131</f>
        <v>0</v>
      </c>
      <c r="X11" s="4">
        <f>Weather!F131</f>
        <v>420.6</v>
      </c>
      <c r="Y11" s="4">
        <f>Weather!G131</f>
        <v>0</v>
      </c>
      <c r="Z11" s="4">
        <f>Weather!H131</f>
        <v>358.59999999999997</v>
      </c>
      <c r="AA11" s="4">
        <f>Weather!I131</f>
        <v>0</v>
      </c>
      <c r="AB11" s="4">
        <f>Weather!J131</f>
        <v>297.02499999999998</v>
      </c>
      <c r="AC11" s="4">
        <f>Weather!K131</f>
        <v>0.42500000000000249</v>
      </c>
      <c r="AD11" s="4">
        <f>Weather!L131</f>
        <v>238.10416666666671</v>
      </c>
      <c r="AE11" s="4">
        <f>Weather!M131</f>
        <v>3.5041666666666664</v>
      </c>
      <c r="AF11" s="4">
        <f>Weather!N131</f>
        <v>180.10416666666666</v>
      </c>
      <c r="AG11" s="4">
        <f>Weather!O131</f>
        <v>7.5041666666666664</v>
      </c>
      <c r="AH11" s="4">
        <f>Weather!P131</f>
        <v>122.175</v>
      </c>
      <c r="AI11" s="4">
        <f>Weather!Q131</f>
        <v>11.574999999999999</v>
      </c>
      <c r="AJ11" s="4">
        <f>Weather!R131</f>
        <v>4.4322580645161294</v>
      </c>
      <c r="AK11" s="4">
        <f>'Economic Data'!F13</f>
        <v>708787.6</v>
      </c>
      <c r="AL11" s="4">
        <f>'Economic Data'!G13</f>
        <v>6474.7</v>
      </c>
      <c r="AM11" s="4">
        <f>'Economic Data'!H13</f>
        <v>8082.4</v>
      </c>
      <c r="AN11" s="4">
        <f>'Economic Data'!I13</f>
        <v>10.8</v>
      </c>
      <c r="AO11" s="4">
        <f>'Economic Data'!J13</f>
        <v>292</v>
      </c>
      <c r="AP11" s="4">
        <f>'Economic Data'!K13</f>
        <v>447.4</v>
      </c>
      <c r="AQ11" s="4">
        <f>'Economic Data'!L13</f>
        <v>291.89999999999998</v>
      </c>
      <c r="AR11" s="4">
        <f>'Economic Data'!M13</f>
        <v>1617.3</v>
      </c>
      <c r="AS11" s="4">
        <f>'Economic Data'!N13</f>
        <v>2758.5</v>
      </c>
      <c r="AT11" s="4">
        <f>'Economic Data'!O13</f>
        <v>716976</v>
      </c>
      <c r="AU11" s="4">
        <f>'Economic Data'!P13</f>
        <v>6623</v>
      </c>
      <c r="AV11" s="4">
        <f>'Economic Data'!Q13</f>
        <v>3693</v>
      </c>
      <c r="AW11" s="4">
        <f>'Economic Data'!R13</f>
        <v>4821</v>
      </c>
      <c r="AX11" s="4">
        <f>'Economic Data'!E13</f>
        <v>6898.9</v>
      </c>
      <c r="AY11" s="4">
        <f>'Economic Data'!D13</f>
        <v>6856.6</v>
      </c>
      <c r="AZ11">
        <v>10</v>
      </c>
      <c r="BA11" s="14">
        <f t="shared" si="18"/>
        <v>2.9444389791664403</v>
      </c>
      <c r="BB11">
        <f t="shared" si="19"/>
        <v>100</v>
      </c>
      <c r="BC11">
        <v>0</v>
      </c>
      <c r="BD11">
        <v>0</v>
      </c>
      <c r="BE11">
        <v>0</v>
      </c>
      <c r="BF11">
        <v>0</v>
      </c>
      <c r="BG11">
        <v>0</v>
      </c>
      <c r="BH11">
        <v>0</v>
      </c>
      <c r="BI11">
        <v>0</v>
      </c>
      <c r="BJ11">
        <v>0</v>
      </c>
      <c r="BK11">
        <v>0</v>
      </c>
      <c r="BL11">
        <v>1</v>
      </c>
      <c r="BM11">
        <v>0</v>
      </c>
      <c r="BN11">
        <v>0</v>
      </c>
      <c r="BO11">
        <v>0</v>
      </c>
      <c r="BP11">
        <v>1</v>
      </c>
      <c r="BQ11">
        <v>1</v>
      </c>
      <c r="BR11">
        <v>31</v>
      </c>
      <c r="BS11">
        <v>22</v>
      </c>
      <c r="BT11">
        <v>0</v>
      </c>
      <c r="BU11">
        <v>0</v>
      </c>
      <c r="BV11">
        <v>0</v>
      </c>
      <c r="BW11">
        <v>0</v>
      </c>
      <c r="BX11" s="17">
        <f t="shared" si="0"/>
        <v>0</v>
      </c>
      <c r="BY11" s="17">
        <f t="shared" si="1"/>
        <v>0</v>
      </c>
      <c r="BZ11" s="17">
        <f t="shared" si="2"/>
        <v>0</v>
      </c>
      <c r="CA11" s="17">
        <f t="shared" si="3"/>
        <v>0</v>
      </c>
      <c r="CB11" s="17">
        <f t="shared" si="4"/>
        <v>0</v>
      </c>
      <c r="CC11" s="17">
        <f t="shared" si="5"/>
        <v>0</v>
      </c>
      <c r="CD11" s="17">
        <f t="shared" si="6"/>
        <v>0</v>
      </c>
      <c r="CE11" s="17">
        <f t="shared" si="7"/>
        <v>0</v>
      </c>
      <c r="CF11" s="17">
        <f t="shared" si="8"/>
        <v>0</v>
      </c>
      <c r="CG11" s="17">
        <f t="shared" si="9"/>
        <v>0</v>
      </c>
      <c r="CH11" s="17">
        <f t="shared" si="10"/>
        <v>0</v>
      </c>
      <c r="CI11" s="17">
        <f t="shared" si="11"/>
        <v>0</v>
      </c>
      <c r="CJ11" s="17">
        <f t="shared" si="12"/>
        <v>0</v>
      </c>
      <c r="CK11" s="17">
        <f t="shared" si="13"/>
        <v>0</v>
      </c>
    </row>
    <row r="12" spans="1:89" x14ac:dyDescent="0.35">
      <c r="A12" s="1">
        <v>41944</v>
      </c>
      <c r="B12">
        <v>2014</v>
      </c>
      <c r="C12">
        <f t="shared" si="14"/>
        <v>11</v>
      </c>
      <c r="D12" s="4">
        <v>3220877.1842585858</v>
      </c>
      <c r="E12" s="4">
        <f>IFERROR(VLOOKUP($B12-1,CDM!$K$5:$N$19,2,FALSE)/12,0)+IFERROR(VLOOKUP($B12,CDM!$K$35:$N$47,2,FALSE)/24,0)+IFERROR(VLOOKUP($B12,CDM!$K$35:$N$47,2,FALSE)/2*$C12/78,0)</f>
        <v>36793.218148528918</v>
      </c>
      <c r="F12" s="4">
        <f t="shared" si="15"/>
        <v>3257670.4024071149</v>
      </c>
      <c r="G12" s="4">
        <v>1493830.0751948308</v>
      </c>
      <c r="H12" s="4">
        <f>IFERROR(VLOOKUP($B12-1,CDM!$K$5:$N$19,3,FALSE)/12,0)+IFERROR(VLOOKUP($B12,CDM!$K$35:$N$47,3,FALSE)/24,0)+IFERROR(VLOOKUP($B12,CDM!$K$35:$N$47,3,FALSE)/2*$C12/78,0)</f>
        <v>124593.436536614</v>
      </c>
      <c r="I12" s="4">
        <f t="shared" si="16"/>
        <v>1618423.5117314449</v>
      </c>
      <c r="J12" s="4">
        <v>4492722.8572069686</v>
      </c>
      <c r="K12" s="4">
        <f>IFERROR(VLOOKUP($B12-1,CDM!$K$5:$N$19,4,FALSE)/12,0)+IFERROR(VLOOKUP($B12,CDM!$K$35:$N$47,4,FALSE)/24,0)+IFERROR(VLOOKUP($B12,CDM!$K$35:$N$47,4,FALSE)/2*$C12/78,0)</f>
        <v>36320.301500293557</v>
      </c>
      <c r="L12" s="4">
        <f t="shared" si="17"/>
        <v>4529043.158707262</v>
      </c>
      <c r="M12" s="4">
        <v>124627</v>
      </c>
      <c r="N12" s="4">
        <v>12987.082654463989</v>
      </c>
      <c r="O12" s="4">
        <v>10972.75</v>
      </c>
      <c r="P12" s="4">
        <v>194.33</v>
      </c>
      <c r="Q12" s="4">
        <v>5246</v>
      </c>
      <c r="R12" s="4">
        <v>754</v>
      </c>
      <c r="S12" s="4">
        <v>68</v>
      </c>
      <c r="T12" s="4">
        <v>1650</v>
      </c>
      <c r="U12" s="4">
        <v>22</v>
      </c>
      <c r="V12" s="4">
        <f>Weather!D132</f>
        <v>825.22500000000002</v>
      </c>
      <c r="W12" s="4">
        <f>Weather!E132</f>
        <v>0</v>
      </c>
      <c r="X12" s="4">
        <f>Weather!F132</f>
        <v>765.22500000000002</v>
      </c>
      <c r="Y12" s="4">
        <f>Weather!G132</f>
        <v>0</v>
      </c>
      <c r="Z12" s="4">
        <f>Weather!H132</f>
        <v>705.22500000000014</v>
      </c>
      <c r="AA12" s="4">
        <f>Weather!I132</f>
        <v>0</v>
      </c>
      <c r="AB12" s="4">
        <f>Weather!J132</f>
        <v>645.22500000000014</v>
      </c>
      <c r="AC12" s="4">
        <f>Weather!K132</f>
        <v>0</v>
      </c>
      <c r="AD12" s="4">
        <f>Weather!L132</f>
        <v>585.22500000000014</v>
      </c>
      <c r="AE12" s="4">
        <f>Weather!M132</f>
        <v>0</v>
      </c>
      <c r="AF12" s="4">
        <f>Weather!N132</f>
        <v>525.22500000000002</v>
      </c>
      <c r="AG12" s="4">
        <f>Weather!O132</f>
        <v>0</v>
      </c>
      <c r="AH12" s="4">
        <f>Weather!P132</f>
        <v>465.22500000000002</v>
      </c>
      <c r="AI12" s="4">
        <f>Weather!Q132</f>
        <v>0</v>
      </c>
      <c r="AJ12" s="4">
        <f>Weather!R132</f>
        <v>-7.5075000000000012</v>
      </c>
      <c r="AK12" s="4">
        <f>'Economic Data'!F14</f>
        <v>708787.6</v>
      </c>
      <c r="AL12" s="4">
        <f>'Economic Data'!G14</f>
        <v>6474.7</v>
      </c>
      <c r="AM12" s="4">
        <f>'Economic Data'!H14</f>
        <v>8082.4</v>
      </c>
      <c r="AN12" s="4">
        <f>'Economic Data'!I14</f>
        <v>10.8</v>
      </c>
      <c r="AO12" s="4">
        <f>'Economic Data'!J14</f>
        <v>292</v>
      </c>
      <c r="AP12" s="4">
        <f>'Economic Data'!K14</f>
        <v>447.4</v>
      </c>
      <c r="AQ12" s="4">
        <f>'Economic Data'!L14</f>
        <v>291.89999999999998</v>
      </c>
      <c r="AR12" s="4">
        <f>'Economic Data'!M14</f>
        <v>1617.3</v>
      </c>
      <c r="AS12" s="4">
        <f>'Economic Data'!N14</f>
        <v>2758.5</v>
      </c>
      <c r="AT12" s="4">
        <f>'Economic Data'!O14</f>
        <v>716976</v>
      </c>
      <c r="AU12" s="4">
        <f>'Economic Data'!P14</f>
        <v>6623</v>
      </c>
      <c r="AV12" s="4">
        <f>'Economic Data'!Q14</f>
        <v>3693</v>
      </c>
      <c r="AW12" s="4">
        <f>'Economic Data'!R14</f>
        <v>4821</v>
      </c>
      <c r="AX12" s="4">
        <f>'Economic Data'!E14</f>
        <v>6871.1</v>
      </c>
      <c r="AY12" s="4">
        <f>'Economic Data'!D14</f>
        <v>6858.1</v>
      </c>
      <c r="AZ12">
        <v>11</v>
      </c>
      <c r="BA12" s="14">
        <f t="shared" si="18"/>
        <v>2.9957322735539909</v>
      </c>
      <c r="BB12">
        <f t="shared" si="19"/>
        <v>121</v>
      </c>
      <c r="BC12">
        <v>0</v>
      </c>
      <c r="BD12">
        <v>0</v>
      </c>
      <c r="BE12">
        <v>0</v>
      </c>
      <c r="BF12">
        <v>0</v>
      </c>
      <c r="BG12">
        <v>0</v>
      </c>
      <c r="BH12">
        <v>0</v>
      </c>
      <c r="BI12">
        <v>0</v>
      </c>
      <c r="BJ12">
        <v>0</v>
      </c>
      <c r="BK12">
        <v>0</v>
      </c>
      <c r="BL12">
        <v>0</v>
      </c>
      <c r="BM12">
        <v>1</v>
      </c>
      <c r="BN12">
        <v>0</v>
      </c>
      <c r="BO12">
        <v>0</v>
      </c>
      <c r="BP12">
        <v>1</v>
      </c>
      <c r="BQ12">
        <v>1</v>
      </c>
      <c r="BR12">
        <v>30</v>
      </c>
      <c r="BS12">
        <v>20</v>
      </c>
      <c r="BT12">
        <v>0</v>
      </c>
      <c r="BU12">
        <v>0</v>
      </c>
      <c r="BV12">
        <v>0</v>
      </c>
      <c r="BW12">
        <v>0</v>
      </c>
      <c r="BX12" s="17">
        <f t="shared" si="0"/>
        <v>0</v>
      </c>
      <c r="BY12" s="17">
        <f t="shared" si="1"/>
        <v>0</v>
      </c>
      <c r="BZ12" s="17">
        <f t="shared" si="2"/>
        <v>0</v>
      </c>
      <c r="CA12" s="17">
        <f t="shared" si="3"/>
        <v>0</v>
      </c>
      <c r="CB12" s="17">
        <f t="shared" si="4"/>
        <v>0</v>
      </c>
      <c r="CC12" s="17">
        <f t="shared" si="5"/>
        <v>0</v>
      </c>
      <c r="CD12" s="17">
        <f t="shared" si="6"/>
        <v>0</v>
      </c>
      <c r="CE12" s="17">
        <f t="shared" si="7"/>
        <v>0</v>
      </c>
      <c r="CF12" s="17">
        <f t="shared" si="8"/>
        <v>0</v>
      </c>
      <c r="CG12" s="17">
        <f t="shared" si="9"/>
        <v>0</v>
      </c>
      <c r="CH12" s="17">
        <f t="shared" si="10"/>
        <v>0</v>
      </c>
      <c r="CI12" s="17">
        <f t="shared" si="11"/>
        <v>0</v>
      </c>
      <c r="CJ12" s="17">
        <f t="shared" si="12"/>
        <v>0</v>
      </c>
      <c r="CK12" s="17">
        <f t="shared" si="13"/>
        <v>0</v>
      </c>
    </row>
    <row r="13" spans="1:89" x14ac:dyDescent="0.35">
      <c r="A13" s="1">
        <v>41974</v>
      </c>
      <c r="B13">
        <v>2014</v>
      </c>
      <c r="C13">
        <f t="shared" si="14"/>
        <v>12</v>
      </c>
      <c r="D13" s="4">
        <v>3875378.2966725393</v>
      </c>
      <c r="E13" s="4">
        <f>IFERROR(VLOOKUP($B13-1,CDM!$K$5:$N$19,2,FALSE)/12,0)+IFERROR(VLOOKUP($B13,CDM!$K$35:$N$47,2,FALSE)/24,0)+IFERROR(VLOOKUP($B13,CDM!$K$35:$N$47,2,FALSE)/2*$C13/78,0)</f>
        <v>37858.878170393582</v>
      </c>
      <c r="F13" s="4">
        <f t="shared" si="15"/>
        <v>3913237.1748429327</v>
      </c>
      <c r="G13" s="4">
        <v>1715924.4651658514</v>
      </c>
      <c r="H13" s="4">
        <f>IFERROR(VLOOKUP($B13-1,CDM!$K$5:$N$19,3,FALSE)/12,0)+IFERROR(VLOOKUP($B13,CDM!$K$35:$N$47,3,FALSE)/24,0)+IFERROR(VLOOKUP($B13,CDM!$K$35:$N$47,3,FALSE)/2*$C13/78,0)</f>
        <v>128117.46933437143</v>
      </c>
      <c r="I13" s="4">
        <f t="shared" si="16"/>
        <v>1844041.9345002228</v>
      </c>
      <c r="J13" s="4">
        <v>4829035.728301107</v>
      </c>
      <c r="K13" s="4">
        <f>IFERROR(VLOOKUP($B13-1,CDM!$K$5:$N$19,4,FALSE)/12,0)+IFERROR(VLOOKUP($B13,CDM!$K$35:$N$47,4,FALSE)/24,0)+IFERROR(VLOOKUP($B13,CDM!$K$35:$N$47,4,FALSE)/2*$C13/78,0)</f>
        <v>36773.976220202021</v>
      </c>
      <c r="L13" s="4">
        <f t="shared" si="17"/>
        <v>4865809.7045213087</v>
      </c>
      <c r="M13" s="4">
        <v>114410</v>
      </c>
      <c r="N13" s="4">
        <v>12987.082654463989</v>
      </c>
      <c r="O13" s="4">
        <v>11913.47</v>
      </c>
      <c r="P13" s="4">
        <v>194.33</v>
      </c>
      <c r="Q13" s="4">
        <v>5237</v>
      </c>
      <c r="R13" s="4">
        <v>755</v>
      </c>
      <c r="S13" s="4">
        <v>70</v>
      </c>
      <c r="T13" s="4">
        <v>1650</v>
      </c>
      <c r="U13" s="4">
        <v>22</v>
      </c>
      <c r="V13" s="4">
        <f>Weather!D133</f>
        <v>959.30879458660854</v>
      </c>
      <c r="W13" s="4">
        <f>Weather!E133</f>
        <v>0</v>
      </c>
      <c r="X13" s="4">
        <f>Weather!F133</f>
        <v>897.30879458660854</v>
      </c>
      <c r="Y13" s="4">
        <f>Weather!G133</f>
        <v>0</v>
      </c>
      <c r="Z13" s="4">
        <f>Weather!H133</f>
        <v>835.30879458660854</v>
      </c>
      <c r="AA13" s="4">
        <f>Weather!I133</f>
        <v>0</v>
      </c>
      <c r="AB13" s="4">
        <f>Weather!J133</f>
        <v>773.30879458660854</v>
      </c>
      <c r="AC13" s="4">
        <f>Weather!K133</f>
        <v>0</v>
      </c>
      <c r="AD13" s="4">
        <f>Weather!L133</f>
        <v>711.30879458660854</v>
      </c>
      <c r="AE13" s="4">
        <f>Weather!M133</f>
        <v>0</v>
      </c>
      <c r="AF13" s="4">
        <f>Weather!N133</f>
        <v>649.30879458660854</v>
      </c>
      <c r="AG13" s="4">
        <f>Weather!O133</f>
        <v>0</v>
      </c>
      <c r="AH13" s="4">
        <f>Weather!P133</f>
        <v>587.30879458660854</v>
      </c>
      <c r="AI13" s="4">
        <f>Weather!Q133</f>
        <v>0</v>
      </c>
      <c r="AJ13" s="4">
        <f>Weather!R133</f>
        <v>-10.945444986664789</v>
      </c>
      <c r="AK13" s="4">
        <f>'Economic Data'!F15</f>
        <v>708787.6</v>
      </c>
      <c r="AL13" s="4">
        <f>'Economic Data'!G15</f>
        <v>6474.7</v>
      </c>
      <c r="AM13" s="4">
        <f>'Economic Data'!H15</f>
        <v>8082.4</v>
      </c>
      <c r="AN13" s="4">
        <f>'Economic Data'!I15</f>
        <v>10.8</v>
      </c>
      <c r="AO13" s="4">
        <f>'Economic Data'!J15</f>
        <v>292</v>
      </c>
      <c r="AP13" s="4">
        <f>'Economic Data'!K15</f>
        <v>447.4</v>
      </c>
      <c r="AQ13" s="4">
        <f>'Economic Data'!L15</f>
        <v>291.89999999999998</v>
      </c>
      <c r="AR13" s="4">
        <f>'Economic Data'!M15</f>
        <v>1617.3</v>
      </c>
      <c r="AS13" s="4">
        <f>'Economic Data'!N15</f>
        <v>2758.5</v>
      </c>
      <c r="AT13" s="4">
        <f>'Economic Data'!O15</f>
        <v>716976</v>
      </c>
      <c r="AU13" s="4">
        <f>'Economic Data'!P15</f>
        <v>6623</v>
      </c>
      <c r="AV13" s="4">
        <f>'Economic Data'!Q15</f>
        <v>3693</v>
      </c>
      <c r="AW13" s="4">
        <f>'Economic Data'!R15</f>
        <v>4821</v>
      </c>
      <c r="AX13" s="4">
        <f>'Economic Data'!E15</f>
        <v>6863.1</v>
      </c>
      <c r="AY13" s="4">
        <f>'Economic Data'!D15</f>
        <v>6860</v>
      </c>
      <c r="AZ13">
        <v>12</v>
      </c>
      <c r="BA13" s="14">
        <f t="shared" si="18"/>
        <v>3.044522437723423</v>
      </c>
      <c r="BB13">
        <f t="shared" si="19"/>
        <v>144</v>
      </c>
      <c r="BC13">
        <v>0</v>
      </c>
      <c r="BD13">
        <v>0</v>
      </c>
      <c r="BE13">
        <v>0</v>
      </c>
      <c r="BF13">
        <v>0</v>
      </c>
      <c r="BG13">
        <v>0</v>
      </c>
      <c r="BH13">
        <v>0</v>
      </c>
      <c r="BI13">
        <v>0</v>
      </c>
      <c r="BJ13">
        <v>0</v>
      </c>
      <c r="BK13">
        <v>0</v>
      </c>
      <c r="BL13">
        <v>0</v>
      </c>
      <c r="BM13">
        <v>0</v>
      </c>
      <c r="BN13">
        <v>1</v>
      </c>
      <c r="BO13">
        <v>0</v>
      </c>
      <c r="BP13">
        <v>0</v>
      </c>
      <c r="BQ13">
        <v>0</v>
      </c>
      <c r="BR13">
        <v>31</v>
      </c>
      <c r="BS13">
        <v>21</v>
      </c>
      <c r="BT13">
        <v>0</v>
      </c>
      <c r="BU13">
        <v>0</v>
      </c>
      <c r="BV13">
        <v>0</v>
      </c>
      <c r="BW13">
        <v>0</v>
      </c>
      <c r="BX13" s="17">
        <f t="shared" si="0"/>
        <v>0</v>
      </c>
      <c r="BY13" s="17">
        <f t="shared" si="1"/>
        <v>0</v>
      </c>
      <c r="BZ13" s="17">
        <f t="shared" si="2"/>
        <v>0</v>
      </c>
      <c r="CA13" s="17">
        <f t="shared" si="3"/>
        <v>0</v>
      </c>
      <c r="CB13" s="17">
        <f t="shared" si="4"/>
        <v>0</v>
      </c>
      <c r="CC13" s="17">
        <f t="shared" si="5"/>
        <v>0</v>
      </c>
      <c r="CD13" s="17">
        <f t="shared" si="6"/>
        <v>0</v>
      </c>
      <c r="CE13" s="17">
        <f t="shared" si="7"/>
        <v>0</v>
      </c>
      <c r="CF13" s="17">
        <f t="shared" si="8"/>
        <v>0</v>
      </c>
      <c r="CG13" s="17">
        <f t="shared" si="9"/>
        <v>0</v>
      </c>
      <c r="CH13" s="17">
        <f t="shared" si="10"/>
        <v>0</v>
      </c>
      <c r="CI13" s="17">
        <f t="shared" si="11"/>
        <v>0</v>
      </c>
      <c r="CJ13" s="17">
        <f t="shared" si="12"/>
        <v>0</v>
      </c>
      <c r="CK13" s="17">
        <f t="shared" si="13"/>
        <v>0</v>
      </c>
    </row>
    <row r="14" spans="1:89" x14ac:dyDescent="0.35">
      <c r="A14" s="1">
        <v>42005</v>
      </c>
      <c r="B14">
        <v>2015</v>
      </c>
      <c r="C14">
        <f t="shared" si="14"/>
        <v>1</v>
      </c>
      <c r="D14" s="4">
        <v>4515689.586007813</v>
      </c>
      <c r="E14" s="4">
        <f>IFERROR(VLOOKUP($B14-1,CDM!$K$5:$N$19,2,FALSE)/12,0)+IFERROR(VLOOKUP($B14,CDM!$K$35:$N$47,2,FALSE)/24,0)+IFERROR(VLOOKUP($B14,CDM!$K$35:$N$47,2,FALSE)/2*$C14/78,0)</f>
        <v>39480.658714885729</v>
      </c>
      <c r="F14" s="4">
        <f t="shared" si="15"/>
        <v>4555170.2447226988</v>
      </c>
      <c r="G14" s="4">
        <v>1965313.2318936486</v>
      </c>
      <c r="H14" s="4">
        <f>IFERROR(VLOOKUP($B14-1,CDM!$K$5:$N$19,3,FALSE)/12,0)+IFERROR(VLOOKUP($B14,CDM!$K$35:$N$47,3,FALSE)/24,0)+IFERROR(VLOOKUP($B14,CDM!$K$35:$N$47,3,FALSE)/2*$C14/78,0)</f>
        <v>123312.1983855998</v>
      </c>
      <c r="I14" s="4">
        <f t="shared" si="16"/>
        <v>2088625.4302792484</v>
      </c>
      <c r="J14" s="4">
        <v>5749412.750404356</v>
      </c>
      <c r="K14" s="4">
        <f>IFERROR(VLOOKUP($B14-1,CDM!$K$5:$N$19,4,FALSE)/12,0)+IFERROR(VLOOKUP($B14,CDM!$K$35:$N$47,4,FALSE)/24,0)+IFERROR(VLOOKUP($B14,CDM!$K$35:$N$47,4,FALSE)/2*$C14/78,0)</f>
        <v>47999.20805291619</v>
      </c>
      <c r="L14" s="4">
        <f t="shared" si="17"/>
        <v>5797411.9584572725</v>
      </c>
      <c r="M14" s="4">
        <v>126279</v>
      </c>
      <c r="N14" s="4">
        <v>13681.499999999998</v>
      </c>
      <c r="O14" s="4">
        <v>15701.32</v>
      </c>
      <c r="P14" s="4">
        <v>165</v>
      </c>
      <c r="Q14" s="4">
        <v>5229</v>
      </c>
      <c r="R14" s="4">
        <v>773</v>
      </c>
      <c r="S14" s="4">
        <v>71</v>
      </c>
      <c r="T14" s="4">
        <v>1650</v>
      </c>
      <c r="U14" s="4">
        <v>23</v>
      </c>
      <c r="V14" s="4">
        <f>Weather!D134</f>
        <v>1198.8347552223963</v>
      </c>
      <c r="W14" s="4">
        <f>Weather!E134</f>
        <v>0</v>
      </c>
      <c r="X14" s="4">
        <f>Weather!F134</f>
        <v>1136.8347552223961</v>
      </c>
      <c r="Y14" s="4">
        <f>Weather!G134</f>
        <v>0</v>
      </c>
      <c r="Z14" s="4">
        <f>Weather!H134</f>
        <v>1074.8347552223961</v>
      </c>
      <c r="AA14" s="4">
        <f>Weather!I134</f>
        <v>0</v>
      </c>
      <c r="AB14" s="4">
        <f>Weather!J134</f>
        <v>1012.8347552223962</v>
      </c>
      <c r="AC14" s="4">
        <f>Weather!K134</f>
        <v>0</v>
      </c>
      <c r="AD14" s="4">
        <f>Weather!L134</f>
        <v>950.83475522239621</v>
      </c>
      <c r="AE14" s="4">
        <f>Weather!M134</f>
        <v>0</v>
      </c>
      <c r="AF14" s="4">
        <f>Weather!N134</f>
        <v>888.83475522239621</v>
      </c>
      <c r="AG14" s="4">
        <f>Weather!O134</f>
        <v>0</v>
      </c>
      <c r="AH14" s="4">
        <f>Weather!P134</f>
        <v>826.83475522239621</v>
      </c>
      <c r="AI14" s="4">
        <f>Weather!Q134</f>
        <v>0</v>
      </c>
      <c r="AJ14" s="4">
        <f>Weather!R134</f>
        <v>-18.672088878141818</v>
      </c>
      <c r="AK14" s="4">
        <f>'Economic Data'!F16</f>
        <v>727609.6</v>
      </c>
      <c r="AL14" s="4">
        <f>'Economic Data'!G16</f>
        <v>6877.7</v>
      </c>
      <c r="AM14" s="4">
        <f>'Economic Data'!H16</f>
        <v>7729.3</v>
      </c>
      <c r="AN14" s="4">
        <f>'Economic Data'!I16</f>
        <v>10.199999999999999</v>
      </c>
      <c r="AO14" s="4">
        <f>'Economic Data'!J16</f>
        <v>143.30000000000001</v>
      </c>
      <c r="AP14" s="4">
        <f>'Economic Data'!K16</f>
        <v>455</v>
      </c>
      <c r="AQ14" s="4">
        <f>'Economic Data'!L16</f>
        <v>276.7</v>
      </c>
      <c r="AR14" s="4">
        <f>'Economic Data'!M16</f>
        <v>1708.7</v>
      </c>
      <c r="AS14" s="4">
        <f>'Economic Data'!N16</f>
        <v>2868.4</v>
      </c>
      <c r="AT14" s="4">
        <f>'Economic Data'!O16</f>
        <v>718587</v>
      </c>
      <c r="AU14" s="4">
        <f>'Economic Data'!P16</f>
        <v>6731</v>
      </c>
      <c r="AV14" s="4">
        <f>'Economic Data'!Q16</f>
        <v>3741</v>
      </c>
      <c r="AW14" s="4">
        <f>'Economic Data'!R16</f>
        <v>4847</v>
      </c>
      <c r="AX14" s="4">
        <f>'Economic Data'!E16</f>
        <v>6809.7</v>
      </c>
      <c r="AY14" s="4">
        <f>'Economic Data'!D16</f>
        <v>6851.1</v>
      </c>
      <c r="AZ14">
        <v>13</v>
      </c>
      <c r="BA14" s="14">
        <f t="shared" si="18"/>
        <v>3.0910424533583161</v>
      </c>
      <c r="BB14">
        <f t="shared" si="19"/>
        <v>169</v>
      </c>
      <c r="BC14">
        <v>1</v>
      </c>
      <c r="BD14">
        <v>0</v>
      </c>
      <c r="BE14">
        <v>0</v>
      </c>
      <c r="BF14">
        <v>0</v>
      </c>
      <c r="BG14">
        <v>0</v>
      </c>
      <c r="BH14">
        <v>0</v>
      </c>
      <c r="BI14">
        <v>0</v>
      </c>
      <c r="BJ14">
        <v>0</v>
      </c>
      <c r="BK14">
        <v>0</v>
      </c>
      <c r="BL14">
        <v>0</v>
      </c>
      <c r="BM14">
        <v>0</v>
      </c>
      <c r="BN14">
        <v>0</v>
      </c>
      <c r="BO14">
        <v>0</v>
      </c>
      <c r="BP14">
        <v>0</v>
      </c>
      <c r="BQ14">
        <v>0</v>
      </c>
      <c r="BR14">
        <v>31</v>
      </c>
      <c r="BS14">
        <v>21</v>
      </c>
      <c r="BT14">
        <v>0</v>
      </c>
      <c r="BU14">
        <v>0</v>
      </c>
      <c r="BV14">
        <v>0</v>
      </c>
      <c r="BW14">
        <v>0</v>
      </c>
      <c r="BX14" s="17">
        <f t="shared" si="0"/>
        <v>0</v>
      </c>
      <c r="BY14" s="17">
        <f t="shared" si="1"/>
        <v>0</v>
      </c>
      <c r="BZ14" s="17">
        <f t="shared" si="2"/>
        <v>0</v>
      </c>
      <c r="CA14" s="17">
        <f t="shared" si="3"/>
        <v>0</v>
      </c>
      <c r="CB14" s="17">
        <f t="shared" si="4"/>
        <v>0</v>
      </c>
      <c r="CC14" s="17">
        <f t="shared" si="5"/>
        <v>0</v>
      </c>
      <c r="CD14" s="17">
        <f t="shared" si="6"/>
        <v>0</v>
      </c>
      <c r="CE14" s="17">
        <f t="shared" si="7"/>
        <v>0</v>
      </c>
      <c r="CF14" s="17">
        <f t="shared" si="8"/>
        <v>0</v>
      </c>
      <c r="CG14" s="17">
        <f t="shared" si="9"/>
        <v>0</v>
      </c>
      <c r="CH14" s="17">
        <f t="shared" si="10"/>
        <v>0</v>
      </c>
      <c r="CI14" s="17">
        <f t="shared" si="11"/>
        <v>0</v>
      </c>
      <c r="CJ14" s="17">
        <f t="shared" si="12"/>
        <v>0</v>
      </c>
      <c r="CK14" s="17">
        <f t="shared" si="13"/>
        <v>0</v>
      </c>
    </row>
    <row r="15" spans="1:89" x14ac:dyDescent="0.35">
      <c r="A15" s="1">
        <v>42036</v>
      </c>
      <c r="B15">
        <v>2015</v>
      </c>
      <c r="C15">
        <f t="shared" si="14"/>
        <v>2</v>
      </c>
      <c r="D15" s="4">
        <v>4951592.763221032</v>
      </c>
      <c r="E15" s="4">
        <f>IFERROR(VLOOKUP($B15-1,CDM!$K$5:$N$19,2,FALSE)/12,0)+IFERROR(VLOOKUP($B15,CDM!$K$35:$N$47,2,FALSE)/24,0)+IFERROR(VLOOKUP($B15,CDM!$K$35:$N$47,2,FALSE)/2*$C15/78,0)</f>
        <v>40478.380136852109</v>
      </c>
      <c r="F15" s="4">
        <f t="shared" si="15"/>
        <v>4992071.1433578841</v>
      </c>
      <c r="G15" s="4">
        <v>2146204.9753527739</v>
      </c>
      <c r="H15" s="4">
        <f>IFERROR(VLOOKUP($B15-1,CDM!$K$5:$N$19,3,FALSE)/12,0)+IFERROR(VLOOKUP($B15,CDM!$K$35:$N$47,3,FALSE)/24,0)+IFERROR(VLOOKUP($B15,CDM!$K$35:$N$47,3,FALSE)/2*$C15/78,0)</f>
        <v>125255.78631078568</v>
      </c>
      <c r="I15" s="4">
        <f t="shared" si="16"/>
        <v>2271460.7616635598</v>
      </c>
      <c r="J15" s="4">
        <v>5253028.8656187486</v>
      </c>
      <c r="K15" s="4">
        <f>IFERROR(VLOOKUP($B15-1,CDM!$K$5:$N$19,4,FALSE)/12,0)+IFERROR(VLOOKUP($B15,CDM!$K$35:$N$47,4,FALSE)/24,0)+IFERROR(VLOOKUP($B15,CDM!$K$35:$N$47,4,FALSE)/2*$C15/78,0)</f>
        <v>49828.600425210949</v>
      </c>
      <c r="L15" s="4">
        <f t="shared" si="17"/>
        <v>5302857.4660439594</v>
      </c>
      <c r="M15" s="4">
        <v>80483</v>
      </c>
      <c r="N15" s="4">
        <v>13681.499999999998</v>
      </c>
      <c r="O15" s="4">
        <v>15553.56</v>
      </c>
      <c r="P15" s="4">
        <v>165</v>
      </c>
      <c r="Q15" s="4">
        <v>5233</v>
      </c>
      <c r="R15" s="4">
        <v>775</v>
      </c>
      <c r="S15" s="4">
        <v>70</v>
      </c>
      <c r="T15" s="4">
        <v>1650</v>
      </c>
      <c r="U15" s="4">
        <v>23</v>
      </c>
      <c r="V15" s="4">
        <f>Weather!D135</f>
        <v>1205.7993361882764</v>
      </c>
      <c r="W15" s="4">
        <f>Weather!E135</f>
        <v>0</v>
      </c>
      <c r="X15" s="4">
        <f>Weather!F135</f>
        <v>1149.7993361882766</v>
      </c>
      <c r="Y15" s="4">
        <f>Weather!G135</f>
        <v>0</v>
      </c>
      <c r="Z15" s="4">
        <f>Weather!H135</f>
        <v>1093.7993361882764</v>
      </c>
      <c r="AA15" s="4">
        <f>Weather!I135</f>
        <v>0</v>
      </c>
      <c r="AB15" s="4">
        <f>Weather!J135</f>
        <v>1037.7993361882764</v>
      </c>
      <c r="AC15" s="4">
        <f>Weather!K135</f>
        <v>0</v>
      </c>
      <c r="AD15" s="4">
        <f>Weather!L135</f>
        <v>981.79933618827647</v>
      </c>
      <c r="AE15" s="4">
        <f>Weather!M135</f>
        <v>0</v>
      </c>
      <c r="AF15" s="4">
        <f>Weather!N135</f>
        <v>925.79933618827647</v>
      </c>
      <c r="AG15" s="4">
        <f>Weather!O135</f>
        <v>0</v>
      </c>
      <c r="AH15" s="4">
        <f>Weather!P135</f>
        <v>869.79933618827647</v>
      </c>
      <c r="AI15" s="4">
        <f>Weather!Q135</f>
        <v>0</v>
      </c>
      <c r="AJ15" s="4">
        <f>Weather!R135</f>
        <v>-23.064262006724164</v>
      </c>
      <c r="AK15" s="4">
        <f>'Economic Data'!F17</f>
        <v>727609.6</v>
      </c>
      <c r="AL15" s="4">
        <f>'Economic Data'!G17</f>
        <v>6877.7</v>
      </c>
      <c r="AM15" s="4">
        <f>'Economic Data'!H17</f>
        <v>7729.3</v>
      </c>
      <c r="AN15" s="4">
        <f>'Economic Data'!I17</f>
        <v>10.199999999999999</v>
      </c>
      <c r="AO15" s="4">
        <f>'Economic Data'!J17</f>
        <v>143.30000000000001</v>
      </c>
      <c r="AP15" s="4">
        <f>'Economic Data'!K17</f>
        <v>455</v>
      </c>
      <c r="AQ15" s="4">
        <f>'Economic Data'!L17</f>
        <v>276.7</v>
      </c>
      <c r="AR15" s="4">
        <f>'Economic Data'!M17</f>
        <v>1708.7</v>
      </c>
      <c r="AS15" s="4">
        <f>'Economic Data'!N17</f>
        <v>2868.4</v>
      </c>
      <c r="AT15" s="4">
        <f>'Economic Data'!O17</f>
        <v>718587</v>
      </c>
      <c r="AU15" s="4">
        <f>'Economic Data'!P17</f>
        <v>6731</v>
      </c>
      <c r="AV15" s="4">
        <f>'Economic Data'!Q17</f>
        <v>3741</v>
      </c>
      <c r="AW15" s="4">
        <f>'Economic Data'!R17</f>
        <v>4847</v>
      </c>
      <c r="AX15" s="4">
        <f>'Economic Data'!E17</f>
        <v>6782.7</v>
      </c>
      <c r="AY15" s="4">
        <f>'Economic Data'!D17</f>
        <v>6859.2</v>
      </c>
      <c r="AZ15">
        <v>14</v>
      </c>
      <c r="BA15" s="14">
        <f t="shared" si="18"/>
        <v>3.1354942159291497</v>
      </c>
      <c r="BB15">
        <f t="shared" si="19"/>
        <v>196</v>
      </c>
      <c r="BC15">
        <v>0</v>
      </c>
      <c r="BD15">
        <v>1</v>
      </c>
      <c r="BE15">
        <v>0</v>
      </c>
      <c r="BF15">
        <v>0</v>
      </c>
      <c r="BG15">
        <v>0</v>
      </c>
      <c r="BH15">
        <v>0</v>
      </c>
      <c r="BI15">
        <v>0</v>
      </c>
      <c r="BJ15">
        <v>0</v>
      </c>
      <c r="BK15">
        <v>0</v>
      </c>
      <c r="BL15">
        <v>0</v>
      </c>
      <c r="BM15">
        <v>0</v>
      </c>
      <c r="BN15">
        <v>0</v>
      </c>
      <c r="BO15">
        <v>0</v>
      </c>
      <c r="BP15">
        <v>0</v>
      </c>
      <c r="BQ15">
        <v>0</v>
      </c>
      <c r="BR15">
        <v>28</v>
      </c>
      <c r="BS15">
        <v>19</v>
      </c>
      <c r="BT15">
        <v>0</v>
      </c>
      <c r="BU15">
        <v>0</v>
      </c>
      <c r="BV15">
        <v>0</v>
      </c>
      <c r="BW15">
        <v>0</v>
      </c>
      <c r="BX15" s="17">
        <f t="shared" si="0"/>
        <v>0</v>
      </c>
      <c r="BY15" s="17">
        <f t="shared" si="1"/>
        <v>0</v>
      </c>
      <c r="BZ15" s="17">
        <f t="shared" si="2"/>
        <v>0</v>
      </c>
      <c r="CA15" s="17">
        <f t="shared" si="3"/>
        <v>0</v>
      </c>
      <c r="CB15" s="17">
        <f t="shared" si="4"/>
        <v>0</v>
      </c>
      <c r="CC15" s="17">
        <f t="shared" si="5"/>
        <v>0</v>
      </c>
      <c r="CD15" s="17">
        <f t="shared" si="6"/>
        <v>0</v>
      </c>
      <c r="CE15" s="17">
        <f t="shared" si="7"/>
        <v>0</v>
      </c>
      <c r="CF15" s="17">
        <f t="shared" si="8"/>
        <v>0</v>
      </c>
      <c r="CG15" s="17">
        <f t="shared" si="9"/>
        <v>0</v>
      </c>
      <c r="CH15" s="17">
        <f t="shared" si="10"/>
        <v>0</v>
      </c>
      <c r="CI15" s="17">
        <f t="shared" si="11"/>
        <v>0</v>
      </c>
      <c r="CJ15" s="17">
        <f t="shared" si="12"/>
        <v>0</v>
      </c>
      <c r="CK15" s="17">
        <f t="shared" si="13"/>
        <v>0</v>
      </c>
    </row>
    <row r="16" spans="1:89" x14ac:dyDescent="0.35">
      <c r="A16" s="1">
        <v>42064</v>
      </c>
      <c r="B16">
        <v>2015</v>
      </c>
      <c r="C16">
        <f t="shared" si="14"/>
        <v>3</v>
      </c>
      <c r="D16" s="4">
        <v>4608992.0486433497</v>
      </c>
      <c r="E16" s="4">
        <f>IFERROR(VLOOKUP($B16-1,CDM!$K$5:$N$19,2,FALSE)/12,0)+IFERROR(VLOOKUP($B16,CDM!$K$35:$N$47,2,FALSE)/24,0)+IFERROR(VLOOKUP($B16,CDM!$K$35:$N$47,2,FALSE)/2*$C16/78,0)</f>
        <v>41476.101558818482</v>
      </c>
      <c r="F16" s="4">
        <f t="shared" si="15"/>
        <v>4650468.1502021682</v>
      </c>
      <c r="G16" s="4">
        <v>2021821.8433474884</v>
      </c>
      <c r="H16" s="4">
        <f>IFERROR(VLOOKUP($B16-1,CDM!$K$5:$N$19,3,FALSE)/12,0)+IFERROR(VLOOKUP($B16,CDM!$K$35:$N$47,3,FALSE)/24,0)+IFERROR(VLOOKUP($B16,CDM!$K$35:$N$47,3,FALSE)/2*$C16/78,0)</f>
        <v>127199.37423597158</v>
      </c>
      <c r="I16" s="4">
        <f t="shared" si="16"/>
        <v>2149021.2175834598</v>
      </c>
      <c r="J16" s="4">
        <v>5627338.0989091648</v>
      </c>
      <c r="K16" s="4">
        <f>IFERROR(VLOOKUP($B16-1,CDM!$K$5:$N$19,4,FALSE)/12,0)+IFERROR(VLOOKUP($B16,CDM!$K$35:$N$47,4,FALSE)/24,0)+IFERROR(VLOOKUP($B16,CDM!$K$35:$N$47,4,FALSE)/2*$C16/78,0)</f>
        <v>51657.992797505707</v>
      </c>
      <c r="L16" s="4">
        <f t="shared" si="17"/>
        <v>5678996.0917066708</v>
      </c>
      <c r="M16" s="4">
        <v>23875</v>
      </c>
      <c r="N16" s="4">
        <v>13681.499999999998</v>
      </c>
      <c r="O16" s="4">
        <v>15024.88</v>
      </c>
      <c r="P16" s="4">
        <v>165</v>
      </c>
      <c r="Q16" s="4">
        <v>5246</v>
      </c>
      <c r="R16" s="4">
        <v>777</v>
      </c>
      <c r="S16" s="4">
        <v>69</v>
      </c>
      <c r="T16" s="4">
        <v>1650</v>
      </c>
      <c r="U16" s="4">
        <v>23</v>
      </c>
      <c r="V16" s="4">
        <f>Weather!D136</f>
        <v>914.8724417886641</v>
      </c>
      <c r="W16" s="4">
        <f>Weather!E136</f>
        <v>0</v>
      </c>
      <c r="X16" s="4">
        <f>Weather!F136</f>
        <v>852.8724417886641</v>
      </c>
      <c r="Y16" s="4">
        <f>Weather!G136</f>
        <v>0</v>
      </c>
      <c r="Z16" s="4">
        <f>Weather!H136</f>
        <v>790.8724417886641</v>
      </c>
      <c r="AA16" s="4">
        <f>Weather!I136</f>
        <v>0</v>
      </c>
      <c r="AB16" s="4">
        <f>Weather!J136</f>
        <v>728.8724417886641</v>
      </c>
      <c r="AC16" s="4">
        <f>Weather!K136</f>
        <v>0</v>
      </c>
      <c r="AD16" s="4">
        <f>Weather!L136</f>
        <v>666.87244178866422</v>
      </c>
      <c r="AE16" s="4">
        <f>Weather!M136</f>
        <v>0</v>
      </c>
      <c r="AF16" s="4">
        <f>Weather!N136</f>
        <v>604.8724417886641</v>
      </c>
      <c r="AG16" s="4">
        <f>Weather!O136</f>
        <v>0</v>
      </c>
      <c r="AH16" s="4">
        <f>Weather!P136</f>
        <v>542.87244178866399</v>
      </c>
      <c r="AI16" s="4">
        <f>Weather!Q136</f>
        <v>0</v>
      </c>
      <c r="AJ16" s="4">
        <f>Weather!R136</f>
        <v>-9.5120142512472352</v>
      </c>
      <c r="AK16" s="4">
        <f>'Economic Data'!F18</f>
        <v>727609.6</v>
      </c>
      <c r="AL16" s="4">
        <f>'Economic Data'!G18</f>
        <v>6877.7</v>
      </c>
      <c r="AM16" s="4">
        <f>'Economic Data'!H18</f>
        <v>7729.3</v>
      </c>
      <c r="AN16" s="4">
        <f>'Economic Data'!I18</f>
        <v>10.199999999999999</v>
      </c>
      <c r="AO16" s="4">
        <f>'Economic Data'!J18</f>
        <v>143.30000000000001</v>
      </c>
      <c r="AP16" s="4">
        <f>'Economic Data'!K18</f>
        <v>455</v>
      </c>
      <c r="AQ16" s="4">
        <f>'Economic Data'!L18</f>
        <v>276.7</v>
      </c>
      <c r="AR16" s="4">
        <f>'Economic Data'!M18</f>
        <v>1708.7</v>
      </c>
      <c r="AS16" s="4">
        <f>'Economic Data'!N18</f>
        <v>2868.4</v>
      </c>
      <c r="AT16" s="4">
        <f>'Economic Data'!O18</f>
        <v>718587</v>
      </c>
      <c r="AU16" s="4">
        <f>'Economic Data'!P18</f>
        <v>6731</v>
      </c>
      <c r="AV16" s="4">
        <f>'Economic Data'!Q18</f>
        <v>3741</v>
      </c>
      <c r="AW16" s="4">
        <f>'Economic Data'!R18</f>
        <v>4847</v>
      </c>
      <c r="AX16" s="4">
        <f>'Economic Data'!E18</f>
        <v>6761.8</v>
      </c>
      <c r="AY16" s="4">
        <f>'Economic Data'!D18</f>
        <v>6870</v>
      </c>
      <c r="AZ16">
        <v>15</v>
      </c>
      <c r="BA16" s="14">
        <f t="shared" si="18"/>
        <v>3.1780538303479458</v>
      </c>
      <c r="BB16">
        <f t="shared" si="19"/>
        <v>225</v>
      </c>
      <c r="BC16">
        <v>0</v>
      </c>
      <c r="BD16">
        <v>0</v>
      </c>
      <c r="BE16">
        <v>1</v>
      </c>
      <c r="BF16">
        <v>0</v>
      </c>
      <c r="BG16">
        <v>0</v>
      </c>
      <c r="BH16">
        <v>0</v>
      </c>
      <c r="BI16">
        <v>0</v>
      </c>
      <c r="BJ16">
        <v>0</v>
      </c>
      <c r="BK16">
        <v>0</v>
      </c>
      <c r="BL16">
        <v>0</v>
      </c>
      <c r="BM16">
        <v>0</v>
      </c>
      <c r="BN16">
        <v>0</v>
      </c>
      <c r="BO16">
        <v>1</v>
      </c>
      <c r="BP16">
        <v>0</v>
      </c>
      <c r="BQ16">
        <v>1</v>
      </c>
      <c r="BR16">
        <v>31</v>
      </c>
      <c r="BS16">
        <v>22</v>
      </c>
      <c r="BT16">
        <v>0</v>
      </c>
      <c r="BU16">
        <v>0</v>
      </c>
      <c r="BV16">
        <v>0</v>
      </c>
      <c r="BW16">
        <v>0</v>
      </c>
      <c r="BX16" s="17">
        <f t="shared" si="0"/>
        <v>0</v>
      </c>
      <c r="BY16" s="17">
        <f t="shared" si="1"/>
        <v>0</v>
      </c>
      <c r="BZ16" s="17">
        <f t="shared" si="2"/>
        <v>0</v>
      </c>
      <c r="CA16" s="17">
        <f t="shared" si="3"/>
        <v>0</v>
      </c>
      <c r="CB16" s="17">
        <f t="shared" si="4"/>
        <v>0</v>
      </c>
      <c r="CC16" s="17">
        <f t="shared" si="5"/>
        <v>0</v>
      </c>
      <c r="CD16" s="17">
        <f t="shared" si="6"/>
        <v>0</v>
      </c>
      <c r="CE16" s="17">
        <f t="shared" si="7"/>
        <v>0</v>
      </c>
      <c r="CF16" s="17">
        <f t="shared" si="8"/>
        <v>0</v>
      </c>
      <c r="CG16" s="17">
        <f t="shared" si="9"/>
        <v>0</v>
      </c>
      <c r="CH16" s="17">
        <f t="shared" si="10"/>
        <v>0</v>
      </c>
      <c r="CI16" s="17">
        <f t="shared" si="11"/>
        <v>0</v>
      </c>
      <c r="CJ16" s="17">
        <f t="shared" si="12"/>
        <v>0</v>
      </c>
      <c r="CK16" s="17">
        <f t="shared" si="13"/>
        <v>0</v>
      </c>
    </row>
    <row r="17" spans="1:89" x14ac:dyDescent="0.35">
      <c r="A17" s="1">
        <v>42095</v>
      </c>
      <c r="B17">
        <v>2015</v>
      </c>
      <c r="C17">
        <f t="shared" si="14"/>
        <v>4</v>
      </c>
      <c r="D17" s="4">
        <v>3921516.5350922979</v>
      </c>
      <c r="E17" s="4">
        <f>IFERROR(VLOOKUP($B17-1,CDM!$K$5:$N$19,2,FALSE)/12,0)+IFERROR(VLOOKUP($B17,CDM!$K$35:$N$47,2,FALSE)/24,0)+IFERROR(VLOOKUP($B17,CDM!$K$35:$N$47,2,FALSE)/2*$C17/78,0)</f>
        <v>42473.822980784855</v>
      </c>
      <c r="F17" s="4">
        <f t="shared" si="15"/>
        <v>3963990.3580730828</v>
      </c>
      <c r="G17" s="4">
        <v>1883811.1256074337</v>
      </c>
      <c r="H17" s="4">
        <f>IFERROR(VLOOKUP($B17-1,CDM!$K$5:$N$19,3,FALSE)/12,0)+IFERROR(VLOOKUP($B17,CDM!$K$35:$N$47,3,FALSE)/24,0)+IFERROR(VLOOKUP($B17,CDM!$K$35:$N$47,3,FALSE)/2*$C17/78,0)</f>
        <v>129142.96216115747</v>
      </c>
      <c r="I17" s="4">
        <f t="shared" si="16"/>
        <v>2012954.0877685912</v>
      </c>
      <c r="J17" s="4">
        <v>5110703.6360295629</v>
      </c>
      <c r="K17" s="4">
        <f>IFERROR(VLOOKUP($B17-1,CDM!$K$5:$N$19,4,FALSE)/12,0)+IFERROR(VLOOKUP($B17,CDM!$K$35:$N$47,4,FALSE)/24,0)+IFERROR(VLOOKUP($B17,CDM!$K$35:$N$47,4,FALSE)/2*$C17/78,0)</f>
        <v>53487.385169800473</v>
      </c>
      <c r="L17" s="4">
        <f t="shared" si="17"/>
        <v>5164191.0211993633</v>
      </c>
      <c r="M17" s="4">
        <v>-5618</v>
      </c>
      <c r="N17" s="4">
        <v>13681.499999999998</v>
      </c>
      <c r="O17" s="4">
        <v>16002.97</v>
      </c>
      <c r="P17" s="4">
        <v>165</v>
      </c>
      <c r="Q17" s="4">
        <v>5256</v>
      </c>
      <c r="R17" s="4">
        <v>787</v>
      </c>
      <c r="S17" s="4">
        <v>68</v>
      </c>
      <c r="T17" s="4">
        <v>1650</v>
      </c>
      <c r="U17" s="4">
        <v>23</v>
      </c>
      <c r="V17" s="4">
        <f>Weather!D137</f>
        <v>609.39652575448429</v>
      </c>
      <c r="W17" s="4">
        <f>Weather!E137</f>
        <v>0</v>
      </c>
      <c r="X17" s="4">
        <f>Weather!F137</f>
        <v>549.39652575448429</v>
      </c>
      <c r="Y17" s="4">
        <f>Weather!G137</f>
        <v>0</v>
      </c>
      <c r="Z17" s="4">
        <f>Weather!H137</f>
        <v>489.39652575448429</v>
      </c>
      <c r="AA17" s="4">
        <f>Weather!I137</f>
        <v>0</v>
      </c>
      <c r="AB17" s="4">
        <f>Weather!J137</f>
        <v>429.39652575448434</v>
      </c>
      <c r="AC17" s="4">
        <f>Weather!K137</f>
        <v>0</v>
      </c>
      <c r="AD17" s="4">
        <f>Weather!L137</f>
        <v>369.39652575448434</v>
      </c>
      <c r="AE17" s="4">
        <f>Weather!M137</f>
        <v>0</v>
      </c>
      <c r="AF17" s="4">
        <f>Weather!N137</f>
        <v>309.39652575448434</v>
      </c>
      <c r="AG17" s="4">
        <f>Weather!O137</f>
        <v>0</v>
      </c>
      <c r="AH17" s="4">
        <f>Weather!P137</f>
        <v>249.80485908781765</v>
      </c>
      <c r="AI17" s="4">
        <f>Weather!Q137</f>
        <v>0.40833333333333321</v>
      </c>
      <c r="AJ17" s="4">
        <f>Weather!R137</f>
        <v>-0.31321752514947837</v>
      </c>
      <c r="AK17" s="4">
        <f>'Economic Data'!F19</f>
        <v>727609.6</v>
      </c>
      <c r="AL17" s="4">
        <f>'Economic Data'!G19</f>
        <v>6877.7</v>
      </c>
      <c r="AM17" s="4">
        <f>'Economic Data'!H19</f>
        <v>7729.3</v>
      </c>
      <c r="AN17" s="4">
        <f>'Economic Data'!I19</f>
        <v>10.199999999999999</v>
      </c>
      <c r="AO17" s="4">
        <f>'Economic Data'!J19</f>
        <v>143.30000000000001</v>
      </c>
      <c r="AP17" s="4">
        <f>'Economic Data'!K19</f>
        <v>455</v>
      </c>
      <c r="AQ17" s="4">
        <f>'Economic Data'!L19</f>
        <v>276.7</v>
      </c>
      <c r="AR17" s="4">
        <f>'Economic Data'!M19</f>
        <v>1708.7</v>
      </c>
      <c r="AS17" s="4">
        <f>'Economic Data'!N19</f>
        <v>2868.4</v>
      </c>
      <c r="AT17" s="4">
        <f>'Economic Data'!O19</f>
        <v>723726</v>
      </c>
      <c r="AU17" s="4">
        <f>'Economic Data'!P19</f>
        <v>6925</v>
      </c>
      <c r="AV17" s="4">
        <f>'Economic Data'!Q19</f>
        <v>3860</v>
      </c>
      <c r="AW17" s="4">
        <f>'Economic Data'!R19</f>
        <v>4906</v>
      </c>
      <c r="AX17" s="4">
        <f>'Economic Data'!E19</f>
        <v>6786.4</v>
      </c>
      <c r="AY17" s="4">
        <f>'Economic Data'!D19</f>
        <v>6876.8</v>
      </c>
      <c r="AZ17">
        <v>16</v>
      </c>
      <c r="BA17" s="14">
        <f t="shared" si="18"/>
        <v>3.2188758248682006</v>
      </c>
      <c r="BB17">
        <f t="shared" si="19"/>
        <v>256</v>
      </c>
      <c r="BC17">
        <v>0</v>
      </c>
      <c r="BD17">
        <v>0</v>
      </c>
      <c r="BE17">
        <v>0</v>
      </c>
      <c r="BF17">
        <v>1</v>
      </c>
      <c r="BG17">
        <v>0</v>
      </c>
      <c r="BH17">
        <v>0</v>
      </c>
      <c r="BI17">
        <v>0</v>
      </c>
      <c r="BJ17">
        <v>0</v>
      </c>
      <c r="BK17">
        <v>0</v>
      </c>
      <c r="BL17">
        <v>0</v>
      </c>
      <c r="BM17">
        <v>0</v>
      </c>
      <c r="BN17">
        <v>0</v>
      </c>
      <c r="BO17">
        <v>1</v>
      </c>
      <c r="BP17">
        <v>0</v>
      </c>
      <c r="BQ17">
        <v>1</v>
      </c>
      <c r="BR17">
        <v>30</v>
      </c>
      <c r="BS17">
        <v>20</v>
      </c>
      <c r="BT17">
        <v>0</v>
      </c>
      <c r="BU17">
        <v>0</v>
      </c>
      <c r="BV17">
        <v>0</v>
      </c>
      <c r="BW17">
        <v>0</v>
      </c>
      <c r="BX17" s="17">
        <f t="shared" si="0"/>
        <v>0</v>
      </c>
      <c r="BY17" s="17">
        <f t="shared" si="1"/>
        <v>0</v>
      </c>
      <c r="BZ17" s="17">
        <f t="shared" si="2"/>
        <v>0</v>
      </c>
      <c r="CA17" s="17">
        <f t="shared" si="3"/>
        <v>0</v>
      </c>
      <c r="CB17" s="17">
        <f t="shared" si="4"/>
        <v>0</v>
      </c>
      <c r="CC17" s="17">
        <f t="shared" si="5"/>
        <v>0</v>
      </c>
      <c r="CD17" s="17">
        <f t="shared" si="6"/>
        <v>0</v>
      </c>
      <c r="CE17" s="17">
        <f t="shared" si="7"/>
        <v>0</v>
      </c>
      <c r="CF17" s="17">
        <f t="shared" si="8"/>
        <v>0</v>
      </c>
      <c r="CG17" s="17">
        <f t="shared" si="9"/>
        <v>0</v>
      </c>
      <c r="CH17" s="17">
        <f t="shared" si="10"/>
        <v>0</v>
      </c>
      <c r="CI17" s="17">
        <f t="shared" si="11"/>
        <v>0</v>
      </c>
      <c r="CJ17" s="17">
        <f t="shared" si="12"/>
        <v>0</v>
      </c>
      <c r="CK17" s="17">
        <f t="shared" si="13"/>
        <v>0</v>
      </c>
    </row>
    <row r="18" spans="1:89" x14ac:dyDescent="0.35">
      <c r="A18" s="1">
        <v>42125</v>
      </c>
      <c r="B18">
        <v>2015</v>
      </c>
      <c r="C18">
        <f t="shared" si="14"/>
        <v>5</v>
      </c>
      <c r="D18" s="4">
        <v>3208451.0718485303</v>
      </c>
      <c r="E18" s="4">
        <f>IFERROR(VLOOKUP($B18-1,CDM!$K$5:$N$19,2,FALSE)/12,0)+IFERROR(VLOOKUP($B18,CDM!$K$35:$N$47,2,FALSE)/24,0)+IFERROR(VLOOKUP($B18,CDM!$K$35:$N$47,2,FALSE)/2*$C18/78,0)</f>
        <v>43471.544402751235</v>
      </c>
      <c r="F18" s="4">
        <f t="shared" si="15"/>
        <v>3251922.6162512815</v>
      </c>
      <c r="G18" s="4">
        <v>1577766.2103062735</v>
      </c>
      <c r="H18" s="4">
        <f>IFERROR(VLOOKUP($B18-1,CDM!$K$5:$N$19,3,FALSE)/12,0)+IFERROR(VLOOKUP($B18,CDM!$K$35:$N$47,3,FALSE)/24,0)+IFERROR(VLOOKUP($B18,CDM!$K$35:$N$47,3,FALSE)/2*$C18/78,0)</f>
        <v>131086.55008634337</v>
      </c>
      <c r="I18" s="4">
        <f t="shared" si="16"/>
        <v>1708852.760392617</v>
      </c>
      <c r="J18" s="4">
        <v>4635688.7713079946</v>
      </c>
      <c r="K18" s="4">
        <f>IFERROR(VLOOKUP($B18-1,CDM!$K$5:$N$19,4,FALSE)/12,0)+IFERROR(VLOOKUP($B18,CDM!$K$35:$N$47,4,FALSE)/24,0)+IFERROR(VLOOKUP($B18,CDM!$K$35:$N$47,4,FALSE)/2*$C18/78,0)</f>
        <v>55316.777542095231</v>
      </c>
      <c r="L18" s="4">
        <f t="shared" si="17"/>
        <v>4691005.5488500902</v>
      </c>
      <c r="M18" s="4">
        <v>-5549</v>
      </c>
      <c r="N18" s="4">
        <v>13681.499999999998</v>
      </c>
      <c r="O18" s="4">
        <v>13340.58</v>
      </c>
      <c r="P18" s="4">
        <v>165</v>
      </c>
      <c r="Q18" s="4">
        <v>5239</v>
      </c>
      <c r="R18" s="4">
        <v>779</v>
      </c>
      <c r="S18" s="4">
        <v>68</v>
      </c>
      <c r="T18" s="4">
        <v>1650</v>
      </c>
      <c r="U18" s="4">
        <v>23</v>
      </c>
      <c r="V18" s="4">
        <f>Weather!D138</f>
        <v>574.69401843962544</v>
      </c>
      <c r="W18" s="4">
        <f>Weather!E138</f>
        <v>0</v>
      </c>
      <c r="X18" s="4">
        <f>Weather!F138</f>
        <v>512.69401843962544</v>
      </c>
      <c r="Y18" s="4">
        <f>Weather!G138</f>
        <v>0</v>
      </c>
      <c r="Z18" s="4">
        <f>Weather!H138</f>
        <v>451.36485177295879</v>
      </c>
      <c r="AA18" s="4">
        <f>Weather!I138</f>
        <v>0.67083333333333783</v>
      </c>
      <c r="AB18" s="4">
        <f>Weather!J138</f>
        <v>392.23968054388337</v>
      </c>
      <c r="AC18" s="4">
        <f>Weather!K138</f>
        <v>3.5456621042579393</v>
      </c>
      <c r="AD18" s="4">
        <f>Weather!L138</f>
        <v>339.36884721055009</v>
      </c>
      <c r="AE18" s="4">
        <f>Weather!M138</f>
        <v>12.674828770924604</v>
      </c>
      <c r="AF18" s="4">
        <f>Weather!N138</f>
        <v>288.41468054388343</v>
      </c>
      <c r="AG18" s="4">
        <f>Weather!O138</f>
        <v>23.720662104257936</v>
      </c>
      <c r="AH18" s="4">
        <f>Weather!P138</f>
        <v>239.23551387721685</v>
      </c>
      <c r="AI18" s="4">
        <f>Weather!Q138</f>
        <v>36.541495437591266</v>
      </c>
      <c r="AJ18" s="4">
        <f>Weather!R138</f>
        <v>1.4614832761411116</v>
      </c>
      <c r="AK18" s="4">
        <f>'Economic Data'!F20</f>
        <v>727609.6</v>
      </c>
      <c r="AL18" s="4">
        <f>'Economic Data'!G20</f>
        <v>6877.7</v>
      </c>
      <c r="AM18" s="4">
        <f>'Economic Data'!H20</f>
        <v>7729.3</v>
      </c>
      <c r="AN18" s="4">
        <f>'Economic Data'!I20</f>
        <v>10.199999999999999</v>
      </c>
      <c r="AO18" s="4">
        <f>'Economic Data'!J20</f>
        <v>143.30000000000001</v>
      </c>
      <c r="AP18" s="4">
        <f>'Economic Data'!K20</f>
        <v>455</v>
      </c>
      <c r="AQ18" s="4">
        <f>'Economic Data'!L20</f>
        <v>276.7</v>
      </c>
      <c r="AR18" s="4">
        <f>'Economic Data'!M20</f>
        <v>1708.7</v>
      </c>
      <c r="AS18" s="4">
        <f>'Economic Data'!N20</f>
        <v>2868.4</v>
      </c>
      <c r="AT18" s="4">
        <f>'Economic Data'!O20</f>
        <v>723726</v>
      </c>
      <c r="AU18" s="4">
        <f>'Economic Data'!P20</f>
        <v>6925</v>
      </c>
      <c r="AV18" s="4">
        <f>'Economic Data'!Q20</f>
        <v>3860</v>
      </c>
      <c r="AW18" s="4">
        <f>'Economic Data'!R20</f>
        <v>4906</v>
      </c>
      <c r="AX18" s="4">
        <f>'Economic Data'!E20</f>
        <v>6848.1</v>
      </c>
      <c r="AY18" s="4">
        <f>'Economic Data'!D20</f>
        <v>6883.3</v>
      </c>
      <c r="AZ18">
        <v>17</v>
      </c>
      <c r="BA18" s="14">
        <f t="shared" si="18"/>
        <v>3.2580965380214821</v>
      </c>
      <c r="BB18">
        <f t="shared" si="19"/>
        <v>289</v>
      </c>
      <c r="BC18">
        <v>0</v>
      </c>
      <c r="BD18">
        <v>0</v>
      </c>
      <c r="BE18">
        <v>0</v>
      </c>
      <c r="BF18">
        <v>0</v>
      </c>
      <c r="BG18">
        <v>1</v>
      </c>
      <c r="BH18">
        <v>0</v>
      </c>
      <c r="BI18">
        <v>0</v>
      </c>
      <c r="BJ18">
        <v>0</v>
      </c>
      <c r="BK18">
        <v>0</v>
      </c>
      <c r="BL18">
        <v>0</v>
      </c>
      <c r="BM18">
        <v>0</v>
      </c>
      <c r="BN18">
        <v>0</v>
      </c>
      <c r="BO18">
        <v>1</v>
      </c>
      <c r="BP18">
        <v>0</v>
      </c>
      <c r="BQ18">
        <v>1</v>
      </c>
      <c r="BR18">
        <v>31</v>
      </c>
      <c r="BS18">
        <v>20</v>
      </c>
      <c r="BT18">
        <v>0</v>
      </c>
      <c r="BU18">
        <v>0</v>
      </c>
      <c r="BV18">
        <v>0</v>
      </c>
      <c r="BW18">
        <v>0</v>
      </c>
      <c r="BX18" s="17">
        <f t="shared" si="0"/>
        <v>0</v>
      </c>
      <c r="BY18" s="17">
        <f t="shared" si="1"/>
        <v>0</v>
      </c>
      <c r="BZ18" s="17">
        <f t="shared" si="2"/>
        <v>0</v>
      </c>
      <c r="CA18" s="17">
        <f t="shared" si="3"/>
        <v>0</v>
      </c>
      <c r="CB18" s="17">
        <f t="shared" si="4"/>
        <v>0</v>
      </c>
      <c r="CC18" s="17">
        <f t="shared" si="5"/>
        <v>0</v>
      </c>
      <c r="CD18" s="17">
        <f t="shared" si="6"/>
        <v>0</v>
      </c>
      <c r="CE18" s="17">
        <f t="shared" si="7"/>
        <v>0</v>
      </c>
      <c r="CF18" s="17">
        <f t="shared" si="8"/>
        <v>0</v>
      </c>
      <c r="CG18" s="17">
        <f t="shared" si="9"/>
        <v>0</v>
      </c>
      <c r="CH18" s="17">
        <f t="shared" si="10"/>
        <v>0</v>
      </c>
      <c r="CI18" s="17">
        <f t="shared" si="11"/>
        <v>0</v>
      </c>
      <c r="CJ18" s="17">
        <f t="shared" si="12"/>
        <v>0</v>
      </c>
      <c r="CK18" s="17">
        <f t="shared" si="13"/>
        <v>0</v>
      </c>
    </row>
    <row r="19" spans="1:89" x14ac:dyDescent="0.35">
      <c r="A19" s="1">
        <v>42156</v>
      </c>
      <c r="B19">
        <v>2015</v>
      </c>
      <c r="C19">
        <f t="shared" si="14"/>
        <v>6</v>
      </c>
      <c r="D19" s="4">
        <v>2794070.6933881599</v>
      </c>
      <c r="E19" s="4">
        <f>IFERROR(VLOOKUP($B19-1,CDM!$K$5:$N$19,2,FALSE)/12,0)+IFERROR(VLOOKUP($B19,CDM!$K$35:$N$47,2,FALSE)/24,0)+IFERROR(VLOOKUP($B19,CDM!$K$35:$N$47,2,FALSE)/2*$C19/78,0)</f>
        <v>44469.265824717608</v>
      </c>
      <c r="F19" s="4">
        <f t="shared" si="15"/>
        <v>2838539.9592128773</v>
      </c>
      <c r="G19" s="4">
        <v>1391585.1106421624</v>
      </c>
      <c r="H19" s="4">
        <f>IFERROR(VLOOKUP($B19-1,CDM!$K$5:$N$19,3,FALSE)/12,0)+IFERROR(VLOOKUP($B19,CDM!$K$35:$N$47,3,FALSE)/24,0)+IFERROR(VLOOKUP($B19,CDM!$K$35:$N$47,3,FALSE)/2*$C19/78,0)</f>
        <v>133030.13801152926</v>
      </c>
      <c r="I19" s="4">
        <f t="shared" si="16"/>
        <v>1524615.2486536917</v>
      </c>
      <c r="J19" s="4">
        <v>4562657.1024190756</v>
      </c>
      <c r="K19" s="4">
        <f>IFERROR(VLOOKUP($B19-1,CDM!$K$5:$N$19,4,FALSE)/12,0)+IFERROR(VLOOKUP($B19,CDM!$K$35:$N$47,4,FALSE)/24,0)+IFERROR(VLOOKUP($B19,CDM!$K$35:$N$47,4,FALSE)/2*$C19/78,0)</f>
        <v>57146.16991438999</v>
      </c>
      <c r="L19" s="4">
        <f t="shared" si="17"/>
        <v>4619803.2723334655</v>
      </c>
      <c r="M19" s="4">
        <v>265714</v>
      </c>
      <c r="N19" s="4">
        <v>13681.499999999998</v>
      </c>
      <c r="O19" s="4">
        <v>13130.41</v>
      </c>
      <c r="P19" s="4">
        <v>165</v>
      </c>
      <c r="Q19" s="4">
        <v>5235</v>
      </c>
      <c r="R19" s="4">
        <v>779</v>
      </c>
      <c r="S19" s="4">
        <v>68</v>
      </c>
      <c r="T19" s="4">
        <v>1650</v>
      </c>
      <c r="U19" s="4">
        <v>23</v>
      </c>
      <c r="V19" s="4">
        <f>Weather!D139</f>
        <v>157.9932724020519</v>
      </c>
      <c r="W19" s="4">
        <f>Weather!E139</f>
        <v>1.1500000000000021</v>
      </c>
      <c r="X19" s="4">
        <f>Weather!F139</f>
        <v>105.04743906871853</v>
      </c>
      <c r="Y19" s="4">
        <f>Weather!G139</f>
        <v>8.2041666666666657</v>
      </c>
      <c r="Z19" s="4">
        <f>Weather!H139</f>
        <v>61.272439068718555</v>
      </c>
      <c r="AA19" s="4">
        <f>Weather!I139</f>
        <v>24.429166666666664</v>
      </c>
      <c r="AB19" s="4">
        <f>Weather!J139</f>
        <v>32.180772402051879</v>
      </c>
      <c r="AC19" s="4">
        <f>Weather!K139</f>
        <v>55.337499999999977</v>
      </c>
      <c r="AD19" s="4">
        <f>Weather!L139</f>
        <v>14.268272402051874</v>
      </c>
      <c r="AE19" s="4">
        <f>Weather!M139</f>
        <v>97.424999999999997</v>
      </c>
      <c r="AF19" s="4">
        <f>Weather!N139</f>
        <v>6.6599390687185451</v>
      </c>
      <c r="AG19" s="4">
        <f>Weather!O139</f>
        <v>149.81666666666663</v>
      </c>
      <c r="AH19" s="4">
        <f>Weather!P139</f>
        <v>0.80160573538520907</v>
      </c>
      <c r="AI19" s="4">
        <f>Weather!Q139</f>
        <v>203.95833333333334</v>
      </c>
      <c r="AJ19" s="4">
        <f>Weather!R139</f>
        <v>14.771890919931602</v>
      </c>
      <c r="AK19" s="4">
        <f>'Economic Data'!F21</f>
        <v>727609.6</v>
      </c>
      <c r="AL19" s="4">
        <f>'Economic Data'!G21</f>
        <v>6877.7</v>
      </c>
      <c r="AM19" s="4">
        <f>'Economic Data'!H21</f>
        <v>7729.3</v>
      </c>
      <c r="AN19" s="4">
        <f>'Economic Data'!I21</f>
        <v>10.199999999999999</v>
      </c>
      <c r="AO19" s="4">
        <f>'Economic Data'!J21</f>
        <v>143.30000000000001</v>
      </c>
      <c r="AP19" s="4">
        <f>'Economic Data'!K21</f>
        <v>455</v>
      </c>
      <c r="AQ19" s="4">
        <f>'Economic Data'!L21</f>
        <v>276.7</v>
      </c>
      <c r="AR19" s="4">
        <f>'Economic Data'!M21</f>
        <v>1708.7</v>
      </c>
      <c r="AS19" s="4">
        <f>'Economic Data'!N21</f>
        <v>2868.4</v>
      </c>
      <c r="AT19" s="4">
        <f>'Economic Data'!O21</f>
        <v>723726</v>
      </c>
      <c r="AU19" s="4">
        <f>'Economic Data'!P21</f>
        <v>6925</v>
      </c>
      <c r="AV19" s="4">
        <f>'Economic Data'!Q21</f>
        <v>3860</v>
      </c>
      <c r="AW19" s="4">
        <f>'Economic Data'!R21</f>
        <v>4906</v>
      </c>
      <c r="AX19" s="4">
        <f>'Economic Data'!E21</f>
        <v>6930.1</v>
      </c>
      <c r="AY19" s="4">
        <f>'Economic Data'!D21</f>
        <v>6883.6</v>
      </c>
      <c r="AZ19">
        <v>18</v>
      </c>
      <c r="BA19" s="14">
        <f t="shared" si="18"/>
        <v>3.2958368660043291</v>
      </c>
      <c r="BB19">
        <f t="shared" si="19"/>
        <v>324</v>
      </c>
      <c r="BC19">
        <v>0</v>
      </c>
      <c r="BD19">
        <v>0</v>
      </c>
      <c r="BE19">
        <v>0</v>
      </c>
      <c r="BF19">
        <v>0</v>
      </c>
      <c r="BG19">
        <v>0</v>
      </c>
      <c r="BH19">
        <v>1</v>
      </c>
      <c r="BI19">
        <v>0</v>
      </c>
      <c r="BJ19">
        <v>0</v>
      </c>
      <c r="BK19">
        <v>0</v>
      </c>
      <c r="BL19">
        <v>0</v>
      </c>
      <c r="BM19">
        <v>0</v>
      </c>
      <c r="BN19">
        <v>0</v>
      </c>
      <c r="BO19">
        <v>0</v>
      </c>
      <c r="BP19">
        <v>0</v>
      </c>
      <c r="BQ19">
        <v>0</v>
      </c>
      <c r="BR19">
        <v>30</v>
      </c>
      <c r="BS19">
        <v>22</v>
      </c>
      <c r="BT19">
        <v>0</v>
      </c>
      <c r="BU19">
        <v>0</v>
      </c>
      <c r="BV19">
        <v>0</v>
      </c>
      <c r="BW19">
        <v>0</v>
      </c>
      <c r="BX19" s="17">
        <f t="shared" si="0"/>
        <v>0</v>
      </c>
      <c r="BY19" s="17">
        <f t="shared" si="1"/>
        <v>0</v>
      </c>
      <c r="BZ19" s="17">
        <f t="shared" si="2"/>
        <v>0</v>
      </c>
      <c r="CA19" s="17">
        <f t="shared" si="3"/>
        <v>0</v>
      </c>
      <c r="CB19" s="17">
        <f t="shared" si="4"/>
        <v>0</v>
      </c>
      <c r="CC19" s="17">
        <f t="shared" si="5"/>
        <v>0</v>
      </c>
      <c r="CD19" s="17">
        <f t="shared" si="6"/>
        <v>0</v>
      </c>
      <c r="CE19" s="17">
        <f t="shared" si="7"/>
        <v>0</v>
      </c>
      <c r="CF19" s="17">
        <f t="shared" si="8"/>
        <v>0</v>
      </c>
      <c r="CG19" s="17">
        <f t="shared" si="9"/>
        <v>0</v>
      </c>
      <c r="CH19" s="17">
        <f t="shared" si="10"/>
        <v>0</v>
      </c>
      <c r="CI19" s="17">
        <f t="shared" si="11"/>
        <v>0</v>
      </c>
      <c r="CJ19" s="17">
        <f t="shared" si="12"/>
        <v>0</v>
      </c>
      <c r="CK19" s="17">
        <f t="shared" si="13"/>
        <v>0</v>
      </c>
    </row>
    <row r="20" spans="1:89" x14ac:dyDescent="0.35">
      <c r="A20" s="1">
        <v>42186</v>
      </c>
      <c r="B20">
        <v>2015</v>
      </c>
      <c r="C20">
        <f t="shared" si="14"/>
        <v>7</v>
      </c>
      <c r="D20" s="4">
        <v>2648134.2774044252</v>
      </c>
      <c r="E20" s="4">
        <f>IFERROR(VLOOKUP($B20-1,CDM!$K$5:$N$19,2,FALSE)/12,0)+IFERROR(VLOOKUP($B20,CDM!$K$35:$N$47,2,FALSE)/24,0)+IFERROR(VLOOKUP($B20,CDM!$K$35:$N$47,2,FALSE)/2*$C20/78,0)</f>
        <v>45466.987246683988</v>
      </c>
      <c r="F20" s="4">
        <f t="shared" si="15"/>
        <v>2693601.264651109</v>
      </c>
      <c r="G20" s="4">
        <v>1428344.1682750958</v>
      </c>
      <c r="H20" s="4">
        <f>IFERROR(VLOOKUP($B20-1,CDM!$K$5:$N$19,3,FALSE)/12,0)+IFERROR(VLOOKUP($B20,CDM!$K$35:$N$47,3,FALSE)/24,0)+IFERROR(VLOOKUP($B20,CDM!$K$35:$N$47,3,FALSE)/2*$C20/78,0)</f>
        <v>134973.72593671514</v>
      </c>
      <c r="I20" s="4">
        <f t="shared" si="16"/>
        <v>1563317.894211811</v>
      </c>
      <c r="J20" s="4">
        <v>4651085.789729842</v>
      </c>
      <c r="K20" s="4">
        <f>IFERROR(VLOOKUP($B20-1,CDM!$K$5:$N$19,4,FALSE)/12,0)+IFERROR(VLOOKUP($B20,CDM!$K$35:$N$47,4,FALSE)/24,0)+IFERROR(VLOOKUP($B20,CDM!$K$35:$N$47,4,FALSE)/2*$C20/78,0)</f>
        <v>58975.562286684748</v>
      </c>
      <c r="L20" s="4">
        <f t="shared" si="17"/>
        <v>4710061.3520165263</v>
      </c>
      <c r="M20" s="4">
        <v>44031</v>
      </c>
      <c r="N20" s="4">
        <v>13681.499999999998</v>
      </c>
      <c r="O20" s="4">
        <v>13384.89</v>
      </c>
      <c r="P20" s="4">
        <v>165</v>
      </c>
      <c r="Q20" s="4">
        <v>5255</v>
      </c>
      <c r="R20" s="4">
        <v>779</v>
      </c>
      <c r="S20" s="4">
        <v>74</v>
      </c>
      <c r="T20" s="4">
        <v>1650</v>
      </c>
      <c r="U20" s="4">
        <v>23</v>
      </c>
      <c r="V20" s="4">
        <f>Weather!D140</f>
        <v>72.574018587128251</v>
      </c>
      <c r="W20" s="4">
        <f>Weather!E140</f>
        <v>22.854166666666661</v>
      </c>
      <c r="X20" s="4">
        <f>Weather!F140</f>
        <v>37.511518587128251</v>
      </c>
      <c r="Y20" s="4">
        <f>Weather!G140</f>
        <v>49.791666666666671</v>
      </c>
      <c r="Z20" s="4">
        <f>Weather!H140</f>
        <v>16.965685253794909</v>
      </c>
      <c r="AA20" s="4">
        <f>Weather!I140</f>
        <v>91.245833333333323</v>
      </c>
      <c r="AB20" s="4">
        <f>Weather!J140</f>
        <v>4.8323519204615764</v>
      </c>
      <c r="AC20" s="4">
        <f>Weather!K140</f>
        <v>141.11249999999995</v>
      </c>
      <c r="AD20" s="4">
        <f>Weather!L140</f>
        <v>5.8333333333335347E-2</v>
      </c>
      <c r="AE20" s="4">
        <f>Weather!M140</f>
        <v>198.33848141287172</v>
      </c>
      <c r="AF20" s="4">
        <f>Weather!N140</f>
        <v>0</v>
      </c>
      <c r="AG20" s="4">
        <f>Weather!O140</f>
        <v>260.28014807953844</v>
      </c>
      <c r="AH20" s="4">
        <f>Weather!P140</f>
        <v>0</v>
      </c>
      <c r="AI20" s="4">
        <f>Weather!Q140</f>
        <v>322.28014807953844</v>
      </c>
      <c r="AJ20" s="4">
        <f>Weather!R140</f>
        <v>18.396133809017368</v>
      </c>
      <c r="AK20" s="4">
        <f>'Economic Data'!F22</f>
        <v>727609.6</v>
      </c>
      <c r="AL20" s="4">
        <f>'Economic Data'!G22</f>
        <v>6877.7</v>
      </c>
      <c r="AM20" s="4">
        <f>'Economic Data'!H22</f>
        <v>7729.3</v>
      </c>
      <c r="AN20" s="4">
        <f>'Economic Data'!I22</f>
        <v>10.199999999999999</v>
      </c>
      <c r="AO20" s="4">
        <f>'Economic Data'!J22</f>
        <v>143.30000000000001</v>
      </c>
      <c r="AP20" s="4">
        <f>'Economic Data'!K22</f>
        <v>455</v>
      </c>
      <c r="AQ20" s="4">
        <f>'Economic Data'!L22</f>
        <v>276.7</v>
      </c>
      <c r="AR20" s="4">
        <f>'Economic Data'!M22</f>
        <v>1708.7</v>
      </c>
      <c r="AS20" s="4">
        <f>'Economic Data'!N22</f>
        <v>2868.4</v>
      </c>
      <c r="AT20" s="4">
        <f>'Economic Data'!O22</f>
        <v>730341</v>
      </c>
      <c r="AU20" s="4">
        <f>'Economic Data'!P22</f>
        <v>6908</v>
      </c>
      <c r="AV20" s="4">
        <f>'Economic Data'!Q22</f>
        <v>4033</v>
      </c>
      <c r="AW20" s="4">
        <f>'Economic Data'!R22</f>
        <v>5024</v>
      </c>
      <c r="AX20" s="4">
        <f>'Economic Data'!E22</f>
        <v>6986.1</v>
      </c>
      <c r="AY20" s="4">
        <f>'Economic Data'!D22</f>
        <v>6891.7</v>
      </c>
      <c r="AZ20">
        <v>19</v>
      </c>
      <c r="BA20" s="14">
        <f t="shared" si="18"/>
        <v>3.3322045101752038</v>
      </c>
      <c r="BB20">
        <f t="shared" si="19"/>
        <v>361</v>
      </c>
      <c r="BC20">
        <v>0</v>
      </c>
      <c r="BD20">
        <v>0</v>
      </c>
      <c r="BE20">
        <v>0</v>
      </c>
      <c r="BF20">
        <v>0</v>
      </c>
      <c r="BG20">
        <v>0</v>
      </c>
      <c r="BH20">
        <v>0</v>
      </c>
      <c r="BI20">
        <v>1</v>
      </c>
      <c r="BJ20">
        <v>0</v>
      </c>
      <c r="BK20">
        <v>0</v>
      </c>
      <c r="BL20">
        <v>0</v>
      </c>
      <c r="BM20">
        <v>0</v>
      </c>
      <c r="BN20">
        <v>0</v>
      </c>
      <c r="BO20">
        <v>0</v>
      </c>
      <c r="BP20">
        <v>0</v>
      </c>
      <c r="BQ20">
        <v>0</v>
      </c>
      <c r="BR20">
        <v>31</v>
      </c>
      <c r="BS20">
        <v>22</v>
      </c>
      <c r="BT20">
        <v>0</v>
      </c>
      <c r="BU20">
        <v>0</v>
      </c>
      <c r="BV20">
        <v>0</v>
      </c>
      <c r="BW20">
        <v>0</v>
      </c>
      <c r="BX20" s="17">
        <f t="shared" si="0"/>
        <v>0</v>
      </c>
      <c r="BY20" s="17">
        <f t="shared" si="1"/>
        <v>0</v>
      </c>
      <c r="BZ20" s="17">
        <f t="shared" si="2"/>
        <v>0</v>
      </c>
      <c r="CA20" s="17">
        <f t="shared" si="3"/>
        <v>0</v>
      </c>
      <c r="CB20" s="17">
        <f t="shared" si="4"/>
        <v>0</v>
      </c>
      <c r="CC20" s="17">
        <f t="shared" si="5"/>
        <v>0</v>
      </c>
      <c r="CD20" s="17">
        <f t="shared" si="6"/>
        <v>0</v>
      </c>
      <c r="CE20" s="17">
        <f t="shared" si="7"/>
        <v>0</v>
      </c>
      <c r="CF20" s="17">
        <f t="shared" si="8"/>
        <v>0</v>
      </c>
      <c r="CG20" s="17">
        <f t="shared" si="9"/>
        <v>0</v>
      </c>
      <c r="CH20" s="17">
        <f t="shared" si="10"/>
        <v>0</v>
      </c>
      <c r="CI20" s="17">
        <f t="shared" si="11"/>
        <v>0</v>
      </c>
      <c r="CJ20" s="17">
        <f t="shared" si="12"/>
        <v>0</v>
      </c>
      <c r="CK20" s="17">
        <f t="shared" si="13"/>
        <v>0</v>
      </c>
    </row>
    <row r="21" spans="1:89" x14ac:dyDescent="0.35">
      <c r="A21" s="1">
        <v>42217</v>
      </c>
      <c r="B21">
        <v>2015</v>
      </c>
      <c r="C21">
        <f t="shared" si="14"/>
        <v>8</v>
      </c>
      <c r="D21" s="4">
        <v>2982749.6956322561</v>
      </c>
      <c r="E21" s="4">
        <f>IFERROR(VLOOKUP($B21-1,CDM!$K$5:$N$19,2,FALSE)/12,0)+IFERROR(VLOOKUP($B21,CDM!$K$35:$N$47,2,FALSE)/24,0)+IFERROR(VLOOKUP($B21,CDM!$K$35:$N$47,2,FALSE)/2*$C21/78,0)</f>
        <v>46464.708668650361</v>
      </c>
      <c r="F21" s="4">
        <f t="shared" si="15"/>
        <v>3029214.4043009067</v>
      </c>
      <c r="G21" s="4">
        <v>1551214.4697229925</v>
      </c>
      <c r="H21" s="4">
        <f>IFERROR(VLOOKUP($B21-1,CDM!$K$5:$N$19,3,FALSE)/12,0)+IFERROR(VLOOKUP($B21,CDM!$K$35:$N$47,3,FALSE)/24,0)+IFERROR(VLOOKUP($B21,CDM!$K$35:$N$47,3,FALSE)/2*$C21/78,0)</f>
        <v>136917.31386190103</v>
      </c>
      <c r="I21" s="4">
        <f t="shared" si="16"/>
        <v>1688131.7835848934</v>
      </c>
      <c r="J21" s="4">
        <v>4744883.3972283639</v>
      </c>
      <c r="K21" s="4">
        <f>IFERROR(VLOOKUP($B21-1,CDM!$K$5:$N$19,4,FALSE)/12,0)+IFERROR(VLOOKUP($B21,CDM!$K$35:$N$47,4,FALSE)/24,0)+IFERROR(VLOOKUP($B21,CDM!$K$35:$N$47,4,FALSE)/2*$C21/78,0)</f>
        <v>60804.954658979506</v>
      </c>
      <c r="L21" s="4">
        <f t="shared" si="17"/>
        <v>4805688.3518873435</v>
      </c>
      <c r="M21" s="4">
        <v>46509</v>
      </c>
      <c r="N21" s="4">
        <v>13681.499999999998</v>
      </c>
      <c r="O21" s="4">
        <v>16745.48</v>
      </c>
      <c r="P21" s="4">
        <v>165</v>
      </c>
      <c r="Q21" s="4">
        <v>5245</v>
      </c>
      <c r="R21" s="4">
        <v>779</v>
      </c>
      <c r="S21" s="4">
        <v>74</v>
      </c>
      <c r="T21" s="4">
        <v>1650</v>
      </c>
      <c r="U21" s="4">
        <v>23</v>
      </c>
      <c r="V21" s="4">
        <f>Weather!D141</f>
        <v>102.55000000000001</v>
      </c>
      <c r="W21" s="4">
        <f>Weather!E141</f>
        <v>8.274999999999995</v>
      </c>
      <c r="X21" s="4">
        <f>Weather!F141</f>
        <v>54.945833333333326</v>
      </c>
      <c r="Y21" s="4">
        <f>Weather!G141</f>
        <v>22.670833333333327</v>
      </c>
      <c r="Z21" s="4">
        <f>Weather!H141</f>
        <v>25.15</v>
      </c>
      <c r="AA21" s="4">
        <f>Weather!I141</f>
        <v>54.874999999999979</v>
      </c>
      <c r="AB21" s="4">
        <f>Weather!J141</f>
        <v>7.2833333333333332</v>
      </c>
      <c r="AC21" s="4">
        <f>Weather!K141</f>
        <v>99.008333333333326</v>
      </c>
      <c r="AD21" s="4">
        <f>Weather!L141</f>
        <v>1.9708333333333368</v>
      </c>
      <c r="AE21" s="4">
        <f>Weather!M141</f>
        <v>155.69583333333333</v>
      </c>
      <c r="AF21" s="4">
        <f>Weather!N141</f>
        <v>0</v>
      </c>
      <c r="AG21" s="4">
        <f>Weather!O141</f>
        <v>215.72499999999999</v>
      </c>
      <c r="AH21" s="4">
        <f>Weather!P141</f>
        <v>0</v>
      </c>
      <c r="AI21" s="4">
        <f>Weather!Q141</f>
        <v>277.72499999999997</v>
      </c>
      <c r="AJ21" s="4">
        <f>Weather!R141</f>
        <v>16.958870967741937</v>
      </c>
      <c r="AK21" s="4">
        <f>'Economic Data'!F23</f>
        <v>727609.6</v>
      </c>
      <c r="AL21" s="4">
        <f>'Economic Data'!G23</f>
        <v>6877.7</v>
      </c>
      <c r="AM21" s="4">
        <f>'Economic Data'!H23</f>
        <v>7729.3</v>
      </c>
      <c r="AN21" s="4">
        <f>'Economic Data'!I23</f>
        <v>10.199999999999999</v>
      </c>
      <c r="AO21" s="4">
        <f>'Economic Data'!J23</f>
        <v>143.30000000000001</v>
      </c>
      <c r="AP21" s="4">
        <f>'Economic Data'!K23</f>
        <v>455</v>
      </c>
      <c r="AQ21" s="4">
        <f>'Economic Data'!L23</f>
        <v>276.7</v>
      </c>
      <c r="AR21" s="4">
        <f>'Economic Data'!M23</f>
        <v>1708.7</v>
      </c>
      <c r="AS21" s="4">
        <f>'Economic Data'!N23</f>
        <v>2868.4</v>
      </c>
      <c r="AT21" s="4">
        <f>'Economic Data'!O23</f>
        <v>730341</v>
      </c>
      <c r="AU21" s="4">
        <f>'Economic Data'!P23</f>
        <v>6908</v>
      </c>
      <c r="AV21" s="4">
        <f>'Economic Data'!Q23</f>
        <v>4033</v>
      </c>
      <c r="AW21" s="4">
        <f>'Economic Data'!R23</f>
        <v>5024</v>
      </c>
      <c r="AX21" s="4">
        <f>'Economic Data'!E23</f>
        <v>7000.2</v>
      </c>
      <c r="AY21" s="4">
        <f>'Economic Data'!D23</f>
        <v>6896.8</v>
      </c>
      <c r="AZ21">
        <v>20</v>
      </c>
      <c r="BA21" s="14">
        <f t="shared" si="18"/>
        <v>3.3672958299864741</v>
      </c>
      <c r="BB21">
        <f t="shared" si="19"/>
        <v>400</v>
      </c>
      <c r="BC21">
        <v>0</v>
      </c>
      <c r="BD21">
        <v>0</v>
      </c>
      <c r="BE21">
        <v>0</v>
      </c>
      <c r="BF21">
        <v>0</v>
      </c>
      <c r="BG21">
        <v>0</v>
      </c>
      <c r="BH21">
        <v>0</v>
      </c>
      <c r="BI21">
        <v>0</v>
      </c>
      <c r="BJ21">
        <v>1</v>
      </c>
      <c r="BK21">
        <v>0</v>
      </c>
      <c r="BL21">
        <v>0</v>
      </c>
      <c r="BM21">
        <v>0</v>
      </c>
      <c r="BN21">
        <v>0</v>
      </c>
      <c r="BO21">
        <v>0</v>
      </c>
      <c r="BP21">
        <v>0</v>
      </c>
      <c r="BQ21">
        <v>0</v>
      </c>
      <c r="BR21">
        <v>31</v>
      </c>
      <c r="BS21">
        <v>20</v>
      </c>
      <c r="BT21">
        <v>0</v>
      </c>
      <c r="BU21">
        <v>0</v>
      </c>
      <c r="BV21">
        <v>0</v>
      </c>
      <c r="BW21">
        <v>0</v>
      </c>
      <c r="BX21" s="17">
        <f t="shared" si="0"/>
        <v>0</v>
      </c>
      <c r="BY21" s="17">
        <f t="shared" si="1"/>
        <v>0</v>
      </c>
      <c r="BZ21" s="17">
        <f t="shared" si="2"/>
        <v>0</v>
      </c>
      <c r="CA21" s="17">
        <f t="shared" si="3"/>
        <v>0</v>
      </c>
      <c r="CB21" s="17">
        <f t="shared" si="4"/>
        <v>0</v>
      </c>
      <c r="CC21" s="17">
        <f t="shared" si="5"/>
        <v>0</v>
      </c>
      <c r="CD21" s="17">
        <f t="shared" si="6"/>
        <v>0</v>
      </c>
      <c r="CE21" s="17">
        <f t="shared" si="7"/>
        <v>0</v>
      </c>
      <c r="CF21" s="17">
        <f t="shared" si="8"/>
        <v>0</v>
      </c>
      <c r="CG21" s="17">
        <f t="shared" si="9"/>
        <v>0</v>
      </c>
      <c r="CH21" s="17">
        <f t="shared" si="10"/>
        <v>0</v>
      </c>
      <c r="CI21" s="17">
        <f t="shared" si="11"/>
        <v>0</v>
      </c>
      <c r="CJ21" s="17">
        <f t="shared" si="12"/>
        <v>0</v>
      </c>
      <c r="CK21" s="17">
        <f t="shared" si="13"/>
        <v>0</v>
      </c>
    </row>
    <row r="22" spans="1:89" x14ac:dyDescent="0.35">
      <c r="A22" s="1">
        <v>42248</v>
      </c>
      <c r="B22">
        <v>2015</v>
      </c>
      <c r="C22">
        <f t="shared" si="14"/>
        <v>9</v>
      </c>
      <c r="D22" s="4">
        <v>2860959.1757496055</v>
      </c>
      <c r="E22" s="4">
        <f>IFERROR(VLOOKUP($B22-1,CDM!$K$5:$N$19,2,FALSE)/12,0)+IFERROR(VLOOKUP($B22,CDM!$K$35:$N$47,2,FALSE)/24,0)+IFERROR(VLOOKUP($B22,CDM!$K$35:$N$47,2,FALSE)/2*$C22/78,0)</f>
        <v>47462.430090616734</v>
      </c>
      <c r="F22" s="4">
        <f t="shared" si="15"/>
        <v>2908421.6058402224</v>
      </c>
      <c r="G22" s="4">
        <v>1415732.8736485923</v>
      </c>
      <c r="H22" s="4">
        <f>IFERROR(VLOOKUP($B22-1,CDM!$K$5:$N$19,3,FALSE)/12,0)+IFERROR(VLOOKUP($B22,CDM!$K$35:$N$47,3,FALSE)/24,0)+IFERROR(VLOOKUP($B22,CDM!$K$35:$N$47,3,FALSE)/2*$C22/78,0)</f>
        <v>138860.90178708691</v>
      </c>
      <c r="I22" s="4">
        <f t="shared" si="16"/>
        <v>1554593.7754356791</v>
      </c>
      <c r="J22" s="4">
        <v>4511019.3743154528</v>
      </c>
      <c r="K22" s="4">
        <f>IFERROR(VLOOKUP($B22-1,CDM!$K$5:$N$19,4,FALSE)/12,0)+IFERROR(VLOOKUP($B22,CDM!$K$35:$N$47,4,FALSE)/24,0)+IFERROR(VLOOKUP($B22,CDM!$K$35:$N$47,4,FALSE)/2*$C22/78,0)</f>
        <v>62634.347031274272</v>
      </c>
      <c r="L22" s="4">
        <f t="shared" si="17"/>
        <v>4573653.7213467266</v>
      </c>
      <c r="M22" s="4">
        <v>52485</v>
      </c>
      <c r="N22" s="4">
        <v>13681.499999999998</v>
      </c>
      <c r="O22" s="4">
        <v>12981.81</v>
      </c>
      <c r="P22" s="4">
        <v>165</v>
      </c>
      <c r="Q22" s="4">
        <v>5226</v>
      </c>
      <c r="R22" s="4">
        <v>778</v>
      </c>
      <c r="S22" s="4">
        <v>68</v>
      </c>
      <c r="T22" s="4">
        <v>1650</v>
      </c>
      <c r="U22" s="4">
        <v>23</v>
      </c>
      <c r="V22" s="4">
        <f>Weather!D142</f>
        <v>158.24211056778861</v>
      </c>
      <c r="W22" s="4">
        <f>Weather!E142</f>
        <v>13.362499999999997</v>
      </c>
      <c r="X22" s="4">
        <f>Weather!F142</f>
        <v>114.85044390112195</v>
      </c>
      <c r="Y22" s="4">
        <f>Weather!G142</f>
        <v>29.970833333333335</v>
      </c>
      <c r="Z22" s="4">
        <f>Weather!H142</f>
        <v>79.200443901121943</v>
      </c>
      <c r="AA22" s="4">
        <f>Weather!I142</f>
        <v>54.320833333333326</v>
      </c>
      <c r="AB22" s="4">
        <f>Weather!J142</f>
        <v>50.910729507909807</v>
      </c>
      <c r="AC22" s="4">
        <f>Weather!K142</f>
        <v>86.031118940121203</v>
      </c>
      <c r="AD22" s="4">
        <f>Weather!L142</f>
        <v>31.310729507909812</v>
      </c>
      <c r="AE22" s="4">
        <f>Weather!M142</f>
        <v>126.43111894012118</v>
      </c>
      <c r="AF22" s="4">
        <f>Weather!N142</f>
        <v>16.877396174576482</v>
      </c>
      <c r="AG22" s="4">
        <f>Weather!O142</f>
        <v>171.99778560678789</v>
      </c>
      <c r="AH22" s="4">
        <f>Weather!P142</f>
        <v>5.876931168876605</v>
      </c>
      <c r="AI22" s="4">
        <f>Weather!Q142</f>
        <v>220.99732060108801</v>
      </c>
      <c r="AJ22" s="4">
        <f>Weather!R142</f>
        <v>15.170679647740378</v>
      </c>
      <c r="AK22" s="4">
        <f>'Economic Data'!F24</f>
        <v>727609.6</v>
      </c>
      <c r="AL22" s="4">
        <f>'Economic Data'!G24</f>
        <v>6877.7</v>
      </c>
      <c r="AM22" s="4">
        <f>'Economic Data'!H24</f>
        <v>7729.3</v>
      </c>
      <c r="AN22" s="4">
        <f>'Economic Data'!I24</f>
        <v>10.199999999999999</v>
      </c>
      <c r="AO22" s="4">
        <f>'Economic Data'!J24</f>
        <v>143.30000000000001</v>
      </c>
      <c r="AP22" s="4">
        <f>'Economic Data'!K24</f>
        <v>455</v>
      </c>
      <c r="AQ22" s="4">
        <f>'Economic Data'!L24</f>
        <v>276.7</v>
      </c>
      <c r="AR22" s="4">
        <f>'Economic Data'!M24</f>
        <v>1708.7</v>
      </c>
      <c r="AS22" s="4">
        <f>'Economic Data'!N24</f>
        <v>2868.4</v>
      </c>
      <c r="AT22" s="4">
        <f>'Economic Data'!O24</f>
        <v>730341</v>
      </c>
      <c r="AU22" s="4">
        <f>'Economic Data'!P24</f>
        <v>6908</v>
      </c>
      <c r="AV22" s="4">
        <f>'Economic Data'!Q24</f>
        <v>4033</v>
      </c>
      <c r="AW22" s="4">
        <f>'Economic Data'!R24</f>
        <v>5024</v>
      </c>
      <c r="AX22" s="4">
        <f>'Economic Data'!E24</f>
        <v>6953.7</v>
      </c>
      <c r="AY22" s="4">
        <f>'Economic Data'!D24</f>
        <v>6893.1</v>
      </c>
      <c r="AZ22">
        <v>21</v>
      </c>
      <c r="BA22" s="14">
        <f t="shared" si="18"/>
        <v>3.4011973816621555</v>
      </c>
      <c r="BB22">
        <f t="shared" si="19"/>
        <v>441</v>
      </c>
      <c r="BC22">
        <v>0</v>
      </c>
      <c r="BD22">
        <v>0</v>
      </c>
      <c r="BE22">
        <v>0</v>
      </c>
      <c r="BF22">
        <v>0</v>
      </c>
      <c r="BG22">
        <v>0</v>
      </c>
      <c r="BH22">
        <v>0</v>
      </c>
      <c r="BI22">
        <v>0</v>
      </c>
      <c r="BJ22">
        <v>0</v>
      </c>
      <c r="BK22">
        <v>1</v>
      </c>
      <c r="BL22">
        <v>0</v>
      </c>
      <c r="BM22">
        <v>0</v>
      </c>
      <c r="BN22">
        <v>0</v>
      </c>
      <c r="BO22">
        <v>0</v>
      </c>
      <c r="BP22">
        <v>0</v>
      </c>
      <c r="BQ22">
        <v>0</v>
      </c>
      <c r="BR22">
        <v>30</v>
      </c>
      <c r="BS22">
        <v>21</v>
      </c>
      <c r="BT22">
        <v>0</v>
      </c>
      <c r="BU22">
        <v>0</v>
      </c>
      <c r="BV22">
        <v>0</v>
      </c>
      <c r="BW22">
        <v>0</v>
      </c>
      <c r="BX22" s="17">
        <f t="shared" si="0"/>
        <v>0</v>
      </c>
      <c r="BY22" s="17">
        <f t="shared" si="1"/>
        <v>0</v>
      </c>
      <c r="BZ22" s="17">
        <f t="shared" si="2"/>
        <v>0</v>
      </c>
      <c r="CA22" s="17">
        <f t="shared" si="3"/>
        <v>0</v>
      </c>
      <c r="CB22" s="17">
        <f t="shared" si="4"/>
        <v>0</v>
      </c>
      <c r="CC22" s="17">
        <f t="shared" si="5"/>
        <v>0</v>
      </c>
      <c r="CD22" s="17">
        <f t="shared" si="6"/>
        <v>0</v>
      </c>
      <c r="CE22" s="17">
        <f t="shared" si="7"/>
        <v>0</v>
      </c>
      <c r="CF22" s="17">
        <f t="shared" si="8"/>
        <v>0</v>
      </c>
      <c r="CG22" s="17">
        <f t="shared" si="9"/>
        <v>0</v>
      </c>
      <c r="CH22" s="17">
        <f t="shared" si="10"/>
        <v>0</v>
      </c>
      <c r="CI22" s="17">
        <f t="shared" si="11"/>
        <v>0</v>
      </c>
      <c r="CJ22" s="17">
        <f t="shared" si="12"/>
        <v>0</v>
      </c>
      <c r="CK22" s="17">
        <f t="shared" si="13"/>
        <v>0</v>
      </c>
    </row>
    <row r="23" spans="1:89" x14ac:dyDescent="0.35">
      <c r="A23" s="1">
        <v>42278</v>
      </c>
      <c r="B23">
        <v>2015</v>
      </c>
      <c r="C23">
        <f t="shared" si="14"/>
        <v>10</v>
      </c>
      <c r="D23" s="4">
        <v>2776228.0312123247</v>
      </c>
      <c r="E23" s="4">
        <f>IFERROR(VLOOKUP($B23-1,CDM!$K$5:$N$19,2,FALSE)/12,0)+IFERROR(VLOOKUP($B23,CDM!$K$35:$N$47,2,FALSE)/24,0)+IFERROR(VLOOKUP($B23,CDM!$K$35:$N$47,2,FALSE)/2*$C23/78,0)</f>
        <v>48460.151512583107</v>
      </c>
      <c r="F23" s="4">
        <f t="shared" si="15"/>
        <v>2824688.182724908</v>
      </c>
      <c r="G23" s="4">
        <v>1389040.8505786688</v>
      </c>
      <c r="H23" s="4">
        <f>IFERROR(VLOOKUP($B23-1,CDM!$K$5:$N$19,3,FALSE)/12,0)+IFERROR(VLOOKUP($B23,CDM!$K$35:$N$47,3,FALSE)/24,0)+IFERROR(VLOOKUP($B23,CDM!$K$35:$N$47,3,FALSE)/2*$C23/78,0)</f>
        <v>140804.4897122728</v>
      </c>
      <c r="I23" s="4">
        <f t="shared" si="16"/>
        <v>1529845.3402909415</v>
      </c>
      <c r="J23" s="4">
        <v>4573249.4057824416</v>
      </c>
      <c r="K23" s="4">
        <f>IFERROR(VLOOKUP($B23-1,CDM!$K$5:$N$19,4,FALSE)/12,0)+IFERROR(VLOOKUP($B23,CDM!$K$35:$N$47,4,FALSE)/24,0)+IFERROR(VLOOKUP($B23,CDM!$K$35:$N$47,4,FALSE)/2*$C23/78,0)</f>
        <v>64463.739403569023</v>
      </c>
      <c r="L23" s="4">
        <f t="shared" si="17"/>
        <v>4637713.1451860107</v>
      </c>
      <c r="M23" s="4">
        <v>55932</v>
      </c>
      <c r="N23" s="4">
        <v>13681.499999999998</v>
      </c>
      <c r="O23" s="4">
        <v>13160.89</v>
      </c>
      <c r="P23" s="4">
        <v>165</v>
      </c>
      <c r="Q23" s="4">
        <v>5212</v>
      </c>
      <c r="R23" s="4">
        <v>777</v>
      </c>
      <c r="S23" s="4">
        <v>65</v>
      </c>
      <c r="T23" s="4">
        <v>1650</v>
      </c>
      <c r="U23" s="4">
        <v>23</v>
      </c>
      <c r="V23" s="4">
        <f>Weather!D143</f>
        <v>514.48891612167768</v>
      </c>
      <c r="W23" s="4">
        <f>Weather!E143</f>
        <v>0</v>
      </c>
      <c r="X23" s="4">
        <f>Weather!F143</f>
        <v>452.48891612167768</v>
      </c>
      <c r="Y23" s="4">
        <f>Weather!G143</f>
        <v>0</v>
      </c>
      <c r="Z23" s="4">
        <f>Weather!H143</f>
        <v>390.48891612167762</v>
      </c>
      <c r="AA23" s="4">
        <f>Weather!I143</f>
        <v>0</v>
      </c>
      <c r="AB23" s="4">
        <f>Weather!J143</f>
        <v>328.75141612167755</v>
      </c>
      <c r="AC23" s="4">
        <f>Weather!K143</f>
        <v>0.26249999999999574</v>
      </c>
      <c r="AD23" s="4">
        <f>Weather!L143</f>
        <v>270.03891612167757</v>
      </c>
      <c r="AE23" s="4">
        <f>Weather!M143</f>
        <v>3.5499999999999972</v>
      </c>
      <c r="AF23" s="4">
        <f>Weather!N143</f>
        <v>212.50558278834421</v>
      </c>
      <c r="AG23" s="4">
        <f>Weather!O143</f>
        <v>8.0166666666666639</v>
      </c>
      <c r="AH23" s="4">
        <f>Weather!P143</f>
        <v>156.80974945501092</v>
      </c>
      <c r="AI23" s="4">
        <f>Weather!Q143</f>
        <v>14.320833333333331</v>
      </c>
      <c r="AJ23" s="4">
        <f>Weather!R143</f>
        <v>3.403583350913626</v>
      </c>
      <c r="AK23" s="4">
        <f>'Economic Data'!F25</f>
        <v>727609.6</v>
      </c>
      <c r="AL23" s="4">
        <f>'Economic Data'!G25</f>
        <v>6877.7</v>
      </c>
      <c r="AM23" s="4">
        <f>'Economic Data'!H25</f>
        <v>7729.3</v>
      </c>
      <c r="AN23" s="4">
        <f>'Economic Data'!I25</f>
        <v>10.199999999999999</v>
      </c>
      <c r="AO23" s="4">
        <f>'Economic Data'!J25</f>
        <v>143.30000000000001</v>
      </c>
      <c r="AP23" s="4">
        <f>'Economic Data'!K25</f>
        <v>455</v>
      </c>
      <c r="AQ23" s="4">
        <f>'Economic Data'!L25</f>
        <v>276.7</v>
      </c>
      <c r="AR23" s="4">
        <f>'Economic Data'!M25</f>
        <v>1708.7</v>
      </c>
      <c r="AS23" s="4">
        <f>'Economic Data'!N25</f>
        <v>2868.4</v>
      </c>
      <c r="AT23" s="4">
        <f>'Economic Data'!O25</f>
        <v>737784</v>
      </c>
      <c r="AU23" s="4">
        <f>'Economic Data'!P25</f>
        <v>6947</v>
      </c>
      <c r="AV23" s="4">
        <f>'Economic Data'!Q25</f>
        <v>4047</v>
      </c>
      <c r="AW23" s="4">
        <f>'Economic Data'!R25</f>
        <v>5216</v>
      </c>
      <c r="AX23" s="4">
        <f>'Economic Data'!E25</f>
        <v>6932.8</v>
      </c>
      <c r="AY23" s="4">
        <f>'Economic Data'!D25</f>
        <v>6892.9</v>
      </c>
      <c r="AZ23">
        <v>22</v>
      </c>
      <c r="BA23" s="14">
        <f t="shared" si="18"/>
        <v>3.4339872044851463</v>
      </c>
      <c r="BB23">
        <f t="shared" si="19"/>
        <v>484</v>
      </c>
      <c r="BC23">
        <v>0</v>
      </c>
      <c r="BD23">
        <v>0</v>
      </c>
      <c r="BE23">
        <v>0</v>
      </c>
      <c r="BF23">
        <v>0</v>
      </c>
      <c r="BG23">
        <v>0</v>
      </c>
      <c r="BH23">
        <v>0</v>
      </c>
      <c r="BI23">
        <v>0</v>
      </c>
      <c r="BJ23">
        <v>0</v>
      </c>
      <c r="BK23">
        <v>0</v>
      </c>
      <c r="BL23">
        <v>1</v>
      </c>
      <c r="BM23">
        <v>0</v>
      </c>
      <c r="BN23">
        <v>0</v>
      </c>
      <c r="BO23">
        <v>0</v>
      </c>
      <c r="BP23">
        <v>1</v>
      </c>
      <c r="BQ23">
        <v>1</v>
      </c>
      <c r="BR23">
        <v>31</v>
      </c>
      <c r="BS23">
        <v>21</v>
      </c>
      <c r="BT23">
        <v>0</v>
      </c>
      <c r="BU23">
        <v>0</v>
      </c>
      <c r="BV23">
        <v>0</v>
      </c>
      <c r="BW23">
        <v>0</v>
      </c>
      <c r="BX23" s="17">
        <f t="shared" si="0"/>
        <v>0</v>
      </c>
      <c r="BY23" s="17">
        <f t="shared" si="1"/>
        <v>0</v>
      </c>
      <c r="BZ23" s="17">
        <f t="shared" si="2"/>
        <v>0</v>
      </c>
      <c r="CA23" s="17">
        <f t="shared" si="3"/>
        <v>0</v>
      </c>
      <c r="CB23" s="17">
        <f t="shared" si="4"/>
        <v>0</v>
      </c>
      <c r="CC23" s="17">
        <f t="shared" si="5"/>
        <v>0</v>
      </c>
      <c r="CD23" s="17">
        <f t="shared" si="6"/>
        <v>0</v>
      </c>
      <c r="CE23" s="17">
        <f t="shared" si="7"/>
        <v>0</v>
      </c>
      <c r="CF23" s="17">
        <f t="shared" si="8"/>
        <v>0</v>
      </c>
      <c r="CG23" s="17">
        <f t="shared" si="9"/>
        <v>0</v>
      </c>
      <c r="CH23" s="17">
        <f t="shared" si="10"/>
        <v>0</v>
      </c>
      <c r="CI23" s="17">
        <f t="shared" si="11"/>
        <v>0</v>
      </c>
      <c r="CJ23" s="17">
        <f t="shared" si="12"/>
        <v>0</v>
      </c>
      <c r="CK23" s="17">
        <f t="shared" si="13"/>
        <v>0</v>
      </c>
    </row>
    <row r="24" spans="1:89" x14ac:dyDescent="0.35">
      <c r="A24" s="1">
        <v>42309</v>
      </c>
      <c r="B24">
        <v>2015</v>
      </c>
      <c r="C24">
        <f t="shared" si="14"/>
        <v>11</v>
      </c>
      <c r="D24" s="4">
        <v>3126411.0271831909</v>
      </c>
      <c r="E24" s="4">
        <f>IFERROR(VLOOKUP($B24-1,CDM!$K$5:$N$19,2,FALSE)/12,0)+IFERROR(VLOOKUP($B24,CDM!$K$35:$N$47,2,FALSE)/24,0)+IFERROR(VLOOKUP($B24,CDM!$K$35:$N$47,2,FALSE)/2*$C24/78,0)</f>
        <v>49457.872934549487</v>
      </c>
      <c r="F24" s="4">
        <f t="shared" si="15"/>
        <v>3175868.9001177405</v>
      </c>
      <c r="G24" s="4">
        <v>1488173.1349883142</v>
      </c>
      <c r="H24" s="4">
        <f>IFERROR(VLOOKUP($B24-1,CDM!$K$5:$N$19,3,FALSE)/12,0)+IFERROR(VLOOKUP($B24,CDM!$K$35:$N$47,3,FALSE)/24,0)+IFERROR(VLOOKUP($B24,CDM!$K$35:$N$47,3,FALSE)/2*$C24/78,0)</f>
        <v>142748.07763745869</v>
      </c>
      <c r="I24" s="4">
        <f t="shared" si="16"/>
        <v>1630921.2126257729</v>
      </c>
      <c r="J24" s="4">
        <v>4934513.1399088856</v>
      </c>
      <c r="K24" s="4">
        <f>IFERROR(VLOOKUP($B24-1,CDM!$K$5:$N$19,4,FALSE)/12,0)+IFERROR(VLOOKUP($B24,CDM!$K$35:$N$47,4,FALSE)/24,0)+IFERROR(VLOOKUP($B24,CDM!$K$35:$N$47,4,FALSE)/2*$C24/78,0)</f>
        <v>66293.131775863789</v>
      </c>
      <c r="L24" s="4">
        <f t="shared" si="17"/>
        <v>5000806.2716847491</v>
      </c>
      <c r="M24" s="4">
        <v>65982</v>
      </c>
      <c r="N24" s="4">
        <v>13681.499999999998</v>
      </c>
      <c r="O24" s="4">
        <v>14200.54</v>
      </c>
      <c r="P24" s="4">
        <v>165</v>
      </c>
      <c r="Q24" s="4">
        <v>5205</v>
      </c>
      <c r="R24" s="4">
        <v>775</v>
      </c>
      <c r="S24" s="4">
        <v>65</v>
      </c>
      <c r="T24" s="4">
        <v>1650</v>
      </c>
      <c r="U24" s="4">
        <v>23</v>
      </c>
      <c r="V24" s="4">
        <f>Weather!D144</f>
        <v>593.98749999999984</v>
      </c>
      <c r="W24" s="4">
        <f>Weather!E144</f>
        <v>0</v>
      </c>
      <c r="X24" s="4">
        <f>Weather!F144</f>
        <v>533.98749999999995</v>
      </c>
      <c r="Y24" s="4">
        <f>Weather!G144</f>
        <v>0</v>
      </c>
      <c r="Z24" s="4">
        <f>Weather!H144</f>
        <v>473.98749999999995</v>
      </c>
      <c r="AA24" s="4">
        <f>Weather!I144</f>
        <v>0</v>
      </c>
      <c r="AB24" s="4">
        <f>Weather!J144</f>
        <v>413.98749999999995</v>
      </c>
      <c r="AC24" s="4">
        <f>Weather!K144</f>
        <v>0</v>
      </c>
      <c r="AD24" s="4">
        <f>Weather!L144</f>
        <v>354.19166666666661</v>
      </c>
      <c r="AE24" s="4">
        <f>Weather!M144</f>
        <v>0.20416666666666394</v>
      </c>
      <c r="AF24" s="4">
        <f>Weather!N144</f>
        <v>296.19166666666666</v>
      </c>
      <c r="AG24" s="4">
        <f>Weather!O144</f>
        <v>2.2041666666666639</v>
      </c>
      <c r="AH24" s="4">
        <f>Weather!P144</f>
        <v>238.80416666666665</v>
      </c>
      <c r="AI24" s="4">
        <f>Weather!Q144</f>
        <v>4.8166666666666629</v>
      </c>
      <c r="AJ24" s="4">
        <f>Weather!R144</f>
        <v>0.20041666666666599</v>
      </c>
      <c r="AK24" s="4">
        <f>'Economic Data'!F26</f>
        <v>727609.6</v>
      </c>
      <c r="AL24" s="4">
        <f>'Economic Data'!G26</f>
        <v>6877.7</v>
      </c>
      <c r="AM24" s="4">
        <f>'Economic Data'!H26</f>
        <v>7729.3</v>
      </c>
      <c r="AN24" s="4">
        <f>'Economic Data'!I26</f>
        <v>10.199999999999999</v>
      </c>
      <c r="AO24" s="4">
        <f>'Economic Data'!J26</f>
        <v>143.30000000000001</v>
      </c>
      <c r="AP24" s="4">
        <f>'Economic Data'!K26</f>
        <v>455</v>
      </c>
      <c r="AQ24" s="4">
        <f>'Economic Data'!L26</f>
        <v>276.7</v>
      </c>
      <c r="AR24" s="4">
        <f>'Economic Data'!M26</f>
        <v>1708.7</v>
      </c>
      <c r="AS24" s="4">
        <f>'Economic Data'!N26</f>
        <v>2868.4</v>
      </c>
      <c r="AT24" s="4">
        <f>'Economic Data'!O26</f>
        <v>737784</v>
      </c>
      <c r="AU24" s="4">
        <f>'Economic Data'!P26</f>
        <v>6947</v>
      </c>
      <c r="AV24" s="4">
        <f>'Economic Data'!Q26</f>
        <v>4047</v>
      </c>
      <c r="AW24" s="4">
        <f>'Economic Data'!R26</f>
        <v>5216</v>
      </c>
      <c r="AX24" s="4">
        <f>'Economic Data'!E26</f>
        <v>6898.2</v>
      </c>
      <c r="AY24" s="4">
        <f>'Economic Data'!D26</f>
        <v>6886.2</v>
      </c>
      <c r="AZ24">
        <v>23</v>
      </c>
      <c r="BA24" s="14">
        <f t="shared" si="18"/>
        <v>3.4657359027997265</v>
      </c>
      <c r="BB24">
        <f t="shared" si="19"/>
        <v>529</v>
      </c>
      <c r="BC24">
        <v>0</v>
      </c>
      <c r="BD24">
        <v>0</v>
      </c>
      <c r="BE24">
        <v>0</v>
      </c>
      <c r="BF24">
        <v>0</v>
      </c>
      <c r="BG24">
        <v>0</v>
      </c>
      <c r="BH24">
        <v>0</v>
      </c>
      <c r="BI24">
        <v>0</v>
      </c>
      <c r="BJ24">
        <v>0</v>
      </c>
      <c r="BK24">
        <v>0</v>
      </c>
      <c r="BL24">
        <v>0</v>
      </c>
      <c r="BM24">
        <v>1</v>
      </c>
      <c r="BN24">
        <v>0</v>
      </c>
      <c r="BO24">
        <v>0</v>
      </c>
      <c r="BP24">
        <v>1</v>
      </c>
      <c r="BQ24">
        <v>1</v>
      </c>
      <c r="BR24">
        <v>30</v>
      </c>
      <c r="BS24">
        <v>21</v>
      </c>
      <c r="BT24">
        <v>0</v>
      </c>
      <c r="BU24">
        <v>0</v>
      </c>
      <c r="BV24">
        <v>0</v>
      </c>
      <c r="BW24">
        <v>0</v>
      </c>
      <c r="BX24" s="17">
        <f t="shared" si="0"/>
        <v>0</v>
      </c>
      <c r="BY24" s="17">
        <f t="shared" si="1"/>
        <v>0</v>
      </c>
      <c r="BZ24" s="17">
        <f t="shared" si="2"/>
        <v>0</v>
      </c>
      <c r="CA24" s="17">
        <f t="shared" si="3"/>
        <v>0</v>
      </c>
      <c r="CB24" s="17">
        <f t="shared" si="4"/>
        <v>0</v>
      </c>
      <c r="CC24" s="17">
        <f t="shared" si="5"/>
        <v>0</v>
      </c>
      <c r="CD24" s="17">
        <f t="shared" si="6"/>
        <v>0</v>
      </c>
      <c r="CE24" s="17">
        <f t="shared" si="7"/>
        <v>0</v>
      </c>
      <c r="CF24" s="17">
        <f t="shared" si="8"/>
        <v>0</v>
      </c>
      <c r="CG24" s="17">
        <f t="shared" si="9"/>
        <v>0</v>
      </c>
      <c r="CH24" s="17">
        <f t="shared" si="10"/>
        <v>0</v>
      </c>
      <c r="CI24" s="17">
        <f t="shared" si="11"/>
        <v>0</v>
      </c>
      <c r="CJ24" s="17">
        <f t="shared" si="12"/>
        <v>0</v>
      </c>
      <c r="CK24" s="17">
        <f t="shared" si="13"/>
        <v>0</v>
      </c>
    </row>
    <row r="25" spans="1:89" x14ac:dyDescent="0.35">
      <c r="A25" s="1">
        <v>42339</v>
      </c>
      <c r="B25">
        <v>2015</v>
      </c>
      <c r="C25">
        <f t="shared" si="14"/>
        <v>12</v>
      </c>
      <c r="D25" s="4">
        <v>3289901.0946170115</v>
      </c>
      <c r="E25" s="4">
        <f>IFERROR(VLOOKUP($B25-1,CDM!$K$5:$N$19,2,FALSE)/12,0)+IFERROR(VLOOKUP($B25,CDM!$K$35:$N$47,2,FALSE)/24,0)+IFERROR(VLOOKUP($B25,CDM!$K$35:$N$47,2,FALSE)/2*$C25/78,0)</f>
        <v>50455.59435651586</v>
      </c>
      <c r="F25" s="4">
        <f t="shared" si="15"/>
        <v>3340356.6889735274</v>
      </c>
      <c r="G25" s="4">
        <v>1551820.005636557</v>
      </c>
      <c r="H25" s="4">
        <f>IFERROR(VLOOKUP($B25-1,CDM!$K$5:$N$19,3,FALSE)/12,0)+IFERROR(VLOOKUP($B25,CDM!$K$35:$N$47,3,FALSE)/24,0)+IFERROR(VLOOKUP($B25,CDM!$K$35:$N$47,3,FALSE)/2*$C25/78,0)</f>
        <v>144691.6655626446</v>
      </c>
      <c r="I25" s="4">
        <f t="shared" si="16"/>
        <v>1696511.6711992016</v>
      </c>
      <c r="J25" s="4">
        <v>5095290.6683461107</v>
      </c>
      <c r="K25" s="4">
        <f>IFERROR(VLOOKUP($B25-1,CDM!$K$5:$N$19,4,FALSE)/12,0)+IFERROR(VLOOKUP($B25,CDM!$K$35:$N$47,4,FALSE)/24,0)+IFERROR(VLOOKUP($B25,CDM!$K$35:$N$47,4,FALSE)/2*$C25/78,0)</f>
        <v>68122.524148158554</v>
      </c>
      <c r="L25" s="4">
        <f t="shared" si="17"/>
        <v>5163413.1924942695</v>
      </c>
      <c r="M25" s="4">
        <v>-85745</v>
      </c>
      <c r="N25" s="4">
        <v>13681.499999999998</v>
      </c>
      <c r="O25" s="4">
        <v>15317.11</v>
      </c>
      <c r="P25" s="4">
        <v>165</v>
      </c>
      <c r="Q25" s="4">
        <v>5219</v>
      </c>
      <c r="R25" s="4">
        <v>777</v>
      </c>
      <c r="S25" s="4">
        <v>71</v>
      </c>
      <c r="T25" s="4">
        <v>1650</v>
      </c>
      <c r="U25" s="4">
        <v>23</v>
      </c>
      <c r="V25" s="4">
        <f>Weather!D145</f>
        <v>775.28750000000002</v>
      </c>
      <c r="W25" s="4">
        <f>Weather!E145</f>
        <v>0</v>
      </c>
      <c r="X25" s="4">
        <f>Weather!F145</f>
        <v>713.28750000000002</v>
      </c>
      <c r="Y25" s="4">
        <f>Weather!G145</f>
        <v>0</v>
      </c>
      <c r="Z25" s="4">
        <f>Weather!H145</f>
        <v>651.28750000000002</v>
      </c>
      <c r="AA25" s="4">
        <f>Weather!I145</f>
        <v>0</v>
      </c>
      <c r="AB25" s="4">
        <f>Weather!J145</f>
        <v>589.28749999999991</v>
      </c>
      <c r="AC25" s="4">
        <f>Weather!K145</f>
        <v>0</v>
      </c>
      <c r="AD25" s="4">
        <f>Weather!L145</f>
        <v>527.28750000000002</v>
      </c>
      <c r="AE25" s="4">
        <f>Weather!M145</f>
        <v>0</v>
      </c>
      <c r="AF25" s="4">
        <f>Weather!N145</f>
        <v>465.28749999999997</v>
      </c>
      <c r="AG25" s="4">
        <f>Weather!O145</f>
        <v>0</v>
      </c>
      <c r="AH25" s="4">
        <f>Weather!P145</f>
        <v>403.28749999999997</v>
      </c>
      <c r="AI25" s="4">
        <f>Weather!Q145</f>
        <v>0</v>
      </c>
      <c r="AJ25" s="4">
        <f>Weather!R145</f>
        <v>-5.0092741935483875</v>
      </c>
      <c r="AK25" s="4">
        <f>'Economic Data'!F27</f>
        <v>727609.6</v>
      </c>
      <c r="AL25" s="4">
        <f>'Economic Data'!G27</f>
        <v>6877.7</v>
      </c>
      <c r="AM25" s="4">
        <f>'Economic Data'!H27</f>
        <v>7729.3</v>
      </c>
      <c r="AN25" s="4">
        <f>'Economic Data'!I27</f>
        <v>10.199999999999999</v>
      </c>
      <c r="AO25" s="4">
        <f>'Economic Data'!J27</f>
        <v>143.30000000000001</v>
      </c>
      <c r="AP25" s="4">
        <f>'Economic Data'!K27</f>
        <v>455</v>
      </c>
      <c r="AQ25" s="4">
        <f>'Economic Data'!L27</f>
        <v>276.7</v>
      </c>
      <c r="AR25" s="4">
        <f>'Economic Data'!M27</f>
        <v>1708.7</v>
      </c>
      <c r="AS25" s="4">
        <f>'Economic Data'!N27</f>
        <v>2868.4</v>
      </c>
      <c r="AT25" s="4">
        <f>'Economic Data'!O27</f>
        <v>737784</v>
      </c>
      <c r="AU25" s="4">
        <f>'Economic Data'!P27</f>
        <v>6947</v>
      </c>
      <c r="AV25" s="4">
        <f>'Economic Data'!Q27</f>
        <v>4047</v>
      </c>
      <c r="AW25" s="4">
        <f>'Economic Data'!R27</f>
        <v>5216</v>
      </c>
      <c r="AX25" s="4">
        <f>'Economic Data'!E27</f>
        <v>6902.3</v>
      </c>
      <c r="AY25" s="4">
        <f>'Economic Data'!D27</f>
        <v>6895.6</v>
      </c>
      <c r="AZ25">
        <v>24</v>
      </c>
      <c r="BA25" s="14">
        <f t="shared" si="18"/>
        <v>3.4965075614664802</v>
      </c>
      <c r="BB25">
        <f t="shared" si="19"/>
        <v>576</v>
      </c>
      <c r="BC25">
        <v>0</v>
      </c>
      <c r="BD25">
        <v>0</v>
      </c>
      <c r="BE25">
        <v>0</v>
      </c>
      <c r="BF25">
        <v>0</v>
      </c>
      <c r="BG25">
        <v>0</v>
      </c>
      <c r="BH25">
        <v>0</v>
      </c>
      <c r="BI25">
        <v>0</v>
      </c>
      <c r="BJ25">
        <v>0</v>
      </c>
      <c r="BK25">
        <v>0</v>
      </c>
      <c r="BL25">
        <v>0</v>
      </c>
      <c r="BM25">
        <v>0</v>
      </c>
      <c r="BN25">
        <v>1</v>
      </c>
      <c r="BO25">
        <v>0</v>
      </c>
      <c r="BP25">
        <v>0</v>
      </c>
      <c r="BQ25">
        <v>0</v>
      </c>
      <c r="BR25">
        <v>31</v>
      </c>
      <c r="BS25">
        <v>21</v>
      </c>
      <c r="BT25">
        <v>0</v>
      </c>
      <c r="BU25">
        <v>0</v>
      </c>
      <c r="BV25">
        <v>0</v>
      </c>
      <c r="BW25">
        <v>0</v>
      </c>
      <c r="BX25" s="17">
        <f t="shared" si="0"/>
        <v>0</v>
      </c>
      <c r="BY25" s="17">
        <f t="shared" si="1"/>
        <v>0</v>
      </c>
      <c r="BZ25" s="17">
        <f t="shared" si="2"/>
        <v>0</v>
      </c>
      <c r="CA25" s="17">
        <f t="shared" si="3"/>
        <v>0</v>
      </c>
      <c r="CB25" s="17">
        <f t="shared" si="4"/>
        <v>0</v>
      </c>
      <c r="CC25" s="17">
        <f t="shared" si="5"/>
        <v>0</v>
      </c>
      <c r="CD25" s="17">
        <f t="shared" si="6"/>
        <v>0</v>
      </c>
      <c r="CE25" s="17">
        <f t="shared" si="7"/>
        <v>0</v>
      </c>
      <c r="CF25" s="17">
        <f t="shared" si="8"/>
        <v>0</v>
      </c>
      <c r="CG25" s="17">
        <f t="shared" si="9"/>
        <v>0</v>
      </c>
      <c r="CH25" s="17">
        <f t="shared" si="10"/>
        <v>0</v>
      </c>
      <c r="CI25" s="17">
        <f t="shared" si="11"/>
        <v>0</v>
      </c>
      <c r="CJ25" s="17">
        <f t="shared" si="12"/>
        <v>0</v>
      </c>
      <c r="CK25" s="17">
        <f t="shared" si="13"/>
        <v>0</v>
      </c>
    </row>
    <row r="26" spans="1:89" x14ac:dyDescent="0.35">
      <c r="A26" s="1">
        <v>42370</v>
      </c>
      <c r="B26">
        <v>2016</v>
      </c>
      <c r="C26">
        <f t="shared" si="14"/>
        <v>1</v>
      </c>
      <c r="D26" s="4">
        <v>3915857.0426255353</v>
      </c>
      <c r="E26" s="4">
        <f>IFERROR(VLOOKUP($B26-1,CDM!$K$5:$N$19,2,FALSE)/12,0)+IFERROR(VLOOKUP($B26,CDM!$K$35:$N$47,2,FALSE)/24,0)+IFERROR(VLOOKUP($B26,CDM!$K$35:$N$47,2,FALSE)/2*$C26/78,0)</f>
        <v>57682.424282696506</v>
      </c>
      <c r="F26" s="4">
        <f t="shared" si="15"/>
        <v>3973539.4669082318</v>
      </c>
      <c r="G26" s="4">
        <v>1719013.7794568734</v>
      </c>
      <c r="H26" s="4">
        <f>IFERROR(VLOOKUP($B26-1,CDM!$K$5:$N$19,3,FALSE)/12,0)+IFERROR(VLOOKUP($B26,CDM!$K$35:$N$47,3,FALSE)/24,0)+IFERROR(VLOOKUP($B26,CDM!$K$35:$N$47,3,FALSE)/2*$C26/78,0)</f>
        <v>138113.37981261397</v>
      </c>
      <c r="I26" s="4">
        <f t="shared" si="16"/>
        <v>1857127.1592694875</v>
      </c>
      <c r="J26" s="4">
        <v>5520208.7188130226</v>
      </c>
      <c r="K26" s="4">
        <f>IFERROR(VLOOKUP($B26-1,CDM!$K$5:$N$19,4,FALSE)/12,0)+IFERROR(VLOOKUP($B26,CDM!$K$35:$N$47,4,FALSE)/24,0)+IFERROR(VLOOKUP($B26,CDM!$K$35:$N$47,4,FALSE)/2*$C26/78,0)</f>
        <v>90635.260132109965</v>
      </c>
      <c r="L26" s="4">
        <f t="shared" si="17"/>
        <v>5610843.9789451323</v>
      </c>
      <c r="M26" s="4">
        <v>-63552</v>
      </c>
      <c r="N26" s="4">
        <v>13681.499999999998</v>
      </c>
      <c r="O26" s="4">
        <v>16819.580000000002</v>
      </c>
      <c r="P26" s="4">
        <v>125.28</v>
      </c>
      <c r="Q26" s="4">
        <v>5197</v>
      </c>
      <c r="R26" s="4">
        <v>727</v>
      </c>
      <c r="S26" s="4">
        <v>62</v>
      </c>
      <c r="T26" s="4">
        <v>1650</v>
      </c>
      <c r="U26" s="4">
        <v>23</v>
      </c>
      <c r="V26" s="4">
        <f>Weather!D146</f>
        <v>1028.4679840653187</v>
      </c>
      <c r="W26" s="4">
        <f>Weather!E146</f>
        <v>0</v>
      </c>
      <c r="X26" s="4">
        <f>Weather!F146</f>
        <v>966.46798406531866</v>
      </c>
      <c r="Y26" s="4">
        <f>Weather!G146</f>
        <v>0</v>
      </c>
      <c r="Z26" s="4">
        <f>Weather!H146</f>
        <v>904.46798406531866</v>
      </c>
      <c r="AA26" s="4">
        <f>Weather!I146</f>
        <v>0</v>
      </c>
      <c r="AB26" s="4">
        <f>Weather!J146</f>
        <v>842.46798406531866</v>
      </c>
      <c r="AC26" s="4">
        <f>Weather!K146</f>
        <v>0</v>
      </c>
      <c r="AD26" s="4">
        <f>Weather!L146</f>
        <v>780.46798406531877</v>
      </c>
      <c r="AE26" s="4">
        <f>Weather!M146</f>
        <v>0</v>
      </c>
      <c r="AF26" s="4">
        <f>Weather!N146</f>
        <v>718.46798406531877</v>
      </c>
      <c r="AG26" s="4">
        <f>Weather!O146</f>
        <v>0</v>
      </c>
      <c r="AH26" s="4">
        <f>Weather!P146</f>
        <v>656.46798406531866</v>
      </c>
      <c r="AI26" s="4">
        <f>Weather!Q146</f>
        <v>0</v>
      </c>
      <c r="AJ26" s="4">
        <f>Weather!R146</f>
        <v>-13.176386582752217</v>
      </c>
      <c r="AK26" s="4">
        <f>'Economic Data'!F28</f>
        <v>743976.2</v>
      </c>
      <c r="AL26" s="4">
        <f>'Economic Data'!G28</f>
        <v>6953.7</v>
      </c>
      <c r="AM26" s="4">
        <f>'Economic Data'!H28</f>
        <v>7852.2</v>
      </c>
      <c r="AN26" s="4">
        <f>'Economic Data'!I28</f>
        <v>163.80000000000001</v>
      </c>
      <c r="AO26" s="4">
        <f>'Economic Data'!J28</f>
        <v>89.9</v>
      </c>
      <c r="AP26" s="4">
        <f>'Economic Data'!K28</f>
        <v>467.1</v>
      </c>
      <c r="AQ26" s="4">
        <f>'Economic Data'!L28</f>
        <v>266.89999999999998</v>
      </c>
      <c r="AR26" s="4">
        <f>'Economic Data'!M28</f>
        <v>1866.9</v>
      </c>
      <c r="AS26" s="4">
        <f>'Economic Data'!N28</f>
        <v>2820.7</v>
      </c>
      <c r="AT26" s="4">
        <f>'Economic Data'!O28</f>
        <v>743287</v>
      </c>
      <c r="AU26" s="4">
        <f>'Economic Data'!P28</f>
        <v>6948</v>
      </c>
      <c r="AV26" s="4">
        <f>'Economic Data'!Q28</f>
        <v>4133</v>
      </c>
      <c r="AW26" s="4">
        <f>'Economic Data'!R28</f>
        <v>5158</v>
      </c>
      <c r="AX26" s="4">
        <f>'Economic Data'!E28</f>
        <v>6871.2</v>
      </c>
      <c r="AY26" s="4">
        <f>'Economic Data'!D28</f>
        <v>6908.4</v>
      </c>
      <c r="AZ26">
        <v>25</v>
      </c>
      <c r="BA26" s="14">
        <f t="shared" si="18"/>
        <v>3.5263605246161616</v>
      </c>
      <c r="BB26">
        <f t="shared" si="19"/>
        <v>625</v>
      </c>
      <c r="BC26">
        <v>1</v>
      </c>
      <c r="BD26">
        <v>0</v>
      </c>
      <c r="BE26">
        <v>0</v>
      </c>
      <c r="BF26">
        <v>0</v>
      </c>
      <c r="BG26">
        <v>0</v>
      </c>
      <c r="BH26">
        <v>0</v>
      </c>
      <c r="BI26">
        <v>0</v>
      </c>
      <c r="BJ26">
        <v>0</v>
      </c>
      <c r="BK26">
        <v>0</v>
      </c>
      <c r="BL26">
        <v>0</v>
      </c>
      <c r="BM26">
        <v>0</v>
      </c>
      <c r="BN26">
        <v>0</v>
      </c>
      <c r="BO26">
        <v>0</v>
      </c>
      <c r="BP26">
        <v>0</v>
      </c>
      <c r="BQ26">
        <v>0</v>
      </c>
      <c r="BR26">
        <v>31</v>
      </c>
      <c r="BS26">
        <v>20</v>
      </c>
      <c r="BT26">
        <v>0</v>
      </c>
      <c r="BU26">
        <v>0</v>
      </c>
      <c r="BV26">
        <v>0</v>
      </c>
      <c r="BW26">
        <v>0</v>
      </c>
      <c r="BX26" s="17">
        <f t="shared" si="0"/>
        <v>0</v>
      </c>
      <c r="BY26" s="17">
        <f t="shared" si="1"/>
        <v>0</v>
      </c>
      <c r="BZ26" s="17">
        <f t="shared" si="2"/>
        <v>0</v>
      </c>
      <c r="CA26" s="17">
        <f t="shared" si="3"/>
        <v>0</v>
      </c>
      <c r="CB26" s="17">
        <f t="shared" si="4"/>
        <v>0</v>
      </c>
      <c r="CC26" s="17">
        <f t="shared" si="5"/>
        <v>0</v>
      </c>
      <c r="CD26" s="17">
        <f t="shared" si="6"/>
        <v>0</v>
      </c>
      <c r="CE26" s="17">
        <f t="shared" si="7"/>
        <v>0</v>
      </c>
      <c r="CF26" s="17">
        <f t="shared" si="8"/>
        <v>0</v>
      </c>
      <c r="CG26" s="17">
        <f t="shared" si="9"/>
        <v>0</v>
      </c>
      <c r="CH26" s="17">
        <f t="shared" si="10"/>
        <v>0</v>
      </c>
      <c r="CI26" s="17">
        <f t="shared" si="11"/>
        <v>0</v>
      </c>
      <c r="CJ26" s="17">
        <f t="shared" si="12"/>
        <v>0</v>
      </c>
      <c r="CK26" s="17">
        <f t="shared" si="13"/>
        <v>0</v>
      </c>
    </row>
    <row r="27" spans="1:89" x14ac:dyDescent="0.35">
      <c r="A27" s="1">
        <v>42401</v>
      </c>
      <c r="B27">
        <v>2016</v>
      </c>
      <c r="C27">
        <f t="shared" si="14"/>
        <v>2</v>
      </c>
      <c r="D27" s="4">
        <v>4314300.8676355612</v>
      </c>
      <c r="E27" s="4">
        <f>IFERROR(VLOOKUP($B27-1,CDM!$K$5:$N$19,2,FALSE)/12,0)+IFERROR(VLOOKUP($B27,CDM!$K$35:$N$47,2,FALSE)/24,0)+IFERROR(VLOOKUP($B27,CDM!$K$35:$N$47,2,FALSE)/2*$C27/78,0)</f>
        <v>59377.663982295933</v>
      </c>
      <c r="F27" s="4">
        <f t="shared" si="15"/>
        <v>4373678.5316178575</v>
      </c>
      <c r="G27" s="4">
        <v>1872647.8214473131</v>
      </c>
      <c r="H27" s="4">
        <f>IFERROR(VLOOKUP($B27-1,CDM!$K$5:$N$19,3,FALSE)/12,0)+IFERROR(VLOOKUP($B27,CDM!$K$35:$N$47,3,FALSE)/24,0)+IFERROR(VLOOKUP($B27,CDM!$K$35:$N$47,3,FALSE)/2*$C27/78,0)</f>
        <v>138661.57285774621</v>
      </c>
      <c r="I27" s="4">
        <f t="shared" si="16"/>
        <v>2011309.3943050592</v>
      </c>
      <c r="J27" s="4">
        <v>5843571.7605012245</v>
      </c>
      <c r="K27" s="4">
        <f>IFERROR(VLOOKUP($B27-1,CDM!$K$5:$N$19,4,FALSE)/12,0)+IFERROR(VLOOKUP($B27,CDM!$K$35:$N$47,4,FALSE)/24,0)+IFERROR(VLOOKUP($B27,CDM!$K$35:$N$47,4,FALSE)/2*$C27/78,0)</f>
        <v>94978.512669652977</v>
      </c>
      <c r="L27" s="4">
        <f t="shared" si="17"/>
        <v>5938550.2731708772</v>
      </c>
      <c r="M27" s="4">
        <v>145354</v>
      </c>
      <c r="N27" s="4">
        <v>13681.499999999998</v>
      </c>
      <c r="O27" s="4">
        <v>15193.44</v>
      </c>
      <c r="P27" s="4">
        <v>125.28</v>
      </c>
      <c r="Q27" s="4">
        <v>5199</v>
      </c>
      <c r="R27" s="4">
        <v>725</v>
      </c>
      <c r="S27" s="4">
        <v>63</v>
      </c>
      <c r="T27" s="4">
        <v>1650</v>
      </c>
      <c r="U27" s="4">
        <v>23</v>
      </c>
      <c r="V27" s="4">
        <f>Weather!D147</f>
        <v>1022.4199547234056</v>
      </c>
      <c r="W27" s="4">
        <f>Weather!E147</f>
        <v>0</v>
      </c>
      <c r="X27" s="4">
        <f>Weather!F147</f>
        <v>964.41995472340557</v>
      </c>
      <c r="Y27" s="4">
        <f>Weather!G147</f>
        <v>0</v>
      </c>
      <c r="Z27" s="4">
        <f>Weather!H147</f>
        <v>906.41995472340557</v>
      </c>
      <c r="AA27" s="4">
        <f>Weather!I147</f>
        <v>0</v>
      </c>
      <c r="AB27" s="4">
        <f>Weather!J147</f>
        <v>848.41995472340557</v>
      </c>
      <c r="AC27" s="4">
        <f>Weather!K147</f>
        <v>0</v>
      </c>
      <c r="AD27" s="4">
        <f>Weather!L147</f>
        <v>790.41995472340568</v>
      </c>
      <c r="AE27" s="4">
        <f>Weather!M147</f>
        <v>0</v>
      </c>
      <c r="AF27" s="4">
        <f>Weather!N147</f>
        <v>732.41995472340568</v>
      </c>
      <c r="AG27" s="4">
        <f>Weather!O147</f>
        <v>0</v>
      </c>
      <c r="AH27" s="4">
        <f>Weather!P147</f>
        <v>674.41995472340557</v>
      </c>
      <c r="AI27" s="4">
        <f>Weather!Q147</f>
        <v>0</v>
      </c>
      <c r="AJ27" s="4">
        <f>Weather!R147</f>
        <v>-15.255860507703645</v>
      </c>
      <c r="AK27" s="4">
        <f>'Economic Data'!F29</f>
        <v>743976.2</v>
      </c>
      <c r="AL27" s="4">
        <f>'Economic Data'!G29</f>
        <v>6953.7</v>
      </c>
      <c r="AM27" s="4">
        <f>'Economic Data'!H29</f>
        <v>7852.2</v>
      </c>
      <c r="AN27" s="4">
        <f>'Economic Data'!I29</f>
        <v>163.80000000000001</v>
      </c>
      <c r="AO27" s="4">
        <f>'Economic Data'!J29</f>
        <v>89.9</v>
      </c>
      <c r="AP27" s="4">
        <f>'Economic Data'!K29</f>
        <v>467.1</v>
      </c>
      <c r="AQ27" s="4">
        <f>'Economic Data'!L29</f>
        <v>266.89999999999998</v>
      </c>
      <c r="AR27" s="4">
        <f>'Economic Data'!M29</f>
        <v>1866.9</v>
      </c>
      <c r="AS27" s="4">
        <f>'Economic Data'!N29</f>
        <v>2820.7</v>
      </c>
      <c r="AT27" s="4">
        <f>'Economic Data'!O29</f>
        <v>743287</v>
      </c>
      <c r="AU27" s="4">
        <f>'Economic Data'!P29</f>
        <v>6948</v>
      </c>
      <c r="AV27" s="4">
        <f>'Economic Data'!Q29</f>
        <v>4133</v>
      </c>
      <c r="AW27" s="4">
        <f>'Economic Data'!R29</f>
        <v>5158</v>
      </c>
      <c r="AX27" s="4">
        <f>'Economic Data'!E29</f>
        <v>6850.4</v>
      </c>
      <c r="AY27" s="4">
        <f>'Economic Data'!D29</f>
        <v>6922.3</v>
      </c>
      <c r="AZ27">
        <v>26</v>
      </c>
      <c r="BA27" s="14">
        <f t="shared" si="18"/>
        <v>3.5553480614894135</v>
      </c>
      <c r="BB27">
        <f t="shared" si="19"/>
        <v>676</v>
      </c>
      <c r="BC27">
        <v>0</v>
      </c>
      <c r="BD27">
        <v>1</v>
      </c>
      <c r="BE27">
        <v>0</v>
      </c>
      <c r="BF27">
        <v>0</v>
      </c>
      <c r="BG27">
        <v>0</v>
      </c>
      <c r="BH27">
        <v>0</v>
      </c>
      <c r="BI27">
        <v>0</v>
      </c>
      <c r="BJ27">
        <v>0</v>
      </c>
      <c r="BK27">
        <v>0</v>
      </c>
      <c r="BL27">
        <v>0</v>
      </c>
      <c r="BM27">
        <v>0</v>
      </c>
      <c r="BN27">
        <v>0</v>
      </c>
      <c r="BO27">
        <v>0</v>
      </c>
      <c r="BP27">
        <v>0</v>
      </c>
      <c r="BQ27">
        <v>0</v>
      </c>
      <c r="BR27">
        <v>29</v>
      </c>
      <c r="BS27">
        <v>20</v>
      </c>
      <c r="BT27">
        <v>0</v>
      </c>
      <c r="BU27">
        <v>0</v>
      </c>
      <c r="BV27">
        <v>0</v>
      </c>
      <c r="BW27">
        <v>0</v>
      </c>
      <c r="BX27" s="17">
        <f t="shared" si="0"/>
        <v>0</v>
      </c>
      <c r="BY27" s="17">
        <f t="shared" si="1"/>
        <v>0</v>
      </c>
      <c r="BZ27" s="17">
        <f t="shared" si="2"/>
        <v>0</v>
      </c>
      <c r="CA27" s="17">
        <f t="shared" si="3"/>
        <v>0</v>
      </c>
      <c r="CB27" s="17">
        <f t="shared" si="4"/>
        <v>0</v>
      </c>
      <c r="CC27" s="17">
        <f t="shared" si="5"/>
        <v>0</v>
      </c>
      <c r="CD27" s="17">
        <f t="shared" si="6"/>
        <v>0</v>
      </c>
      <c r="CE27" s="17">
        <f t="shared" si="7"/>
        <v>0</v>
      </c>
      <c r="CF27" s="17">
        <f t="shared" si="8"/>
        <v>0</v>
      </c>
      <c r="CG27" s="17">
        <f t="shared" si="9"/>
        <v>0</v>
      </c>
      <c r="CH27" s="17">
        <f t="shared" si="10"/>
        <v>0</v>
      </c>
      <c r="CI27" s="17">
        <f t="shared" si="11"/>
        <v>0</v>
      </c>
      <c r="CJ27" s="17">
        <f t="shared" si="12"/>
        <v>0</v>
      </c>
      <c r="CK27" s="17">
        <f t="shared" si="13"/>
        <v>0</v>
      </c>
    </row>
    <row r="28" spans="1:89" x14ac:dyDescent="0.35">
      <c r="A28" s="1">
        <v>42430</v>
      </c>
      <c r="B28">
        <v>2016</v>
      </c>
      <c r="C28">
        <f t="shared" si="14"/>
        <v>3</v>
      </c>
      <c r="D28" s="4">
        <v>4017526.3151306096</v>
      </c>
      <c r="E28" s="4">
        <f>IFERROR(VLOOKUP($B28-1,CDM!$K$5:$N$19,2,FALSE)/12,0)+IFERROR(VLOOKUP($B28,CDM!$K$35:$N$47,2,FALSE)/24,0)+IFERROR(VLOOKUP($B28,CDM!$K$35:$N$47,2,FALSE)/2*$C28/78,0)</f>
        <v>61072.903681895361</v>
      </c>
      <c r="F28" s="4">
        <f t="shared" si="15"/>
        <v>4078599.2188125048</v>
      </c>
      <c r="G28" s="4">
        <v>1821140.6359010304</v>
      </c>
      <c r="H28" s="4">
        <f>IFERROR(VLOOKUP($B28-1,CDM!$K$5:$N$19,3,FALSE)/12,0)+IFERROR(VLOOKUP($B28,CDM!$K$35:$N$47,3,FALSE)/24,0)+IFERROR(VLOOKUP($B28,CDM!$K$35:$N$47,3,FALSE)/2*$C28/78,0)</f>
        <v>139209.76590287845</v>
      </c>
      <c r="I28" s="4">
        <f t="shared" si="16"/>
        <v>1960350.4018039089</v>
      </c>
      <c r="J28" s="4">
        <v>5762616.1495930655</v>
      </c>
      <c r="K28" s="4">
        <f>IFERROR(VLOOKUP($B28-1,CDM!$K$5:$N$19,4,FALSE)/12,0)+IFERROR(VLOOKUP($B28,CDM!$K$35:$N$47,4,FALSE)/24,0)+IFERROR(VLOOKUP($B28,CDM!$K$35:$N$47,4,FALSE)/2*$C28/78,0)</f>
        <v>99321.765207195989</v>
      </c>
      <c r="L28" s="4">
        <f t="shared" si="17"/>
        <v>5861937.9148002611</v>
      </c>
      <c r="M28" s="4">
        <v>147172</v>
      </c>
      <c r="N28" s="4">
        <v>13681.499999999998</v>
      </c>
      <c r="O28" s="4">
        <v>15898.66</v>
      </c>
      <c r="P28" s="4">
        <v>125.28</v>
      </c>
      <c r="Q28" s="4">
        <v>5216</v>
      </c>
      <c r="R28" s="4">
        <v>725</v>
      </c>
      <c r="S28" s="4">
        <v>63</v>
      </c>
      <c r="T28" s="4">
        <v>1650</v>
      </c>
      <c r="U28" s="4">
        <v>23</v>
      </c>
      <c r="V28" s="4">
        <f>Weather!D148</f>
        <v>825.41411900761989</v>
      </c>
      <c r="W28" s="4">
        <f>Weather!E148</f>
        <v>0</v>
      </c>
      <c r="X28" s="4">
        <f>Weather!F148</f>
        <v>763.41411900761989</v>
      </c>
      <c r="Y28" s="4">
        <f>Weather!G148</f>
        <v>0</v>
      </c>
      <c r="Z28" s="4">
        <f>Weather!H148</f>
        <v>701.41411900761989</v>
      </c>
      <c r="AA28" s="4">
        <f>Weather!I148</f>
        <v>0</v>
      </c>
      <c r="AB28" s="4">
        <f>Weather!J148</f>
        <v>639.41411900761977</v>
      </c>
      <c r="AC28" s="4">
        <f>Weather!K148</f>
        <v>0</v>
      </c>
      <c r="AD28" s="4">
        <f>Weather!L148</f>
        <v>577.41411900761989</v>
      </c>
      <c r="AE28" s="4">
        <f>Weather!M148</f>
        <v>0</v>
      </c>
      <c r="AF28" s="4">
        <f>Weather!N148</f>
        <v>515.41411900761977</v>
      </c>
      <c r="AG28" s="4">
        <f>Weather!O148</f>
        <v>0</v>
      </c>
      <c r="AH28" s="4">
        <f>Weather!P148</f>
        <v>453.41411900761983</v>
      </c>
      <c r="AI28" s="4">
        <f>Weather!Q148</f>
        <v>0</v>
      </c>
      <c r="AJ28" s="4">
        <f>Weather!R148</f>
        <v>-6.626261903471609</v>
      </c>
      <c r="AK28" s="4">
        <f>'Economic Data'!F30</f>
        <v>743976.2</v>
      </c>
      <c r="AL28" s="4">
        <f>'Economic Data'!G30</f>
        <v>6953.7</v>
      </c>
      <c r="AM28" s="4">
        <f>'Economic Data'!H30</f>
        <v>7852.2</v>
      </c>
      <c r="AN28" s="4">
        <f>'Economic Data'!I30</f>
        <v>163.80000000000001</v>
      </c>
      <c r="AO28" s="4">
        <f>'Economic Data'!J30</f>
        <v>89.9</v>
      </c>
      <c r="AP28" s="4">
        <f>'Economic Data'!K30</f>
        <v>467.1</v>
      </c>
      <c r="AQ28" s="4">
        <f>'Economic Data'!L30</f>
        <v>266.89999999999998</v>
      </c>
      <c r="AR28" s="4">
        <f>'Economic Data'!M30</f>
        <v>1866.9</v>
      </c>
      <c r="AS28" s="4">
        <f>'Economic Data'!N30</f>
        <v>2820.7</v>
      </c>
      <c r="AT28" s="4">
        <f>'Economic Data'!O30</f>
        <v>743287</v>
      </c>
      <c r="AU28" s="4">
        <f>'Economic Data'!P30</f>
        <v>6948</v>
      </c>
      <c r="AV28" s="4">
        <f>'Economic Data'!Q30</f>
        <v>4133</v>
      </c>
      <c r="AW28" s="4">
        <f>'Economic Data'!R30</f>
        <v>5158</v>
      </c>
      <c r="AX28" s="4">
        <f>'Economic Data'!E30</f>
        <v>6827.3</v>
      </c>
      <c r="AY28" s="4">
        <f>'Economic Data'!D30</f>
        <v>6930.2</v>
      </c>
      <c r="AZ28">
        <v>27</v>
      </c>
      <c r="BA28" s="14">
        <f t="shared" si="18"/>
        <v>3.5835189384561099</v>
      </c>
      <c r="BB28">
        <f t="shared" si="19"/>
        <v>729</v>
      </c>
      <c r="BC28">
        <v>0</v>
      </c>
      <c r="BD28">
        <v>0</v>
      </c>
      <c r="BE28">
        <v>1</v>
      </c>
      <c r="BF28">
        <v>0</v>
      </c>
      <c r="BG28">
        <v>0</v>
      </c>
      <c r="BH28">
        <v>0</v>
      </c>
      <c r="BI28">
        <v>0</v>
      </c>
      <c r="BJ28">
        <v>0</v>
      </c>
      <c r="BK28">
        <v>0</v>
      </c>
      <c r="BL28">
        <v>0</v>
      </c>
      <c r="BM28">
        <v>0</v>
      </c>
      <c r="BN28">
        <v>0</v>
      </c>
      <c r="BO28">
        <v>1</v>
      </c>
      <c r="BP28">
        <v>0</v>
      </c>
      <c r="BQ28">
        <v>1</v>
      </c>
      <c r="BR28">
        <v>31</v>
      </c>
      <c r="BS28">
        <v>21</v>
      </c>
      <c r="BT28">
        <v>0</v>
      </c>
      <c r="BU28">
        <v>0</v>
      </c>
      <c r="BV28">
        <v>0</v>
      </c>
      <c r="BW28">
        <v>0</v>
      </c>
      <c r="BX28" s="17">
        <f t="shared" si="0"/>
        <v>0</v>
      </c>
      <c r="BY28" s="17">
        <f t="shared" si="1"/>
        <v>0</v>
      </c>
      <c r="BZ28" s="17">
        <f t="shared" si="2"/>
        <v>0</v>
      </c>
      <c r="CA28" s="17">
        <f t="shared" si="3"/>
        <v>0</v>
      </c>
      <c r="CB28" s="17">
        <f t="shared" si="4"/>
        <v>0</v>
      </c>
      <c r="CC28" s="17">
        <f t="shared" si="5"/>
        <v>0</v>
      </c>
      <c r="CD28" s="17">
        <f t="shared" si="6"/>
        <v>0</v>
      </c>
      <c r="CE28" s="17">
        <f t="shared" si="7"/>
        <v>0</v>
      </c>
      <c r="CF28" s="17">
        <f t="shared" si="8"/>
        <v>0</v>
      </c>
      <c r="CG28" s="17">
        <f t="shared" si="9"/>
        <v>0</v>
      </c>
      <c r="CH28" s="17">
        <f t="shared" si="10"/>
        <v>0</v>
      </c>
      <c r="CI28" s="17">
        <f t="shared" si="11"/>
        <v>0</v>
      </c>
      <c r="CJ28" s="17">
        <f t="shared" si="12"/>
        <v>0</v>
      </c>
      <c r="CK28" s="17">
        <f t="shared" si="13"/>
        <v>0</v>
      </c>
    </row>
    <row r="29" spans="1:89" x14ac:dyDescent="0.35">
      <c r="A29" s="1">
        <v>42461</v>
      </c>
      <c r="B29">
        <v>2016</v>
      </c>
      <c r="C29">
        <f t="shared" si="14"/>
        <v>4</v>
      </c>
      <c r="D29" s="4">
        <v>3578257.1760456013</v>
      </c>
      <c r="E29" s="4">
        <f>IFERROR(VLOOKUP($B29-1,CDM!$K$5:$N$19,2,FALSE)/12,0)+IFERROR(VLOOKUP($B29,CDM!$K$35:$N$47,2,FALSE)/24,0)+IFERROR(VLOOKUP($B29,CDM!$K$35:$N$47,2,FALSE)/2*$C29/78,0)</f>
        <v>62768.143381494789</v>
      </c>
      <c r="F29" s="4">
        <f t="shared" si="15"/>
        <v>3641025.3194270958</v>
      </c>
      <c r="G29" s="4">
        <v>1699390.4060291434</v>
      </c>
      <c r="H29" s="4">
        <f>IFERROR(VLOOKUP($B29-1,CDM!$K$5:$N$19,3,FALSE)/12,0)+IFERROR(VLOOKUP($B29,CDM!$K$35:$N$47,3,FALSE)/24,0)+IFERROR(VLOOKUP($B29,CDM!$K$35:$N$47,3,FALSE)/2*$C29/78,0)</f>
        <v>139757.9589480107</v>
      </c>
      <c r="I29" s="4">
        <f t="shared" si="16"/>
        <v>1839148.3649771539</v>
      </c>
      <c r="J29" s="4">
        <v>5699803.9193904065</v>
      </c>
      <c r="K29" s="4">
        <f>IFERROR(VLOOKUP($B29-1,CDM!$K$5:$N$19,4,FALSE)/12,0)+IFERROR(VLOOKUP($B29,CDM!$K$35:$N$47,4,FALSE)/24,0)+IFERROR(VLOOKUP($B29,CDM!$K$35:$N$47,4,FALSE)/2*$C29/78,0)</f>
        <v>103665.017744739</v>
      </c>
      <c r="L29" s="4">
        <f t="shared" si="17"/>
        <v>5803468.9371351451</v>
      </c>
      <c r="M29" s="4">
        <v>62188</v>
      </c>
      <c r="N29" s="4">
        <v>13681.499999999998</v>
      </c>
      <c r="O29" s="4">
        <v>12503.43</v>
      </c>
      <c r="P29" s="4">
        <v>125.28</v>
      </c>
      <c r="Q29" s="4">
        <v>5207</v>
      </c>
      <c r="R29" s="4">
        <v>718</v>
      </c>
      <c r="S29" s="4">
        <v>64</v>
      </c>
      <c r="T29" s="4">
        <v>1650</v>
      </c>
      <c r="U29" s="4">
        <v>23</v>
      </c>
      <c r="V29" s="4">
        <f>Weather!D149</f>
        <v>661.50000000000011</v>
      </c>
      <c r="W29" s="4">
        <f>Weather!E149</f>
        <v>0</v>
      </c>
      <c r="X29" s="4">
        <f>Weather!F149</f>
        <v>601.50000000000011</v>
      </c>
      <c r="Y29" s="4">
        <f>Weather!G149</f>
        <v>0</v>
      </c>
      <c r="Z29" s="4">
        <f>Weather!H149</f>
        <v>541.50000000000011</v>
      </c>
      <c r="AA29" s="4">
        <f>Weather!I149</f>
        <v>0</v>
      </c>
      <c r="AB29" s="4">
        <f>Weather!J149</f>
        <v>481.5</v>
      </c>
      <c r="AC29" s="4">
        <f>Weather!K149</f>
        <v>0</v>
      </c>
      <c r="AD29" s="4">
        <f>Weather!L149</f>
        <v>421.5</v>
      </c>
      <c r="AE29" s="4">
        <f>Weather!M149</f>
        <v>0</v>
      </c>
      <c r="AF29" s="4">
        <f>Weather!N149</f>
        <v>361.875</v>
      </c>
      <c r="AG29" s="4">
        <f>Weather!O149</f>
        <v>0.37499999999999822</v>
      </c>
      <c r="AH29" s="4">
        <f>Weather!P149</f>
        <v>305.875</v>
      </c>
      <c r="AI29" s="4">
        <f>Weather!Q149</f>
        <v>4.3749999999999982</v>
      </c>
      <c r="AJ29" s="4">
        <f>Weather!R149</f>
        <v>-2.0499999999999994</v>
      </c>
      <c r="AK29" s="4">
        <f>'Economic Data'!F31</f>
        <v>743976.2</v>
      </c>
      <c r="AL29" s="4">
        <f>'Economic Data'!G31</f>
        <v>6953.7</v>
      </c>
      <c r="AM29" s="4">
        <f>'Economic Data'!H31</f>
        <v>7852.2</v>
      </c>
      <c r="AN29" s="4">
        <f>'Economic Data'!I31</f>
        <v>163.80000000000001</v>
      </c>
      <c r="AO29" s="4">
        <f>'Economic Data'!J31</f>
        <v>89.9</v>
      </c>
      <c r="AP29" s="4">
        <f>'Economic Data'!K31</f>
        <v>467.1</v>
      </c>
      <c r="AQ29" s="4">
        <f>'Economic Data'!L31</f>
        <v>266.89999999999998</v>
      </c>
      <c r="AR29" s="4">
        <f>'Economic Data'!M31</f>
        <v>1866.9</v>
      </c>
      <c r="AS29" s="4">
        <f>'Economic Data'!N31</f>
        <v>2820.7</v>
      </c>
      <c r="AT29" s="4">
        <f>'Economic Data'!O31</f>
        <v>740632</v>
      </c>
      <c r="AU29" s="4">
        <f>'Economic Data'!P31</f>
        <v>6954</v>
      </c>
      <c r="AV29" s="4">
        <f>'Economic Data'!Q31</f>
        <v>4151</v>
      </c>
      <c r="AW29" s="4">
        <f>'Economic Data'!R31</f>
        <v>5078</v>
      </c>
      <c r="AX29" s="4">
        <f>'Economic Data'!E31</f>
        <v>6843.7</v>
      </c>
      <c r="AY29" s="4">
        <f>'Economic Data'!D31</f>
        <v>6931.9</v>
      </c>
      <c r="AZ29">
        <v>28</v>
      </c>
      <c r="BA29" s="14">
        <f t="shared" si="18"/>
        <v>3.6109179126442243</v>
      </c>
      <c r="BB29">
        <f t="shared" si="19"/>
        <v>784</v>
      </c>
      <c r="BC29">
        <v>0</v>
      </c>
      <c r="BD29">
        <v>0</v>
      </c>
      <c r="BE29">
        <v>0</v>
      </c>
      <c r="BF29">
        <v>1</v>
      </c>
      <c r="BG29">
        <v>0</v>
      </c>
      <c r="BH29">
        <v>0</v>
      </c>
      <c r="BI29">
        <v>0</v>
      </c>
      <c r="BJ29">
        <v>0</v>
      </c>
      <c r="BK29">
        <v>0</v>
      </c>
      <c r="BL29">
        <v>0</v>
      </c>
      <c r="BM29">
        <v>0</v>
      </c>
      <c r="BN29">
        <v>0</v>
      </c>
      <c r="BO29">
        <v>1</v>
      </c>
      <c r="BP29">
        <v>0</v>
      </c>
      <c r="BQ29">
        <v>1</v>
      </c>
      <c r="BR29">
        <v>30</v>
      </c>
      <c r="BS29">
        <v>21</v>
      </c>
      <c r="BT29">
        <v>0</v>
      </c>
      <c r="BU29">
        <v>0</v>
      </c>
      <c r="BV29">
        <v>0</v>
      </c>
      <c r="BW29">
        <v>0</v>
      </c>
      <c r="BX29" s="17">
        <f t="shared" si="0"/>
        <v>0</v>
      </c>
      <c r="BY29" s="17">
        <f t="shared" si="1"/>
        <v>0</v>
      </c>
      <c r="BZ29" s="17">
        <f t="shared" si="2"/>
        <v>0</v>
      </c>
      <c r="CA29" s="17">
        <f t="shared" si="3"/>
        <v>0</v>
      </c>
      <c r="CB29" s="17">
        <f t="shared" si="4"/>
        <v>0</v>
      </c>
      <c r="CC29" s="17">
        <f t="shared" si="5"/>
        <v>0</v>
      </c>
      <c r="CD29" s="17">
        <f t="shared" si="6"/>
        <v>0</v>
      </c>
      <c r="CE29" s="17">
        <f t="shared" si="7"/>
        <v>0</v>
      </c>
      <c r="CF29" s="17">
        <f t="shared" si="8"/>
        <v>0</v>
      </c>
      <c r="CG29" s="17">
        <f t="shared" si="9"/>
        <v>0</v>
      </c>
      <c r="CH29" s="17">
        <f t="shared" si="10"/>
        <v>0</v>
      </c>
      <c r="CI29" s="17">
        <f t="shared" si="11"/>
        <v>0</v>
      </c>
      <c r="CJ29" s="17">
        <f t="shared" si="12"/>
        <v>0</v>
      </c>
      <c r="CK29" s="17">
        <f t="shared" si="13"/>
        <v>0</v>
      </c>
    </row>
    <row r="30" spans="1:89" x14ac:dyDescent="0.35">
      <c r="A30" s="1">
        <v>42491</v>
      </c>
      <c r="B30">
        <v>2016</v>
      </c>
      <c r="C30">
        <f t="shared" si="14"/>
        <v>5</v>
      </c>
      <c r="D30" s="4">
        <v>3112689.1904599094</v>
      </c>
      <c r="E30" s="4">
        <f>IFERROR(VLOOKUP($B30-1,CDM!$K$5:$N$19,2,FALSE)/12,0)+IFERROR(VLOOKUP($B30,CDM!$K$35:$N$47,2,FALSE)/24,0)+IFERROR(VLOOKUP($B30,CDM!$K$35:$N$47,2,FALSE)/2*$C30/78,0)</f>
        <v>64463.383081094216</v>
      </c>
      <c r="F30" s="4">
        <f t="shared" si="15"/>
        <v>3177152.5735410037</v>
      </c>
      <c r="G30" s="4">
        <v>1526858.7713826788</v>
      </c>
      <c r="H30" s="4">
        <f>IFERROR(VLOOKUP($B30-1,CDM!$K$5:$N$19,3,FALSE)/12,0)+IFERROR(VLOOKUP($B30,CDM!$K$35:$N$47,3,FALSE)/24,0)+IFERROR(VLOOKUP($B30,CDM!$K$35:$N$47,3,FALSE)/2*$C30/78,0)</f>
        <v>140306.15199314294</v>
      </c>
      <c r="I30" s="4">
        <f t="shared" si="16"/>
        <v>1667164.9233758217</v>
      </c>
      <c r="J30" s="4">
        <v>4756255.2436156496</v>
      </c>
      <c r="K30" s="4">
        <f>IFERROR(VLOOKUP($B30-1,CDM!$K$5:$N$19,4,FALSE)/12,0)+IFERROR(VLOOKUP($B30,CDM!$K$35:$N$47,4,FALSE)/24,0)+IFERROR(VLOOKUP($B30,CDM!$K$35:$N$47,4,FALSE)/2*$C30/78,0)</f>
        <v>108008.27028228201</v>
      </c>
      <c r="L30" s="4">
        <f t="shared" si="17"/>
        <v>4864263.5138979312</v>
      </c>
      <c r="M30" s="4">
        <v>38890</v>
      </c>
      <c r="N30" s="4">
        <v>13681.499999999998</v>
      </c>
      <c r="O30" s="4">
        <v>16657.47</v>
      </c>
      <c r="P30" s="4">
        <v>125.28</v>
      </c>
      <c r="Q30" s="4">
        <v>5213</v>
      </c>
      <c r="R30" s="4">
        <v>721</v>
      </c>
      <c r="S30" s="4">
        <v>64</v>
      </c>
      <c r="T30" s="4">
        <v>1650</v>
      </c>
      <c r="U30" s="4">
        <v>23</v>
      </c>
      <c r="V30" s="4">
        <f>Weather!D150</f>
        <v>322.33633680576384</v>
      </c>
      <c r="W30" s="4">
        <f>Weather!E150</f>
        <v>0.51249999999999929</v>
      </c>
      <c r="X30" s="4">
        <f>Weather!F150</f>
        <v>263.09467013909722</v>
      </c>
      <c r="Y30" s="4">
        <f>Weather!G150</f>
        <v>3.2708333333333357</v>
      </c>
      <c r="Z30" s="4">
        <f>Weather!H150</f>
        <v>205.10717013909721</v>
      </c>
      <c r="AA30" s="4">
        <f>Weather!I150</f>
        <v>7.283333333333335</v>
      </c>
      <c r="AB30" s="4">
        <f>Weather!J150</f>
        <v>150.80717013909722</v>
      </c>
      <c r="AC30" s="4">
        <f>Weather!K150</f>
        <v>14.983333333333327</v>
      </c>
      <c r="AD30" s="4">
        <f>Weather!L150</f>
        <v>106.94467013909721</v>
      </c>
      <c r="AE30" s="4">
        <f>Weather!M150</f>
        <v>33.120833333333316</v>
      </c>
      <c r="AF30" s="4">
        <f>Weather!N150</f>
        <v>72.507170139097227</v>
      </c>
      <c r="AG30" s="4">
        <f>Weather!O150</f>
        <v>60.68333333333333</v>
      </c>
      <c r="AH30" s="4">
        <f>Weather!P150</f>
        <v>44.182170139097217</v>
      </c>
      <c r="AI30" s="4">
        <f>Weather!Q150</f>
        <v>94.358333333333334</v>
      </c>
      <c r="AJ30" s="4">
        <f>Weather!R150</f>
        <v>9.6185859094914878</v>
      </c>
      <c r="AK30" s="4">
        <f>'Economic Data'!F32</f>
        <v>743976.2</v>
      </c>
      <c r="AL30" s="4">
        <f>'Economic Data'!G32</f>
        <v>6953.7</v>
      </c>
      <c r="AM30" s="4">
        <f>'Economic Data'!H32</f>
        <v>7852.2</v>
      </c>
      <c r="AN30" s="4">
        <f>'Economic Data'!I32</f>
        <v>163.80000000000001</v>
      </c>
      <c r="AO30" s="4">
        <f>'Economic Data'!J32</f>
        <v>89.9</v>
      </c>
      <c r="AP30" s="4">
        <f>'Economic Data'!K32</f>
        <v>467.1</v>
      </c>
      <c r="AQ30" s="4">
        <f>'Economic Data'!L32</f>
        <v>266.89999999999998</v>
      </c>
      <c r="AR30" s="4">
        <f>'Economic Data'!M32</f>
        <v>1866.9</v>
      </c>
      <c r="AS30" s="4">
        <f>'Economic Data'!N32</f>
        <v>2820.7</v>
      </c>
      <c r="AT30" s="4">
        <f>'Economic Data'!O32</f>
        <v>740632</v>
      </c>
      <c r="AU30" s="4">
        <f>'Economic Data'!P32</f>
        <v>6954</v>
      </c>
      <c r="AV30" s="4">
        <f>'Economic Data'!Q32</f>
        <v>4151</v>
      </c>
      <c r="AW30" s="4">
        <f>'Economic Data'!R32</f>
        <v>5078</v>
      </c>
      <c r="AX30" s="4">
        <f>'Economic Data'!E32</f>
        <v>6913.7</v>
      </c>
      <c r="AY30" s="4">
        <f>'Economic Data'!D32</f>
        <v>6944.7</v>
      </c>
      <c r="AZ30">
        <v>29</v>
      </c>
      <c r="BA30" s="14">
        <f t="shared" si="18"/>
        <v>3.6375861597263857</v>
      </c>
      <c r="BB30">
        <f t="shared" si="19"/>
        <v>841</v>
      </c>
      <c r="BC30">
        <v>0</v>
      </c>
      <c r="BD30">
        <v>0</v>
      </c>
      <c r="BE30">
        <v>0</v>
      </c>
      <c r="BF30">
        <v>0</v>
      </c>
      <c r="BG30">
        <v>1</v>
      </c>
      <c r="BH30">
        <v>0</v>
      </c>
      <c r="BI30">
        <v>0</v>
      </c>
      <c r="BJ30">
        <v>0</v>
      </c>
      <c r="BK30">
        <v>0</v>
      </c>
      <c r="BL30">
        <v>0</v>
      </c>
      <c r="BM30">
        <v>0</v>
      </c>
      <c r="BN30">
        <v>0</v>
      </c>
      <c r="BO30">
        <v>1</v>
      </c>
      <c r="BP30">
        <v>0</v>
      </c>
      <c r="BQ30">
        <v>1</v>
      </c>
      <c r="BR30">
        <v>31</v>
      </c>
      <c r="BS30">
        <v>21</v>
      </c>
      <c r="BT30">
        <v>0</v>
      </c>
      <c r="BU30">
        <v>0</v>
      </c>
      <c r="BV30">
        <v>0</v>
      </c>
      <c r="BW30">
        <v>0</v>
      </c>
      <c r="BX30" s="17">
        <f t="shared" si="0"/>
        <v>0</v>
      </c>
      <c r="BY30" s="17">
        <f t="shared" si="1"/>
        <v>0</v>
      </c>
      <c r="BZ30" s="17">
        <f t="shared" si="2"/>
        <v>0</v>
      </c>
      <c r="CA30" s="17">
        <f t="shared" si="3"/>
        <v>0</v>
      </c>
      <c r="CB30" s="17">
        <f t="shared" si="4"/>
        <v>0</v>
      </c>
      <c r="CC30" s="17">
        <f t="shared" si="5"/>
        <v>0</v>
      </c>
      <c r="CD30" s="17">
        <f t="shared" si="6"/>
        <v>0</v>
      </c>
      <c r="CE30" s="17">
        <f t="shared" si="7"/>
        <v>0</v>
      </c>
      <c r="CF30" s="17">
        <f t="shared" si="8"/>
        <v>0</v>
      </c>
      <c r="CG30" s="17">
        <f t="shared" si="9"/>
        <v>0</v>
      </c>
      <c r="CH30" s="17">
        <f t="shared" si="10"/>
        <v>0</v>
      </c>
      <c r="CI30" s="17">
        <f t="shared" si="11"/>
        <v>0</v>
      </c>
      <c r="CJ30" s="17">
        <f t="shared" si="12"/>
        <v>0</v>
      </c>
      <c r="CK30" s="17">
        <f t="shared" si="13"/>
        <v>0</v>
      </c>
    </row>
    <row r="31" spans="1:89" x14ac:dyDescent="0.35">
      <c r="A31" s="1">
        <v>42522</v>
      </c>
      <c r="B31">
        <v>2016</v>
      </c>
      <c r="C31">
        <f t="shared" si="14"/>
        <v>6</v>
      </c>
      <c r="D31" s="4">
        <v>2673711.0607418376</v>
      </c>
      <c r="E31" s="4">
        <f>IFERROR(VLOOKUP($B31-1,CDM!$K$5:$N$19,2,FALSE)/12,0)+IFERROR(VLOOKUP($B31,CDM!$K$35:$N$47,2,FALSE)/24,0)+IFERROR(VLOOKUP($B31,CDM!$K$35:$N$47,2,FALSE)/2*$C31/78,0)</f>
        <v>66158.622780693637</v>
      </c>
      <c r="F31" s="4">
        <f t="shared" si="15"/>
        <v>2739869.6835225313</v>
      </c>
      <c r="G31" s="4">
        <v>1370559.1529368265</v>
      </c>
      <c r="H31" s="4">
        <f>IFERROR(VLOOKUP($B31-1,CDM!$K$5:$N$19,3,FALSE)/12,0)+IFERROR(VLOOKUP($B31,CDM!$K$35:$N$47,3,FALSE)/24,0)+IFERROR(VLOOKUP($B31,CDM!$K$35:$N$47,3,FALSE)/2*$C31/78,0)</f>
        <v>140854.34503827518</v>
      </c>
      <c r="I31" s="4">
        <f t="shared" si="16"/>
        <v>1511413.4979751017</v>
      </c>
      <c r="J31" s="4">
        <v>4693374.1031213254</v>
      </c>
      <c r="K31" s="4">
        <f>IFERROR(VLOOKUP($B31-1,CDM!$K$5:$N$19,4,FALSE)/12,0)+IFERROR(VLOOKUP($B31,CDM!$K$35:$N$47,4,FALSE)/24,0)+IFERROR(VLOOKUP($B31,CDM!$K$35:$N$47,4,FALSE)/2*$C31/78,0)</f>
        <v>112351.52281982503</v>
      </c>
      <c r="L31" s="4">
        <f t="shared" si="17"/>
        <v>4805725.6259411508</v>
      </c>
      <c r="M31" s="4">
        <v>35335</v>
      </c>
      <c r="N31" s="4">
        <v>13681.499999999998</v>
      </c>
      <c r="O31" s="4">
        <v>12578.21</v>
      </c>
      <c r="P31" s="4">
        <v>125.28</v>
      </c>
      <c r="Q31" s="4">
        <v>5220</v>
      </c>
      <c r="R31" s="4">
        <v>727</v>
      </c>
      <c r="S31" s="4">
        <v>66</v>
      </c>
      <c r="T31" s="4">
        <v>1650</v>
      </c>
      <c r="U31" s="4">
        <v>27</v>
      </c>
      <c r="V31" s="4">
        <f>Weather!D151</f>
        <v>168.23333333333329</v>
      </c>
      <c r="W31" s="4">
        <f>Weather!E151</f>
        <v>9.2916666666666643</v>
      </c>
      <c r="X31" s="4">
        <f>Weather!F151</f>
        <v>123.0291666666667</v>
      </c>
      <c r="Y31" s="4">
        <f>Weather!G151</f>
        <v>24.087500000000002</v>
      </c>
      <c r="Z31" s="4">
        <f>Weather!H151</f>
        <v>82.970833333333346</v>
      </c>
      <c r="AA31" s="4">
        <f>Weather!I151</f>
        <v>44.029166666666654</v>
      </c>
      <c r="AB31" s="4">
        <f>Weather!J151</f>
        <v>46.012500000000003</v>
      </c>
      <c r="AC31" s="4">
        <f>Weather!K151</f>
        <v>67.070833333333312</v>
      </c>
      <c r="AD31" s="4">
        <f>Weather!L151</f>
        <v>21.787500000000001</v>
      </c>
      <c r="AE31" s="4">
        <f>Weather!M151</f>
        <v>102.84583333333333</v>
      </c>
      <c r="AF31" s="4">
        <f>Weather!N151</f>
        <v>10.937500000000002</v>
      </c>
      <c r="AG31" s="4">
        <f>Weather!O151</f>
        <v>151.99583333333334</v>
      </c>
      <c r="AH31" s="4">
        <f>Weather!P151</f>
        <v>5.8791666666666664</v>
      </c>
      <c r="AI31" s="4">
        <f>Weather!Q151</f>
        <v>206.9375</v>
      </c>
      <c r="AJ31" s="4">
        <f>Weather!R151</f>
        <v>14.701944444444441</v>
      </c>
      <c r="AK31" s="4">
        <f>'Economic Data'!F33</f>
        <v>743976.2</v>
      </c>
      <c r="AL31" s="4">
        <f>'Economic Data'!G33</f>
        <v>6953.7</v>
      </c>
      <c r="AM31" s="4">
        <f>'Economic Data'!H33</f>
        <v>7852.2</v>
      </c>
      <c r="AN31" s="4">
        <f>'Economic Data'!I33</f>
        <v>163.80000000000001</v>
      </c>
      <c r="AO31" s="4">
        <f>'Economic Data'!J33</f>
        <v>89.9</v>
      </c>
      <c r="AP31" s="4">
        <f>'Economic Data'!K33</f>
        <v>467.1</v>
      </c>
      <c r="AQ31" s="4">
        <f>'Economic Data'!L33</f>
        <v>266.89999999999998</v>
      </c>
      <c r="AR31" s="4">
        <f>'Economic Data'!M33</f>
        <v>1866.9</v>
      </c>
      <c r="AS31" s="4">
        <f>'Economic Data'!N33</f>
        <v>2820.7</v>
      </c>
      <c r="AT31" s="4">
        <f>'Economic Data'!O33</f>
        <v>740632</v>
      </c>
      <c r="AU31" s="4">
        <f>'Economic Data'!P33</f>
        <v>6954</v>
      </c>
      <c r="AV31" s="4">
        <f>'Economic Data'!Q33</f>
        <v>4151</v>
      </c>
      <c r="AW31" s="4">
        <f>'Economic Data'!R33</f>
        <v>5078</v>
      </c>
      <c r="AX31" s="4">
        <f>'Economic Data'!E33</f>
        <v>7000.2</v>
      </c>
      <c r="AY31" s="4">
        <f>'Economic Data'!D33</f>
        <v>6955.5</v>
      </c>
      <c r="AZ31">
        <v>30</v>
      </c>
      <c r="BA31" s="14">
        <f t="shared" si="18"/>
        <v>3.6635616461296463</v>
      </c>
      <c r="BB31">
        <f t="shared" si="19"/>
        <v>900</v>
      </c>
      <c r="BC31">
        <v>0</v>
      </c>
      <c r="BD31">
        <v>0</v>
      </c>
      <c r="BE31">
        <v>0</v>
      </c>
      <c r="BF31">
        <v>0</v>
      </c>
      <c r="BG31">
        <v>0</v>
      </c>
      <c r="BH31">
        <v>1</v>
      </c>
      <c r="BI31">
        <v>0</v>
      </c>
      <c r="BJ31">
        <v>0</v>
      </c>
      <c r="BK31">
        <v>0</v>
      </c>
      <c r="BL31">
        <v>0</v>
      </c>
      <c r="BM31">
        <v>0</v>
      </c>
      <c r="BN31">
        <v>0</v>
      </c>
      <c r="BO31">
        <v>0</v>
      </c>
      <c r="BP31">
        <v>0</v>
      </c>
      <c r="BQ31">
        <v>0</v>
      </c>
      <c r="BR31">
        <v>30</v>
      </c>
      <c r="BS31">
        <v>22</v>
      </c>
      <c r="BT31">
        <v>0</v>
      </c>
      <c r="BU31">
        <v>0</v>
      </c>
      <c r="BV31">
        <v>0</v>
      </c>
      <c r="BW31">
        <v>0</v>
      </c>
      <c r="BX31" s="17">
        <f t="shared" si="0"/>
        <v>0</v>
      </c>
      <c r="BY31" s="17">
        <f t="shared" si="1"/>
        <v>0</v>
      </c>
      <c r="BZ31" s="17">
        <f t="shared" si="2"/>
        <v>0</v>
      </c>
      <c r="CA31" s="17">
        <f t="shared" si="3"/>
        <v>0</v>
      </c>
      <c r="CB31" s="17">
        <f t="shared" si="4"/>
        <v>0</v>
      </c>
      <c r="CC31" s="17">
        <f t="shared" si="5"/>
        <v>0</v>
      </c>
      <c r="CD31" s="17">
        <f t="shared" si="6"/>
        <v>0</v>
      </c>
      <c r="CE31" s="17">
        <f t="shared" si="7"/>
        <v>0</v>
      </c>
      <c r="CF31" s="17">
        <f t="shared" si="8"/>
        <v>0</v>
      </c>
      <c r="CG31" s="17">
        <f t="shared" si="9"/>
        <v>0</v>
      </c>
      <c r="CH31" s="17">
        <f t="shared" si="10"/>
        <v>0</v>
      </c>
      <c r="CI31" s="17">
        <f t="shared" si="11"/>
        <v>0</v>
      </c>
      <c r="CJ31" s="17">
        <f t="shared" si="12"/>
        <v>0</v>
      </c>
      <c r="CK31" s="17">
        <f t="shared" si="13"/>
        <v>0</v>
      </c>
    </row>
    <row r="32" spans="1:89" x14ac:dyDescent="0.35">
      <c r="A32" s="1">
        <v>42552</v>
      </c>
      <c r="B32">
        <v>2016</v>
      </c>
      <c r="C32">
        <f t="shared" si="14"/>
        <v>7</v>
      </c>
      <c r="D32" s="4">
        <v>2695913.7753972551</v>
      </c>
      <c r="E32" s="4">
        <f>IFERROR(VLOOKUP($B32-1,CDM!$K$5:$N$19,2,FALSE)/12,0)+IFERROR(VLOOKUP($B32,CDM!$K$35:$N$47,2,FALSE)/24,0)+IFERROR(VLOOKUP($B32,CDM!$K$35:$N$47,2,FALSE)/2*$C32/78,0)</f>
        <v>67853.862480293072</v>
      </c>
      <c r="F32" s="4">
        <f t="shared" si="15"/>
        <v>2763767.6378775481</v>
      </c>
      <c r="G32" s="4">
        <v>1363857.3054209428</v>
      </c>
      <c r="H32" s="4">
        <f>IFERROR(VLOOKUP($B32-1,CDM!$K$5:$N$19,3,FALSE)/12,0)+IFERROR(VLOOKUP($B32,CDM!$K$35:$N$47,3,FALSE)/24,0)+IFERROR(VLOOKUP($B32,CDM!$K$35:$N$47,3,FALSE)/2*$C32/78,0)</f>
        <v>141402.53808340739</v>
      </c>
      <c r="I32" s="4">
        <f t="shared" si="16"/>
        <v>1505259.8435043502</v>
      </c>
      <c r="J32" s="4">
        <v>4509242.8076925976</v>
      </c>
      <c r="K32" s="4">
        <f>IFERROR(VLOOKUP($B32-1,CDM!$K$5:$N$19,4,FALSE)/12,0)+IFERROR(VLOOKUP($B32,CDM!$K$35:$N$47,4,FALSE)/24,0)+IFERROR(VLOOKUP($B32,CDM!$K$35:$N$47,4,FALSE)/2*$C32/78,0)</f>
        <v>116694.77535736804</v>
      </c>
      <c r="L32" s="4">
        <f t="shared" si="17"/>
        <v>4625937.583049966</v>
      </c>
      <c r="M32" s="4">
        <v>31221</v>
      </c>
      <c r="N32" s="4">
        <v>13681.499999999998</v>
      </c>
      <c r="O32" s="4">
        <v>12084.74</v>
      </c>
      <c r="P32" s="4">
        <v>125.28</v>
      </c>
      <c r="Q32" s="4">
        <v>5229</v>
      </c>
      <c r="R32" s="4">
        <v>722</v>
      </c>
      <c r="S32" s="4">
        <v>63</v>
      </c>
      <c r="T32" s="4">
        <v>1650</v>
      </c>
      <c r="U32" s="4">
        <v>19</v>
      </c>
      <c r="V32" s="4">
        <f>Weather!D152</f>
        <v>83.154166666666669</v>
      </c>
      <c r="W32" s="4">
        <f>Weather!E152</f>
        <v>13.775000000000009</v>
      </c>
      <c r="X32" s="4">
        <f>Weather!F152</f>
        <v>42.916666666666671</v>
      </c>
      <c r="Y32" s="4">
        <f>Weather!G152</f>
        <v>35.537500000000009</v>
      </c>
      <c r="Z32" s="4">
        <f>Weather!H152</f>
        <v>16.449999999999996</v>
      </c>
      <c r="AA32" s="4">
        <f>Weather!I152</f>
        <v>71.070833333333354</v>
      </c>
      <c r="AB32" s="4">
        <f>Weather!J152</f>
        <v>4.7375000000000025</v>
      </c>
      <c r="AC32" s="4">
        <f>Weather!K152</f>
        <v>121.35833333333335</v>
      </c>
      <c r="AD32" s="4">
        <f>Weather!L152</f>
        <v>0.49166666666666714</v>
      </c>
      <c r="AE32" s="4">
        <f>Weather!M152</f>
        <v>179.11250000000001</v>
      </c>
      <c r="AF32" s="4">
        <f>Weather!N152</f>
        <v>0</v>
      </c>
      <c r="AG32" s="4">
        <f>Weather!O152</f>
        <v>240.62083333333328</v>
      </c>
      <c r="AH32" s="4">
        <f>Weather!P152</f>
        <v>0</v>
      </c>
      <c r="AI32" s="4">
        <f>Weather!Q152</f>
        <v>302.62083333333328</v>
      </c>
      <c r="AJ32" s="4">
        <f>Weather!R152</f>
        <v>17.761962365591401</v>
      </c>
      <c r="AK32" s="4">
        <f>'Economic Data'!F34</f>
        <v>743976.2</v>
      </c>
      <c r="AL32" s="4">
        <f>'Economic Data'!G34</f>
        <v>6953.7</v>
      </c>
      <c r="AM32" s="4">
        <f>'Economic Data'!H34</f>
        <v>7852.2</v>
      </c>
      <c r="AN32" s="4">
        <f>'Economic Data'!I34</f>
        <v>163.80000000000001</v>
      </c>
      <c r="AO32" s="4">
        <f>'Economic Data'!J34</f>
        <v>89.9</v>
      </c>
      <c r="AP32" s="4">
        <f>'Economic Data'!K34</f>
        <v>467.1</v>
      </c>
      <c r="AQ32" s="4">
        <f>'Economic Data'!L34</f>
        <v>266.89999999999998</v>
      </c>
      <c r="AR32" s="4">
        <f>'Economic Data'!M34</f>
        <v>1866.9</v>
      </c>
      <c r="AS32" s="4">
        <f>'Economic Data'!N34</f>
        <v>2820.7</v>
      </c>
      <c r="AT32" s="4">
        <f>'Economic Data'!O34</f>
        <v>746606</v>
      </c>
      <c r="AU32" s="4">
        <f>'Economic Data'!P34</f>
        <v>6970</v>
      </c>
      <c r="AV32" s="4">
        <f>'Economic Data'!Q34</f>
        <v>4185</v>
      </c>
      <c r="AW32" s="4">
        <f>'Economic Data'!R34</f>
        <v>5000</v>
      </c>
      <c r="AX32" s="4">
        <f>'Economic Data'!E34</f>
        <v>7049.5</v>
      </c>
      <c r="AY32" s="4">
        <f>'Economic Data'!D34</f>
        <v>6956.3</v>
      </c>
      <c r="AZ32">
        <v>31</v>
      </c>
      <c r="BA32" s="14">
        <f t="shared" si="18"/>
        <v>3.6888794541139363</v>
      </c>
      <c r="BB32">
        <f t="shared" si="19"/>
        <v>961</v>
      </c>
      <c r="BC32">
        <v>0</v>
      </c>
      <c r="BD32">
        <v>0</v>
      </c>
      <c r="BE32">
        <v>0</v>
      </c>
      <c r="BF32">
        <v>0</v>
      </c>
      <c r="BG32">
        <v>0</v>
      </c>
      <c r="BH32">
        <v>0</v>
      </c>
      <c r="BI32">
        <v>1</v>
      </c>
      <c r="BJ32">
        <v>0</v>
      </c>
      <c r="BK32">
        <v>0</v>
      </c>
      <c r="BL32">
        <v>0</v>
      </c>
      <c r="BM32">
        <v>0</v>
      </c>
      <c r="BN32">
        <v>0</v>
      </c>
      <c r="BO32">
        <v>0</v>
      </c>
      <c r="BP32">
        <v>0</v>
      </c>
      <c r="BQ32">
        <v>0</v>
      </c>
      <c r="BR32">
        <v>31</v>
      </c>
      <c r="BS32">
        <v>20</v>
      </c>
      <c r="BT32">
        <v>0</v>
      </c>
      <c r="BU32">
        <v>0</v>
      </c>
      <c r="BV32">
        <v>0</v>
      </c>
      <c r="BW32">
        <v>0</v>
      </c>
      <c r="BX32" s="17">
        <f t="shared" si="0"/>
        <v>0</v>
      </c>
      <c r="BY32" s="17">
        <f t="shared" si="1"/>
        <v>0</v>
      </c>
      <c r="BZ32" s="17">
        <f t="shared" si="2"/>
        <v>0</v>
      </c>
      <c r="CA32" s="17">
        <f t="shared" si="3"/>
        <v>0</v>
      </c>
      <c r="CB32" s="17">
        <f t="shared" si="4"/>
        <v>0</v>
      </c>
      <c r="CC32" s="17">
        <f t="shared" si="5"/>
        <v>0</v>
      </c>
      <c r="CD32" s="17">
        <f t="shared" si="6"/>
        <v>0</v>
      </c>
      <c r="CE32" s="17">
        <f t="shared" si="7"/>
        <v>0</v>
      </c>
      <c r="CF32" s="17">
        <f t="shared" si="8"/>
        <v>0</v>
      </c>
      <c r="CG32" s="17">
        <f t="shared" si="9"/>
        <v>0</v>
      </c>
      <c r="CH32" s="17">
        <f t="shared" si="10"/>
        <v>0</v>
      </c>
      <c r="CI32" s="17">
        <f t="shared" si="11"/>
        <v>0</v>
      </c>
      <c r="CJ32" s="17">
        <f t="shared" si="12"/>
        <v>0</v>
      </c>
      <c r="CK32" s="17">
        <f t="shared" si="13"/>
        <v>0</v>
      </c>
    </row>
    <row r="33" spans="1:89" x14ac:dyDescent="0.35">
      <c r="A33" s="1">
        <v>42583</v>
      </c>
      <c r="B33">
        <v>2016</v>
      </c>
      <c r="C33">
        <f t="shared" si="14"/>
        <v>8</v>
      </c>
      <c r="D33" s="4">
        <v>2834081.2226964366</v>
      </c>
      <c r="E33" s="4">
        <f>IFERROR(VLOOKUP($B33-1,CDM!$K$5:$N$19,2,FALSE)/12,0)+IFERROR(VLOOKUP($B33,CDM!$K$35:$N$47,2,FALSE)/24,0)+IFERROR(VLOOKUP($B33,CDM!$K$35:$N$47,2,FALSE)/2*$C33/78,0)</f>
        <v>69549.102179892492</v>
      </c>
      <c r="F33" s="4">
        <f t="shared" si="15"/>
        <v>2903630.3248763289</v>
      </c>
      <c r="G33" s="4">
        <v>1417883.4960968758</v>
      </c>
      <c r="H33" s="4">
        <f>IFERROR(VLOOKUP($B33-1,CDM!$K$5:$N$19,3,FALSE)/12,0)+IFERROR(VLOOKUP($B33,CDM!$K$35:$N$47,3,FALSE)/24,0)+IFERROR(VLOOKUP($B33,CDM!$K$35:$N$47,3,FALSE)/2*$C33/78,0)</f>
        <v>141950.73112853963</v>
      </c>
      <c r="I33" s="4">
        <f t="shared" si="16"/>
        <v>1559834.2272254154</v>
      </c>
      <c r="J33" s="4">
        <v>4572487.4749429515</v>
      </c>
      <c r="K33" s="4">
        <f>IFERROR(VLOOKUP($B33-1,CDM!$K$5:$N$19,4,FALSE)/12,0)+IFERROR(VLOOKUP($B33,CDM!$K$35:$N$47,4,FALSE)/24,0)+IFERROR(VLOOKUP($B33,CDM!$K$35:$N$47,4,FALSE)/2*$C33/78,0)</f>
        <v>121038.02789491107</v>
      </c>
      <c r="L33" s="4">
        <f t="shared" si="17"/>
        <v>4693525.5028378628</v>
      </c>
      <c r="M33" s="4">
        <v>33850</v>
      </c>
      <c r="N33" s="4">
        <v>13681.499999999998</v>
      </c>
      <c r="O33" s="4">
        <v>12254.24</v>
      </c>
      <c r="P33" s="4">
        <v>125.28</v>
      </c>
      <c r="Q33" s="4">
        <v>5183</v>
      </c>
      <c r="R33" s="4">
        <v>715</v>
      </c>
      <c r="S33" s="4">
        <v>62</v>
      </c>
      <c r="T33" s="4">
        <v>1650</v>
      </c>
      <c r="U33" s="4">
        <v>23</v>
      </c>
      <c r="V33" s="4">
        <f>Weather!D153</f>
        <v>79.283333333333346</v>
      </c>
      <c r="W33" s="4">
        <f>Weather!E153</f>
        <v>16.262499999999996</v>
      </c>
      <c r="X33" s="4">
        <f>Weather!F153</f>
        <v>42.754166666666691</v>
      </c>
      <c r="Y33" s="4">
        <f>Weather!G153</f>
        <v>41.733333333333334</v>
      </c>
      <c r="Z33" s="4">
        <f>Weather!H153</f>
        <v>16.483333333333345</v>
      </c>
      <c r="AA33" s="4">
        <f>Weather!I153</f>
        <v>77.462499999999991</v>
      </c>
      <c r="AB33" s="4">
        <f>Weather!J153</f>
        <v>3.5291666666666703</v>
      </c>
      <c r="AC33" s="4">
        <f>Weather!K153</f>
        <v>126.50833333333333</v>
      </c>
      <c r="AD33" s="4">
        <f>Weather!L153</f>
        <v>0.40833333333333321</v>
      </c>
      <c r="AE33" s="4">
        <f>Weather!M153</f>
        <v>185.38750000000002</v>
      </c>
      <c r="AF33" s="4">
        <f>Weather!N153</f>
        <v>0</v>
      </c>
      <c r="AG33" s="4">
        <f>Weather!O153</f>
        <v>246.97916666666666</v>
      </c>
      <c r="AH33" s="4">
        <f>Weather!P153</f>
        <v>0</v>
      </c>
      <c r="AI33" s="4">
        <f>Weather!Q153</f>
        <v>308.97916666666657</v>
      </c>
      <c r="AJ33" s="4">
        <f>Weather!R153</f>
        <v>17.967069892473116</v>
      </c>
      <c r="AK33" s="4">
        <f>'Economic Data'!F35</f>
        <v>743976.2</v>
      </c>
      <c r="AL33" s="4">
        <f>'Economic Data'!G35</f>
        <v>6953.7</v>
      </c>
      <c r="AM33" s="4">
        <f>'Economic Data'!H35</f>
        <v>7852.2</v>
      </c>
      <c r="AN33" s="4">
        <f>'Economic Data'!I35</f>
        <v>163.80000000000001</v>
      </c>
      <c r="AO33" s="4">
        <f>'Economic Data'!J35</f>
        <v>89.9</v>
      </c>
      <c r="AP33" s="4">
        <f>'Economic Data'!K35</f>
        <v>467.1</v>
      </c>
      <c r="AQ33" s="4">
        <f>'Economic Data'!L35</f>
        <v>266.89999999999998</v>
      </c>
      <c r="AR33" s="4">
        <f>'Economic Data'!M35</f>
        <v>1866.9</v>
      </c>
      <c r="AS33" s="4">
        <f>'Economic Data'!N35</f>
        <v>2820.7</v>
      </c>
      <c r="AT33" s="4">
        <f>'Economic Data'!O35</f>
        <v>746606</v>
      </c>
      <c r="AU33" s="4">
        <f>'Economic Data'!P35</f>
        <v>6970</v>
      </c>
      <c r="AV33" s="4">
        <f>'Economic Data'!Q35</f>
        <v>4185</v>
      </c>
      <c r="AW33" s="4">
        <f>'Economic Data'!R35</f>
        <v>5000</v>
      </c>
      <c r="AX33" s="4">
        <f>'Economic Data'!E35</f>
        <v>7045.6</v>
      </c>
      <c r="AY33" s="4">
        <f>'Economic Data'!D35</f>
        <v>6953.5</v>
      </c>
      <c r="AZ33">
        <v>32</v>
      </c>
      <c r="BA33" s="14">
        <f t="shared" si="18"/>
        <v>3.713572066704308</v>
      </c>
      <c r="BB33">
        <f t="shared" si="19"/>
        <v>1024</v>
      </c>
      <c r="BC33">
        <v>0</v>
      </c>
      <c r="BD33">
        <v>0</v>
      </c>
      <c r="BE33">
        <v>0</v>
      </c>
      <c r="BF33">
        <v>0</v>
      </c>
      <c r="BG33">
        <v>0</v>
      </c>
      <c r="BH33">
        <v>0</v>
      </c>
      <c r="BI33">
        <v>0</v>
      </c>
      <c r="BJ33">
        <v>1</v>
      </c>
      <c r="BK33">
        <v>0</v>
      </c>
      <c r="BL33">
        <v>0</v>
      </c>
      <c r="BM33">
        <v>0</v>
      </c>
      <c r="BN33">
        <v>0</v>
      </c>
      <c r="BO33">
        <v>0</v>
      </c>
      <c r="BP33">
        <v>0</v>
      </c>
      <c r="BQ33">
        <v>0</v>
      </c>
      <c r="BR33">
        <v>31</v>
      </c>
      <c r="BS33">
        <v>22</v>
      </c>
      <c r="BT33">
        <v>0</v>
      </c>
      <c r="BU33">
        <v>0</v>
      </c>
      <c r="BV33">
        <v>0</v>
      </c>
      <c r="BW33">
        <v>0</v>
      </c>
      <c r="BX33" s="17">
        <f t="shared" si="0"/>
        <v>0</v>
      </c>
      <c r="BY33" s="17">
        <f t="shared" si="1"/>
        <v>0</v>
      </c>
      <c r="BZ33" s="17">
        <f t="shared" si="2"/>
        <v>0</v>
      </c>
      <c r="CA33" s="17">
        <f t="shared" si="3"/>
        <v>0</v>
      </c>
      <c r="CB33" s="17">
        <f t="shared" si="4"/>
        <v>0</v>
      </c>
      <c r="CC33" s="17">
        <f t="shared" si="5"/>
        <v>0</v>
      </c>
      <c r="CD33" s="17">
        <f t="shared" si="6"/>
        <v>0</v>
      </c>
      <c r="CE33" s="17">
        <f t="shared" si="7"/>
        <v>0</v>
      </c>
      <c r="CF33" s="17">
        <f t="shared" si="8"/>
        <v>0</v>
      </c>
      <c r="CG33" s="17">
        <f t="shared" si="9"/>
        <v>0</v>
      </c>
      <c r="CH33" s="17">
        <f t="shared" si="10"/>
        <v>0</v>
      </c>
      <c r="CI33" s="17">
        <f t="shared" si="11"/>
        <v>0</v>
      </c>
      <c r="CJ33" s="17">
        <f t="shared" si="12"/>
        <v>0</v>
      </c>
      <c r="CK33" s="17">
        <f t="shared" si="13"/>
        <v>0</v>
      </c>
    </row>
    <row r="34" spans="1:89" x14ac:dyDescent="0.35">
      <c r="A34" s="1">
        <v>42614</v>
      </c>
      <c r="B34">
        <v>2016</v>
      </c>
      <c r="C34">
        <f t="shared" si="14"/>
        <v>9</v>
      </c>
      <c r="D34" s="4">
        <v>2950039.955147068</v>
      </c>
      <c r="E34" s="4">
        <f>IFERROR(VLOOKUP($B34-1,CDM!$K$5:$N$19,2,FALSE)/12,0)+IFERROR(VLOOKUP($B34,CDM!$K$35:$N$47,2,FALSE)/24,0)+IFERROR(VLOOKUP($B34,CDM!$K$35:$N$47,2,FALSE)/2*$C34/78,0)</f>
        <v>71244.341879491927</v>
      </c>
      <c r="F34" s="4">
        <f t="shared" si="15"/>
        <v>3021284.2970265597</v>
      </c>
      <c r="G34" s="4">
        <v>1435135.4465574471</v>
      </c>
      <c r="H34" s="4">
        <f>IFERROR(VLOOKUP($B34-1,CDM!$K$5:$N$19,3,FALSE)/12,0)+IFERROR(VLOOKUP($B34,CDM!$K$35:$N$47,3,FALSE)/24,0)+IFERROR(VLOOKUP($B34,CDM!$K$35:$N$47,3,FALSE)/2*$C34/78,0)</f>
        <v>142498.92417367187</v>
      </c>
      <c r="I34" s="4">
        <f t="shared" si="16"/>
        <v>1577634.3707311191</v>
      </c>
      <c r="J34" s="4">
        <v>4749946.4564787177</v>
      </c>
      <c r="K34" s="4">
        <f>IFERROR(VLOOKUP($B34-1,CDM!$K$5:$N$19,4,FALSE)/12,0)+IFERROR(VLOOKUP($B34,CDM!$K$35:$N$47,4,FALSE)/24,0)+IFERROR(VLOOKUP($B34,CDM!$K$35:$N$47,4,FALSE)/2*$C34/78,0)</f>
        <v>125381.28043245408</v>
      </c>
      <c r="L34" s="4">
        <f t="shared" si="17"/>
        <v>4875327.736911172</v>
      </c>
      <c r="M34" s="4">
        <v>26817</v>
      </c>
      <c r="N34" s="4">
        <v>13681.499999999998</v>
      </c>
      <c r="O34" s="4">
        <v>15405.97</v>
      </c>
      <c r="P34" s="4">
        <v>125.28</v>
      </c>
      <c r="Q34" s="4">
        <v>5193</v>
      </c>
      <c r="R34" s="4">
        <v>716</v>
      </c>
      <c r="S34" s="4">
        <v>60</v>
      </c>
      <c r="T34" s="4">
        <v>1650</v>
      </c>
      <c r="U34" s="4">
        <v>23</v>
      </c>
      <c r="V34" s="4">
        <f>Weather!D154</f>
        <v>204.68817708395829</v>
      </c>
      <c r="W34" s="4">
        <f>Weather!E154</f>
        <v>1.4583333333333321</v>
      </c>
      <c r="X34" s="4">
        <f>Weather!F154</f>
        <v>149.03401041729165</v>
      </c>
      <c r="Y34" s="4">
        <f>Weather!G154</f>
        <v>5.8041666666666636</v>
      </c>
      <c r="Z34" s="4">
        <f>Weather!H154</f>
        <v>98.346510417291611</v>
      </c>
      <c r="AA34" s="4">
        <f>Weather!I154</f>
        <v>15.116666666666664</v>
      </c>
      <c r="AB34" s="4">
        <f>Weather!J154</f>
        <v>55.874999999999993</v>
      </c>
      <c r="AC34" s="4">
        <f>Weather!K154</f>
        <v>32.645156249375042</v>
      </c>
      <c r="AD34" s="4">
        <f>Weather!L154</f>
        <v>21.633333333333333</v>
      </c>
      <c r="AE34" s="4">
        <f>Weather!M154</f>
        <v>58.403489582708374</v>
      </c>
      <c r="AF34" s="4">
        <f>Weather!N154</f>
        <v>7.7458333333333318</v>
      </c>
      <c r="AG34" s="4">
        <f>Weather!O154</f>
        <v>104.5159895827084</v>
      </c>
      <c r="AH34" s="4">
        <f>Weather!P154</f>
        <v>1.375</v>
      </c>
      <c r="AI34" s="4">
        <f>Weather!Q154</f>
        <v>158.14515624937508</v>
      </c>
      <c r="AJ34" s="4">
        <f>Weather!R154</f>
        <v>13.225671874979165</v>
      </c>
      <c r="AK34" s="4">
        <f>'Economic Data'!F36</f>
        <v>743976.2</v>
      </c>
      <c r="AL34" s="4">
        <f>'Economic Data'!G36</f>
        <v>6953.7</v>
      </c>
      <c r="AM34" s="4">
        <f>'Economic Data'!H36</f>
        <v>7852.2</v>
      </c>
      <c r="AN34" s="4">
        <f>'Economic Data'!I36</f>
        <v>163.80000000000001</v>
      </c>
      <c r="AO34" s="4">
        <f>'Economic Data'!J36</f>
        <v>89.9</v>
      </c>
      <c r="AP34" s="4">
        <f>'Economic Data'!K36</f>
        <v>467.1</v>
      </c>
      <c r="AQ34" s="4">
        <f>'Economic Data'!L36</f>
        <v>266.89999999999998</v>
      </c>
      <c r="AR34" s="4">
        <f>'Economic Data'!M36</f>
        <v>1866.9</v>
      </c>
      <c r="AS34" s="4">
        <f>'Economic Data'!N36</f>
        <v>2820.7</v>
      </c>
      <c r="AT34" s="4">
        <f>'Economic Data'!O36</f>
        <v>746606</v>
      </c>
      <c r="AU34" s="4">
        <f>'Economic Data'!P36</f>
        <v>6970</v>
      </c>
      <c r="AV34" s="4">
        <f>'Economic Data'!Q36</f>
        <v>4185</v>
      </c>
      <c r="AW34" s="4">
        <f>'Economic Data'!R36</f>
        <v>5000</v>
      </c>
      <c r="AX34" s="4">
        <f>'Economic Data'!E36</f>
        <v>6998.1</v>
      </c>
      <c r="AY34" s="4">
        <f>'Economic Data'!D36</f>
        <v>6950.1</v>
      </c>
      <c r="AZ34">
        <v>33</v>
      </c>
      <c r="BA34" s="14">
        <f t="shared" si="18"/>
        <v>3.7376696182833684</v>
      </c>
      <c r="BB34">
        <f t="shared" si="19"/>
        <v>1089</v>
      </c>
      <c r="BC34">
        <v>0</v>
      </c>
      <c r="BD34">
        <v>0</v>
      </c>
      <c r="BE34">
        <v>0</v>
      </c>
      <c r="BF34">
        <v>0</v>
      </c>
      <c r="BG34">
        <v>0</v>
      </c>
      <c r="BH34">
        <v>0</v>
      </c>
      <c r="BI34">
        <v>0</v>
      </c>
      <c r="BJ34">
        <v>0</v>
      </c>
      <c r="BK34">
        <v>1</v>
      </c>
      <c r="BL34">
        <v>0</v>
      </c>
      <c r="BM34">
        <v>0</v>
      </c>
      <c r="BN34">
        <v>0</v>
      </c>
      <c r="BO34">
        <v>0</v>
      </c>
      <c r="BP34">
        <v>0</v>
      </c>
      <c r="BQ34">
        <v>0</v>
      </c>
      <c r="BR34">
        <v>30</v>
      </c>
      <c r="BS34">
        <v>21</v>
      </c>
      <c r="BT34">
        <v>0</v>
      </c>
      <c r="BU34">
        <v>0</v>
      </c>
      <c r="BV34">
        <v>0</v>
      </c>
      <c r="BW34">
        <v>0</v>
      </c>
      <c r="BX34" s="17">
        <f t="shared" ref="BX34:BX65" si="20">$BT34*V34</f>
        <v>0</v>
      </c>
      <c r="BY34" s="17">
        <f t="shared" ref="BY34:BY65" si="21">$BT34*W34</f>
        <v>0</v>
      </c>
      <c r="BZ34" s="17">
        <f t="shared" ref="BZ34:BZ65" si="22">$BT34*X34</f>
        <v>0</v>
      </c>
      <c r="CA34" s="17">
        <f t="shared" ref="CA34:CA65" si="23">$BT34*Y34</f>
        <v>0</v>
      </c>
      <c r="CB34" s="17">
        <f t="shared" ref="CB34:CB65" si="24">$BT34*Z34</f>
        <v>0</v>
      </c>
      <c r="CC34" s="17">
        <f t="shared" ref="CC34:CC65" si="25">$BT34*AA34</f>
        <v>0</v>
      </c>
      <c r="CD34" s="17">
        <f t="shared" ref="CD34:CD65" si="26">$BT34*AB34</f>
        <v>0</v>
      </c>
      <c r="CE34" s="17">
        <f t="shared" ref="CE34:CE65" si="27">$BT34*AC34</f>
        <v>0</v>
      </c>
      <c r="CF34" s="17">
        <f t="shared" ref="CF34:CF65" si="28">$BT34*AD34</f>
        <v>0</v>
      </c>
      <c r="CG34" s="17">
        <f t="shared" ref="CG34:CG65" si="29">$BT34*AE34</f>
        <v>0</v>
      </c>
      <c r="CH34" s="17">
        <f t="shared" ref="CH34:CH65" si="30">$BT34*AF34</f>
        <v>0</v>
      </c>
      <c r="CI34" s="17">
        <f t="shared" ref="CI34:CI65" si="31">$BT34*AG34</f>
        <v>0</v>
      </c>
      <c r="CJ34" s="17">
        <f t="shared" si="12"/>
        <v>0</v>
      </c>
      <c r="CK34" s="17">
        <f t="shared" si="13"/>
        <v>0</v>
      </c>
    </row>
    <row r="35" spans="1:89" x14ac:dyDescent="0.35">
      <c r="A35" s="1">
        <v>42644</v>
      </c>
      <c r="B35">
        <v>2016</v>
      </c>
      <c r="C35">
        <f t="shared" si="14"/>
        <v>10</v>
      </c>
      <c r="D35" s="4">
        <v>2552064.1452013939</v>
      </c>
      <c r="E35" s="4">
        <f>IFERROR(VLOOKUP($B35-1,CDM!$K$5:$N$19,2,FALSE)/12,0)+IFERROR(VLOOKUP($B35,CDM!$K$35:$N$47,2,FALSE)/24,0)+IFERROR(VLOOKUP($B35,CDM!$K$35:$N$47,2,FALSE)/2*$C35/78,0)</f>
        <v>72939.581579091348</v>
      </c>
      <c r="F35" s="4">
        <f t="shared" si="15"/>
        <v>2625003.7267804854</v>
      </c>
      <c r="G35" s="4">
        <v>1247312.884705436</v>
      </c>
      <c r="H35" s="4">
        <f>IFERROR(VLOOKUP($B35-1,CDM!$K$5:$N$19,3,FALSE)/12,0)+IFERROR(VLOOKUP($B35,CDM!$K$35:$N$47,3,FALSE)/24,0)+IFERROR(VLOOKUP($B35,CDM!$K$35:$N$47,3,FALSE)/2*$C35/78,0)</f>
        <v>143047.11721880411</v>
      </c>
      <c r="I35" s="4">
        <f t="shared" si="16"/>
        <v>1390360.00192424</v>
      </c>
      <c r="J35" s="4">
        <v>4651658.4091669731</v>
      </c>
      <c r="K35" s="4">
        <f>IFERROR(VLOOKUP($B35-1,CDM!$K$5:$N$19,4,FALSE)/12,0)+IFERROR(VLOOKUP($B35,CDM!$K$35:$N$47,4,FALSE)/24,0)+IFERROR(VLOOKUP($B35,CDM!$K$35:$N$47,4,FALSE)/2*$C35/78,0)</f>
        <v>129724.53296999709</v>
      </c>
      <c r="L35" s="4">
        <f t="shared" si="17"/>
        <v>4781382.9421369703</v>
      </c>
      <c r="M35" s="4">
        <v>51370</v>
      </c>
      <c r="N35" s="4">
        <v>13681.499999999998</v>
      </c>
      <c r="O35" s="4">
        <v>13278.62</v>
      </c>
      <c r="P35" s="4">
        <v>125.28</v>
      </c>
      <c r="Q35" s="4">
        <v>5207</v>
      </c>
      <c r="R35" s="4">
        <v>741</v>
      </c>
      <c r="S35" s="4">
        <v>62</v>
      </c>
      <c r="T35" s="4">
        <v>1650</v>
      </c>
      <c r="U35" s="4">
        <v>23</v>
      </c>
      <c r="V35" s="4">
        <f>Weather!D155</f>
        <v>449.36482502849941</v>
      </c>
      <c r="W35" s="4">
        <f>Weather!E155</f>
        <v>0</v>
      </c>
      <c r="X35" s="4">
        <f>Weather!F155</f>
        <v>387.36482502849941</v>
      </c>
      <c r="Y35" s="4">
        <f>Weather!G155</f>
        <v>0</v>
      </c>
      <c r="Z35" s="4">
        <f>Weather!H155</f>
        <v>325.6606583618327</v>
      </c>
      <c r="AA35" s="4">
        <f>Weather!I155</f>
        <v>0.29583333333333428</v>
      </c>
      <c r="AB35" s="4">
        <f>Weather!J155</f>
        <v>267.39399169516605</v>
      </c>
      <c r="AC35" s="4">
        <f>Weather!K155</f>
        <v>4.0291666666666668</v>
      </c>
      <c r="AD35" s="4">
        <f>Weather!L155</f>
        <v>213.61482502849938</v>
      </c>
      <c r="AE35" s="4">
        <f>Weather!M155</f>
        <v>12.249999999999995</v>
      </c>
      <c r="AF35" s="4">
        <f>Weather!N155</f>
        <v>165.32732502849939</v>
      </c>
      <c r="AG35" s="4">
        <f>Weather!O155</f>
        <v>25.962499999999999</v>
      </c>
      <c r="AH35" s="4">
        <f>Weather!P155</f>
        <v>120.38656862862739</v>
      </c>
      <c r="AI35" s="4">
        <f>Weather!Q155</f>
        <v>43.021743600128005</v>
      </c>
      <c r="AJ35" s="4">
        <f>Weather!R155</f>
        <v>5.5043604829516317</v>
      </c>
      <c r="AK35" s="4">
        <f>'Economic Data'!F37</f>
        <v>743976.2</v>
      </c>
      <c r="AL35" s="4">
        <f>'Economic Data'!G37</f>
        <v>6953.7</v>
      </c>
      <c r="AM35" s="4">
        <f>'Economic Data'!H37</f>
        <v>7852.2</v>
      </c>
      <c r="AN35" s="4">
        <f>'Economic Data'!I37</f>
        <v>163.80000000000001</v>
      </c>
      <c r="AO35" s="4">
        <f>'Economic Data'!J37</f>
        <v>89.9</v>
      </c>
      <c r="AP35" s="4">
        <f>'Economic Data'!K37</f>
        <v>467.1</v>
      </c>
      <c r="AQ35" s="4">
        <f>'Economic Data'!L37</f>
        <v>266.89999999999998</v>
      </c>
      <c r="AR35" s="4">
        <f>'Economic Data'!M37</f>
        <v>1866.9</v>
      </c>
      <c r="AS35" s="4">
        <f>'Economic Data'!N37</f>
        <v>2820.7</v>
      </c>
      <c r="AT35" s="4">
        <f>'Economic Data'!O37</f>
        <v>745380</v>
      </c>
      <c r="AU35" s="4">
        <f>'Economic Data'!P37</f>
        <v>6943</v>
      </c>
      <c r="AV35" s="4">
        <f>'Economic Data'!Q37</f>
        <v>4339</v>
      </c>
      <c r="AW35" s="4">
        <f>'Economic Data'!R37</f>
        <v>5014</v>
      </c>
      <c r="AX35" s="4">
        <f>'Economic Data'!E37</f>
        <v>6990.5</v>
      </c>
      <c r="AY35" s="4">
        <f>'Economic Data'!D37</f>
        <v>6963.9</v>
      </c>
      <c r="AZ35">
        <v>34</v>
      </c>
      <c r="BA35" s="14">
        <f t="shared" si="18"/>
        <v>3.7612001156935624</v>
      </c>
      <c r="BB35">
        <f t="shared" si="19"/>
        <v>1156</v>
      </c>
      <c r="BC35">
        <v>0</v>
      </c>
      <c r="BD35">
        <v>0</v>
      </c>
      <c r="BE35">
        <v>0</v>
      </c>
      <c r="BF35">
        <v>0</v>
      </c>
      <c r="BG35">
        <v>0</v>
      </c>
      <c r="BH35">
        <v>0</v>
      </c>
      <c r="BI35">
        <v>0</v>
      </c>
      <c r="BJ35">
        <v>0</v>
      </c>
      <c r="BK35">
        <v>0</v>
      </c>
      <c r="BL35">
        <v>1</v>
      </c>
      <c r="BM35">
        <v>0</v>
      </c>
      <c r="BN35">
        <v>0</v>
      </c>
      <c r="BO35">
        <v>0</v>
      </c>
      <c r="BP35">
        <v>1</v>
      </c>
      <c r="BQ35">
        <v>1</v>
      </c>
      <c r="BR35">
        <v>31</v>
      </c>
      <c r="BS35">
        <v>20</v>
      </c>
      <c r="BT35">
        <v>0</v>
      </c>
      <c r="BU35">
        <v>0</v>
      </c>
      <c r="BV35">
        <v>0</v>
      </c>
      <c r="BW35">
        <v>0</v>
      </c>
      <c r="BX35" s="17">
        <f t="shared" si="20"/>
        <v>0</v>
      </c>
      <c r="BY35" s="17">
        <f t="shared" si="21"/>
        <v>0</v>
      </c>
      <c r="BZ35" s="17">
        <f t="shared" si="22"/>
        <v>0</v>
      </c>
      <c r="CA35" s="17">
        <f t="shared" si="23"/>
        <v>0</v>
      </c>
      <c r="CB35" s="17">
        <f t="shared" si="24"/>
        <v>0</v>
      </c>
      <c r="CC35" s="17">
        <f t="shared" si="25"/>
        <v>0</v>
      </c>
      <c r="CD35" s="17">
        <f t="shared" si="26"/>
        <v>0</v>
      </c>
      <c r="CE35" s="17">
        <f t="shared" si="27"/>
        <v>0</v>
      </c>
      <c r="CF35" s="17">
        <f t="shared" si="28"/>
        <v>0</v>
      </c>
      <c r="CG35" s="17">
        <f t="shared" si="29"/>
        <v>0</v>
      </c>
      <c r="CH35" s="17">
        <f t="shared" si="30"/>
        <v>0</v>
      </c>
      <c r="CI35" s="17">
        <f t="shared" si="31"/>
        <v>0</v>
      </c>
      <c r="CJ35" s="17">
        <f t="shared" si="12"/>
        <v>0</v>
      </c>
      <c r="CK35" s="17">
        <f t="shared" si="13"/>
        <v>0</v>
      </c>
    </row>
    <row r="36" spans="1:89" x14ac:dyDescent="0.35">
      <c r="A36" s="1">
        <v>42675</v>
      </c>
      <c r="B36">
        <v>2016</v>
      </c>
      <c r="C36">
        <f t="shared" si="14"/>
        <v>11</v>
      </c>
      <c r="D36" s="4">
        <v>2957615.1989771188</v>
      </c>
      <c r="E36" s="4">
        <f>IFERROR(VLOOKUP($B36-1,CDM!$K$5:$N$19,2,FALSE)/12,0)+IFERROR(VLOOKUP($B36,CDM!$K$35:$N$47,2,FALSE)/24,0)+IFERROR(VLOOKUP($B36,CDM!$K$35:$N$47,2,FALSE)/2*$C36/78,0)</f>
        <v>74634.821278690768</v>
      </c>
      <c r="F36" s="4">
        <f t="shared" si="15"/>
        <v>3032250.0202558096</v>
      </c>
      <c r="G36" s="4">
        <v>1380570.4799047469</v>
      </c>
      <c r="H36" s="4">
        <f>IFERROR(VLOOKUP($B36-1,CDM!$K$5:$N$19,3,FALSE)/12,0)+IFERROR(VLOOKUP($B36,CDM!$K$35:$N$47,3,FALSE)/24,0)+IFERROR(VLOOKUP($B36,CDM!$K$35:$N$47,3,FALSE)/2*$C36/78,0)</f>
        <v>143595.31026393635</v>
      </c>
      <c r="I36" s="4">
        <f t="shared" si="16"/>
        <v>1524165.7901686833</v>
      </c>
      <c r="J36" s="4">
        <v>4817881.0183618143</v>
      </c>
      <c r="K36" s="4">
        <f>IFERROR(VLOOKUP($B36-1,CDM!$K$5:$N$19,4,FALSE)/12,0)+IFERROR(VLOOKUP($B36,CDM!$K$35:$N$47,4,FALSE)/24,0)+IFERROR(VLOOKUP($B36,CDM!$K$35:$N$47,4,FALSE)/2*$C36/78,0)</f>
        <v>134067.7855075401</v>
      </c>
      <c r="L36" s="4">
        <f t="shared" si="17"/>
        <v>4951948.8038693545</v>
      </c>
      <c r="M36" s="4">
        <v>47784</v>
      </c>
      <c r="N36" s="4">
        <v>13681.499999999998</v>
      </c>
      <c r="O36" s="4">
        <v>14007.98</v>
      </c>
      <c r="P36" s="4">
        <v>125.28</v>
      </c>
      <c r="Q36" s="4">
        <v>5225</v>
      </c>
      <c r="R36" s="4">
        <v>762</v>
      </c>
      <c r="S36" s="4">
        <v>62</v>
      </c>
      <c r="T36" s="4">
        <v>1650</v>
      </c>
      <c r="U36" s="4">
        <v>23</v>
      </c>
      <c r="V36" s="4">
        <f>Weather!D156</f>
        <v>565.00833333333333</v>
      </c>
      <c r="W36" s="4">
        <f>Weather!E156</f>
        <v>0</v>
      </c>
      <c r="X36" s="4">
        <f>Weather!F156</f>
        <v>505.00833333333338</v>
      </c>
      <c r="Y36" s="4">
        <f>Weather!G156</f>
        <v>0</v>
      </c>
      <c r="Z36" s="4">
        <f>Weather!H156</f>
        <v>445.00833333333338</v>
      </c>
      <c r="AA36" s="4">
        <f>Weather!I156</f>
        <v>0</v>
      </c>
      <c r="AB36" s="4">
        <f>Weather!J156</f>
        <v>385.00833333333327</v>
      </c>
      <c r="AC36" s="4">
        <f>Weather!K156</f>
        <v>0</v>
      </c>
      <c r="AD36" s="4">
        <f>Weather!L156</f>
        <v>325.69583333333338</v>
      </c>
      <c r="AE36" s="4">
        <f>Weather!M156</f>
        <v>0.6875</v>
      </c>
      <c r="AF36" s="4">
        <f>Weather!N156</f>
        <v>267.69583333333338</v>
      </c>
      <c r="AG36" s="4">
        <f>Weather!O156</f>
        <v>2.6875</v>
      </c>
      <c r="AH36" s="4">
        <f>Weather!P156</f>
        <v>209.77083333333331</v>
      </c>
      <c r="AI36" s="4">
        <f>Weather!Q156</f>
        <v>4.7624999999999993</v>
      </c>
      <c r="AJ36" s="4">
        <f>Weather!R156</f>
        <v>1.1663888888888885</v>
      </c>
      <c r="AK36" s="4">
        <f>'Economic Data'!F38</f>
        <v>743976.2</v>
      </c>
      <c r="AL36" s="4">
        <f>'Economic Data'!G38</f>
        <v>6953.7</v>
      </c>
      <c r="AM36" s="4">
        <f>'Economic Data'!H38</f>
        <v>7852.2</v>
      </c>
      <c r="AN36" s="4">
        <f>'Economic Data'!I38</f>
        <v>163.80000000000001</v>
      </c>
      <c r="AO36" s="4">
        <f>'Economic Data'!J38</f>
        <v>89.9</v>
      </c>
      <c r="AP36" s="4">
        <f>'Economic Data'!K38</f>
        <v>467.1</v>
      </c>
      <c r="AQ36" s="4">
        <f>'Economic Data'!L38</f>
        <v>266.89999999999998</v>
      </c>
      <c r="AR36" s="4">
        <f>'Economic Data'!M38</f>
        <v>1866.9</v>
      </c>
      <c r="AS36" s="4">
        <f>'Economic Data'!N38</f>
        <v>2820.7</v>
      </c>
      <c r="AT36" s="4">
        <f>'Economic Data'!O38</f>
        <v>745380</v>
      </c>
      <c r="AU36" s="4">
        <f>'Economic Data'!P38</f>
        <v>6943</v>
      </c>
      <c r="AV36" s="4">
        <f>'Economic Data'!Q38</f>
        <v>4339</v>
      </c>
      <c r="AW36" s="4">
        <f>'Economic Data'!R38</f>
        <v>5014</v>
      </c>
      <c r="AX36" s="4">
        <f>'Economic Data'!E38</f>
        <v>6983.4</v>
      </c>
      <c r="AY36" s="4">
        <f>'Economic Data'!D38</f>
        <v>6977.8</v>
      </c>
      <c r="AZ36">
        <v>35</v>
      </c>
      <c r="BA36" s="14">
        <f t="shared" si="18"/>
        <v>3.784189633918261</v>
      </c>
      <c r="BB36">
        <f t="shared" si="19"/>
        <v>1225</v>
      </c>
      <c r="BC36">
        <v>0</v>
      </c>
      <c r="BD36">
        <v>0</v>
      </c>
      <c r="BE36">
        <v>0</v>
      </c>
      <c r="BF36">
        <v>0</v>
      </c>
      <c r="BG36">
        <v>0</v>
      </c>
      <c r="BH36">
        <v>0</v>
      </c>
      <c r="BI36">
        <v>0</v>
      </c>
      <c r="BJ36">
        <v>0</v>
      </c>
      <c r="BK36">
        <v>0</v>
      </c>
      <c r="BL36">
        <v>0</v>
      </c>
      <c r="BM36">
        <v>1</v>
      </c>
      <c r="BN36">
        <v>0</v>
      </c>
      <c r="BO36">
        <v>0</v>
      </c>
      <c r="BP36">
        <v>1</v>
      </c>
      <c r="BQ36">
        <v>1</v>
      </c>
      <c r="BR36">
        <v>30</v>
      </c>
      <c r="BS36">
        <v>22</v>
      </c>
      <c r="BT36">
        <v>0</v>
      </c>
      <c r="BU36">
        <v>0</v>
      </c>
      <c r="BV36">
        <v>0</v>
      </c>
      <c r="BW36">
        <v>0</v>
      </c>
      <c r="BX36" s="17">
        <f t="shared" si="20"/>
        <v>0</v>
      </c>
      <c r="BY36" s="17">
        <f t="shared" si="21"/>
        <v>0</v>
      </c>
      <c r="BZ36" s="17">
        <f t="shared" si="22"/>
        <v>0</v>
      </c>
      <c r="CA36" s="17">
        <f t="shared" si="23"/>
        <v>0</v>
      </c>
      <c r="CB36" s="17">
        <f t="shared" si="24"/>
        <v>0</v>
      </c>
      <c r="CC36" s="17">
        <f t="shared" si="25"/>
        <v>0</v>
      </c>
      <c r="CD36" s="17">
        <f t="shared" si="26"/>
        <v>0</v>
      </c>
      <c r="CE36" s="17">
        <f t="shared" si="27"/>
        <v>0</v>
      </c>
      <c r="CF36" s="17">
        <f t="shared" si="28"/>
        <v>0</v>
      </c>
      <c r="CG36" s="17">
        <f t="shared" si="29"/>
        <v>0</v>
      </c>
      <c r="CH36" s="17">
        <f t="shared" si="30"/>
        <v>0</v>
      </c>
      <c r="CI36" s="17">
        <f t="shared" si="31"/>
        <v>0</v>
      </c>
      <c r="CJ36" s="17">
        <f t="shared" si="12"/>
        <v>0</v>
      </c>
      <c r="CK36" s="17">
        <f t="shared" si="13"/>
        <v>0</v>
      </c>
    </row>
    <row r="37" spans="1:89" x14ac:dyDescent="0.35">
      <c r="A37" s="1">
        <v>42705</v>
      </c>
      <c r="B37">
        <v>2016</v>
      </c>
      <c r="C37">
        <f t="shared" si="14"/>
        <v>12</v>
      </c>
      <c r="D37" s="4">
        <v>3170459.0499416748</v>
      </c>
      <c r="E37" s="4">
        <f>IFERROR(VLOOKUP($B37-1,CDM!$K$5:$N$19,2,FALSE)/12,0)+IFERROR(VLOOKUP($B37,CDM!$K$35:$N$47,2,FALSE)/24,0)+IFERROR(VLOOKUP($B37,CDM!$K$35:$N$47,2,FALSE)/2*$C37/78,0)</f>
        <v>76330.060978290203</v>
      </c>
      <c r="F37" s="4">
        <f t="shared" si="15"/>
        <v>3246789.110919965</v>
      </c>
      <c r="G37" s="4">
        <v>1495241.8201606863</v>
      </c>
      <c r="H37" s="4">
        <f>IFERROR(VLOOKUP($B37-1,CDM!$K$5:$N$19,3,FALSE)/12,0)+IFERROR(VLOOKUP($B37,CDM!$K$35:$N$47,3,FALSE)/24,0)+IFERROR(VLOOKUP($B37,CDM!$K$35:$N$47,3,FALSE)/2*$C37/78,0)</f>
        <v>144143.50330906859</v>
      </c>
      <c r="I37" s="4">
        <f t="shared" si="16"/>
        <v>1639385.3234697548</v>
      </c>
      <c r="J37" s="4">
        <v>5172063.9383222526</v>
      </c>
      <c r="K37" s="4">
        <f>IFERROR(VLOOKUP($B37-1,CDM!$K$5:$N$19,4,FALSE)/12,0)+IFERROR(VLOOKUP($B37,CDM!$K$35:$N$47,4,FALSE)/24,0)+IFERROR(VLOOKUP($B37,CDM!$K$35:$N$47,4,FALSE)/2*$C37/78,0)</f>
        <v>138411.03804508311</v>
      </c>
      <c r="L37" s="4">
        <f t="shared" si="17"/>
        <v>5310474.9763673358</v>
      </c>
      <c r="M37" s="4">
        <v>50579</v>
      </c>
      <c r="N37" s="4">
        <v>13681.499999999998</v>
      </c>
      <c r="O37" s="4">
        <v>14379.65</v>
      </c>
      <c r="P37" s="4">
        <v>125.28</v>
      </c>
      <c r="Q37" s="4">
        <v>5208</v>
      </c>
      <c r="R37" s="4">
        <v>747</v>
      </c>
      <c r="S37" s="4">
        <v>61</v>
      </c>
      <c r="T37" s="4">
        <v>1650</v>
      </c>
      <c r="U37" s="4">
        <v>23</v>
      </c>
      <c r="V37" s="4">
        <f>Weather!D157</f>
        <v>959.50833333333333</v>
      </c>
      <c r="W37" s="4">
        <f>Weather!E157</f>
        <v>0</v>
      </c>
      <c r="X37" s="4">
        <f>Weather!F157</f>
        <v>897.50833333333333</v>
      </c>
      <c r="Y37" s="4">
        <f>Weather!G157</f>
        <v>0</v>
      </c>
      <c r="Z37" s="4">
        <f>Weather!H157</f>
        <v>835.50833333333333</v>
      </c>
      <c r="AA37" s="4">
        <f>Weather!I157</f>
        <v>0</v>
      </c>
      <c r="AB37" s="4">
        <f>Weather!J157</f>
        <v>773.5083333333331</v>
      </c>
      <c r="AC37" s="4">
        <f>Weather!K157</f>
        <v>0</v>
      </c>
      <c r="AD37" s="4">
        <f>Weather!L157</f>
        <v>711.5083333333331</v>
      </c>
      <c r="AE37" s="4">
        <f>Weather!M157</f>
        <v>0</v>
      </c>
      <c r="AF37" s="4">
        <f>Weather!N157</f>
        <v>649.50833333333321</v>
      </c>
      <c r="AG37" s="4">
        <f>Weather!O157</f>
        <v>0</v>
      </c>
      <c r="AH37" s="4">
        <f>Weather!P157</f>
        <v>587.50833333333333</v>
      </c>
      <c r="AI37" s="4">
        <f>Weather!Q157</f>
        <v>0</v>
      </c>
      <c r="AJ37" s="4">
        <f>Weather!R157</f>
        <v>-10.951881720430107</v>
      </c>
      <c r="AK37" s="4">
        <f>'Economic Data'!F39</f>
        <v>743976.2</v>
      </c>
      <c r="AL37" s="4">
        <f>'Economic Data'!G39</f>
        <v>6953.7</v>
      </c>
      <c r="AM37" s="4">
        <f>'Economic Data'!H39</f>
        <v>7852.2</v>
      </c>
      <c r="AN37" s="4">
        <f>'Economic Data'!I39</f>
        <v>163.80000000000001</v>
      </c>
      <c r="AO37" s="4">
        <f>'Economic Data'!J39</f>
        <v>89.9</v>
      </c>
      <c r="AP37" s="4">
        <f>'Economic Data'!K39</f>
        <v>467.1</v>
      </c>
      <c r="AQ37" s="4">
        <f>'Economic Data'!L39</f>
        <v>266.89999999999998</v>
      </c>
      <c r="AR37" s="4">
        <f>'Economic Data'!M39</f>
        <v>1866.9</v>
      </c>
      <c r="AS37" s="4">
        <f>'Economic Data'!N39</f>
        <v>2820.7</v>
      </c>
      <c r="AT37" s="4">
        <f>'Economic Data'!O39</f>
        <v>745380</v>
      </c>
      <c r="AU37" s="4">
        <f>'Economic Data'!P39</f>
        <v>6943</v>
      </c>
      <c r="AV37" s="4">
        <f>'Economic Data'!Q39</f>
        <v>4339</v>
      </c>
      <c r="AW37" s="4">
        <f>'Economic Data'!R39</f>
        <v>5014</v>
      </c>
      <c r="AX37" s="4">
        <f>'Economic Data'!E39</f>
        <v>6999.9</v>
      </c>
      <c r="AY37" s="4">
        <f>'Economic Data'!D39</f>
        <v>6992.4</v>
      </c>
      <c r="AZ37">
        <v>36</v>
      </c>
      <c r="BA37" s="14">
        <f t="shared" si="18"/>
        <v>3.8066624897703196</v>
      </c>
      <c r="BB37">
        <f t="shared" si="19"/>
        <v>1296</v>
      </c>
      <c r="BC37">
        <v>0</v>
      </c>
      <c r="BD37">
        <v>0</v>
      </c>
      <c r="BE37">
        <v>0</v>
      </c>
      <c r="BF37">
        <v>0</v>
      </c>
      <c r="BG37">
        <v>0</v>
      </c>
      <c r="BH37">
        <v>0</v>
      </c>
      <c r="BI37">
        <v>0</v>
      </c>
      <c r="BJ37">
        <v>0</v>
      </c>
      <c r="BK37">
        <v>0</v>
      </c>
      <c r="BL37">
        <v>0</v>
      </c>
      <c r="BM37">
        <v>0</v>
      </c>
      <c r="BN37">
        <v>1</v>
      </c>
      <c r="BO37">
        <v>0</v>
      </c>
      <c r="BP37">
        <v>0</v>
      </c>
      <c r="BQ37">
        <v>0</v>
      </c>
      <c r="BR37">
        <v>31</v>
      </c>
      <c r="BS37">
        <v>20</v>
      </c>
      <c r="BT37">
        <v>0</v>
      </c>
      <c r="BU37">
        <v>0</v>
      </c>
      <c r="BV37">
        <v>0</v>
      </c>
      <c r="BW37">
        <v>0</v>
      </c>
      <c r="BX37" s="17">
        <f t="shared" si="20"/>
        <v>0</v>
      </c>
      <c r="BY37" s="17">
        <f t="shared" si="21"/>
        <v>0</v>
      </c>
      <c r="BZ37" s="17">
        <f t="shared" si="22"/>
        <v>0</v>
      </c>
      <c r="CA37" s="17">
        <f t="shared" si="23"/>
        <v>0</v>
      </c>
      <c r="CB37" s="17">
        <f t="shared" si="24"/>
        <v>0</v>
      </c>
      <c r="CC37" s="17">
        <f t="shared" si="25"/>
        <v>0</v>
      </c>
      <c r="CD37" s="17">
        <f t="shared" si="26"/>
        <v>0</v>
      </c>
      <c r="CE37" s="17">
        <f t="shared" si="27"/>
        <v>0</v>
      </c>
      <c r="CF37" s="17">
        <f t="shared" si="28"/>
        <v>0</v>
      </c>
      <c r="CG37" s="17">
        <f t="shared" si="29"/>
        <v>0</v>
      </c>
      <c r="CH37" s="17">
        <f t="shared" si="30"/>
        <v>0</v>
      </c>
      <c r="CI37" s="17">
        <f t="shared" si="31"/>
        <v>0</v>
      </c>
      <c r="CJ37" s="17">
        <f t="shared" si="12"/>
        <v>0</v>
      </c>
      <c r="CK37" s="17">
        <f t="shared" si="13"/>
        <v>0</v>
      </c>
    </row>
    <row r="38" spans="1:89" x14ac:dyDescent="0.35">
      <c r="A38" s="1">
        <v>42736</v>
      </c>
      <c r="B38">
        <v>2017</v>
      </c>
      <c r="C38">
        <f t="shared" si="14"/>
        <v>1</v>
      </c>
      <c r="D38" s="4">
        <v>4187713.9310388914</v>
      </c>
      <c r="E38" s="4">
        <f>IFERROR(VLOOKUP($B38-1,CDM!$K$5:$N$19,2,FALSE)/12,0)+IFERROR(VLOOKUP($B38,CDM!$K$35:$N$47,2,FALSE)/24,0)+IFERROR(VLOOKUP($B38,CDM!$K$35:$N$47,2,FALSE)/2*$C38/78,0)</f>
        <v>96311.14373357466</v>
      </c>
      <c r="F38" s="4">
        <f t="shared" si="15"/>
        <v>4284025.074772466</v>
      </c>
      <c r="G38" s="4">
        <v>1782000.3436171482</v>
      </c>
      <c r="H38" s="4">
        <f>IFERROR(VLOOKUP($B38-1,CDM!$K$5:$N$19,3,FALSE)/12,0)+IFERROR(VLOOKUP($B38,CDM!$K$35:$N$47,3,FALSE)/24,0)+IFERROR(VLOOKUP($B38,CDM!$K$35:$N$47,3,FALSE)/2*$C38/78,0)</f>
        <v>143606.14875810439</v>
      </c>
      <c r="I38" s="4">
        <f t="shared" si="16"/>
        <v>1925606.4923752525</v>
      </c>
      <c r="J38" s="4">
        <v>5833900.179360793</v>
      </c>
      <c r="K38" s="4">
        <f>IFERROR(VLOOKUP($B38-1,CDM!$K$5:$N$19,4,FALSE)/12,0)+IFERROR(VLOOKUP($B38,CDM!$K$35:$N$47,4,FALSE)/24,0)+IFERROR(VLOOKUP($B38,CDM!$K$35:$N$47,4,FALSE)/2*$C38/78,0)</f>
        <v>140712.38512462686</v>
      </c>
      <c r="L38" s="4">
        <f t="shared" si="17"/>
        <v>5974612.5644854195</v>
      </c>
      <c r="M38" s="4">
        <v>54893.234455479469</v>
      </c>
      <c r="N38" s="4">
        <v>13681.499999999998</v>
      </c>
      <c r="O38" s="4">
        <v>16111.34</v>
      </c>
      <c r="P38" s="4">
        <v>116.02</v>
      </c>
      <c r="Q38" s="4">
        <v>5198</v>
      </c>
      <c r="R38" s="4">
        <v>754</v>
      </c>
      <c r="S38" s="4">
        <v>53</v>
      </c>
      <c r="T38" s="4">
        <v>1650</v>
      </c>
      <c r="U38" s="4">
        <v>23</v>
      </c>
      <c r="V38" s="4">
        <f>Weather!D158</f>
        <v>935.60416666666652</v>
      </c>
      <c r="W38" s="4">
        <f>Weather!E158</f>
        <v>0</v>
      </c>
      <c r="X38" s="4">
        <f>Weather!F158</f>
        <v>873.60416666666652</v>
      </c>
      <c r="Y38" s="4">
        <f>Weather!G158</f>
        <v>0</v>
      </c>
      <c r="Z38" s="4">
        <f>Weather!H158</f>
        <v>811.60416666666674</v>
      </c>
      <c r="AA38" s="4">
        <f>Weather!I158</f>
        <v>0</v>
      </c>
      <c r="AB38" s="4">
        <f>Weather!J158</f>
        <v>749.60416666666674</v>
      </c>
      <c r="AC38" s="4">
        <f>Weather!K158</f>
        <v>0</v>
      </c>
      <c r="AD38" s="4">
        <f>Weather!L158</f>
        <v>687.60416666666652</v>
      </c>
      <c r="AE38" s="4">
        <f>Weather!M158</f>
        <v>0</v>
      </c>
      <c r="AF38" s="4">
        <f>Weather!N158</f>
        <v>625.60416666666674</v>
      </c>
      <c r="AG38" s="4">
        <f>Weather!O158</f>
        <v>0</v>
      </c>
      <c r="AH38" s="4">
        <f>Weather!P158</f>
        <v>563.60416666666652</v>
      </c>
      <c r="AI38" s="4">
        <f>Weather!Q158</f>
        <v>0</v>
      </c>
      <c r="AJ38" s="4">
        <f>Weather!R158</f>
        <v>-10.180779569892474</v>
      </c>
      <c r="AK38" s="4">
        <f>'Economic Data'!F40</f>
        <v>764464.8</v>
      </c>
      <c r="AL38" s="4">
        <f>'Economic Data'!G40</f>
        <v>7291.3</v>
      </c>
      <c r="AM38" s="4">
        <f>'Economic Data'!H40</f>
        <v>7685.1</v>
      </c>
      <c r="AN38" s="4">
        <f>'Economic Data'!I40</f>
        <v>124.8</v>
      </c>
      <c r="AO38" s="4">
        <f>'Economic Data'!J40</f>
        <v>103.7</v>
      </c>
      <c r="AP38" s="4">
        <f>'Economic Data'!K40</f>
        <v>439.9</v>
      </c>
      <c r="AQ38" s="4">
        <f>'Economic Data'!L40</f>
        <v>286.7</v>
      </c>
      <c r="AR38" s="4">
        <f>'Economic Data'!M40</f>
        <v>1902.9</v>
      </c>
      <c r="AS38" s="4">
        <f>'Economic Data'!N40</f>
        <v>2828.1</v>
      </c>
      <c r="AT38" s="4">
        <f>'Economic Data'!O40</f>
        <v>756702</v>
      </c>
      <c r="AU38" s="4">
        <f>'Economic Data'!P40</f>
        <v>7107</v>
      </c>
      <c r="AV38" s="4">
        <f>'Economic Data'!Q40</f>
        <v>4631</v>
      </c>
      <c r="AW38" s="4">
        <f>'Economic Data'!R40</f>
        <v>5121</v>
      </c>
      <c r="AX38" s="4">
        <f>'Economic Data'!E40</f>
        <v>6982.5</v>
      </c>
      <c r="AY38" s="4">
        <f>'Economic Data'!D40</f>
        <v>7014.6</v>
      </c>
      <c r="AZ38">
        <v>37</v>
      </c>
      <c r="BA38" s="14">
        <f t="shared" si="18"/>
        <v>3.8286413964890951</v>
      </c>
      <c r="BB38">
        <f t="shared" si="19"/>
        <v>1369</v>
      </c>
      <c r="BC38">
        <v>1</v>
      </c>
      <c r="BD38">
        <v>0</v>
      </c>
      <c r="BE38">
        <v>0</v>
      </c>
      <c r="BF38">
        <v>0</v>
      </c>
      <c r="BG38">
        <v>0</v>
      </c>
      <c r="BH38">
        <v>0</v>
      </c>
      <c r="BI38">
        <v>0</v>
      </c>
      <c r="BJ38">
        <v>0</v>
      </c>
      <c r="BK38">
        <v>0</v>
      </c>
      <c r="BL38">
        <v>0</v>
      </c>
      <c r="BM38">
        <v>0</v>
      </c>
      <c r="BN38">
        <v>0</v>
      </c>
      <c r="BO38">
        <v>0</v>
      </c>
      <c r="BP38">
        <v>0</v>
      </c>
      <c r="BQ38">
        <v>0</v>
      </c>
      <c r="BR38">
        <v>31</v>
      </c>
      <c r="BS38">
        <v>22</v>
      </c>
      <c r="BT38">
        <v>0</v>
      </c>
      <c r="BU38">
        <v>0</v>
      </c>
      <c r="BV38">
        <v>0</v>
      </c>
      <c r="BW38">
        <v>0</v>
      </c>
      <c r="BX38" s="17">
        <f t="shared" si="20"/>
        <v>0</v>
      </c>
      <c r="BY38" s="17">
        <f t="shared" si="21"/>
        <v>0</v>
      </c>
      <c r="BZ38" s="17">
        <f t="shared" si="22"/>
        <v>0</v>
      </c>
      <c r="CA38" s="17">
        <f t="shared" si="23"/>
        <v>0</v>
      </c>
      <c r="CB38" s="17">
        <f t="shared" si="24"/>
        <v>0</v>
      </c>
      <c r="CC38" s="17">
        <f t="shared" si="25"/>
        <v>0</v>
      </c>
      <c r="CD38" s="17">
        <f t="shared" si="26"/>
        <v>0</v>
      </c>
      <c r="CE38" s="17">
        <f t="shared" si="27"/>
        <v>0</v>
      </c>
      <c r="CF38" s="17">
        <f t="shared" si="28"/>
        <v>0</v>
      </c>
      <c r="CG38" s="17">
        <f t="shared" si="29"/>
        <v>0</v>
      </c>
      <c r="CH38" s="17">
        <f t="shared" si="30"/>
        <v>0</v>
      </c>
      <c r="CI38" s="17">
        <f t="shared" si="31"/>
        <v>0</v>
      </c>
      <c r="CJ38" s="17">
        <f t="shared" si="12"/>
        <v>0</v>
      </c>
      <c r="CK38" s="17">
        <f t="shared" si="13"/>
        <v>0</v>
      </c>
    </row>
    <row r="39" spans="1:89" x14ac:dyDescent="0.35">
      <c r="A39" s="1">
        <v>42767</v>
      </c>
      <c r="B39">
        <v>2017</v>
      </c>
      <c r="C39">
        <f t="shared" si="14"/>
        <v>2</v>
      </c>
      <c r="D39" s="4">
        <v>4041727.9618330519</v>
      </c>
      <c r="E39" s="4">
        <f>IFERROR(VLOOKUP($B39-1,CDM!$K$5:$N$19,2,FALSE)/12,0)+IFERROR(VLOOKUP($B39,CDM!$K$35:$N$47,2,FALSE)/24,0)+IFERROR(VLOOKUP($B39,CDM!$K$35:$N$47,2,FALSE)/2*$C39/78,0)</f>
        <v>100218.46388065217</v>
      </c>
      <c r="F39" s="4">
        <f t="shared" si="15"/>
        <v>4141946.425713704</v>
      </c>
      <c r="G39" s="4">
        <v>1778065.7513881668</v>
      </c>
      <c r="H39" s="4">
        <f>IFERROR(VLOOKUP($B39-1,CDM!$K$5:$N$19,3,FALSE)/12,0)+IFERROR(VLOOKUP($B39,CDM!$K$35:$N$47,3,FALSE)/24,0)+IFERROR(VLOOKUP($B39,CDM!$K$35:$N$47,3,FALSE)/2*$C39/78,0)</f>
        <v>143936.50971773948</v>
      </c>
      <c r="I39" s="4">
        <f t="shared" si="16"/>
        <v>1922002.2611059062</v>
      </c>
      <c r="J39" s="4">
        <v>5542386.89142201</v>
      </c>
      <c r="K39" s="4">
        <f>IFERROR(VLOOKUP($B39-1,CDM!$K$5:$N$19,4,FALSE)/12,0)+IFERROR(VLOOKUP($B39,CDM!$K$35:$N$47,4,FALSE)/24,0)+IFERROR(VLOOKUP($B39,CDM!$K$35:$N$47,4,FALSE)/2*$C39/78,0)</f>
        <v>144204.28326276422</v>
      </c>
      <c r="L39" s="4">
        <f t="shared" si="17"/>
        <v>5686591.1746847741</v>
      </c>
      <c r="M39" s="4">
        <v>53613.599583818359</v>
      </c>
      <c r="N39" s="4">
        <v>13681.499999999998</v>
      </c>
      <c r="O39" s="4">
        <v>15559.52</v>
      </c>
      <c r="P39" s="4">
        <v>116.02</v>
      </c>
      <c r="Q39" s="4">
        <v>5195</v>
      </c>
      <c r="R39" s="4">
        <v>744</v>
      </c>
      <c r="S39" s="4">
        <v>53</v>
      </c>
      <c r="T39" s="4">
        <v>1650</v>
      </c>
      <c r="U39" s="4">
        <v>23</v>
      </c>
      <c r="V39" s="4">
        <f>Weather!D159</f>
        <v>888.23750000000007</v>
      </c>
      <c r="W39" s="4">
        <f>Weather!E159</f>
        <v>0</v>
      </c>
      <c r="X39" s="4">
        <f>Weather!F159</f>
        <v>832.23750000000007</v>
      </c>
      <c r="Y39" s="4">
        <f>Weather!G159</f>
        <v>0</v>
      </c>
      <c r="Z39" s="4">
        <f>Weather!H159</f>
        <v>776.23750000000007</v>
      </c>
      <c r="AA39" s="4">
        <f>Weather!I159</f>
        <v>0</v>
      </c>
      <c r="AB39" s="4">
        <f>Weather!J159</f>
        <v>720.23750000000018</v>
      </c>
      <c r="AC39" s="4">
        <f>Weather!K159</f>
        <v>0</v>
      </c>
      <c r="AD39" s="4">
        <f>Weather!L159</f>
        <v>664.23750000000007</v>
      </c>
      <c r="AE39" s="4">
        <f>Weather!M159</f>
        <v>0</v>
      </c>
      <c r="AF39" s="4">
        <f>Weather!N159</f>
        <v>608.23750000000007</v>
      </c>
      <c r="AG39" s="4">
        <f>Weather!O159</f>
        <v>0</v>
      </c>
      <c r="AH39" s="4">
        <f>Weather!P159</f>
        <v>552.23750000000007</v>
      </c>
      <c r="AI39" s="4">
        <f>Weather!Q159</f>
        <v>0</v>
      </c>
      <c r="AJ39" s="4">
        <f>Weather!R159</f>
        <v>-11.722767857142856</v>
      </c>
      <c r="AK39" s="4">
        <f>'Economic Data'!F41</f>
        <v>764464.8</v>
      </c>
      <c r="AL39" s="4">
        <f>'Economic Data'!G41</f>
        <v>7291.3</v>
      </c>
      <c r="AM39" s="4">
        <f>'Economic Data'!H41</f>
        <v>7685.1</v>
      </c>
      <c r="AN39" s="4">
        <f>'Economic Data'!I41</f>
        <v>124.8</v>
      </c>
      <c r="AO39" s="4">
        <f>'Economic Data'!J41</f>
        <v>103.7</v>
      </c>
      <c r="AP39" s="4">
        <f>'Economic Data'!K41</f>
        <v>439.9</v>
      </c>
      <c r="AQ39" s="4">
        <f>'Economic Data'!L41</f>
        <v>286.7</v>
      </c>
      <c r="AR39" s="4">
        <f>'Economic Data'!M41</f>
        <v>1902.9</v>
      </c>
      <c r="AS39" s="4">
        <f>'Economic Data'!N41</f>
        <v>2828.1</v>
      </c>
      <c r="AT39" s="4">
        <f>'Economic Data'!O41</f>
        <v>756702</v>
      </c>
      <c r="AU39" s="4">
        <f>'Economic Data'!P41</f>
        <v>7107</v>
      </c>
      <c r="AV39" s="4">
        <f>'Economic Data'!Q41</f>
        <v>4631</v>
      </c>
      <c r="AW39" s="4">
        <f>'Economic Data'!R41</f>
        <v>5121</v>
      </c>
      <c r="AX39" s="4">
        <f>'Economic Data'!E41</f>
        <v>6962.5</v>
      </c>
      <c r="AY39" s="4">
        <f>'Economic Data'!D41</f>
        <v>7031.3</v>
      </c>
      <c r="AZ39">
        <v>38</v>
      </c>
      <c r="BA39" s="14">
        <f t="shared" si="18"/>
        <v>3.8501476017100584</v>
      </c>
      <c r="BB39">
        <f t="shared" si="19"/>
        <v>1444</v>
      </c>
      <c r="BC39">
        <v>0</v>
      </c>
      <c r="BD39">
        <v>1</v>
      </c>
      <c r="BE39">
        <v>0</v>
      </c>
      <c r="BF39">
        <v>0</v>
      </c>
      <c r="BG39">
        <v>0</v>
      </c>
      <c r="BH39">
        <v>0</v>
      </c>
      <c r="BI39">
        <v>0</v>
      </c>
      <c r="BJ39">
        <v>0</v>
      </c>
      <c r="BK39">
        <v>0</v>
      </c>
      <c r="BL39">
        <v>0</v>
      </c>
      <c r="BM39">
        <v>0</v>
      </c>
      <c r="BN39">
        <v>0</v>
      </c>
      <c r="BO39">
        <v>0</v>
      </c>
      <c r="BP39">
        <v>0</v>
      </c>
      <c r="BQ39">
        <v>0</v>
      </c>
      <c r="BR39">
        <v>28</v>
      </c>
      <c r="BS39">
        <v>19</v>
      </c>
      <c r="BT39">
        <v>0</v>
      </c>
      <c r="BU39">
        <v>0</v>
      </c>
      <c r="BV39">
        <v>0</v>
      </c>
      <c r="BW39">
        <v>0</v>
      </c>
      <c r="BX39" s="17">
        <f t="shared" si="20"/>
        <v>0</v>
      </c>
      <c r="BY39" s="17">
        <f t="shared" si="21"/>
        <v>0</v>
      </c>
      <c r="BZ39" s="17">
        <f t="shared" si="22"/>
        <v>0</v>
      </c>
      <c r="CA39" s="17">
        <f t="shared" si="23"/>
        <v>0</v>
      </c>
      <c r="CB39" s="17">
        <f t="shared" si="24"/>
        <v>0</v>
      </c>
      <c r="CC39" s="17">
        <f t="shared" si="25"/>
        <v>0</v>
      </c>
      <c r="CD39" s="17">
        <f t="shared" si="26"/>
        <v>0</v>
      </c>
      <c r="CE39" s="17">
        <f t="shared" si="27"/>
        <v>0</v>
      </c>
      <c r="CF39" s="17">
        <f t="shared" si="28"/>
        <v>0</v>
      </c>
      <c r="CG39" s="17">
        <f t="shared" si="29"/>
        <v>0</v>
      </c>
      <c r="CH39" s="17">
        <f t="shared" si="30"/>
        <v>0</v>
      </c>
      <c r="CI39" s="17">
        <f t="shared" si="31"/>
        <v>0</v>
      </c>
      <c r="CJ39" s="17">
        <f t="shared" si="12"/>
        <v>0</v>
      </c>
      <c r="CK39" s="17">
        <f t="shared" si="13"/>
        <v>0</v>
      </c>
    </row>
    <row r="40" spans="1:89" x14ac:dyDescent="0.35">
      <c r="A40" s="1">
        <v>42795</v>
      </c>
      <c r="B40">
        <v>2017</v>
      </c>
      <c r="C40">
        <f t="shared" si="14"/>
        <v>3</v>
      </c>
      <c r="D40" s="4">
        <v>3527052.38811083</v>
      </c>
      <c r="E40" s="4">
        <f>IFERROR(VLOOKUP($B40-1,CDM!$K$5:$N$19,2,FALSE)/12,0)+IFERROR(VLOOKUP($B40,CDM!$K$35:$N$47,2,FALSE)/24,0)+IFERROR(VLOOKUP($B40,CDM!$K$35:$N$47,2,FALSE)/2*$C40/78,0)</f>
        <v>104125.78402772968</v>
      </c>
      <c r="F40" s="4">
        <f t="shared" si="15"/>
        <v>3631178.1721385596</v>
      </c>
      <c r="G40" s="4">
        <v>1636483.762598698</v>
      </c>
      <c r="H40" s="4">
        <f>IFERROR(VLOOKUP($B40-1,CDM!$K$5:$N$19,3,FALSE)/12,0)+IFERROR(VLOOKUP($B40,CDM!$K$35:$N$47,3,FALSE)/24,0)+IFERROR(VLOOKUP($B40,CDM!$K$35:$N$47,3,FALSE)/2*$C40/78,0)</f>
        <v>144266.87067737454</v>
      </c>
      <c r="I40" s="4">
        <f t="shared" si="16"/>
        <v>1780750.6332760726</v>
      </c>
      <c r="J40" s="4">
        <v>5370812.4972413266</v>
      </c>
      <c r="K40" s="4">
        <f>IFERROR(VLOOKUP($B40-1,CDM!$K$5:$N$19,4,FALSE)/12,0)+IFERROR(VLOOKUP($B40,CDM!$K$35:$N$47,4,FALSE)/24,0)+IFERROR(VLOOKUP($B40,CDM!$K$35:$N$47,4,FALSE)/2*$C40/78,0)</f>
        <v>147696.18140090161</v>
      </c>
      <c r="L40" s="4">
        <f t="shared" si="17"/>
        <v>5518508.6786422282</v>
      </c>
      <c r="M40" s="4">
        <v>48151.889838393829</v>
      </c>
      <c r="N40" s="4">
        <v>13681.499999999998</v>
      </c>
      <c r="O40" s="4">
        <v>15721.33</v>
      </c>
      <c r="P40" s="4">
        <v>116.02</v>
      </c>
      <c r="Q40" s="4">
        <v>5199</v>
      </c>
      <c r="R40" s="4">
        <v>746</v>
      </c>
      <c r="S40" s="4">
        <v>53</v>
      </c>
      <c r="T40" s="4">
        <v>1650</v>
      </c>
      <c r="U40" s="4">
        <v>23</v>
      </c>
      <c r="V40" s="4">
        <f>Weather!D160</f>
        <v>883.71046635567313</v>
      </c>
      <c r="W40" s="4">
        <f>Weather!E160</f>
        <v>0</v>
      </c>
      <c r="X40" s="4">
        <f>Weather!F160</f>
        <v>821.71046635567313</v>
      </c>
      <c r="Y40" s="4">
        <f>Weather!G160</f>
        <v>0</v>
      </c>
      <c r="Z40" s="4">
        <f>Weather!H160</f>
        <v>759.71046635567313</v>
      </c>
      <c r="AA40" s="4">
        <f>Weather!I160</f>
        <v>0</v>
      </c>
      <c r="AB40" s="4">
        <f>Weather!J160</f>
        <v>697.71046635567313</v>
      </c>
      <c r="AC40" s="4">
        <f>Weather!K160</f>
        <v>0</v>
      </c>
      <c r="AD40" s="4">
        <f>Weather!L160</f>
        <v>635.71046635567325</v>
      </c>
      <c r="AE40" s="4">
        <f>Weather!M160</f>
        <v>0</v>
      </c>
      <c r="AF40" s="4">
        <f>Weather!N160</f>
        <v>573.71046635567325</v>
      </c>
      <c r="AG40" s="4">
        <f>Weather!O160</f>
        <v>0</v>
      </c>
      <c r="AH40" s="4">
        <f>Weather!P160</f>
        <v>511.71046635567336</v>
      </c>
      <c r="AI40" s="4">
        <f>Weather!Q160</f>
        <v>0</v>
      </c>
      <c r="AJ40" s="4">
        <f>Weather!R160</f>
        <v>-8.5067892372797811</v>
      </c>
      <c r="AK40" s="4">
        <f>'Economic Data'!F42</f>
        <v>764464.8</v>
      </c>
      <c r="AL40" s="4">
        <f>'Economic Data'!G42</f>
        <v>7291.3</v>
      </c>
      <c r="AM40" s="4">
        <f>'Economic Data'!H42</f>
        <v>7685.1</v>
      </c>
      <c r="AN40" s="4">
        <f>'Economic Data'!I42</f>
        <v>124.8</v>
      </c>
      <c r="AO40" s="4">
        <f>'Economic Data'!J42</f>
        <v>103.7</v>
      </c>
      <c r="AP40" s="4">
        <f>'Economic Data'!K42</f>
        <v>439.9</v>
      </c>
      <c r="AQ40" s="4">
        <f>'Economic Data'!L42</f>
        <v>286.7</v>
      </c>
      <c r="AR40" s="4">
        <f>'Economic Data'!M42</f>
        <v>1902.9</v>
      </c>
      <c r="AS40" s="4">
        <f>'Economic Data'!N42</f>
        <v>2828.1</v>
      </c>
      <c r="AT40" s="4">
        <f>'Economic Data'!O42</f>
        <v>756702</v>
      </c>
      <c r="AU40" s="4">
        <f>'Economic Data'!P42</f>
        <v>7107</v>
      </c>
      <c r="AV40" s="4">
        <f>'Economic Data'!Q42</f>
        <v>4631</v>
      </c>
      <c r="AW40" s="4">
        <f>'Economic Data'!R42</f>
        <v>5121</v>
      </c>
      <c r="AX40" s="4">
        <f>'Economic Data'!E42</f>
        <v>6946</v>
      </c>
      <c r="AY40" s="4">
        <f>'Economic Data'!D42</f>
        <v>7049</v>
      </c>
      <c r="AZ40">
        <v>39</v>
      </c>
      <c r="BA40" s="14">
        <f t="shared" si="18"/>
        <v>3.8712010109078911</v>
      </c>
      <c r="BB40">
        <f t="shared" si="19"/>
        <v>1521</v>
      </c>
      <c r="BC40">
        <v>0</v>
      </c>
      <c r="BD40">
        <v>0</v>
      </c>
      <c r="BE40">
        <v>1</v>
      </c>
      <c r="BF40">
        <v>0</v>
      </c>
      <c r="BG40">
        <v>0</v>
      </c>
      <c r="BH40">
        <v>0</v>
      </c>
      <c r="BI40">
        <v>0</v>
      </c>
      <c r="BJ40">
        <v>0</v>
      </c>
      <c r="BK40">
        <v>0</v>
      </c>
      <c r="BL40">
        <v>0</v>
      </c>
      <c r="BM40">
        <v>0</v>
      </c>
      <c r="BN40">
        <v>0</v>
      </c>
      <c r="BO40">
        <v>1</v>
      </c>
      <c r="BP40">
        <v>0</v>
      </c>
      <c r="BQ40">
        <v>1</v>
      </c>
      <c r="BR40">
        <v>31</v>
      </c>
      <c r="BS40">
        <v>23</v>
      </c>
      <c r="BT40">
        <v>0</v>
      </c>
      <c r="BU40">
        <v>0</v>
      </c>
      <c r="BV40">
        <v>0</v>
      </c>
      <c r="BW40">
        <v>0</v>
      </c>
      <c r="BX40" s="17">
        <f t="shared" si="20"/>
        <v>0</v>
      </c>
      <c r="BY40" s="17">
        <f t="shared" si="21"/>
        <v>0</v>
      </c>
      <c r="BZ40" s="17">
        <f t="shared" si="22"/>
        <v>0</v>
      </c>
      <c r="CA40" s="17">
        <f t="shared" si="23"/>
        <v>0</v>
      </c>
      <c r="CB40" s="17">
        <f t="shared" si="24"/>
        <v>0</v>
      </c>
      <c r="CC40" s="17">
        <f t="shared" si="25"/>
        <v>0</v>
      </c>
      <c r="CD40" s="17">
        <f t="shared" si="26"/>
        <v>0</v>
      </c>
      <c r="CE40" s="17">
        <f t="shared" si="27"/>
        <v>0</v>
      </c>
      <c r="CF40" s="17">
        <f t="shared" si="28"/>
        <v>0</v>
      </c>
      <c r="CG40" s="17">
        <f t="shared" si="29"/>
        <v>0</v>
      </c>
      <c r="CH40" s="17">
        <f t="shared" si="30"/>
        <v>0</v>
      </c>
      <c r="CI40" s="17">
        <f t="shared" si="31"/>
        <v>0</v>
      </c>
      <c r="CJ40" s="17">
        <f t="shared" si="12"/>
        <v>0</v>
      </c>
      <c r="CK40" s="17">
        <f t="shared" si="13"/>
        <v>0</v>
      </c>
    </row>
    <row r="41" spans="1:89" x14ac:dyDescent="0.35">
      <c r="A41" s="1">
        <v>42826</v>
      </c>
      <c r="B41">
        <v>2017</v>
      </c>
      <c r="C41">
        <f t="shared" si="14"/>
        <v>4</v>
      </c>
      <c r="D41" s="4">
        <v>3676594.3986909897</v>
      </c>
      <c r="E41" s="4">
        <f>IFERROR(VLOOKUP($B41-1,CDM!$K$5:$N$19,2,FALSE)/12,0)+IFERROR(VLOOKUP($B41,CDM!$K$35:$N$47,2,FALSE)/24,0)+IFERROR(VLOOKUP($B41,CDM!$K$35:$N$47,2,FALSE)/2*$C41/78,0)</f>
        <v>108033.10417480717</v>
      </c>
      <c r="F41" s="4">
        <f t="shared" si="15"/>
        <v>3784627.5028657969</v>
      </c>
      <c r="G41" s="4">
        <v>1765845.7965758266</v>
      </c>
      <c r="H41" s="4">
        <f>IFERROR(VLOOKUP($B41-1,CDM!$K$5:$N$19,3,FALSE)/12,0)+IFERROR(VLOOKUP($B41,CDM!$K$35:$N$47,3,FALSE)/24,0)+IFERROR(VLOOKUP($B41,CDM!$K$35:$N$47,3,FALSE)/2*$C41/78,0)</f>
        <v>144597.23163700962</v>
      </c>
      <c r="I41" s="4">
        <f t="shared" si="16"/>
        <v>1910443.0282128362</v>
      </c>
      <c r="J41" s="4">
        <v>5884681.5859217905</v>
      </c>
      <c r="K41" s="4">
        <f>IFERROR(VLOOKUP($B41-1,CDM!$K$5:$N$19,4,FALSE)/12,0)+IFERROR(VLOOKUP($B41,CDM!$K$35:$N$47,4,FALSE)/24,0)+IFERROR(VLOOKUP($B41,CDM!$K$35:$N$47,4,FALSE)/2*$C41/78,0)</f>
        <v>151188.07953903897</v>
      </c>
      <c r="L41" s="4">
        <f t="shared" si="17"/>
        <v>6035869.6654608296</v>
      </c>
      <c r="M41" s="4">
        <v>46485.062867176159</v>
      </c>
      <c r="N41" s="4">
        <v>13681.499999999998</v>
      </c>
      <c r="O41" s="4">
        <v>12859.03</v>
      </c>
      <c r="P41" s="4">
        <v>116.02</v>
      </c>
      <c r="Q41" s="4">
        <v>5188</v>
      </c>
      <c r="R41" s="4">
        <v>741</v>
      </c>
      <c r="S41" s="4">
        <v>52</v>
      </c>
      <c r="T41" s="4">
        <v>1650</v>
      </c>
      <c r="U41" s="4">
        <v>23</v>
      </c>
      <c r="V41" s="4">
        <f>Weather!D161</f>
        <v>546.73333333333323</v>
      </c>
      <c r="W41" s="4">
        <f>Weather!E161</f>
        <v>0</v>
      </c>
      <c r="X41" s="4">
        <f>Weather!F161</f>
        <v>486.73333333333323</v>
      </c>
      <c r="Y41" s="4">
        <f>Weather!G161</f>
        <v>0</v>
      </c>
      <c r="Z41" s="4">
        <f>Weather!H161</f>
        <v>426.73333333333323</v>
      </c>
      <c r="AA41" s="4">
        <f>Weather!I161</f>
        <v>0</v>
      </c>
      <c r="AB41" s="4">
        <f>Weather!J161</f>
        <v>366.73333333333329</v>
      </c>
      <c r="AC41" s="4">
        <f>Weather!K161</f>
        <v>0</v>
      </c>
      <c r="AD41" s="4">
        <f>Weather!L161</f>
        <v>306.73333333333335</v>
      </c>
      <c r="AE41" s="4">
        <f>Weather!M161</f>
        <v>0</v>
      </c>
      <c r="AF41" s="4">
        <f>Weather!N161</f>
        <v>246.73333333333338</v>
      </c>
      <c r="AG41" s="4">
        <f>Weather!O161</f>
        <v>0</v>
      </c>
      <c r="AH41" s="4">
        <f>Weather!P161</f>
        <v>187.79166666666669</v>
      </c>
      <c r="AI41" s="4">
        <f>Weather!Q161</f>
        <v>1.0583333333333318</v>
      </c>
      <c r="AJ41" s="4">
        <f>Weather!R161</f>
        <v>1.7755555555555558</v>
      </c>
      <c r="AK41" s="4">
        <f>'Economic Data'!F43</f>
        <v>764464.8</v>
      </c>
      <c r="AL41" s="4">
        <f>'Economic Data'!G43</f>
        <v>7291.3</v>
      </c>
      <c r="AM41" s="4">
        <f>'Economic Data'!H43</f>
        <v>7685.1</v>
      </c>
      <c r="AN41" s="4">
        <f>'Economic Data'!I43</f>
        <v>124.8</v>
      </c>
      <c r="AO41" s="4">
        <f>'Economic Data'!J43</f>
        <v>103.7</v>
      </c>
      <c r="AP41" s="4">
        <f>'Economic Data'!K43</f>
        <v>439.9</v>
      </c>
      <c r="AQ41" s="4">
        <f>'Economic Data'!L43</f>
        <v>286.7</v>
      </c>
      <c r="AR41" s="4">
        <f>'Economic Data'!M43</f>
        <v>1902.9</v>
      </c>
      <c r="AS41" s="4">
        <f>'Economic Data'!N43</f>
        <v>2828.1</v>
      </c>
      <c r="AT41" s="4">
        <f>'Economic Data'!O43</f>
        <v>764644</v>
      </c>
      <c r="AU41" s="4">
        <f>'Economic Data'!P43</f>
        <v>7237</v>
      </c>
      <c r="AV41" s="4">
        <f>'Economic Data'!Q43</f>
        <v>4332</v>
      </c>
      <c r="AW41" s="4">
        <f>'Economic Data'!R43</f>
        <v>5127</v>
      </c>
      <c r="AX41" s="4">
        <f>'Economic Data'!E43</f>
        <v>6963.6</v>
      </c>
      <c r="AY41" s="4">
        <f>'Economic Data'!D43</f>
        <v>7055.1</v>
      </c>
      <c r="AZ41">
        <v>40</v>
      </c>
      <c r="BA41" s="14">
        <f t="shared" si="18"/>
        <v>3.8918202981106265</v>
      </c>
      <c r="BB41">
        <f t="shared" si="19"/>
        <v>1600</v>
      </c>
      <c r="BC41">
        <v>0</v>
      </c>
      <c r="BD41">
        <v>0</v>
      </c>
      <c r="BE41">
        <v>0</v>
      </c>
      <c r="BF41">
        <v>1</v>
      </c>
      <c r="BG41">
        <v>0</v>
      </c>
      <c r="BH41">
        <v>0</v>
      </c>
      <c r="BI41">
        <v>0</v>
      </c>
      <c r="BJ41">
        <v>0</v>
      </c>
      <c r="BK41">
        <v>0</v>
      </c>
      <c r="BL41">
        <v>0</v>
      </c>
      <c r="BM41">
        <v>0</v>
      </c>
      <c r="BN41">
        <v>0</v>
      </c>
      <c r="BO41">
        <v>1</v>
      </c>
      <c r="BP41">
        <v>0</v>
      </c>
      <c r="BQ41">
        <v>1</v>
      </c>
      <c r="BR41">
        <v>30</v>
      </c>
      <c r="BS41">
        <v>19</v>
      </c>
      <c r="BT41">
        <v>0</v>
      </c>
      <c r="BU41">
        <v>0</v>
      </c>
      <c r="BV41">
        <v>0</v>
      </c>
      <c r="BW41">
        <v>0</v>
      </c>
      <c r="BX41" s="17">
        <f t="shared" si="20"/>
        <v>0</v>
      </c>
      <c r="BY41" s="17">
        <f t="shared" si="21"/>
        <v>0</v>
      </c>
      <c r="BZ41" s="17">
        <f t="shared" si="22"/>
        <v>0</v>
      </c>
      <c r="CA41" s="17">
        <f t="shared" si="23"/>
        <v>0</v>
      </c>
      <c r="CB41" s="17">
        <f t="shared" si="24"/>
        <v>0</v>
      </c>
      <c r="CC41" s="17">
        <f t="shared" si="25"/>
        <v>0</v>
      </c>
      <c r="CD41" s="17">
        <f t="shared" si="26"/>
        <v>0</v>
      </c>
      <c r="CE41" s="17">
        <f t="shared" si="27"/>
        <v>0</v>
      </c>
      <c r="CF41" s="17">
        <f t="shared" si="28"/>
        <v>0</v>
      </c>
      <c r="CG41" s="17">
        <f t="shared" si="29"/>
        <v>0</v>
      </c>
      <c r="CH41" s="17">
        <f t="shared" si="30"/>
        <v>0</v>
      </c>
      <c r="CI41" s="17">
        <f t="shared" si="31"/>
        <v>0</v>
      </c>
      <c r="CJ41" s="17">
        <f t="shared" si="12"/>
        <v>0</v>
      </c>
      <c r="CK41" s="17">
        <f t="shared" si="13"/>
        <v>0</v>
      </c>
    </row>
    <row r="42" spans="1:89" x14ac:dyDescent="0.35">
      <c r="A42" s="1">
        <v>42856</v>
      </c>
      <c r="B42">
        <v>2017</v>
      </c>
      <c r="C42">
        <f t="shared" si="14"/>
        <v>5</v>
      </c>
      <c r="D42" s="4">
        <v>2898400.2515853038</v>
      </c>
      <c r="E42" s="4">
        <f>IFERROR(VLOOKUP($B42-1,CDM!$K$5:$N$19,2,FALSE)/12,0)+IFERROR(VLOOKUP($B42,CDM!$K$35:$N$47,2,FALSE)/24,0)+IFERROR(VLOOKUP($B42,CDM!$K$35:$N$47,2,FALSE)/2*$C42/78,0)</f>
        <v>111940.4243218847</v>
      </c>
      <c r="F42" s="4">
        <f t="shared" si="15"/>
        <v>3010340.6759071886</v>
      </c>
      <c r="G42" s="4">
        <v>1389717.2762907702</v>
      </c>
      <c r="H42" s="4">
        <f>IFERROR(VLOOKUP($B42-1,CDM!$K$5:$N$19,3,FALSE)/12,0)+IFERROR(VLOOKUP($B42,CDM!$K$35:$N$47,3,FALSE)/24,0)+IFERROR(VLOOKUP($B42,CDM!$K$35:$N$47,3,FALSE)/2*$C42/78,0)</f>
        <v>144927.59259664471</v>
      </c>
      <c r="I42" s="4">
        <f t="shared" si="16"/>
        <v>1534644.8688874149</v>
      </c>
      <c r="J42" s="4">
        <v>4661916.601757328</v>
      </c>
      <c r="K42" s="4">
        <f>IFERROR(VLOOKUP($B42-1,CDM!$K$5:$N$19,4,FALSE)/12,0)+IFERROR(VLOOKUP($B42,CDM!$K$35:$N$47,4,FALSE)/24,0)+IFERROR(VLOOKUP($B42,CDM!$K$35:$N$47,4,FALSE)/2*$C42/78,0)</f>
        <v>154679.97767717636</v>
      </c>
      <c r="L42" s="4">
        <f t="shared" si="17"/>
        <v>4816596.5794345047</v>
      </c>
      <c r="M42" s="4">
        <v>37646.677834921109</v>
      </c>
      <c r="N42" s="4">
        <v>13681.499999999998</v>
      </c>
      <c r="O42" s="4">
        <v>16954.25</v>
      </c>
      <c r="P42" s="4">
        <v>116.02</v>
      </c>
      <c r="Q42" s="4">
        <v>5220</v>
      </c>
      <c r="R42" s="4">
        <v>740</v>
      </c>
      <c r="S42" s="4">
        <v>52</v>
      </c>
      <c r="T42" s="4">
        <v>1650</v>
      </c>
      <c r="U42" s="4">
        <v>23</v>
      </c>
      <c r="V42" s="4">
        <f>Weather!D162</f>
        <v>359.24879595658081</v>
      </c>
      <c r="W42" s="4">
        <f>Weather!E162</f>
        <v>0</v>
      </c>
      <c r="X42" s="4">
        <f>Weather!F162</f>
        <v>297.51129595658074</v>
      </c>
      <c r="Y42" s="4">
        <f>Weather!G162</f>
        <v>0.26249999999999929</v>
      </c>
      <c r="Z42" s="4">
        <f>Weather!H162</f>
        <v>238.34046262324753</v>
      </c>
      <c r="AA42" s="4">
        <f>Weather!I162</f>
        <v>3.091666666666665</v>
      </c>
      <c r="AB42" s="4">
        <f>Weather!J162</f>
        <v>184.11962928991417</v>
      </c>
      <c r="AC42" s="4">
        <f>Weather!K162</f>
        <v>10.870833333333339</v>
      </c>
      <c r="AD42" s="4">
        <f>Weather!L162</f>
        <v>136.33629595658084</v>
      </c>
      <c r="AE42" s="4">
        <f>Weather!M162</f>
        <v>25.087500000000006</v>
      </c>
      <c r="AF42" s="4">
        <f>Weather!N162</f>
        <v>94.194629289914161</v>
      </c>
      <c r="AG42" s="4">
        <f>Weather!O162</f>
        <v>44.94583333333334</v>
      </c>
      <c r="AH42" s="4">
        <f>Weather!P162</f>
        <v>64.283333333333331</v>
      </c>
      <c r="AI42" s="4">
        <f>Weather!Q162</f>
        <v>77.034537376752496</v>
      </c>
      <c r="AJ42" s="4">
        <f>Weather!R162</f>
        <v>8.4113291626909401</v>
      </c>
      <c r="AK42" s="4">
        <f>'Economic Data'!F44</f>
        <v>764464.8</v>
      </c>
      <c r="AL42" s="4">
        <f>'Economic Data'!G44</f>
        <v>7291.3</v>
      </c>
      <c r="AM42" s="4">
        <f>'Economic Data'!H44</f>
        <v>7685.1</v>
      </c>
      <c r="AN42" s="4">
        <f>'Economic Data'!I44</f>
        <v>124.8</v>
      </c>
      <c r="AO42" s="4">
        <f>'Economic Data'!J44</f>
        <v>103.7</v>
      </c>
      <c r="AP42" s="4">
        <f>'Economic Data'!K44</f>
        <v>439.9</v>
      </c>
      <c r="AQ42" s="4">
        <f>'Economic Data'!L44</f>
        <v>286.7</v>
      </c>
      <c r="AR42" s="4">
        <f>'Economic Data'!M44</f>
        <v>1902.9</v>
      </c>
      <c r="AS42" s="4">
        <f>'Economic Data'!N44</f>
        <v>2828.1</v>
      </c>
      <c r="AT42" s="4">
        <f>'Economic Data'!O44</f>
        <v>764644</v>
      </c>
      <c r="AU42" s="4">
        <f>'Economic Data'!P44</f>
        <v>7237</v>
      </c>
      <c r="AV42" s="4">
        <f>'Economic Data'!Q44</f>
        <v>4332</v>
      </c>
      <c r="AW42" s="4">
        <f>'Economic Data'!R44</f>
        <v>5127</v>
      </c>
      <c r="AX42" s="4">
        <f>'Economic Data'!E44</f>
        <v>7033.4</v>
      </c>
      <c r="AY42" s="4">
        <f>'Economic Data'!D44</f>
        <v>7066.7</v>
      </c>
      <c r="AZ42">
        <v>41</v>
      </c>
      <c r="BA42" s="14">
        <f t="shared" si="18"/>
        <v>3.912023005428146</v>
      </c>
      <c r="BB42">
        <f t="shared" si="19"/>
        <v>1681</v>
      </c>
      <c r="BC42">
        <v>0</v>
      </c>
      <c r="BD42">
        <v>0</v>
      </c>
      <c r="BE42">
        <v>0</v>
      </c>
      <c r="BF42">
        <v>0</v>
      </c>
      <c r="BG42">
        <v>1</v>
      </c>
      <c r="BH42">
        <v>0</v>
      </c>
      <c r="BI42">
        <v>0</v>
      </c>
      <c r="BJ42">
        <v>0</v>
      </c>
      <c r="BK42">
        <v>0</v>
      </c>
      <c r="BL42">
        <v>0</v>
      </c>
      <c r="BM42">
        <v>0</v>
      </c>
      <c r="BN42">
        <v>0</v>
      </c>
      <c r="BO42">
        <v>1</v>
      </c>
      <c r="BP42">
        <v>0</v>
      </c>
      <c r="BQ42">
        <v>1</v>
      </c>
      <c r="BR42">
        <v>31</v>
      </c>
      <c r="BS42">
        <v>22</v>
      </c>
      <c r="BT42">
        <v>0</v>
      </c>
      <c r="BU42">
        <v>0</v>
      </c>
      <c r="BV42">
        <v>0</v>
      </c>
      <c r="BW42">
        <v>0</v>
      </c>
      <c r="BX42" s="17">
        <f t="shared" si="20"/>
        <v>0</v>
      </c>
      <c r="BY42" s="17">
        <f t="shared" si="21"/>
        <v>0</v>
      </c>
      <c r="BZ42" s="17">
        <f t="shared" si="22"/>
        <v>0</v>
      </c>
      <c r="CA42" s="17">
        <f t="shared" si="23"/>
        <v>0</v>
      </c>
      <c r="CB42" s="17">
        <f t="shared" si="24"/>
        <v>0</v>
      </c>
      <c r="CC42" s="17">
        <f t="shared" si="25"/>
        <v>0</v>
      </c>
      <c r="CD42" s="17">
        <f t="shared" si="26"/>
        <v>0</v>
      </c>
      <c r="CE42" s="17">
        <f t="shared" si="27"/>
        <v>0</v>
      </c>
      <c r="CF42" s="17">
        <f t="shared" si="28"/>
        <v>0</v>
      </c>
      <c r="CG42" s="17">
        <f t="shared" si="29"/>
        <v>0</v>
      </c>
      <c r="CH42" s="17">
        <f t="shared" si="30"/>
        <v>0</v>
      </c>
      <c r="CI42" s="17">
        <f t="shared" si="31"/>
        <v>0</v>
      </c>
      <c r="CJ42" s="17">
        <f t="shared" si="12"/>
        <v>0</v>
      </c>
      <c r="CK42" s="17">
        <f t="shared" si="13"/>
        <v>0</v>
      </c>
    </row>
    <row r="43" spans="1:89" x14ac:dyDescent="0.35">
      <c r="A43" s="1">
        <v>42887</v>
      </c>
      <c r="B43">
        <v>2017</v>
      </c>
      <c r="C43">
        <f t="shared" si="14"/>
        <v>6</v>
      </c>
      <c r="D43" s="4">
        <v>2712927.3223848916</v>
      </c>
      <c r="E43" s="4">
        <f>IFERROR(VLOOKUP($B43-1,CDM!$K$5:$N$19,2,FALSE)/12,0)+IFERROR(VLOOKUP($B43,CDM!$K$35:$N$47,2,FALSE)/24,0)+IFERROR(VLOOKUP($B43,CDM!$K$35:$N$47,2,FALSE)/2*$C43/78,0)</f>
        <v>115847.74446896219</v>
      </c>
      <c r="F43" s="4">
        <f t="shared" si="15"/>
        <v>2828775.0668538539</v>
      </c>
      <c r="G43" s="4">
        <v>1358734.1216945928</v>
      </c>
      <c r="H43" s="4">
        <f>IFERROR(VLOOKUP($B43-1,CDM!$K$5:$N$19,3,FALSE)/12,0)+IFERROR(VLOOKUP($B43,CDM!$K$35:$N$47,3,FALSE)/24,0)+IFERROR(VLOOKUP($B43,CDM!$K$35:$N$47,3,FALSE)/2*$C43/78,0)</f>
        <v>145257.9535562798</v>
      </c>
      <c r="I43" s="4">
        <f t="shared" si="16"/>
        <v>1503992.0752508726</v>
      </c>
      <c r="J43" s="4">
        <v>4736968.772051245</v>
      </c>
      <c r="K43" s="4">
        <f>IFERROR(VLOOKUP($B43-1,CDM!$K$5:$N$19,4,FALSE)/12,0)+IFERROR(VLOOKUP($B43,CDM!$K$35:$N$47,4,FALSE)/24,0)+IFERROR(VLOOKUP($B43,CDM!$K$35:$N$47,4,FALSE)/2*$C43/78,0)</f>
        <v>158171.87581531372</v>
      </c>
      <c r="L43" s="4">
        <f t="shared" si="17"/>
        <v>4895140.6478665583</v>
      </c>
      <c r="M43" s="4">
        <v>33956.84718074897</v>
      </c>
      <c r="N43" s="4">
        <v>13681.499999999998</v>
      </c>
      <c r="O43" s="4">
        <v>13234.68</v>
      </c>
      <c r="P43" s="4">
        <v>116.02</v>
      </c>
      <c r="Q43" s="4">
        <v>5269</v>
      </c>
      <c r="R43" s="4">
        <v>748</v>
      </c>
      <c r="S43" s="4">
        <v>52</v>
      </c>
      <c r="T43" s="4">
        <v>1650</v>
      </c>
      <c r="U43" s="4">
        <v>23</v>
      </c>
      <c r="V43" s="4">
        <f>Weather!D163</f>
        <v>161.02916666666667</v>
      </c>
      <c r="W43" s="4">
        <f>Weather!E163</f>
        <v>0</v>
      </c>
      <c r="X43" s="4">
        <f>Weather!F163</f>
        <v>105.38333333333333</v>
      </c>
      <c r="Y43" s="4">
        <f>Weather!G163</f>
        <v>4.3541666666666607</v>
      </c>
      <c r="Z43" s="4">
        <f>Weather!H163</f>
        <v>58.212499999999999</v>
      </c>
      <c r="AA43" s="4">
        <f>Weather!I163</f>
        <v>17.183333333333323</v>
      </c>
      <c r="AB43" s="4">
        <f>Weather!J163</f>
        <v>24.262500000000003</v>
      </c>
      <c r="AC43" s="4">
        <f>Weather!K163</f>
        <v>43.233333333333327</v>
      </c>
      <c r="AD43" s="4">
        <f>Weather!L163</f>
        <v>8.8708333333333353</v>
      </c>
      <c r="AE43" s="4">
        <f>Weather!M163</f>
        <v>87.841666666666669</v>
      </c>
      <c r="AF43" s="4">
        <f>Weather!N163</f>
        <v>4.8083333333333345</v>
      </c>
      <c r="AG43" s="4">
        <f>Weather!O163</f>
        <v>143.77916666666667</v>
      </c>
      <c r="AH43" s="4">
        <f>Weather!P163</f>
        <v>2.4750000000000005</v>
      </c>
      <c r="AI43" s="4">
        <f>Weather!Q163</f>
        <v>201.44583333333335</v>
      </c>
      <c r="AJ43" s="4">
        <f>Weather!R163</f>
        <v>14.632361111111113</v>
      </c>
      <c r="AK43" s="4">
        <f>'Economic Data'!F45</f>
        <v>764464.8</v>
      </c>
      <c r="AL43" s="4">
        <f>'Economic Data'!G45</f>
        <v>7291.3</v>
      </c>
      <c r="AM43" s="4">
        <f>'Economic Data'!H45</f>
        <v>7685.1</v>
      </c>
      <c r="AN43" s="4">
        <f>'Economic Data'!I45</f>
        <v>124.8</v>
      </c>
      <c r="AO43" s="4">
        <f>'Economic Data'!J45</f>
        <v>103.7</v>
      </c>
      <c r="AP43" s="4">
        <f>'Economic Data'!K45</f>
        <v>439.9</v>
      </c>
      <c r="AQ43" s="4">
        <f>'Economic Data'!L45</f>
        <v>286.7</v>
      </c>
      <c r="AR43" s="4">
        <f>'Economic Data'!M45</f>
        <v>1902.9</v>
      </c>
      <c r="AS43" s="4">
        <f>'Economic Data'!N45</f>
        <v>2828.1</v>
      </c>
      <c r="AT43" s="4">
        <f>'Economic Data'!O45</f>
        <v>764644</v>
      </c>
      <c r="AU43" s="4">
        <f>'Economic Data'!P45</f>
        <v>7237</v>
      </c>
      <c r="AV43" s="4">
        <f>'Economic Data'!Q45</f>
        <v>4332</v>
      </c>
      <c r="AW43" s="4">
        <f>'Economic Data'!R45</f>
        <v>5127</v>
      </c>
      <c r="AX43" s="4">
        <f>'Economic Data'!E45</f>
        <v>7123</v>
      </c>
      <c r="AY43" s="4">
        <f>'Economic Data'!D45</f>
        <v>7079.8</v>
      </c>
      <c r="AZ43">
        <v>42</v>
      </c>
      <c r="BA43" s="14">
        <f t="shared" si="18"/>
        <v>3.9318256327243257</v>
      </c>
      <c r="BB43">
        <f t="shared" si="19"/>
        <v>1764</v>
      </c>
      <c r="BC43">
        <v>0</v>
      </c>
      <c r="BD43">
        <v>0</v>
      </c>
      <c r="BE43">
        <v>0</v>
      </c>
      <c r="BF43">
        <v>0</v>
      </c>
      <c r="BG43">
        <v>0</v>
      </c>
      <c r="BH43">
        <v>1</v>
      </c>
      <c r="BI43">
        <v>0</v>
      </c>
      <c r="BJ43">
        <v>0</v>
      </c>
      <c r="BK43">
        <v>0</v>
      </c>
      <c r="BL43">
        <v>0</v>
      </c>
      <c r="BM43">
        <v>0</v>
      </c>
      <c r="BN43">
        <v>0</v>
      </c>
      <c r="BO43">
        <v>0</v>
      </c>
      <c r="BP43">
        <v>0</v>
      </c>
      <c r="BQ43">
        <v>0</v>
      </c>
      <c r="BR43">
        <v>30</v>
      </c>
      <c r="BS43">
        <v>22</v>
      </c>
      <c r="BT43">
        <v>0</v>
      </c>
      <c r="BU43">
        <v>0</v>
      </c>
      <c r="BV43">
        <v>0</v>
      </c>
      <c r="BW43">
        <v>0</v>
      </c>
      <c r="BX43" s="17">
        <f t="shared" si="20"/>
        <v>0</v>
      </c>
      <c r="BY43" s="17">
        <f t="shared" si="21"/>
        <v>0</v>
      </c>
      <c r="BZ43" s="17">
        <f t="shared" si="22"/>
        <v>0</v>
      </c>
      <c r="CA43" s="17">
        <f t="shared" si="23"/>
        <v>0</v>
      </c>
      <c r="CB43" s="17">
        <f t="shared" si="24"/>
        <v>0</v>
      </c>
      <c r="CC43" s="17">
        <f t="shared" si="25"/>
        <v>0</v>
      </c>
      <c r="CD43" s="17">
        <f t="shared" si="26"/>
        <v>0</v>
      </c>
      <c r="CE43" s="17">
        <f t="shared" si="27"/>
        <v>0</v>
      </c>
      <c r="CF43" s="17">
        <f t="shared" si="28"/>
        <v>0</v>
      </c>
      <c r="CG43" s="17">
        <f t="shared" si="29"/>
        <v>0</v>
      </c>
      <c r="CH43" s="17">
        <f t="shared" si="30"/>
        <v>0</v>
      </c>
      <c r="CI43" s="17">
        <f t="shared" si="31"/>
        <v>0</v>
      </c>
      <c r="CJ43" s="17">
        <f t="shared" si="12"/>
        <v>0</v>
      </c>
      <c r="CK43" s="17">
        <f t="shared" si="13"/>
        <v>0</v>
      </c>
    </row>
    <row r="44" spans="1:89" x14ac:dyDescent="0.35">
      <c r="A44" s="1">
        <v>42917</v>
      </c>
      <c r="B44">
        <v>2017</v>
      </c>
      <c r="C44">
        <f t="shared" si="14"/>
        <v>7</v>
      </c>
      <c r="D44" s="4">
        <v>2495441.9663617504</v>
      </c>
      <c r="E44" s="4">
        <f>IFERROR(VLOOKUP($B44-1,CDM!$K$5:$N$19,2,FALSE)/12,0)+IFERROR(VLOOKUP($B44,CDM!$K$35:$N$47,2,FALSE)/24,0)+IFERROR(VLOOKUP($B44,CDM!$K$35:$N$47,2,FALSE)/2*$C44/78,0)</f>
        <v>119755.0646160397</v>
      </c>
      <c r="F44" s="4">
        <f t="shared" si="15"/>
        <v>2615197.0309777902</v>
      </c>
      <c r="G44" s="4">
        <v>1301030.1198734394</v>
      </c>
      <c r="H44" s="4">
        <f>IFERROR(VLOOKUP($B44-1,CDM!$K$5:$N$19,3,FALSE)/12,0)+IFERROR(VLOOKUP($B44,CDM!$K$35:$N$47,3,FALSE)/24,0)+IFERROR(VLOOKUP($B44,CDM!$K$35:$N$47,3,FALSE)/2*$C44/78,0)</f>
        <v>145588.31451591486</v>
      </c>
      <c r="I44" s="4">
        <f t="shared" si="16"/>
        <v>1446618.4343893542</v>
      </c>
      <c r="J44" s="4">
        <v>4615041.9210008569</v>
      </c>
      <c r="K44" s="4">
        <f>IFERROR(VLOOKUP($B44-1,CDM!$K$5:$N$19,4,FALSE)/12,0)+IFERROR(VLOOKUP($B44,CDM!$K$35:$N$47,4,FALSE)/24,0)+IFERROR(VLOOKUP($B44,CDM!$K$35:$N$47,4,FALSE)/2*$C44/78,0)</f>
        <v>161663.77395345111</v>
      </c>
      <c r="L44" s="4">
        <f t="shared" si="17"/>
        <v>4776705.6949543077</v>
      </c>
      <c r="M44" s="4">
        <v>30292.028936108916</v>
      </c>
      <c r="N44" s="4">
        <v>13681.499999999998</v>
      </c>
      <c r="O44" s="4">
        <v>12894.03</v>
      </c>
      <c r="P44" s="4">
        <v>116.02</v>
      </c>
      <c r="Q44" s="4">
        <v>5253</v>
      </c>
      <c r="R44" s="4">
        <v>752</v>
      </c>
      <c r="S44" s="4">
        <v>57</v>
      </c>
      <c r="T44" s="4">
        <v>1650</v>
      </c>
      <c r="U44" s="4">
        <v>23</v>
      </c>
      <c r="V44" s="4">
        <f>Weather!D164</f>
        <v>94.6</v>
      </c>
      <c r="W44" s="4">
        <f>Weather!E164</f>
        <v>7.5625000000000036</v>
      </c>
      <c r="X44" s="4">
        <f>Weather!F164</f>
        <v>49.858333333333334</v>
      </c>
      <c r="Y44" s="4">
        <f>Weather!G164</f>
        <v>24.820833333333336</v>
      </c>
      <c r="Z44" s="4">
        <f>Weather!H164</f>
        <v>17.69583333333334</v>
      </c>
      <c r="AA44" s="4">
        <f>Weather!I164</f>
        <v>54.658333333333346</v>
      </c>
      <c r="AB44" s="4">
        <f>Weather!J164</f>
        <v>3.4666666666666703</v>
      </c>
      <c r="AC44" s="4">
        <f>Weather!K164</f>
        <v>102.42916666666667</v>
      </c>
      <c r="AD44" s="4">
        <f>Weather!L164</f>
        <v>0.24583333333333179</v>
      </c>
      <c r="AE44" s="4">
        <f>Weather!M164</f>
        <v>161.20833333333334</v>
      </c>
      <c r="AF44" s="4">
        <f>Weather!N164</f>
        <v>0</v>
      </c>
      <c r="AG44" s="4">
        <f>Weather!O164</f>
        <v>222.96250000000001</v>
      </c>
      <c r="AH44" s="4">
        <f>Weather!P164</f>
        <v>0</v>
      </c>
      <c r="AI44" s="4">
        <f>Weather!Q164</f>
        <v>284.96249999999998</v>
      </c>
      <c r="AJ44" s="4">
        <f>Weather!R164</f>
        <v>17.192338709677419</v>
      </c>
      <c r="AK44" s="4">
        <f>'Economic Data'!F46</f>
        <v>764464.8</v>
      </c>
      <c r="AL44" s="4">
        <f>'Economic Data'!G46</f>
        <v>7291.3</v>
      </c>
      <c r="AM44" s="4">
        <f>'Economic Data'!H46</f>
        <v>7685.1</v>
      </c>
      <c r="AN44" s="4">
        <f>'Economic Data'!I46</f>
        <v>124.8</v>
      </c>
      <c r="AO44" s="4">
        <f>'Economic Data'!J46</f>
        <v>103.7</v>
      </c>
      <c r="AP44" s="4">
        <f>'Economic Data'!K46</f>
        <v>439.9</v>
      </c>
      <c r="AQ44" s="4">
        <f>'Economic Data'!L46</f>
        <v>286.7</v>
      </c>
      <c r="AR44" s="4">
        <f>'Economic Data'!M46</f>
        <v>1902.9</v>
      </c>
      <c r="AS44" s="4">
        <f>'Economic Data'!N46</f>
        <v>2828.1</v>
      </c>
      <c r="AT44" s="4">
        <f>'Economic Data'!O46</f>
        <v>765060</v>
      </c>
      <c r="AU44" s="4">
        <f>'Economic Data'!P46</f>
        <v>7358</v>
      </c>
      <c r="AV44" s="4">
        <f>'Economic Data'!Q46</f>
        <v>4187</v>
      </c>
      <c r="AW44" s="4">
        <f>'Economic Data'!R46</f>
        <v>5246</v>
      </c>
      <c r="AX44" s="4">
        <f>'Economic Data'!E46</f>
        <v>7196</v>
      </c>
      <c r="AY44" s="4">
        <f>'Economic Data'!D46</f>
        <v>7101.9</v>
      </c>
      <c r="AZ44">
        <v>43</v>
      </c>
      <c r="BA44" s="14">
        <f t="shared" si="18"/>
        <v>3.9512437185814275</v>
      </c>
      <c r="BB44">
        <f t="shared" si="19"/>
        <v>1849</v>
      </c>
      <c r="BC44">
        <v>0</v>
      </c>
      <c r="BD44">
        <v>0</v>
      </c>
      <c r="BE44">
        <v>0</v>
      </c>
      <c r="BF44">
        <v>0</v>
      </c>
      <c r="BG44">
        <v>0</v>
      </c>
      <c r="BH44">
        <v>0</v>
      </c>
      <c r="BI44">
        <v>1</v>
      </c>
      <c r="BJ44">
        <v>0</v>
      </c>
      <c r="BK44">
        <v>0</v>
      </c>
      <c r="BL44">
        <v>0</v>
      </c>
      <c r="BM44">
        <v>0</v>
      </c>
      <c r="BN44">
        <v>0</v>
      </c>
      <c r="BO44">
        <v>0</v>
      </c>
      <c r="BP44">
        <v>0</v>
      </c>
      <c r="BQ44">
        <v>0</v>
      </c>
      <c r="BR44">
        <v>31</v>
      </c>
      <c r="BS44">
        <v>20</v>
      </c>
      <c r="BT44">
        <v>0</v>
      </c>
      <c r="BU44">
        <v>0</v>
      </c>
      <c r="BV44">
        <v>0</v>
      </c>
      <c r="BW44">
        <v>0</v>
      </c>
      <c r="BX44" s="17">
        <f t="shared" si="20"/>
        <v>0</v>
      </c>
      <c r="BY44" s="17">
        <f t="shared" si="21"/>
        <v>0</v>
      </c>
      <c r="BZ44" s="17">
        <f t="shared" si="22"/>
        <v>0</v>
      </c>
      <c r="CA44" s="17">
        <f t="shared" si="23"/>
        <v>0</v>
      </c>
      <c r="CB44" s="17">
        <f t="shared" si="24"/>
        <v>0</v>
      </c>
      <c r="CC44" s="17">
        <f t="shared" si="25"/>
        <v>0</v>
      </c>
      <c r="CD44" s="17">
        <f t="shared" si="26"/>
        <v>0</v>
      </c>
      <c r="CE44" s="17">
        <f t="shared" si="27"/>
        <v>0</v>
      </c>
      <c r="CF44" s="17">
        <f t="shared" si="28"/>
        <v>0</v>
      </c>
      <c r="CG44" s="17">
        <f t="shared" si="29"/>
        <v>0</v>
      </c>
      <c r="CH44" s="17">
        <f t="shared" si="30"/>
        <v>0</v>
      </c>
      <c r="CI44" s="17">
        <f t="shared" si="31"/>
        <v>0</v>
      </c>
      <c r="CJ44" s="17">
        <f t="shared" si="12"/>
        <v>0</v>
      </c>
      <c r="CK44" s="17">
        <f t="shared" si="13"/>
        <v>0</v>
      </c>
    </row>
    <row r="45" spans="1:89" x14ac:dyDescent="0.35">
      <c r="A45" s="1">
        <v>42948</v>
      </c>
      <c r="B45">
        <v>2017</v>
      </c>
      <c r="C45">
        <f t="shared" si="14"/>
        <v>8</v>
      </c>
      <c r="D45" s="4">
        <v>2649823.6968984096</v>
      </c>
      <c r="E45" s="4">
        <f>IFERROR(VLOOKUP($B45-1,CDM!$K$5:$N$19,2,FALSE)/12,0)+IFERROR(VLOOKUP($B45,CDM!$K$35:$N$47,2,FALSE)/24,0)+IFERROR(VLOOKUP($B45,CDM!$K$35:$N$47,2,FALSE)/2*$C45/78,0)</f>
        <v>123662.38476311721</v>
      </c>
      <c r="F45" s="4">
        <f t="shared" si="15"/>
        <v>2773486.081661527</v>
      </c>
      <c r="G45" s="4">
        <v>1325145.330139417</v>
      </c>
      <c r="H45" s="4">
        <f>IFERROR(VLOOKUP($B45-1,CDM!$K$5:$N$19,3,FALSE)/12,0)+IFERROR(VLOOKUP($B45,CDM!$K$35:$N$47,3,FALSE)/24,0)+IFERROR(VLOOKUP($B45,CDM!$K$35:$N$47,3,FALSE)/2*$C45/78,0)</f>
        <v>145918.67547554994</v>
      </c>
      <c r="I45" s="4">
        <f t="shared" si="16"/>
        <v>1471064.0056149669</v>
      </c>
      <c r="J45" s="4">
        <v>4311850.3708430463</v>
      </c>
      <c r="K45" s="4">
        <f>IFERROR(VLOOKUP($B45-1,CDM!$K$5:$N$19,4,FALSE)/12,0)+IFERROR(VLOOKUP($B45,CDM!$K$35:$N$47,4,FALSE)/24,0)+IFERROR(VLOOKUP($B45,CDM!$K$35:$N$47,4,FALSE)/2*$C45/78,0)</f>
        <v>165155.67209158849</v>
      </c>
      <c r="L45" s="4">
        <f t="shared" si="17"/>
        <v>4477006.0429346347</v>
      </c>
      <c r="M45" s="4">
        <v>32584.166145628536</v>
      </c>
      <c r="N45" s="4">
        <v>13681.499999999998</v>
      </c>
      <c r="O45" s="4">
        <v>12046.94</v>
      </c>
      <c r="P45" s="4">
        <v>116.02</v>
      </c>
      <c r="Q45" s="4">
        <v>5140</v>
      </c>
      <c r="R45" s="4">
        <v>742</v>
      </c>
      <c r="S45" s="4">
        <v>57</v>
      </c>
      <c r="T45" s="4">
        <v>1650</v>
      </c>
      <c r="U45" s="4">
        <v>23</v>
      </c>
      <c r="V45" s="4">
        <f>Weather!D165</f>
        <v>169.40416666666664</v>
      </c>
      <c r="W45" s="4">
        <f>Weather!E165</f>
        <v>0.85416666666666785</v>
      </c>
      <c r="X45" s="4">
        <f>Weather!F165</f>
        <v>114.60833333333332</v>
      </c>
      <c r="Y45" s="4">
        <f>Weather!G165</f>
        <v>8.0583333333333407</v>
      </c>
      <c r="Z45" s="4">
        <f>Weather!H165</f>
        <v>62.124999999999993</v>
      </c>
      <c r="AA45" s="4">
        <f>Weather!I165</f>
        <v>17.57500000000001</v>
      </c>
      <c r="AB45" s="4">
        <f>Weather!J165</f>
        <v>28.56666666666667</v>
      </c>
      <c r="AC45" s="4">
        <f>Weather!K165</f>
        <v>46.01666666666668</v>
      </c>
      <c r="AD45" s="4">
        <f>Weather!L165</f>
        <v>11.525000000000002</v>
      </c>
      <c r="AE45" s="4">
        <f>Weather!M165</f>
        <v>90.975000000000023</v>
      </c>
      <c r="AF45" s="4">
        <f>Weather!N165</f>
        <v>2.2708333333333357</v>
      </c>
      <c r="AG45" s="4">
        <f>Weather!O165</f>
        <v>143.72083333333336</v>
      </c>
      <c r="AH45" s="4">
        <f>Weather!P165</f>
        <v>0</v>
      </c>
      <c r="AI45" s="4">
        <f>Weather!Q165</f>
        <v>203.45000000000005</v>
      </c>
      <c r="AJ45" s="4">
        <f>Weather!R165</f>
        <v>14.562903225806451</v>
      </c>
      <c r="AK45" s="4">
        <f>'Economic Data'!F47</f>
        <v>764464.8</v>
      </c>
      <c r="AL45" s="4">
        <f>'Economic Data'!G47</f>
        <v>7291.3</v>
      </c>
      <c r="AM45" s="4">
        <f>'Economic Data'!H47</f>
        <v>7685.1</v>
      </c>
      <c r="AN45" s="4">
        <f>'Economic Data'!I47</f>
        <v>124.8</v>
      </c>
      <c r="AO45" s="4">
        <f>'Economic Data'!J47</f>
        <v>103.7</v>
      </c>
      <c r="AP45" s="4">
        <f>'Economic Data'!K47</f>
        <v>439.9</v>
      </c>
      <c r="AQ45" s="4">
        <f>'Economic Data'!L47</f>
        <v>286.7</v>
      </c>
      <c r="AR45" s="4">
        <f>'Economic Data'!M47</f>
        <v>1902.9</v>
      </c>
      <c r="AS45" s="4">
        <f>'Economic Data'!N47</f>
        <v>2828.1</v>
      </c>
      <c r="AT45" s="4">
        <f>'Economic Data'!O47</f>
        <v>765060</v>
      </c>
      <c r="AU45" s="4">
        <f>'Economic Data'!P47</f>
        <v>7358</v>
      </c>
      <c r="AV45" s="4">
        <f>'Economic Data'!Q47</f>
        <v>4187</v>
      </c>
      <c r="AW45" s="4">
        <f>'Economic Data'!R47</f>
        <v>5246</v>
      </c>
      <c r="AX45" s="4">
        <f>'Economic Data'!E47</f>
        <v>7216.7</v>
      </c>
      <c r="AY45" s="4">
        <f>'Economic Data'!D47</f>
        <v>7121.1</v>
      </c>
      <c r="AZ45">
        <v>44</v>
      </c>
      <c r="BA45" s="14">
        <f t="shared" si="18"/>
        <v>3.970291913552122</v>
      </c>
      <c r="BB45">
        <f t="shared" si="19"/>
        <v>1936</v>
      </c>
      <c r="BC45">
        <v>0</v>
      </c>
      <c r="BD45">
        <v>0</v>
      </c>
      <c r="BE45">
        <v>0</v>
      </c>
      <c r="BF45">
        <v>0</v>
      </c>
      <c r="BG45">
        <v>0</v>
      </c>
      <c r="BH45">
        <v>0</v>
      </c>
      <c r="BI45">
        <v>0</v>
      </c>
      <c r="BJ45">
        <v>1</v>
      </c>
      <c r="BK45">
        <v>0</v>
      </c>
      <c r="BL45">
        <v>0</v>
      </c>
      <c r="BM45">
        <v>0</v>
      </c>
      <c r="BN45">
        <v>0</v>
      </c>
      <c r="BO45">
        <v>0</v>
      </c>
      <c r="BP45">
        <v>0</v>
      </c>
      <c r="BQ45">
        <v>0</v>
      </c>
      <c r="BR45">
        <v>31</v>
      </c>
      <c r="BS45">
        <v>22</v>
      </c>
      <c r="BT45">
        <v>0</v>
      </c>
      <c r="BU45">
        <v>0</v>
      </c>
      <c r="BV45">
        <v>0</v>
      </c>
      <c r="BW45">
        <v>0</v>
      </c>
      <c r="BX45" s="17">
        <f t="shared" si="20"/>
        <v>0</v>
      </c>
      <c r="BY45" s="17">
        <f t="shared" si="21"/>
        <v>0</v>
      </c>
      <c r="BZ45" s="17">
        <f t="shared" si="22"/>
        <v>0</v>
      </c>
      <c r="CA45" s="17">
        <f t="shared" si="23"/>
        <v>0</v>
      </c>
      <c r="CB45" s="17">
        <f t="shared" si="24"/>
        <v>0</v>
      </c>
      <c r="CC45" s="17">
        <f t="shared" si="25"/>
        <v>0</v>
      </c>
      <c r="CD45" s="17">
        <f t="shared" si="26"/>
        <v>0</v>
      </c>
      <c r="CE45" s="17">
        <f t="shared" si="27"/>
        <v>0</v>
      </c>
      <c r="CF45" s="17">
        <f t="shared" si="28"/>
        <v>0</v>
      </c>
      <c r="CG45" s="17">
        <f t="shared" si="29"/>
        <v>0</v>
      </c>
      <c r="CH45" s="17">
        <f t="shared" si="30"/>
        <v>0</v>
      </c>
      <c r="CI45" s="17">
        <f t="shared" si="31"/>
        <v>0</v>
      </c>
      <c r="CJ45" s="17">
        <f t="shared" si="12"/>
        <v>0</v>
      </c>
      <c r="CK45" s="17">
        <f t="shared" si="13"/>
        <v>0</v>
      </c>
    </row>
    <row r="46" spans="1:89" x14ac:dyDescent="0.35">
      <c r="A46" s="1">
        <v>42979</v>
      </c>
      <c r="B46">
        <v>2017</v>
      </c>
      <c r="C46">
        <f t="shared" si="14"/>
        <v>9</v>
      </c>
      <c r="D46" s="4">
        <v>2541031.1819536481</v>
      </c>
      <c r="E46" s="4">
        <f>IFERROR(VLOOKUP($B46-1,CDM!$K$5:$N$19,2,FALSE)/12,0)+IFERROR(VLOOKUP($B46,CDM!$K$35:$N$47,2,FALSE)/24,0)+IFERROR(VLOOKUP($B46,CDM!$K$35:$N$47,2,FALSE)/2*$C46/78,0)</f>
        <v>127569.70491019471</v>
      </c>
      <c r="F46" s="4">
        <f t="shared" si="15"/>
        <v>2668600.8868638426</v>
      </c>
      <c r="G46" s="4">
        <v>1258638.2562310917</v>
      </c>
      <c r="H46" s="4">
        <f>IFERROR(VLOOKUP($B46-1,CDM!$K$5:$N$19,3,FALSE)/12,0)+IFERROR(VLOOKUP($B46,CDM!$K$35:$N$47,3,FALSE)/24,0)+IFERROR(VLOOKUP($B46,CDM!$K$35:$N$47,3,FALSE)/2*$C46/78,0)</f>
        <v>146249.03643518503</v>
      </c>
      <c r="I46" s="4">
        <f t="shared" si="16"/>
        <v>1404887.2926662767</v>
      </c>
      <c r="J46" s="4">
        <v>4593950.2525204681</v>
      </c>
      <c r="K46" s="4">
        <f>IFERROR(VLOOKUP($B46-1,CDM!$K$5:$N$19,4,FALSE)/12,0)+IFERROR(VLOOKUP($B46,CDM!$K$35:$N$47,4,FALSE)/24,0)+IFERROR(VLOOKUP($B46,CDM!$K$35:$N$47,4,FALSE)/2*$C46/78,0)</f>
        <v>168647.57022972585</v>
      </c>
      <c r="L46" s="4">
        <f t="shared" si="17"/>
        <v>4762597.822750194</v>
      </c>
      <c r="M46" s="4">
        <v>36560.138764847645</v>
      </c>
      <c r="N46" s="4">
        <v>13681.499999999998</v>
      </c>
      <c r="O46" s="4">
        <v>13093.1</v>
      </c>
      <c r="P46" s="4">
        <v>116.02</v>
      </c>
      <c r="Q46" s="4">
        <v>5174</v>
      </c>
      <c r="R46" s="4">
        <v>743</v>
      </c>
      <c r="S46" s="4">
        <v>57</v>
      </c>
      <c r="T46" s="4">
        <v>1650</v>
      </c>
      <c r="U46" s="4">
        <v>23</v>
      </c>
      <c r="V46" s="4">
        <f>Weather!D166</f>
        <v>218.23333333333338</v>
      </c>
      <c r="W46" s="4">
        <f>Weather!E166</f>
        <v>0.55416666666666003</v>
      </c>
      <c r="X46" s="4">
        <f>Weather!F166</f>
        <v>167.75833333333335</v>
      </c>
      <c r="Y46" s="4">
        <f>Weather!G166</f>
        <v>10.079166666666655</v>
      </c>
      <c r="Z46" s="4">
        <f>Weather!H166</f>
        <v>121.76249999999999</v>
      </c>
      <c r="AA46" s="4">
        <f>Weather!I166</f>
        <v>24.083333333333321</v>
      </c>
      <c r="AB46" s="4">
        <f>Weather!J166</f>
        <v>80.587500000000006</v>
      </c>
      <c r="AC46" s="4">
        <f>Weather!K166</f>
        <v>42.908333333333324</v>
      </c>
      <c r="AD46" s="4">
        <f>Weather!L166</f>
        <v>47.054166666666667</v>
      </c>
      <c r="AE46" s="4">
        <f>Weather!M166</f>
        <v>69.374999999999986</v>
      </c>
      <c r="AF46" s="4">
        <f>Weather!N166</f>
        <v>19.666666666666668</v>
      </c>
      <c r="AG46" s="4">
        <f>Weather!O166</f>
        <v>101.98749999999998</v>
      </c>
      <c r="AH46" s="4">
        <f>Weather!P166</f>
        <v>3.7541666666666655</v>
      </c>
      <c r="AI46" s="4">
        <f>Weather!Q166</f>
        <v>146.07499999999996</v>
      </c>
      <c r="AJ46" s="4">
        <f>Weather!R166</f>
        <v>12.744027777777774</v>
      </c>
      <c r="AK46" s="4">
        <f>'Economic Data'!F48</f>
        <v>764464.8</v>
      </c>
      <c r="AL46" s="4">
        <f>'Economic Data'!G48</f>
        <v>7291.3</v>
      </c>
      <c r="AM46" s="4">
        <f>'Economic Data'!H48</f>
        <v>7685.1</v>
      </c>
      <c r="AN46" s="4">
        <f>'Economic Data'!I48</f>
        <v>124.8</v>
      </c>
      <c r="AO46" s="4">
        <f>'Economic Data'!J48</f>
        <v>103.7</v>
      </c>
      <c r="AP46" s="4">
        <f>'Economic Data'!K48</f>
        <v>439.9</v>
      </c>
      <c r="AQ46" s="4">
        <f>'Economic Data'!L48</f>
        <v>286.7</v>
      </c>
      <c r="AR46" s="4">
        <f>'Economic Data'!M48</f>
        <v>1902.9</v>
      </c>
      <c r="AS46" s="4">
        <f>'Economic Data'!N48</f>
        <v>2828.1</v>
      </c>
      <c r="AT46" s="4">
        <f>'Economic Data'!O48</f>
        <v>765060</v>
      </c>
      <c r="AU46" s="4">
        <f>'Economic Data'!P48</f>
        <v>7358</v>
      </c>
      <c r="AV46" s="4">
        <f>'Economic Data'!Q48</f>
        <v>4187</v>
      </c>
      <c r="AW46" s="4">
        <f>'Economic Data'!R48</f>
        <v>5246</v>
      </c>
      <c r="AX46" s="4">
        <f>'Economic Data'!E48</f>
        <v>7193.4</v>
      </c>
      <c r="AY46" s="4">
        <f>'Economic Data'!D48</f>
        <v>7144.8</v>
      </c>
      <c r="AZ46">
        <v>45</v>
      </c>
      <c r="BA46" s="14">
        <f t="shared" si="18"/>
        <v>3.9889840465642745</v>
      </c>
      <c r="BB46">
        <f t="shared" si="19"/>
        <v>2025</v>
      </c>
      <c r="BC46">
        <v>0</v>
      </c>
      <c r="BD46">
        <v>0</v>
      </c>
      <c r="BE46">
        <v>0</v>
      </c>
      <c r="BF46">
        <v>0</v>
      </c>
      <c r="BG46">
        <v>0</v>
      </c>
      <c r="BH46">
        <v>0</v>
      </c>
      <c r="BI46">
        <v>0</v>
      </c>
      <c r="BJ46">
        <v>0</v>
      </c>
      <c r="BK46">
        <v>1</v>
      </c>
      <c r="BL46">
        <v>0</v>
      </c>
      <c r="BM46">
        <v>0</v>
      </c>
      <c r="BN46">
        <v>0</v>
      </c>
      <c r="BO46">
        <v>0</v>
      </c>
      <c r="BP46">
        <v>0</v>
      </c>
      <c r="BQ46">
        <v>0</v>
      </c>
      <c r="BR46">
        <v>30</v>
      </c>
      <c r="BS46">
        <v>20</v>
      </c>
      <c r="BT46">
        <v>0</v>
      </c>
      <c r="BU46">
        <v>0</v>
      </c>
      <c r="BV46">
        <v>0</v>
      </c>
      <c r="BW46">
        <v>0</v>
      </c>
      <c r="BX46" s="17">
        <f t="shared" si="20"/>
        <v>0</v>
      </c>
      <c r="BY46" s="17">
        <f t="shared" si="21"/>
        <v>0</v>
      </c>
      <c r="BZ46" s="17">
        <f t="shared" si="22"/>
        <v>0</v>
      </c>
      <c r="CA46" s="17">
        <f t="shared" si="23"/>
        <v>0</v>
      </c>
      <c r="CB46" s="17">
        <f t="shared" si="24"/>
        <v>0</v>
      </c>
      <c r="CC46" s="17">
        <f t="shared" si="25"/>
        <v>0</v>
      </c>
      <c r="CD46" s="17">
        <f t="shared" si="26"/>
        <v>0</v>
      </c>
      <c r="CE46" s="17">
        <f t="shared" si="27"/>
        <v>0</v>
      </c>
      <c r="CF46" s="17">
        <f t="shared" si="28"/>
        <v>0</v>
      </c>
      <c r="CG46" s="17">
        <f t="shared" si="29"/>
        <v>0</v>
      </c>
      <c r="CH46" s="17">
        <f t="shared" si="30"/>
        <v>0</v>
      </c>
      <c r="CI46" s="17">
        <f t="shared" si="31"/>
        <v>0</v>
      </c>
      <c r="CJ46" s="17">
        <f t="shared" si="12"/>
        <v>0</v>
      </c>
      <c r="CK46" s="17">
        <f t="shared" si="13"/>
        <v>0</v>
      </c>
    </row>
    <row r="47" spans="1:89" x14ac:dyDescent="0.35">
      <c r="A47" s="1">
        <v>43009</v>
      </c>
      <c r="B47">
        <v>2017</v>
      </c>
      <c r="C47">
        <f t="shared" si="14"/>
        <v>10</v>
      </c>
      <c r="D47" s="4">
        <v>2518388.0985707329</v>
      </c>
      <c r="E47" s="4">
        <f>IFERROR(VLOOKUP($B47-1,CDM!$K$5:$N$19,2,FALSE)/12,0)+IFERROR(VLOOKUP($B47,CDM!$K$35:$N$47,2,FALSE)/24,0)+IFERROR(VLOOKUP($B47,CDM!$K$35:$N$47,2,FALSE)/2*$C47/78,0)</f>
        <v>131477.02505727223</v>
      </c>
      <c r="F47" s="4">
        <f t="shared" si="15"/>
        <v>2649865.1236280049</v>
      </c>
      <c r="G47" s="4">
        <v>1234064.6468704753</v>
      </c>
      <c r="H47" s="4">
        <f>IFERROR(VLOOKUP($B47-1,CDM!$K$5:$N$19,3,FALSE)/12,0)+IFERROR(VLOOKUP($B47,CDM!$K$35:$N$47,3,FALSE)/24,0)+IFERROR(VLOOKUP($B47,CDM!$K$35:$N$47,3,FALSE)/2*$C47/78,0)</f>
        <v>146579.39739482012</v>
      </c>
      <c r="I47" s="4">
        <f t="shared" si="16"/>
        <v>1380644.0442652954</v>
      </c>
      <c r="J47" s="4">
        <v>4476154.7720468976</v>
      </c>
      <c r="K47" s="4">
        <f>IFERROR(VLOOKUP($B47-1,CDM!$K$5:$N$19,4,FALSE)/12,0)+IFERROR(VLOOKUP($B47,CDM!$K$35:$N$47,4,FALSE)/24,0)+IFERROR(VLOOKUP($B47,CDM!$K$35:$N$47,4,FALSE)/2*$C47/78,0)</f>
        <v>172139.46836786324</v>
      </c>
      <c r="L47" s="4">
        <f t="shared" si="17"/>
        <v>4648294.240414761</v>
      </c>
      <c r="M47" s="4">
        <v>40859.271715221192</v>
      </c>
      <c r="N47" s="4">
        <v>13681.499999999998</v>
      </c>
      <c r="O47" s="4">
        <v>13707.42</v>
      </c>
      <c r="P47" s="4">
        <v>116.02</v>
      </c>
      <c r="Q47" s="4">
        <v>5190</v>
      </c>
      <c r="R47" s="4">
        <v>758</v>
      </c>
      <c r="S47" s="4">
        <v>54</v>
      </c>
      <c r="T47" s="4">
        <v>1650</v>
      </c>
      <c r="U47" s="4">
        <v>23</v>
      </c>
      <c r="V47" s="4">
        <f>Weather!D167</f>
        <v>408.13382047609019</v>
      </c>
      <c r="W47" s="4">
        <f>Weather!E167</f>
        <v>0</v>
      </c>
      <c r="X47" s="4">
        <f>Weather!F167</f>
        <v>346.13382047609019</v>
      </c>
      <c r="Y47" s="4">
        <f>Weather!G167</f>
        <v>0</v>
      </c>
      <c r="Z47" s="4">
        <f>Weather!H167</f>
        <v>284.13382047609014</v>
      </c>
      <c r="AA47" s="4">
        <f>Weather!I167</f>
        <v>0</v>
      </c>
      <c r="AB47" s="4">
        <f>Weather!J167</f>
        <v>224.20048714275683</v>
      </c>
      <c r="AC47" s="4">
        <f>Weather!K167</f>
        <v>2.0666666666666682</v>
      </c>
      <c r="AD47" s="4">
        <f>Weather!L167</f>
        <v>167.97548714275683</v>
      </c>
      <c r="AE47" s="4">
        <f>Weather!M167</f>
        <v>7.8416666666666615</v>
      </c>
      <c r="AF47" s="4">
        <f>Weather!N167</f>
        <v>119.86995575588458</v>
      </c>
      <c r="AG47" s="4">
        <f>Weather!O167</f>
        <v>21.736135279794418</v>
      </c>
      <c r="AH47" s="4">
        <f>Weather!P167</f>
        <v>82.115836738265216</v>
      </c>
      <c r="AI47" s="4">
        <f>Weather!Q167</f>
        <v>45.982016262175023</v>
      </c>
      <c r="AJ47" s="4">
        <f>Weather!R167</f>
        <v>6.8343928878680593</v>
      </c>
      <c r="AK47" s="4">
        <f>'Economic Data'!F49</f>
        <v>764464.8</v>
      </c>
      <c r="AL47" s="4">
        <f>'Economic Data'!G49</f>
        <v>7291.3</v>
      </c>
      <c r="AM47" s="4">
        <f>'Economic Data'!H49</f>
        <v>7685.1</v>
      </c>
      <c r="AN47" s="4">
        <f>'Economic Data'!I49</f>
        <v>124.8</v>
      </c>
      <c r="AO47" s="4">
        <f>'Economic Data'!J49</f>
        <v>103.7</v>
      </c>
      <c r="AP47" s="4">
        <f>'Economic Data'!K49</f>
        <v>439.9</v>
      </c>
      <c r="AQ47" s="4">
        <f>'Economic Data'!L49</f>
        <v>286.7</v>
      </c>
      <c r="AR47" s="4">
        <f>'Economic Data'!M49</f>
        <v>1902.9</v>
      </c>
      <c r="AS47" s="4">
        <f>'Economic Data'!N49</f>
        <v>2828.1</v>
      </c>
      <c r="AT47" s="4">
        <f>'Economic Data'!O49</f>
        <v>771453</v>
      </c>
      <c r="AU47" s="4">
        <f>'Economic Data'!P49</f>
        <v>7463</v>
      </c>
      <c r="AV47" s="4">
        <f>'Economic Data'!Q49</f>
        <v>3945</v>
      </c>
      <c r="AW47" s="4">
        <f>'Economic Data'!R49</f>
        <v>5190</v>
      </c>
      <c r="AX47" s="4">
        <f>'Economic Data'!E49</f>
        <v>7185.2</v>
      </c>
      <c r="AY47" s="4">
        <f>'Economic Data'!D49</f>
        <v>7161</v>
      </c>
      <c r="AZ47">
        <v>46</v>
      </c>
      <c r="BA47" s="14">
        <f t="shared" si="18"/>
        <v>4.0073331852324712</v>
      </c>
      <c r="BB47">
        <f t="shared" si="19"/>
        <v>2116</v>
      </c>
      <c r="BC47">
        <v>0</v>
      </c>
      <c r="BD47">
        <v>0</v>
      </c>
      <c r="BE47">
        <v>0</v>
      </c>
      <c r="BF47">
        <v>0</v>
      </c>
      <c r="BG47">
        <v>0</v>
      </c>
      <c r="BH47">
        <v>0</v>
      </c>
      <c r="BI47">
        <v>0</v>
      </c>
      <c r="BJ47">
        <v>0</v>
      </c>
      <c r="BK47">
        <v>0</v>
      </c>
      <c r="BL47">
        <v>1</v>
      </c>
      <c r="BM47">
        <v>0</v>
      </c>
      <c r="BN47">
        <v>0</v>
      </c>
      <c r="BO47">
        <v>0</v>
      </c>
      <c r="BP47">
        <v>1</v>
      </c>
      <c r="BQ47">
        <v>1</v>
      </c>
      <c r="BR47">
        <v>31</v>
      </c>
      <c r="BS47">
        <v>21</v>
      </c>
      <c r="BT47">
        <v>0</v>
      </c>
      <c r="BU47">
        <v>0</v>
      </c>
      <c r="BV47">
        <v>0</v>
      </c>
      <c r="BW47">
        <v>0</v>
      </c>
      <c r="BX47" s="17">
        <f t="shared" si="20"/>
        <v>0</v>
      </c>
      <c r="BY47" s="17">
        <f t="shared" si="21"/>
        <v>0</v>
      </c>
      <c r="BZ47" s="17">
        <f t="shared" si="22"/>
        <v>0</v>
      </c>
      <c r="CA47" s="17">
        <f t="shared" si="23"/>
        <v>0</v>
      </c>
      <c r="CB47" s="17">
        <f t="shared" si="24"/>
        <v>0</v>
      </c>
      <c r="CC47" s="17">
        <f t="shared" si="25"/>
        <v>0</v>
      </c>
      <c r="CD47" s="17">
        <f t="shared" si="26"/>
        <v>0</v>
      </c>
      <c r="CE47" s="17">
        <f t="shared" si="27"/>
        <v>0</v>
      </c>
      <c r="CF47" s="17">
        <f t="shared" si="28"/>
        <v>0</v>
      </c>
      <c r="CG47" s="17">
        <f t="shared" si="29"/>
        <v>0</v>
      </c>
      <c r="CH47" s="17">
        <f t="shared" si="30"/>
        <v>0</v>
      </c>
      <c r="CI47" s="17">
        <f t="shared" si="31"/>
        <v>0</v>
      </c>
      <c r="CJ47" s="17">
        <f t="shared" si="12"/>
        <v>0</v>
      </c>
      <c r="CK47" s="17">
        <f t="shared" si="13"/>
        <v>0</v>
      </c>
    </row>
    <row r="48" spans="1:89" x14ac:dyDescent="0.35">
      <c r="A48" s="1">
        <v>43040</v>
      </c>
      <c r="B48">
        <v>2017</v>
      </c>
      <c r="C48">
        <f t="shared" si="14"/>
        <v>11</v>
      </c>
      <c r="D48" s="4">
        <v>2768112.4129311056</v>
      </c>
      <c r="E48" s="4">
        <f>IFERROR(VLOOKUP($B48-1,CDM!$K$5:$N$19,2,FALSE)/12,0)+IFERROR(VLOOKUP($B48,CDM!$K$35:$N$47,2,FALSE)/24,0)+IFERROR(VLOOKUP($B48,CDM!$K$35:$N$47,2,FALSE)/2*$C48/78,0)</f>
        <v>135384.34520434972</v>
      </c>
      <c r="F48" s="4">
        <f t="shared" si="15"/>
        <v>2903496.7581354552</v>
      </c>
      <c r="G48" s="4">
        <v>1297598.1582306845</v>
      </c>
      <c r="H48" s="4">
        <f>IFERROR(VLOOKUP($B48-1,CDM!$K$5:$N$19,3,FALSE)/12,0)+IFERROR(VLOOKUP($B48,CDM!$K$35:$N$47,3,FALSE)/24,0)+IFERROR(VLOOKUP($B48,CDM!$K$35:$N$47,3,FALSE)/2*$C48/78,0)</f>
        <v>146909.75835445517</v>
      </c>
      <c r="I48" s="4">
        <f t="shared" si="16"/>
        <v>1444507.9165851397</v>
      </c>
      <c r="J48" s="4">
        <v>4682515.3360661734</v>
      </c>
      <c r="K48" s="4">
        <f>IFERROR(VLOOKUP($B48-1,CDM!$K$5:$N$19,4,FALSE)/12,0)+IFERROR(VLOOKUP($B48,CDM!$K$35:$N$47,4,FALSE)/24,0)+IFERROR(VLOOKUP($B48,CDM!$K$35:$N$47,4,FALSE)/2*$C48/78,0)</f>
        <v>175631.3665060006</v>
      </c>
      <c r="L48" s="4">
        <f t="shared" si="17"/>
        <v>4858146.7025721744</v>
      </c>
      <c r="M48" s="4">
        <v>47796.713623038326</v>
      </c>
      <c r="N48" s="4">
        <v>13681.499999999998</v>
      </c>
      <c r="O48" s="4">
        <v>13979.6</v>
      </c>
      <c r="P48" s="4">
        <v>116.02</v>
      </c>
      <c r="Q48" s="4">
        <v>5201</v>
      </c>
      <c r="R48" s="4">
        <v>757</v>
      </c>
      <c r="S48" s="4">
        <v>54</v>
      </c>
      <c r="T48" s="4">
        <v>1650</v>
      </c>
      <c r="U48" s="4">
        <v>23</v>
      </c>
      <c r="V48" s="4">
        <f>Weather!D168</f>
        <v>768.65833333333319</v>
      </c>
      <c r="W48" s="4">
        <f>Weather!E168</f>
        <v>0</v>
      </c>
      <c r="X48" s="4">
        <f>Weather!F168</f>
        <v>708.6583333333333</v>
      </c>
      <c r="Y48" s="4">
        <f>Weather!G168</f>
        <v>0</v>
      </c>
      <c r="Z48" s="4">
        <f>Weather!H168</f>
        <v>648.65833333333319</v>
      </c>
      <c r="AA48" s="4">
        <f>Weather!I168</f>
        <v>0</v>
      </c>
      <c r="AB48" s="4">
        <f>Weather!J168</f>
        <v>588.6583333333333</v>
      </c>
      <c r="AC48" s="4">
        <f>Weather!K168</f>
        <v>0</v>
      </c>
      <c r="AD48" s="4">
        <f>Weather!L168</f>
        <v>528.6583333333333</v>
      </c>
      <c r="AE48" s="4">
        <f>Weather!M168</f>
        <v>0</v>
      </c>
      <c r="AF48" s="4">
        <f>Weather!N168</f>
        <v>468.65833333333336</v>
      </c>
      <c r="AG48" s="4">
        <f>Weather!O168</f>
        <v>0</v>
      </c>
      <c r="AH48" s="4">
        <f>Weather!P168</f>
        <v>408.65833333333336</v>
      </c>
      <c r="AI48" s="4">
        <f>Weather!Q168</f>
        <v>0</v>
      </c>
      <c r="AJ48" s="4">
        <f>Weather!R168</f>
        <v>-5.621944444444444</v>
      </c>
      <c r="AK48" s="4">
        <f>'Economic Data'!F50</f>
        <v>764464.8</v>
      </c>
      <c r="AL48" s="4">
        <f>'Economic Data'!G50</f>
        <v>7291.3</v>
      </c>
      <c r="AM48" s="4">
        <f>'Economic Data'!H50</f>
        <v>7685.1</v>
      </c>
      <c r="AN48" s="4">
        <f>'Economic Data'!I50</f>
        <v>124.8</v>
      </c>
      <c r="AO48" s="4">
        <f>'Economic Data'!J50</f>
        <v>103.7</v>
      </c>
      <c r="AP48" s="4">
        <f>'Economic Data'!K50</f>
        <v>439.9</v>
      </c>
      <c r="AQ48" s="4">
        <f>'Economic Data'!L50</f>
        <v>286.7</v>
      </c>
      <c r="AR48" s="4">
        <f>'Economic Data'!M50</f>
        <v>1902.9</v>
      </c>
      <c r="AS48" s="4">
        <f>'Economic Data'!N50</f>
        <v>2828.1</v>
      </c>
      <c r="AT48" s="4">
        <f>'Economic Data'!O50</f>
        <v>771453</v>
      </c>
      <c r="AU48" s="4">
        <f>'Economic Data'!P50</f>
        <v>7463</v>
      </c>
      <c r="AV48" s="4">
        <f>'Economic Data'!Q50</f>
        <v>3945</v>
      </c>
      <c r="AW48" s="4">
        <f>'Economic Data'!R50</f>
        <v>5190</v>
      </c>
      <c r="AX48" s="4">
        <f>'Economic Data'!E50</f>
        <v>7186</v>
      </c>
      <c r="AY48" s="4">
        <f>'Economic Data'!D50</f>
        <v>7184.7</v>
      </c>
      <c r="AZ48">
        <v>47</v>
      </c>
      <c r="BA48" s="14">
        <f t="shared" si="18"/>
        <v>4.0253516907351496</v>
      </c>
      <c r="BB48">
        <f t="shared" si="19"/>
        <v>2209</v>
      </c>
      <c r="BC48">
        <v>0</v>
      </c>
      <c r="BD48">
        <v>0</v>
      </c>
      <c r="BE48">
        <v>0</v>
      </c>
      <c r="BF48">
        <v>0</v>
      </c>
      <c r="BG48">
        <v>0</v>
      </c>
      <c r="BH48">
        <v>0</v>
      </c>
      <c r="BI48">
        <v>0</v>
      </c>
      <c r="BJ48">
        <v>0</v>
      </c>
      <c r="BK48">
        <v>0</v>
      </c>
      <c r="BL48">
        <v>0</v>
      </c>
      <c r="BM48">
        <v>1</v>
      </c>
      <c r="BN48">
        <v>0</v>
      </c>
      <c r="BO48">
        <v>0</v>
      </c>
      <c r="BP48">
        <v>1</v>
      </c>
      <c r="BQ48">
        <v>1</v>
      </c>
      <c r="BR48">
        <v>30</v>
      </c>
      <c r="BS48">
        <v>22</v>
      </c>
      <c r="BT48">
        <v>0</v>
      </c>
      <c r="BU48">
        <v>0</v>
      </c>
      <c r="BV48">
        <v>0</v>
      </c>
      <c r="BW48">
        <v>0</v>
      </c>
      <c r="BX48" s="17">
        <f t="shared" si="20"/>
        <v>0</v>
      </c>
      <c r="BY48" s="17">
        <f t="shared" si="21"/>
        <v>0</v>
      </c>
      <c r="BZ48" s="17">
        <f t="shared" si="22"/>
        <v>0</v>
      </c>
      <c r="CA48" s="17">
        <f t="shared" si="23"/>
        <v>0</v>
      </c>
      <c r="CB48" s="17">
        <f t="shared" si="24"/>
        <v>0</v>
      </c>
      <c r="CC48" s="17">
        <f t="shared" si="25"/>
        <v>0</v>
      </c>
      <c r="CD48" s="17">
        <f t="shared" si="26"/>
        <v>0</v>
      </c>
      <c r="CE48" s="17">
        <f t="shared" si="27"/>
        <v>0</v>
      </c>
      <c r="CF48" s="17">
        <f t="shared" si="28"/>
        <v>0</v>
      </c>
      <c r="CG48" s="17">
        <f t="shared" si="29"/>
        <v>0</v>
      </c>
      <c r="CH48" s="17">
        <f t="shared" si="30"/>
        <v>0</v>
      </c>
      <c r="CI48" s="17">
        <f t="shared" si="31"/>
        <v>0</v>
      </c>
      <c r="CJ48" s="17">
        <f t="shared" si="12"/>
        <v>0</v>
      </c>
      <c r="CK48" s="17">
        <f t="shared" si="13"/>
        <v>0</v>
      </c>
    </row>
    <row r="49" spans="1:89" x14ac:dyDescent="0.35">
      <c r="A49" s="1">
        <v>43070</v>
      </c>
      <c r="B49">
        <v>2017</v>
      </c>
      <c r="C49">
        <f t="shared" si="14"/>
        <v>12</v>
      </c>
      <c r="D49" s="4">
        <v>3465865.7226404026</v>
      </c>
      <c r="E49" s="4">
        <f>IFERROR(VLOOKUP($B49-1,CDM!$K$5:$N$19,2,FALSE)/12,0)+IFERROR(VLOOKUP($B49,CDM!$K$35:$N$47,2,FALSE)/24,0)+IFERROR(VLOOKUP($B49,CDM!$K$35:$N$47,2,FALSE)/2*$C49/78,0)</f>
        <v>139291.66535142725</v>
      </c>
      <c r="F49" s="4">
        <f t="shared" si="15"/>
        <v>3605157.3879918298</v>
      </c>
      <c r="G49" s="4">
        <v>1578978.80248969</v>
      </c>
      <c r="H49" s="4">
        <f>IFERROR(VLOOKUP($B49-1,CDM!$K$5:$N$19,3,FALSE)/12,0)+IFERROR(VLOOKUP($B49,CDM!$K$35:$N$47,3,FALSE)/24,0)+IFERROR(VLOOKUP($B49,CDM!$K$35:$N$47,3,FALSE)/2*$C49/78,0)</f>
        <v>147240.11931409026</v>
      </c>
      <c r="I49" s="4">
        <f t="shared" si="16"/>
        <v>1726218.9218037804</v>
      </c>
      <c r="J49" s="4">
        <v>5248553.4826286351</v>
      </c>
      <c r="K49" s="4">
        <f>IFERROR(VLOOKUP($B49-1,CDM!$K$5:$N$19,4,FALSE)/12,0)+IFERROR(VLOOKUP($B49,CDM!$K$35:$N$47,4,FALSE)/24,0)+IFERROR(VLOOKUP($B49,CDM!$K$35:$N$47,4,FALSE)/2*$C49/78,0)</f>
        <v>179123.26464413799</v>
      </c>
      <c r="L49" s="4">
        <f t="shared" si="17"/>
        <v>5427676.7472727727</v>
      </c>
      <c r="M49" s="4">
        <v>51133.369054617513</v>
      </c>
      <c r="N49" s="4">
        <v>13681.499999999998</v>
      </c>
      <c r="O49" s="4">
        <v>15074.61</v>
      </c>
      <c r="P49" s="4">
        <v>116.02</v>
      </c>
      <c r="Q49" s="4">
        <v>5194</v>
      </c>
      <c r="R49" s="4">
        <v>740</v>
      </c>
      <c r="S49" s="4">
        <v>54</v>
      </c>
      <c r="T49" s="4">
        <v>1650</v>
      </c>
      <c r="U49" s="4">
        <v>23</v>
      </c>
      <c r="V49" s="4">
        <f>Weather!D169</f>
        <v>1117.0920673261537</v>
      </c>
      <c r="W49" s="4">
        <f>Weather!E169</f>
        <v>0</v>
      </c>
      <c r="X49" s="4">
        <f>Weather!F169</f>
        <v>1055.0920673261537</v>
      </c>
      <c r="Y49" s="4">
        <f>Weather!G169</f>
        <v>0</v>
      </c>
      <c r="Z49" s="4">
        <f>Weather!H169</f>
        <v>993.0920673261536</v>
      </c>
      <c r="AA49" s="4">
        <f>Weather!I169</f>
        <v>0</v>
      </c>
      <c r="AB49" s="4">
        <f>Weather!J169</f>
        <v>931.0920673261536</v>
      </c>
      <c r="AC49" s="4">
        <f>Weather!K169</f>
        <v>0</v>
      </c>
      <c r="AD49" s="4">
        <f>Weather!L169</f>
        <v>869.0920673261536</v>
      </c>
      <c r="AE49" s="4">
        <f>Weather!M169</f>
        <v>0</v>
      </c>
      <c r="AF49" s="4">
        <f>Weather!N169</f>
        <v>807.0920673261536</v>
      </c>
      <c r="AG49" s="4">
        <f>Weather!O169</f>
        <v>0</v>
      </c>
      <c r="AH49" s="4">
        <f>Weather!P169</f>
        <v>745.0920673261536</v>
      </c>
      <c r="AI49" s="4">
        <f>Weather!Q169</f>
        <v>0</v>
      </c>
      <c r="AJ49" s="4">
        <f>Weather!R169</f>
        <v>-16.035227978263023</v>
      </c>
      <c r="AK49" s="4">
        <f>'Economic Data'!F51</f>
        <v>764464.8</v>
      </c>
      <c r="AL49" s="4">
        <f>'Economic Data'!G51</f>
        <v>7291.3</v>
      </c>
      <c r="AM49" s="4">
        <f>'Economic Data'!H51</f>
        <v>7685.1</v>
      </c>
      <c r="AN49" s="4">
        <f>'Economic Data'!I51</f>
        <v>124.8</v>
      </c>
      <c r="AO49" s="4">
        <f>'Economic Data'!J51</f>
        <v>103.7</v>
      </c>
      <c r="AP49" s="4">
        <f>'Economic Data'!K51</f>
        <v>439.9</v>
      </c>
      <c r="AQ49" s="4">
        <f>'Economic Data'!L51</f>
        <v>286.7</v>
      </c>
      <c r="AR49" s="4">
        <f>'Economic Data'!M51</f>
        <v>1902.9</v>
      </c>
      <c r="AS49" s="4">
        <f>'Economic Data'!N51</f>
        <v>2828.1</v>
      </c>
      <c r="AT49" s="4">
        <f>'Economic Data'!O51</f>
        <v>771453</v>
      </c>
      <c r="AU49" s="4">
        <f>'Economic Data'!P51</f>
        <v>7463</v>
      </c>
      <c r="AV49" s="4">
        <f>'Economic Data'!Q51</f>
        <v>3945</v>
      </c>
      <c r="AW49" s="4">
        <f>'Economic Data'!R51</f>
        <v>5190</v>
      </c>
      <c r="AX49" s="4">
        <f>'Economic Data'!E51</f>
        <v>7206.8</v>
      </c>
      <c r="AY49" s="4">
        <f>'Economic Data'!D51</f>
        <v>7199.5</v>
      </c>
      <c r="AZ49">
        <v>48</v>
      </c>
      <c r="BA49" s="14">
        <f t="shared" si="18"/>
        <v>4.0430512678345503</v>
      </c>
      <c r="BB49">
        <f t="shared" si="19"/>
        <v>2304</v>
      </c>
      <c r="BC49">
        <v>0</v>
      </c>
      <c r="BD49">
        <v>0</v>
      </c>
      <c r="BE49">
        <v>0</v>
      </c>
      <c r="BF49">
        <v>0</v>
      </c>
      <c r="BG49">
        <v>0</v>
      </c>
      <c r="BH49">
        <v>0</v>
      </c>
      <c r="BI49">
        <v>0</v>
      </c>
      <c r="BJ49">
        <v>0</v>
      </c>
      <c r="BK49">
        <v>0</v>
      </c>
      <c r="BL49">
        <v>0</v>
      </c>
      <c r="BM49">
        <v>0</v>
      </c>
      <c r="BN49">
        <v>1</v>
      </c>
      <c r="BO49">
        <v>0</v>
      </c>
      <c r="BP49">
        <v>0</v>
      </c>
      <c r="BQ49">
        <v>0</v>
      </c>
      <c r="BR49">
        <v>31</v>
      </c>
      <c r="BS49">
        <v>19</v>
      </c>
      <c r="BT49">
        <v>0</v>
      </c>
      <c r="BU49">
        <v>0</v>
      </c>
      <c r="BV49">
        <v>0</v>
      </c>
      <c r="BW49">
        <v>0</v>
      </c>
      <c r="BX49" s="17">
        <f t="shared" si="20"/>
        <v>0</v>
      </c>
      <c r="BY49" s="17">
        <f t="shared" si="21"/>
        <v>0</v>
      </c>
      <c r="BZ49" s="17">
        <f t="shared" si="22"/>
        <v>0</v>
      </c>
      <c r="CA49" s="17">
        <f t="shared" si="23"/>
        <v>0</v>
      </c>
      <c r="CB49" s="17">
        <f t="shared" si="24"/>
        <v>0</v>
      </c>
      <c r="CC49" s="17">
        <f t="shared" si="25"/>
        <v>0</v>
      </c>
      <c r="CD49" s="17">
        <f t="shared" si="26"/>
        <v>0</v>
      </c>
      <c r="CE49" s="17">
        <f t="shared" si="27"/>
        <v>0</v>
      </c>
      <c r="CF49" s="17">
        <f t="shared" si="28"/>
        <v>0</v>
      </c>
      <c r="CG49" s="17">
        <f t="shared" si="29"/>
        <v>0</v>
      </c>
      <c r="CH49" s="17">
        <f t="shared" si="30"/>
        <v>0</v>
      </c>
      <c r="CI49" s="17">
        <f t="shared" si="31"/>
        <v>0</v>
      </c>
      <c r="CJ49" s="17">
        <f t="shared" si="12"/>
        <v>0</v>
      </c>
      <c r="CK49" s="17">
        <f t="shared" si="13"/>
        <v>0</v>
      </c>
    </row>
    <row r="50" spans="1:89" x14ac:dyDescent="0.35">
      <c r="A50" s="1">
        <v>43101</v>
      </c>
      <c r="B50">
        <v>2018</v>
      </c>
      <c r="C50">
        <f t="shared" si="14"/>
        <v>1</v>
      </c>
      <c r="D50" s="4">
        <v>4403191.206122119</v>
      </c>
      <c r="E50" s="4">
        <f>IFERROR(VLOOKUP($B50-1,CDM!$K$5:$N$19,2,FALSE)/12,0)+IFERROR(VLOOKUP($B50,CDM!$K$35:$N$47,2,FALSE)/24,0)+IFERROR(VLOOKUP($B50,CDM!$K$35:$N$47,2,FALSE)/2*$C50/78,0)</f>
        <v>132963.53699895804</v>
      </c>
      <c r="F50" s="4">
        <f t="shared" si="15"/>
        <v>4536154.7431210773</v>
      </c>
      <c r="G50" s="4">
        <v>1864121.5988948713</v>
      </c>
      <c r="H50" s="4">
        <f>IFERROR(VLOOKUP($B50-1,CDM!$K$5:$N$19,3,FALSE)/12,0)+IFERROR(VLOOKUP($B50,CDM!$K$35:$N$47,3,FALSE)/24,0)+IFERROR(VLOOKUP($B50,CDM!$K$35:$N$47,3,FALSE)/2*$C50/78,0)</f>
        <v>175600.30897077735</v>
      </c>
      <c r="I50" s="4">
        <f t="shared" si="16"/>
        <v>2039721.9078656486</v>
      </c>
      <c r="J50" s="4">
        <v>5888245.007165703</v>
      </c>
      <c r="K50" s="4">
        <f>IFERROR(VLOOKUP($B50-1,CDM!$K$5:$N$19,4,FALSE)/12,0)+IFERROR(VLOOKUP($B50,CDM!$K$35:$N$47,4,FALSE)/24,0)+IFERROR(VLOOKUP($B50,CDM!$K$35:$N$47,4,FALSE)/2*$C50/78,0)</f>
        <v>179677.03218530212</v>
      </c>
      <c r="L50" s="4">
        <f t="shared" si="17"/>
        <v>6067922.0393510051</v>
      </c>
      <c r="M50" s="4">
        <v>55275.256928455703</v>
      </c>
      <c r="N50" s="4">
        <v>13681.499999999998</v>
      </c>
      <c r="O50" s="4">
        <v>16569.41</v>
      </c>
      <c r="P50" s="4">
        <v>118.42</v>
      </c>
      <c r="Q50" s="4">
        <v>5171</v>
      </c>
      <c r="R50" s="4">
        <v>734</v>
      </c>
      <c r="S50" s="4">
        <v>70</v>
      </c>
      <c r="T50" s="4">
        <v>1634</v>
      </c>
      <c r="U50" s="4">
        <v>23</v>
      </c>
      <c r="V50" s="4">
        <f>Weather!D170</f>
        <v>1120.9833333333336</v>
      </c>
      <c r="W50" s="4">
        <f>Weather!E170</f>
        <v>0</v>
      </c>
      <c r="X50" s="4">
        <f>Weather!F170</f>
        <v>1058.9833333333336</v>
      </c>
      <c r="Y50" s="4">
        <f>Weather!G170</f>
        <v>0</v>
      </c>
      <c r="Z50" s="4">
        <f>Weather!H170</f>
        <v>996.98333333333346</v>
      </c>
      <c r="AA50" s="4">
        <f>Weather!I170</f>
        <v>0</v>
      </c>
      <c r="AB50" s="4">
        <f>Weather!J170</f>
        <v>934.98333333333346</v>
      </c>
      <c r="AC50" s="4">
        <f>Weather!K170</f>
        <v>0</v>
      </c>
      <c r="AD50" s="4">
        <f>Weather!L170</f>
        <v>872.98333333333335</v>
      </c>
      <c r="AE50" s="4">
        <f>Weather!M170</f>
        <v>0</v>
      </c>
      <c r="AF50" s="4">
        <f>Weather!N170</f>
        <v>810.98333333333335</v>
      </c>
      <c r="AG50" s="4">
        <f>Weather!O170</f>
        <v>0</v>
      </c>
      <c r="AH50" s="4">
        <f>Weather!P170</f>
        <v>748.98333333333323</v>
      </c>
      <c r="AI50" s="4">
        <f>Weather!Q170</f>
        <v>0</v>
      </c>
      <c r="AJ50" s="4">
        <f>Weather!R170</f>
        <v>-16.160752688172039</v>
      </c>
      <c r="AK50" s="4">
        <f>'Economic Data'!F52</f>
        <v>789531.6</v>
      </c>
      <c r="AL50" s="4">
        <f>'Economic Data'!G52</f>
        <v>7545.5</v>
      </c>
      <c r="AM50" s="4">
        <f>'Economic Data'!H52</f>
        <v>7677.9</v>
      </c>
      <c r="AN50" s="4">
        <f>'Economic Data'!I52</f>
        <v>120.2</v>
      </c>
      <c r="AO50" s="4">
        <f>'Economic Data'!J52</f>
        <v>138.5</v>
      </c>
      <c r="AP50" s="4">
        <f>'Economic Data'!K52</f>
        <v>482.5</v>
      </c>
      <c r="AQ50" s="4">
        <f>'Economic Data'!L52</f>
        <v>280</v>
      </c>
      <c r="AR50" s="4">
        <f>'Economic Data'!M52</f>
        <v>1817.2</v>
      </c>
      <c r="AS50" s="4">
        <f>'Economic Data'!N52</f>
        <v>2825.5</v>
      </c>
      <c r="AT50" s="4">
        <f>'Economic Data'!O52</f>
        <v>779459</v>
      </c>
      <c r="AU50" s="4">
        <f>'Economic Data'!P52</f>
        <v>7503</v>
      </c>
      <c r="AV50" s="4">
        <f>'Economic Data'!Q52</f>
        <v>4048</v>
      </c>
      <c r="AW50" s="4">
        <f>'Economic Data'!R52</f>
        <v>5058</v>
      </c>
      <c r="AX50" s="4">
        <f>'Economic Data'!E52</f>
        <v>7167.3</v>
      </c>
      <c r="AY50" s="4">
        <f>'Economic Data'!D52</f>
        <v>7199.4</v>
      </c>
      <c r="AZ50">
        <v>49</v>
      </c>
      <c r="BA50" s="14">
        <f t="shared" si="18"/>
        <v>4.0604430105464191</v>
      </c>
      <c r="BB50">
        <f t="shared" si="19"/>
        <v>2401</v>
      </c>
      <c r="BC50">
        <v>1</v>
      </c>
      <c r="BD50">
        <v>0</v>
      </c>
      <c r="BE50">
        <v>0</v>
      </c>
      <c r="BF50">
        <v>0</v>
      </c>
      <c r="BG50">
        <v>0</v>
      </c>
      <c r="BH50">
        <v>0</v>
      </c>
      <c r="BI50">
        <v>0</v>
      </c>
      <c r="BJ50">
        <v>0</v>
      </c>
      <c r="BK50">
        <v>0</v>
      </c>
      <c r="BL50">
        <v>0</v>
      </c>
      <c r="BM50">
        <v>0</v>
      </c>
      <c r="BN50">
        <v>0</v>
      </c>
      <c r="BO50">
        <v>0</v>
      </c>
      <c r="BP50">
        <v>0</v>
      </c>
      <c r="BQ50">
        <v>0</v>
      </c>
      <c r="BR50">
        <v>31</v>
      </c>
      <c r="BS50">
        <v>22</v>
      </c>
      <c r="BT50">
        <v>0</v>
      </c>
      <c r="BU50">
        <v>0</v>
      </c>
      <c r="BV50">
        <v>0</v>
      </c>
      <c r="BW50">
        <v>0</v>
      </c>
      <c r="BX50" s="17">
        <f t="shared" si="20"/>
        <v>0</v>
      </c>
      <c r="BY50" s="17">
        <f t="shared" si="21"/>
        <v>0</v>
      </c>
      <c r="BZ50" s="17">
        <f t="shared" si="22"/>
        <v>0</v>
      </c>
      <c r="CA50" s="17">
        <f t="shared" si="23"/>
        <v>0</v>
      </c>
      <c r="CB50" s="17">
        <f t="shared" si="24"/>
        <v>0</v>
      </c>
      <c r="CC50" s="17">
        <f t="shared" si="25"/>
        <v>0</v>
      </c>
      <c r="CD50" s="17">
        <f t="shared" si="26"/>
        <v>0</v>
      </c>
      <c r="CE50" s="17">
        <f t="shared" si="27"/>
        <v>0</v>
      </c>
      <c r="CF50" s="17">
        <f t="shared" si="28"/>
        <v>0</v>
      </c>
      <c r="CG50" s="17">
        <f t="shared" si="29"/>
        <v>0</v>
      </c>
      <c r="CH50" s="17">
        <f t="shared" si="30"/>
        <v>0</v>
      </c>
      <c r="CI50" s="17">
        <f t="shared" si="31"/>
        <v>0</v>
      </c>
      <c r="CJ50" s="17">
        <f t="shared" si="12"/>
        <v>0</v>
      </c>
      <c r="CK50" s="17">
        <f t="shared" si="13"/>
        <v>0</v>
      </c>
    </row>
    <row r="51" spans="1:89" x14ac:dyDescent="0.35">
      <c r="A51" s="1">
        <v>43132</v>
      </c>
      <c r="B51">
        <v>2018</v>
      </c>
      <c r="C51">
        <f t="shared" si="14"/>
        <v>2</v>
      </c>
      <c r="D51" s="4">
        <v>4392168.5642331336</v>
      </c>
      <c r="E51" s="4">
        <f>IFERROR(VLOOKUP($B51-1,CDM!$K$5:$N$19,2,FALSE)/12,0)+IFERROR(VLOOKUP($B51,CDM!$K$35:$N$47,2,FALSE)/24,0)+IFERROR(VLOOKUP($B51,CDM!$K$35:$N$47,2,FALSE)/2*$C51/78,0)</f>
        <v>134985.15465981897</v>
      </c>
      <c r="F51" s="4">
        <f t="shared" si="15"/>
        <v>4527153.7188929524</v>
      </c>
      <c r="G51" s="4">
        <v>1888828.0272170061</v>
      </c>
      <c r="H51" s="4">
        <f>IFERROR(VLOOKUP($B51-1,CDM!$K$5:$N$19,3,FALSE)/12,0)+IFERROR(VLOOKUP($B51,CDM!$K$35:$N$47,3,FALSE)/24,0)+IFERROR(VLOOKUP($B51,CDM!$K$35:$N$47,3,FALSE)/2*$C51/78,0)</f>
        <v>179623.93229540135</v>
      </c>
      <c r="I51" s="4">
        <f t="shared" si="16"/>
        <v>2068451.9595124074</v>
      </c>
      <c r="J51" s="4">
        <v>5872193.798899956</v>
      </c>
      <c r="K51" s="4">
        <f>IFERROR(VLOOKUP($B51-1,CDM!$K$5:$N$19,4,FALSE)/12,0)+IFERROR(VLOOKUP($B51,CDM!$K$35:$N$47,4,FALSE)/24,0)+IFERROR(VLOOKUP($B51,CDM!$K$35:$N$47,4,FALSE)/2*$C51/78,0)</f>
        <v>182311.59315875807</v>
      </c>
      <c r="L51" s="4">
        <f t="shared" si="17"/>
        <v>6054505.3920587143</v>
      </c>
      <c r="M51" s="4">
        <v>54199.254122188897</v>
      </c>
      <c r="N51" s="4">
        <v>13681.499999999998</v>
      </c>
      <c r="O51" s="4">
        <v>16638.86</v>
      </c>
      <c r="P51" s="4">
        <v>118.42</v>
      </c>
      <c r="Q51" s="4">
        <v>5179</v>
      </c>
      <c r="R51" s="4">
        <v>730</v>
      </c>
      <c r="S51" s="4">
        <v>69</v>
      </c>
      <c r="T51" s="4">
        <v>1643</v>
      </c>
      <c r="U51" s="4">
        <v>23</v>
      </c>
      <c r="V51" s="4">
        <f>Weather!D171</f>
        <v>985.50416666666672</v>
      </c>
      <c r="W51" s="4">
        <f>Weather!E171</f>
        <v>0</v>
      </c>
      <c r="X51" s="4">
        <f>Weather!F171</f>
        <v>929.50416666666672</v>
      </c>
      <c r="Y51" s="4">
        <f>Weather!G171</f>
        <v>0</v>
      </c>
      <c r="Z51" s="4">
        <f>Weather!H171</f>
        <v>873.50416666666672</v>
      </c>
      <c r="AA51" s="4">
        <f>Weather!I171</f>
        <v>0</v>
      </c>
      <c r="AB51" s="4">
        <f>Weather!J171</f>
        <v>817.50416666666672</v>
      </c>
      <c r="AC51" s="4">
        <f>Weather!K171</f>
        <v>0</v>
      </c>
      <c r="AD51" s="4">
        <f>Weather!L171</f>
        <v>761.50416666666672</v>
      </c>
      <c r="AE51" s="4">
        <f>Weather!M171</f>
        <v>0</v>
      </c>
      <c r="AF51" s="4">
        <f>Weather!N171</f>
        <v>705.50416666666672</v>
      </c>
      <c r="AG51" s="4">
        <f>Weather!O171</f>
        <v>0</v>
      </c>
      <c r="AH51" s="4">
        <f>Weather!P171</f>
        <v>649.50416666666672</v>
      </c>
      <c r="AI51" s="4">
        <f>Weather!Q171</f>
        <v>0</v>
      </c>
      <c r="AJ51" s="4">
        <f>Weather!R171</f>
        <v>-15.196577380952379</v>
      </c>
      <c r="AK51" s="4">
        <f>'Economic Data'!F53</f>
        <v>789531.6</v>
      </c>
      <c r="AL51" s="4">
        <f>'Economic Data'!G53</f>
        <v>7545.5</v>
      </c>
      <c r="AM51" s="4">
        <f>'Economic Data'!H53</f>
        <v>7677.9</v>
      </c>
      <c r="AN51" s="4">
        <f>'Economic Data'!I53</f>
        <v>120.2</v>
      </c>
      <c r="AO51" s="4">
        <f>'Economic Data'!J53</f>
        <v>138.5</v>
      </c>
      <c r="AP51" s="4">
        <f>'Economic Data'!K53</f>
        <v>482.5</v>
      </c>
      <c r="AQ51" s="4">
        <f>'Economic Data'!L53</f>
        <v>280</v>
      </c>
      <c r="AR51" s="4">
        <f>'Economic Data'!M53</f>
        <v>1817.2</v>
      </c>
      <c r="AS51" s="4">
        <f>'Economic Data'!N53</f>
        <v>2825.5</v>
      </c>
      <c r="AT51" s="4">
        <f>'Economic Data'!O53</f>
        <v>779459</v>
      </c>
      <c r="AU51" s="4">
        <f>'Economic Data'!P53</f>
        <v>7503</v>
      </c>
      <c r="AV51" s="4">
        <f>'Economic Data'!Q53</f>
        <v>4048</v>
      </c>
      <c r="AW51" s="4">
        <f>'Economic Data'!R53</f>
        <v>5058</v>
      </c>
      <c r="AX51" s="4">
        <f>'Economic Data'!E53</f>
        <v>7120.1</v>
      </c>
      <c r="AY51" s="4">
        <f>'Economic Data'!D53</f>
        <v>7188.9</v>
      </c>
      <c r="AZ51">
        <v>50</v>
      </c>
      <c r="BA51" s="14">
        <f t="shared" si="18"/>
        <v>4.0775374439057197</v>
      </c>
      <c r="BB51">
        <f t="shared" si="19"/>
        <v>2500</v>
      </c>
      <c r="BC51">
        <v>0</v>
      </c>
      <c r="BD51">
        <v>1</v>
      </c>
      <c r="BE51">
        <v>0</v>
      </c>
      <c r="BF51">
        <v>0</v>
      </c>
      <c r="BG51">
        <v>0</v>
      </c>
      <c r="BH51">
        <v>0</v>
      </c>
      <c r="BI51">
        <v>0</v>
      </c>
      <c r="BJ51">
        <v>0</v>
      </c>
      <c r="BK51">
        <v>0</v>
      </c>
      <c r="BL51">
        <v>0</v>
      </c>
      <c r="BM51">
        <v>0</v>
      </c>
      <c r="BN51">
        <v>0</v>
      </c>
      <c r="BO51">
        <v>0</v>
      </c>
      <c r="BP51">
        <v>0</v>
      </c>
      <c r="BQ51">
        <v>0</v>
      </c>
      <c r="BR51">
        <v>28</v>
      </c>
      <c r="BS51">
        <v>19</v>
      </c>
      <c r="BT51">
        <v>0</v>
      </c>
      <c r="BU51">
        <v>0</v>
      </c>
      <c r="BV51">
        <v>0</v>
      </c>
      <c r="BW51">
        <v>0</v>
      </c>
      <c r="BX51" s="17">
        <f t="shared" si="20"/>
        <v>0</v>
      </c>
      <c r="BY51" s="17">
        <f t="shared" si="21"/>
        <v>0</v>
      </c>
      <c r="BZ51" s="17">
        <f t="shared" si="22"/>
        <v>0</v>
      </c>
      <c r="CA51" s="17">
        <f t="shared" si="23"/>
        <v>0</v>
      </c>
      <c r="CB51" s="17">
        <f t="shared" si="24"/>
        <v>0</v>
      </c>
      <c r="CC51" s="17">
        <f t="shared" si="25"/>
        <v>0</v>
      </c>
      <c r="CD51" s="17">
        <f t="shared" si="26"/>
        <v>0</v>
      </c>
      <c r="CE51" s="17">
        <f t="shared" si="27"/>
        <v>0</v>
      </c>
      <c r="CF51" s="17">
        <f t="shared" si="28"/>
        <v>0</v>
      </c>
      <c r="CG51" s="17">
        <f t="shared" si="29"/>
        <v>0</v>
      </c>
      <c r="CH51" s="17">
        <f t="shared" si="30"/>
        <v>0</v>
      </c>
      <c r="CI51" s="17">
        <f t="shared" si="31"/>
        <v>0</v>
      </c>
      <c r="CJ51" s="17">
        <f t="shared" si="12"/>
        <v>0</v>
      </c>
      <c r="CK51" s="17">
        <f t="shared" si="13"/>
        <v>0</v>
      </c>
    </row>
    <row r="52" spans="1:89" x14ac:dyDescent="0.35">
      <c r="A52" s="1">
        <v>43160</v>
      </c>
      <c r="B52">
        <v>2018</v>
      </c>
      <c r="C52">
        <f t="shared" si="14"/>
        <v>3</v>
      </c>
      <c r="D52" s="4">
        <v>3686626.4736129814</v>
      </c>
      <c r="E52" s="4">
        <f>IFERROR(VLOOKUP($B52-1,CDM!$K$5:$N$19,2,FALSE)/12,0)+IFERROR(VLOOKUP($B52,CDM!$K$35:$N$47,2,FALSE)/24,0)+IFERROR(VLOOKUP($B52,CDM!$K$35:$N$47,2,FALSE)/2*$C52/78,0)</f>
        <v>137006.77232067991</v>
      </c>
      <c r="F52" s="4">
        <f t="shared" si="15"/>
        <v>3823633.2459336612</v>
      </c>
      <c r="G52" s="4">
        <v>1652405.2489657903</v>
      </c>
      <c r="H52" s="4">
        <f>IFERROR(VLOOKUP($B52-1,CDM!$K$5:$N$19,3,FALSE)/12,0)+IFERROR(VLOOKUP($B52,CDM!$K$35:$N$47,3,FALSE)/24,0)+IFERROR(VLOOKUP($B52,CDM!$K$35:$N$47,3,FALSE)/2*$C52/78,0)</f>
        <v>183647.55562002535</v>
      </c>
      <c r="I52" s="4">
        <f t="shared" si="16"/>
        <v>1836052.8045858156</v>
      </c>
      <c r="J52" s="4">
        <v>5493701.2767656287</v>
      </c>
      <c r="K52" s="4">
        <f>IFERROR(VLOOKUP($B52-1,CDM!$K$5:$N$19,4,FALSE)/12,0)+IFERROR(VLOOKUP($B52,CDM!$K$35:$N$47,4,FALSE)/24,0)+IFERROR(VLOOKUP($B52,CDM!$K$35:$N$47,4,FALSE)/2*$C52/78,0)</f>
        <v>184946.15413221403</v>
      </c>
      <c r="L52" s="4">
        <f t="shared" si="17"/>
        <v>5678647.4308978431</v>
      </c>
      <c r="M52" s="4">
        <v>45457.859469600073</v>
      </c>
      <c r="N52" s="4">
        <v>13681.499999999998</v>
      </c>
      <c r="O52" s="4">
        <v>16270.78</v>
      </c>
      <c r="P52" s="4">
        <v>118.42</v>
      </c>
      <c r="Q52" s="4">
        <v>5194</v>
      </c>
      <c r="R52" s="4">
        <v>706</v>
      </c>
      <c r="S52" s="4">
        <v>68</v>
      </c>
      <c r="T52" s="4">
        <v>1646</v>
      </c>
      <c r="U52" s="4">
        <v>23</v>
      </c>
      <c r="V52" s="4">
        <f>Weather!D172</f>
        <v>934.80416666666633</v>
      </c>
      <c r="W52" s="4">
        <f>Weather!E172</f>
        <v>0</v>
      </c>
      <c r="X52" s="4">
        <f>Weather!F172</f>
        <v>872.80416666666633</v>
      </c>
      <c r="Y52" s="4">
        <f>Weather!G172</f>
        <v>0</v>
      </c>
      <c r="Z52" s="4">
        <f>Weather!H172</f>
        <v>810.80416666666656</v>
      </c>
      <c r="AA52" s="4">
        <f>Weather!I172</f>
        <v>0</v>
      </c>
      <c r="AB52" s="4">
        <f>Weather!J172</f>
        <v>748.80416666666633</v>
      </c>
      <c r="AC52" s="4">
        <f>Weather!K172</f>
        <v>0</v>
      </c>
      <c r="AD52" s="4">
        <f>Weather!L172</f>
        <v>686.80416666666656</v>
      </c>
      <c r="AE52" s="4">
        <f>Weather!M172</f>
        <v>0</v>
      </c>
      <c r="AF52" s="4">
        <f>Weather!N172</f>
        <v>624.80416666666656</v>
      </c>
      <c r="AG52" s="4">
        <f>Weather!O172</f>
        <v>0</v>
      </c>
      <c r="AH52" s="4">
        <f>Weather!P172</f>
        <v>562.80416666666656</v>
      </c>
      <c r="AI52" s="4">
        <f>Weather!Q172</f>
        <v>0</v>
      </c>
      <c r="AJ52" s="4">
        <f>Weather!R172</f>
        <v>-10.154973118279569</v>
      </c>
      <c r="AK52" s="4">
        <f>'Economic Data'!F54</f>
        <v>789531.6</v>
      </c>
      <c r="AL52" s="4">
        <f>'Economic Data'!G54</f>
        <v>7545.5</v>
      </c>
      <c r="AM52" s="4">
        <f>'Economic Data'!H54</f>
        <v>7677.9</v>
      </c>
      <c r="AN52" s="4">
        <f>'Economic Data'!I54</f>
        <v>120.2</v>
      </c>
      <c r="AO52" s="4">
        <f>'Economic Data'!J54</f>
        <v>138.5</v>
      </c>
      <c r="AP52" s="4">
        <f>'Economic Data'!K54</f>
        <v>482.5</v>
      </c>
      <c r="AQ52" s="4">
        <f>'Economic Data'!L54</f>
        <v>280</v>
      </c>
      <c r="AR52" s="4">
        <f>'Economic Data'!M54</f>
        <v>1817.2</v>
      </c>
      <c r="AS52" s="4">
        <f>'Economic Data'!N54</f>
        <v>2825.5</v>
      </c>
      <c r="AT52" s="4">
        <f>'Economic Data'!O54</f>
        <v>779459</v>
      </c>
      <c r="AU52" s="4">
        <f>'Economic Data'!P54</f>
        <v>7503</v>
      </c>
      <c r="AV52" s="4">
        <f>'Economic Data'!Q54</f>
        <v>4048</v>
      </c>
      <c r="AW52" s="4">
        <f>'Economic Data'!R54</f>
        <v>5058</v>
      </c>
      <c r="AX52" s="4">
        <f>'Economic Data'!E54</f>
        <v>7084.1</v>
      </c>
      <c r="AY52" s="4">
        <f>'Economic Data'!D54</f>
        <v>7188.8</v>
      </c>
      <c r="AZ52">
        <v>51</v>
      </c>
      <c r="BA52" s="14">
        <f t="shared" si="18"/>
        <v>4.0943445622221004</v>
      </c>
      <c r="BB52">
        <f t="shared" si="19"/>
        <v>2601</v>
      </c>
      <c r="BC52">
        <v>0</v>
      </c>
      <c r="BD52">
        <v>0</v>
      </c>
      <c r="BE52">
        <v>1</v>
      </c>
      <c r="BF52">
        <v>0</v>
      </c>
      <c r="BG52">
        <v>0</v>
      </c>
      <c r="BH52">
        <v>0</v>
      </c>
      <c r="BI52">
        <v>0</v>
      </c>
      <c r="BJ52">
        <v>0</v>
      </c>
      <c r="BK52">
        <v>0</v>
      </c>
      <c r="BL52">
        <v>0</v>
      </c>
      <c r="BM52">
        <v>0</v>
      </c>
      <c r="BN52">
        <v>0</v>
      </c>
      <c r="BO52">
        <v>1</v>
      </c>
      <c r="BP52">
        <v>0</v>
      </c>
      <c r="BQ52">
        <v>1</v>
      </c>
      <c r="BR52">
        <v>31</v>
      </c>
      <c r="BS52">
        <v>21</v>
      </c>
      <c r="BT52">
        <v>0</v>
      </c>
      <c r="BU52">
        <v>0</v>
      </c>
      <c r="BV52">
        <v>0</v>
      </c>
      <c r="BW52">
        <v>0</v>
      </c>
      <c r="BX52" s="17">
        <f t="shared" si="20"/>
        <v>0</v>
      </c>
      <c r="BY52" s="17">
        <f t="shared" si="21"/>
        <v>0</v>
      </c>
      <c r="BZ52" s="17">
        <f t="shared" si="22"/>
        <v>0</v>
      </c>
      <c r="CA52" s="17">
        <f t="shared" si="23"/>
        <v>0</v>
      </c>
      <c r="CB52" s="17">
        <f t="shared" si="24"/>
        <v>0</v>
      </c>
      <c r="CC52" s="17">
        <f t="shared" si="25"/>
        <v>0</v>
      </c>
      <c r="CD52" s="17">
        <f t="shared" si="26"/>
        <v>0</v>
      </c>
      <c r="CE52" s="17">
        <f t="shared" si="27"/>
        <v>0</v>
      </c>
      <c r="CF52" s="17">
        <f t="shared" si="28"/>
        <v>0</v>
      </c>
      <c r="CG52" s="17">
        <f t="shared" si="29"/>
        <v>0</v>
      </c>
      <c r="CH52" s="17">
        <f t="shared" si="30"/>
        <v>0</v>
      </c>
      <c r="CI52" s="17">
        <f t="shared" si="31"/>
        <v>0</v>
      </c>
      <c r="CJ52" s="17">
        <f t="shared" si="12"/>
        <v>0</v>
      </c>
      <c r="CK52" s="17">
        <f t="shared" si="13"/>
        <v>0</v>
      </c>
    </row>
    <row r="53" spans="1:89" x14ac:dyDescent="0.35">
      <c r="A53" s="1">
        <v>43191</v>
      </c>
      <c r="B53">
        <v>2018</v>
      </c>
      <c r="C53">
        <f t="shared" si="14"/>
        <v>4</v>
      </c>
      <c r="D53" s="4">
        <v>3438282.5918865334</v>
      </c>
      <c r="E53" s="4">
        <f>IFERROR(VLOOKUP($B53-1,CDM!$K$5:$N$19,2,FALSE)/12,0)+IFERROR(VLOOKUP($B53,CDM!$K$35:$N$47,2,FALSE)/24,0)+IFERROR(VLOOKUP($B53,CDM!$K$35:$N$47,2,FALSE)/2*$C53/78,0)</f>
        <v>139028.38998154085</v>
      </c>
      <c r="F53" s="4">
        <f t="shared" si="15"/>
        <v>3577310.9818680743</v>
      </c>
      <c r="G53" s="4">
        <v>1664950.5230360779</v>
      </c>
      <c r="H53" s="4">
        <f>IFERROR(VLOOKUP($B53-1,CDM!$K$5:$N$19,3,FALSE)/12,0)+IFERROR(VLOOKUP($B53,CDM!$K$35:$N$47,3,FALSE)/24,0)+IFERROR(VLOOKUP($B53,CDM!$K$35:$N$47,3,FALSE)/2*$C53/78,0)</f>
        <v>187671.17894464935</v>
      </c>
      <c r="I53" s="4">
        <f t="shared" si="16"/>
        <v>1852621.7019807273</v>
      </c>
      <c r="J53" s="4">
        <v>5608505.7466641236</v>
      </c>
      <c r="K53" s="4">
        <f>IFERROR(VLOOKUP($B53-1,CDM!$K$5:$N$19,4,FALSE)/12,0)+IFERROR(VLOOKUP($B53,CDM!$K$35:$N$47,4,FALSE)/24,0)+IFERROR(VLOOKUP($B53,CDM!$K$35:$N$47,4,FALSE)/2*$C53/78,0)</f>
        <v>187580.71510567001</v>
      </c>
      <c r="L53" s="4">
        <f t="shared" si="17"/>
        <v>5796086.4617697932</v>
      </c>
      <c r="M53" s="4">
        <v>44935.401443444425</v>
      </c>
      <c r="N53" s="4">
        <v>13681.499999999998</v>
      </c>
      <c r="O53" s="4">
        <v>15479.77</v>
      </c>
      <c r="P53" s="4">
        <v>118.42</v>
      </c>
      <c r="Q53" s="4">
        <v>5179</v>
      </c>
      <c r="R53" s="4">
        <v>703</v>
      </c>
      <c r="S53" s="4">
        <v>68</v>
      </c>
      <c r="T53" s="4">
        <v>1646</v>
      </c>
      <c r="U53" s="4">
        <v>23</v>
      </c>
      <c r="V53" s="4">
        <f>Weather!D173</f>
        <v>701.04999999999984</v>
      </c>
      <c r="W53" s="4">
        <f>Weather!E173</f>
        <v>0</v>
      </c>
      <c r="X53" s="4">
        <f>Weather!F173</f>
        <v>641.04999999999984</v>
      </c>
      <c r="Y53" s="4">
        <f>Weather!G173</f>
        <v>0</v>
      </c>
      <c r="Z53" s="4">
        <f>Weather!H173</f>
        <v>581.04999999999995</v>
      </c>
      <c r="AA53" s="4">
        <f>Weather!I173</f>
        <v>0</v>
      </c>
      <c r="AB53" s="4">
        <f>Weather!J173</f>
        <v>521.04999999999995</v>
      </c>
      <c r="AC53" s="4">
        <f>Weather!K173</f>
        <v>0</v>
      </c>
      <c r="AD53" s="4">
        <f>Weather!L173</f>
        <v>461.05</v>
      </c>
      <c r="AE53" s="4">
        <f>Weather!M173</f>
        <v>0</v>
      </c>
      <c r="AF53" s="4">
        <f>Weather!N173</f>
        <v>402.86250000000007</v>
      </c>
      <c r="AG53" s="4">
        <f>Weather!O173</f>
        <v>1.8125</v>
      </c>
      <c r="AH53" s="4">
        <f>Weather!P173</f>
        <v>345.32083333333338</v>
      </c>
      <c r="AI53" s="4">
        <f>Weather!Q173</f>
        <v>4.2708333333333339</v>
      </c>
      <c r="AJ53" s="4">
        <f>Weather!R173</f>
        <v>-3.3683333333333332</v>
      </c>
      <c r="AK53" s="4">
        <f>'Economic Data'!F55</f>
        <v>789531.6</v>
      </c>
      <c r="AL53" s="4">
        <f>'Economic Data'!G55</f>
        <v>7545.5</v>
      </c>
      <c r="AM53" s="4">
        <f>'Economic Data'!H55</f>
        <v>7677.9</v>
      </c>
      <c r="AN53" s="4">
        <f>'Economic Data'!I55</f>
        <v>120.2</v>
      </c>
      <c r="AO53" s="4">
        <f>'Economic Data'!J55</f>
        <v>138.5</v>
      </c>
      <c r="AP53" s="4">
        <f>'Economic Data'!K55</f>
        <v>482.5</v>
      </c>
      <c r="AQ53" s="4">
        <f>'Economic Data'!L55</f>
        <v>280</v>
      </c>
      <c r="AR53" s="4">
        <f>'Economic Data'!M55</f>
        <v>1817.2</v>
      </c>
      <c r="AS53" s="4">
        <f>'Economic Data'!N55</f>
        <v>2825.5</v>
      </c>
      <c r="AT53" s="4">
        <f>'Economic Data'!O55</f>
        <v>784896</v>
      </c>
      <c r="AU53" s="4">
        <f>'Economic Data'!P55</f>
        <v>7580</v>
      </c>
      <c r="AV53" s="4">
        <f>'Economic Data'!Q55</f>
        <v>4210</v>
      </c>
      <c r="AW53" s="4">
        <f>'Economic Data'!R55</f>
        <v>5136</v>
      </c>
      <c r="AX53" s="4">
        <f>'Economic Data'!E55</f>
        <v>7111.6</v>
      </c>
      <c r="AY53" s="4">
        <f>'Economic Data'!D55</f>
        <v>7201.1</v>
      </c>
      <c r="AZ53">
        <v>52</v>
      </c>
      <c r="BA53" s="14">
        <f t="shared" si="18"/>
        <v>4.1108738641733114</v>
      </c>
      <c r="BB53">
        <f t="shared" si="19"/>
        <v>2704</v>
      </c>
      <c r="BC53">
        <v>0</v>
      </c>
      <c r="BD53">
        <v>0</v>
      </c>
      <c r="BE53">
        <v>0</v>
      </c>
      <c r="BF53">
        <v>1</v>
      </c>
      <c r="BG53">
        <v>0</v>
      </c>
      <c r="BH53">
        <v>0</v>
      </c>
      <c r="BI53">
        <v>0</v>
      </c>
      <c r="BJ53">
        <v>0</v>
      </c>
      <c r="BK53">
        <v>0</v>
      </c>
      <c r="BL53">
        <v>0</v>
      </c>
      <c r="BM53">
        <v>0</v>
      </c>
      <c r="BN53">
        <v>0</v>
      </c>
      <c r="BO53">
        <v>1</v>
      </c>
      <c r="BP53">
        <v>0</v>
      </c>
      <c r="BQ53">
        <v>1</v>
      </c>
      <c r="BR53">
        <v>30</v>
      </c>
      <c r="BS53">
        <v>21</v>
      </c>
      <c r="BT53">
        <v>0</v>
      </c>
      <c r="BU53">
        <v>0</v>
      </c>
      <c r="BV53">
        <v>0</v>
      </c>
      <c r="BW53">
        <v>0</v>
      </c>
      <c r="BX53" s="17">
        <f t="shared" si="20"/>
        <v>0</v>
      </c>
      <c r="BY53" s="17">
        <f t="shared" si="21"/>
        <v>0</v>
      </c>
      <c r="BZ53" s="17">
        <f t="shared" si="22"/>
        <v>0</v>
      </c>
      <c r="CA53" s="17">
        <f t="shared" si="23"/>
        <v>0</v>
      </c>
      <c r="CB53" s="17">
        <f t="shared" si="24"/>
        <v>0</v>
      </c>
      <c r="CC53" s="17">
        <f t="shared" si="25"/>
        <v>0</v>
      </c>
      <c r="CD53" s="17">
        <f t="shared" si="26"/>
        <v>0</v>
      </c>
      <c r="CE53" s="17">
        <f t="shared" si="27"/>
        <v>0</v>
      </c>
      <c r="CF53" s="17">
        <f t="shared" si="28"/>
        <v>0</v>
      </c>
      <c r="CG53" s="17">
        <f t="shared" si="29"/>
        <v>0</v>
      </c>
      <c r="CH53" s="17">
        <f t="shared" si="30"/>
        <v>0</v>
      </c>
      <c r="CI53" s="17">
        <f t="shared" si="31"/>
        <v>0</v>
      </c>
      <c r="CJ53" s="17">
        <f t="shared" si="12"/>
        <v>0</v>
      </c>
      <c r="CK53" s="17">
        <f t="shared" si="13"/>
        <v>0</v>
      </c>
    </row>
    <row r="54" spans="1:89" x14ac:dyDescent="0.35">
      <c r="A54" s="1">
        <v>43221</v>
      </c>
      <c r="B54">
        <v>2018</v>
      </c>
      <c r="C54">
        <f t="shared" si="14"/>
        <v>5</v>
      </c>
      <c r="D54" s="4">
        <v>3045008.7796928198</v>
      </c>
      <c r="E54" s="4">
        <f>IFERROR(VLOOKUP($B54-1,CDM!$K$5:$N$19,2,FALSE)/12,0)+IFERROR(VLOOKUP($B54,CDM!$K$35:$N$47,2,FALSE)/24,0)+IFERROR(VLOOKUP($B54,CDM!$K$35:$N$47,2,FALSE)/2*$C54/78,0)</f>
        <v>141050.00764240179</v>
      </c>
      <c r="F54" s="4">
        <f t="shared" si="15"/>
        <v>3186058.7873352217</v>
      </c>
      <c r="G54" s="4">
        <v>1445148.846928648</v>
      </c>
      <c r="H54" s="4">
        <f>IFERROR(VLOOKUP($B54-1,CDM!$K$5:$N$19,3,FALSE)/12,0)+IFERROR(VLOOKUP($B54,CDM!$K$35:$N$47,3,FALSE)/24,0)+IFERROR(VLOOKUP($B54,CDM!$K$35:$N$47,3,FALSE)/2*$C54/78,0)</f>
        <v>191694.80226927335</v>
      </c>
      <c r="I54" s="4">
        <f t="shared" si="16"/>
        <v>1636843.6491979214</v>
      </c>
      <c r="J54" s="4">
        <v>4917051.9501166055</v>
      </c>
      <c r="K54" s="4">
        <f>IFERROR(VLOOKUP($B54-1,CDM!$K$5:$N$19,4,FALSE)/12,0)+IFERROR(VLOOKUP($B54,CDM!$K$35:$N$47,4,FALSE)/24,0)+IFERROR(VLOOKUP($B54,CDM!$K$35:$N$47,4,FALSE)/2*$C54/78,0)</f>
        <v>190215.27607912596</v>
      </c>
      <c r="L54" s="4">
        <f t="shared" si="17"/>
        <v>5107267.2261957312</v>
      </c>
      <c r="M54" s="4">
        <v>38387.127142491692</v>
      </c>
      <c r="N54" s="4">
        <v>13681.499999999998</v>
      </c>
      <c r="O54" s="4">
        <v>15004.61</v>
      </c>
      <c r="P54" s="4">
        <v>118.42</v>
      </c>
      <c r="Q54" s="4">
        <v>5180</v>
      </c>
      <c r="R54" s="4">
        <v>700</v>
      </c>
      <c r="S54" s="4">
        <v>68</v>
      </c>
      <c r="T54" s="4">
        <v>1646</v>
      </c>
      <c r="U54" s="4">
        <v>23</v>
      </c>
      <c r="V54" s="4">
        <f>Weather!D174</f>
        <v>306.95346847813039</v>
      </c>
      <c r="W54" s="4">
        <f>Weather!E174</f>
        <v>3.6999999999999993</v>
      </c>
      <c r="X54" s="4">
        <f>Weather!F174</f>
        <v>249.01180181146378</v>
      </c>
      <c r="Y54" s="4">
        <f>Weather!G174</f>
        <v>7.7583333333333329</v>
      </c>
      <c r="Z54" s="4">
        <f>Weather!H174</f>
        <v>198.27846847813043</v>
      </c>
      <c r="AA54" s="4">
        <f>Weather!I174</f>
        <v>19.024999999999999</v>
      </c>
      <c r="AB54" s="4">
        <f>Weather!J174</f>
        <v>153.14096847813045</v>
      </c>
      <c r="AC54" s="4">
        <f>Weather!K174</f>
        <v>35.887500000000003</v>
      </c>
      <c r="AD54" s="4">
        <f>Weather!L174</f>
        <v>110.52846847813041</v>
      </c>
      <c r="AE54" s="4">
        <f>Weather!M174</f>
        <v>55.275000000000006</v>
      </c>
      <c r="AF54" s="4">
        <f>Weather!N174</f>
        <v>71.978468478130409</v>
      </c>
      <c r="AG54" s="4">
        <f>Weather!O174</f>
        <v>78.725000000000009</v>
      </c>
      <c r="AH54" s="4">
        <f>Weather!P174</f>
        <v>41.732635144797079</v>
      </c>
      <c r="AI54" s="4">
        <f>Weather!Q174</f>
        <v>110.47916666666669</v>
      </c>
      <c r="AJ54" s="4">
        <f>Weather!R174</f>
        <v>10.217630049092566</v>
      </c>
      <c r="AK54" s="4">
        <f>'Economic Data'!F56</f>
        <v>789531.6</v>
      </c>
      <c r="AL54" s="4">
        <f>'Economic Data'!G56</f>
        <v>7545.5</v>
      </c>
      <c r="AM54" s="4">
        <f>'Economic Data'!H56</f>
        <v>7677.9</v>
      </c>
      <c r="AN54" s="4">
        <f>'Economic Data'!I56</f>
        <v>120.2</v>
      </c>
      <c r="AO54" s="4">
        <f>'Economic Data'!J56</f>
        <v>138.5</v>
      </c>
      <c r="AP54" s="4">
        <f>'Economic Data'!K56</f>
        <v>482.5</v>
      </c>
      <c r="AQ54" s="4">
        <f>'Economic Data'!L56</f>
        <v>280</v>
      </c>
      <c r="AR54" s="4">
        <f>'Economic Data'!M56</f>
        <v>1817.2</v>
      </c>
      <c r="AS54" s="4">
        <f>'Economic Data'!N56</f>
        <v>2825.5</v>
      </c>
      <c r="AT54" s="4">
        <f>'Economic Data'!O56</f>
        <v>784896</v>
      </c>
      <c r="AU54" s="4">
        <f>'Economic Data'!P56</f>
        <v>7580</v>
      </c>
      <c r="AV54" s="4">
        <f>'Economic Data'!Q56</f>
        <v>4210</v>
      </c>
      <c r="AW54" s="4">
        <f>'Economic Data'!R56</f>
        <v>5136</v>
      </c>
      <c r="AX54" s="4">
        <f>'Economic Data'!E56</f>
        <v>7176</v>
      </c>
      <c r="AY54" s="4">
        <f>'Economic Data'!D56</f>
        <v>7208.5</v>
      </c>
      <c r="AZ54">
        <v>53</v>
      </c>
      <c r="BA54" s="14">
        <f t="shared" si="18"/>
        <v>4.1271343850450917</v>
      </c>
      <c r="BB54">
        <f t="shared" si="19"/>
        <v>2809</v>
      </c>
      <c r="BC54">
        <v>0</v>
      </c>
      <c r="BD54">
        <v>0</v>
      </c>
      <c r="BE54">
        <v>0</v>
      </c>
      <c r="BF54">
        <v>0</v>
      </c>
      <c r="BG54">
        <v>1</v>
      </c>
      <c r="BH54">
        <v>0</v>
      </c>
      <c r="BI54">
        <v>0</v>
      </c>
      <c r="BJ54">
        <v>0</v>
      </c>
      <c r="BK54">
        <v>0</v>
      </c>
      <c r="BL54">
        <v>0</v>
      </c>
      <c r="BM54">
        <v>0</v>
      </c>
      <c r="BN54">
        <v>0</v>
      </c>
      <c r="BO54">
        <v>1</v>
      </c>
      <c r="BP54">
        <v>0</v>
      </c>
      <c r="BQ54">
        <v>1</v>
      </c>
      <c r="BR54">
        <v>31</v>
      </c>
      <c r="BS54">
        <v>22</v>
      </c>
      <c r="BT54">
        <v>0</v>
      </c>
      <c r="BU54">
        <v>0</v>
      </c>
      <c r="BV54">
        <v>0</v>
      </c>
      <c r="BW54">
        <v>0</v>
      </c>
      <c r="BX54" s="17">
        <f t="shared" si="20"/>
        <v>0</v>
      </c>
      <c r="BY54" s="17">
        <f t="shared" si="21"/>
        <v>0</v>
      </c>
      <c r="BZ54" s="17">
        <f t="shared" si="22"/>
        <v>0</v>
      </c>
      <c r="CA54" s="17">
        <f t="shared" si="23"/>
        <v>0</v>
      </c>
      <c r="CB54" s="17">
        <f t="shared" si="24"/>
        <v>0</v>
      </c>
      <c r="CC54" s="17">
        <f t="shared" si="25"/>
        <v>0</v>
      </c>
      <c r="CD54" s="17">
        <f t="shared" si="26"/>
        <v>0</v>
      </c>
      <c r="CE54" s="17">
        <f t="shared" si="27"/>
        <v>0</v>
      </c>
      <c r="CF54" s="17">
        <f t="shared" si="28"/>
        <v>0</v>
      </c>
      <c r="CG54" s="17">
        <f t="shared" si="29"/>
        <v>0</v>
      </c>
      <c r="CH54" s="17">
        <f t="shared" si="30"/>
        <v>0</v>
      </c>
      <c r="CI54" s="17">
        <f t="shared" si="31"/>
        <v>0</v>
      </c>
      <c r="CJ54" s="17">
        <f t="shared" si="12"/>
        <v>0</v>
      </c>
      <c r="CK54" s="17">
        <f t="shared" si="13"/>
        <v>0</v>
      </c>
    </row>
    <row r="55" spans="1:89" x14ac:dyDescent="0.35">
      <c r="A55" s="1">
        <v>43252</v>
      </c>
      <c r="B55">
        <v>2018</v>
      </c>
      <c r="C55">
        <f t="shared" si="14"/>
        <v>6</v>
      </c>
      <c r="D55" s="4">
        <v>2581041.6396355117</v>
      </c>
      <c r="E55" s="4">
        <f>IFERROR(VLOOKUP($B55-1,CDM!$K$5:$N$19,2,FALSE)/12,0)+IFERROR(VLOOKUP($B55,CDM!$K$35:$N$47,2,FALSE)/24,0)+IFERROR(VLOOKUP($B55,CDM!$K$35:$N$47,2,FALSE)/2*$C55/78,0)</f>
        <v>143071.62530326273</v>
      </c>
      <c r="F55" s="4">
        <f t="shared" si="15"/>
        <v>2724113.2649387745</v>
      </c>
      <c r="G55" s="4">
        <v>1318241.7969131751</v>
      </c>
      <c r="H55" s="4">
        <f>IFERROR(VLOOKUP($B55-1,CDM!$K$5:$N$19,3,FALSE)/12,0)+IFERROR(VLOOKUP($B55,CDM!$K$35:$N$47,3,FALSE)/24,0)+IFERROR(VLOOKUP($B55,CDM!$K$35:$N$47,3,FALSE)/2*$C55/78,0)</f>
        <v>195718.42559389735</v>
      </c>
      <c r="I55" s="4">
        <f t="shared" si="16"/>
        <v>1513960.2225070726</v>
      </c>
      <c r="J55" s="4">
        <v>4530925.0863441434</v>
      </c>
      <c r="K55" s="4">
        <f>IFERROR(VLOOKUP($B55-1,CDM!$K$5:$N$19,4,FALSE)/12,0)+IFERROR(VLOOKUP($B55,CDM!$K$35:$N$47,4,FALSE)/24,0)+IFERROR(VLOOKUP($B55,CDM!$K$35:$N$47,4,FALSE)/2*$C55/78,0)</f>
        <v>192849.83705258192</v>
      </c>
      <c r="L55" s="4">
        <f t="shared" si="17"/>
        <v>4723774.9233967252</v>
      </c>
      <c r="M55" s="4">
        <v>34542.397637154354</v>
      </c>
      <c r="N55" s="4">
        <v>13681.499999999998</v>
      </c>
      <c r="O55" s="4">
        <v>14565.61</v>
      </c>
      <c r="P55" s="4">
        <v>118.42</v>
      </c>
      <c r="Q55" s="4">
        <v>5146</v>
      </c>
      <c r="R55" s="4">
        <v>702</v>
      </c>
      <c r="S55" s="4">
        <v>69</v>
      </c>
      <c r="T55" s="4">
        <v>1646</v>
      </c>
      <c r="U55" s="4">
        <v>23</v>
      </c>
      <c r="V55" s="4">
        <f>Weather!D175</f>
        <v>146.125</v>
      </c>
      <c r="W55" s="4">
        <f>Weather!E175</f>
        <v>3.3458333333333208</v>
      </c>
      <c r="X55" s="4">
        <f>Weather!F175</f>
        <v>100.95000000000002</v>
      </c>
      <c r="Y55" s="4">
        <f>Weather!G175</f>
        <v>18.17083333333332</v>
      </c>
      <c r="Z55" s="4">
        <f>Weather!H175</f>
        <v>65.32083333333334</v>
      </c>
      <c r="AA55" s="4">
        <f>Weather!I175</f>
        <v>42.541666666666657</v>
      </c>
      <c r="AB55" s="4">
        <f>Weather!J175</f>
        <v>37.141666666666673</v>
      </c>
      <c r="AC55" s="4">
        <f>Weather!K175</f>
        <v>74.362499999999997</v>
      </c>
      <c r="AD55" s="4">
        <f>Weather!L175</f>
        <v>19.587499999999999</v>
      </c>
      <c r="AE55" s="4">
        <f>Weather!M175</f>
        <v>116.80833333333332</v>
      </c>
      <c r="AF55" s="4">
        <f>Weather!N175</f>
        <v>8.1458333333333357</v>
      </c>
      <c r="AG55" s="4">
        <f>Weather!O175</f>
        <v>165.36666666666662</v>
      </c>
      <c r="AH55" s="4">
        <f>Weather!P175</f>
        <v>3.0833333333333348</v>
      </c>
      <c r="AI55" s="4">
        <f>Weather!Q175</f>
        <v>220.30416666666662</v>
      </c>
      <c r="AJ55" s="4">
        <f>Weather!R175</f>
        <v>15.240694444444447</v>
      </c>
      <c r="AK55" s="4">
        <f>'Economic Data'!F57</f>
        <v>789531.6</v>
      </c>
      <c r="AL55" s="4">
        <f>'Economic Data'!G57</f>
        <v>7545.5</v>
      </c>
      <c r="AM55" s="4">
        <f>'Economic Data'!H57</f>
        <v>7677.9</v>
      </c>
      <c r="AN55" s="4">
        <f>'Economic Data'!I57</f>
        <v>120.2</v>
      </c>
      <c r="AO55" s="4">
        <f>'Economic Data'!J57</f>
        <v>138.5</v>
      </c>
      <c r="AP55" s="4">
        <f>'Economic Data'!K57</f>
        <v>482.5</v>
      </c>
      <c r="AQ55" s="4">
        <f>'Economic Data'!L57</f>
        <v>280</v>
      </c>
      <c r="AR55" s="4">
        <f>'Economic Data'!M57</f>
        <v>1817.2</v>
      </c>
      <c r="AS55" s="4">
        <f>'Economic Data'!N57</f>
        <v>2825.5</v>
      </c>
      <c r="AT55" s="4">
        <f>'Economic Data'!O57</f>
        <v>784896</v>
      </c>
      <c r="AU55" s="4">
        <f>'Economic Data'!P57</f>
        <v>7580</v>
      </c>
      <c r="AV55" s="4">
        <f>'Economic Data'!Q57</f>
        <v>4210</v>
      </c>
      <c r="AW55" s="4">
        <f>'Economic Data'!R57</f>
        <v>5136</v>
      </c>
      <c r="AX55" s="4">
        <f>'Economic Data'!E57</f>
        <v>7264.3</v>
      </c>
      <c r="AY55" s="4">
        <f>'Economic Data'!D57</f>
        <v>7221.1</v>
      </c>
      <c r="AZ55">
        <v>54</v>
      </c>
      <c r="BA55" s="14">
        <f t="shared" si="18"/>
        <v>4.1431347263915326</v>
      </c>
      <c r="BB55">
        <f t="shared" si="19"/>
        <v>2916</v>
      </c>
      <c r="BC55">
        <v>0</v>
      </c>
      <c r="BD55">
        <v>0</v>
      </c>
      <c r="BE55">
        <v>0</v>
      </c>
      <c r="BF55">
        <v>0</v>
      </c>
      <c r="BG55">
        <v>0</v>
      </c>
      <c r="BH55">
        <v>1</v>
      </c>
      <c r="BI55">
        <v>0</v>
      </c>
      <c r="BJ55">
        <v>0</v>
      </c>
      <c r="BK55">
        <v>0</v>
      </c>
      <c r="BL55">
        <v>0</v>
      </c>
      <c r="BM55">
        <v>0</v>
      </c>
      <c r="BN55">
        <v>0</v>
      </c>
      <c r="BO55">
        <v>0</v>
      </c>
      <c r="BP55">
        <v>0</v>
      </c>
      <c r="BQ55">
        <v>0</v>
      </c>
      <c r="BR55">
        <v>30</v>
      </c>
      <c r="BS55">
        <v>21</v>
      </c>
      <c r="BT55">
        <v>0</v>
      </c>
      <c r="BU55">
        <v>0</v>
      </c>
      <c r="BV55">
        <v>0</v>
      </c>
      <c r="BW55">
        <v>0</v>
      </c>
      <c r="BX55" s="17">
        <f t="shared" si="20"/>
        <v>0</v>
      </c>
      <c r="BY55" s="17">
        <f t="shared" si="21"/>
        <v>0</v>
      </c>
      <c r="BZ55" s="17">
        <f t="shared" si="22"/>
        <v>0</v>
      </c>
      <c r="CA55" s="17">
        <f t="shared" si="23"/>
        <v>0</v>
      </c>
      <c r="CB55" s="17">
        <f t="shared" si="24"/>
        <v>0</v>
      </c>
      <c r="CC55" s="17">
        <f t="shared" si="25"/>
        <v>0</v>
      </c>
      <c r="CD55" s="17">
        <f t="shared" si="26"/>
        <v>0</v>
      </c>
      <c r="CE55" s="17">
        <f t="shared" si="27"/>
        <v>0</v>
      </c>
      <c r="CF55" s="17">
        <f t="shared" si="28"/>
        <v>0</v>
      </c>
      <c r="CG55" s="17">
        <f t="shared" si="29"/>
        <v>0</v>
      </c>
      <c r="CH55" s="17">
        <f t="shared" si="30"/>
        <v>0</v>
      </c>
      <c r="CI55" s="17">
        <f t="shared" si="31"/>
        <v>0</v>
      </c>
      <c r="CJ55" s="17">
        <f t="shared" si="12"/>
        <v>0</v>
      </c>
      <c r="CK55" s="17">
        <f t="shared" si="13"/>
        <v>0</v>
      </c>
    </row>
    <row r="56" spans="1:89" x14ac:dyDescent="0.35">
      <c r="A56" s="1">
        <v>43282</v>
      </c>
      <c r="B56">
        <v>2018</v>
      </c>
      <c r="C56">
        <f t="shared" si="14"/>
        <v>7</v>
      </c>
      <c r="D56" s="4">
        <v>2522404.9447537204</v>
      </c>
      <c r="E56" s="4">
        <f>IFERROR(VLOOKUP($B56-1,CDM!$K$5:$N$19,2,FALSE)/12,0)+IFERROR(VLOOKUP($B56,CDM!$K$35:$N$47,2,FALSE)/24,0)+IFERROR(VLOOKUP($B56,CDM!$K$35:$N$47,2,FALSE)/2*$C56/78,0)</f>
        <v>145093.2429641237</v>
      </c>
      <c r="F56" s="4">
        <f t="shared" si="15"/>
        <v>2667498.1877178443</v>
      </c>
      <c r="G56" s="4">
        <v>1244322.4918522472</v>
      </c>
      <c r="H56" s="4">
        <f>IFERROR(VLOOKUP($B56-1,CDM!$K$5:$N$19,3,FALSE)/12,0)+IFERROR(VLOOKUP($B56,CDM!$K$35:$N$47,3,FALSE)/24,0)+IFERROR(VLOOKUP($B56,CDM!$K$35:$N$47,3,FALSE)/2*$C56/78,0)</f>
        <v>199742.04891852138</v>
      </c>
      <c r="I56" s="4">
        <f t="shared" si="16"/>
        <v>1444064.5407707687</v>
      </c>
      <c r="J56" s="4">
        <v>4188776.7235686448</v>
      </c>
      <c r="K56" s="4">
        <f>IFERROR(VLOOKUP($B56-1,CDM!$K$5:$N$19,4,FALSE)/12,0)+IFERROR(VLOOKUP($B56,CDM!$K$35:$N$47,4,FALSE)/24,0)+IFERROR(VLOOKUP($B56,CDM!$K$35:$N$47,4,FALSE)/2*$C56/78,0)</f>
        <v>195484.39802603787</v>
      </c>
      <c r="L56" s="4">
        <f t="shared" si="17"/>
        <v>4384261.1215946823</v>
      </c>
      <c r="M56" s="4">
        <v>31023.577649092618</v>
      </c>
      <c r="N56" s="4">
        <v>13681.499999999998</v>
      </c>
      <c r="O56" s="4">
        <v>14204.84</v>
      </c>
      <c r="P56" s="4">
        <v>118.42</v>
      </c>
      <c r="Q56" s="4">
        <v>5167</v>
      </c>
      <c r="R56" s="4">
        <v>706</v>
      </c>
      <c r="S56" s="4">
        <v>71</v>
      </c>
      <c r="T56" s="4">
        <v>1646</v>
      </c>
      <c r="U56" s="4">
        <v>23</v>
      </c>
      <c r="V56" s="4">
        <f>Weather!D176</f>
        <v>33.508333333333326</v>
      </c>
      <c r="W56" s="4">
        <f>Weather!E176</f>
        <v>42.583333333333314</v>
      </c>
      <c r="X56" s="4">
        <f>Weather!F176</f>
        <v>15.983333333333334</v>
      </c>
      <c r="Y56" s="4">
        <f>Weather!G176</f>
        <v>87.058333333333309</v>
      </c>
      <c r="Z56" s="4">
        <f>Weather!H176</f>
        <v>5.970833333333335</v>
      </c>
      <c r="AA56" s="4">
        <f>Weather!I176</f>
        <v>139.04583333333329</v>
      </c>
      <c r="AB56" s="4">
        <f>Weather!J176</f>
        <v>1.970833333333335</v>
      </c>
      <c r="AC56" s="4">
        <f>Weather!K176</f>
        <v>197.04583333333329</v>
      </c>
      <c r="AD56" s="4">
        <f>Weather!L176</f>
        <v>0</v>
      </c>
      <c r="AE56" s="4">
        <f>Weather!M176</f>
        <v>257.07499999999993</v>
      </c>
      <c r="AF56" s="4">
        <f>Weather!N176</f>
        <v>0</v>
      </c>
      <c r="AG56" s="4">
        <f>Weather!O176</f>
        <v>319.07499999999999</v>
      </c>
      <c r="AH56" s="4">
        <f>Weather!P176</f>
        <v>0</v>
      </c>
      <c r="AI56" s="4">
        <f>Weather!Q176</f>
        <v>381.0750000000001</v>
      </c>
      <c r="AJ56" s="4">
        <f>Weather!R176</f>
        <v>20.292741935483871</v>
      </c>
      <c r="AK56" s="4">
        <f>'Economic Data'!F58</f>
        <v>789531.6</v>
      </c>
      <c r="AL56" s="4">
        <f>'Economic Data'!G58</f>
        <v>7545.5</v>
      </c>
      <c r="AM56" s="4">
        <f>'Economic Data'!H58</f>
        <v>7677.9</v>
      </c>
      <c r="AN56" s="4">
        <f>'Economic Data'!I58</f>
        <v>120.2</v>
      </c>
      <c r="AO56" s="4">
        <f>'Economic Data'!J58</f>
        <v>138.5</v>
      </c>
      <c r="AP56" s="4">
        <f>'Economic Data'!K58</f>
        <v>482.5</v>
      </c>
      <c r="AQ56" s="4">
        <f>'Economic Data'!L58</f>
        <v>280</v>
      </c>
      <c r="AR56" s="4">
        <f>'Economic Data'!M58</f>
        <v>1817.2</v>
      </c>
      <c r="AS56" s="4">
        <f>'Economic Data'!N58</f>
        <v>2825.5</v>
      </c>
      <c r="AT56" s="4">
        <f>'Economic Data'!O58</f>
        <v>794140</v>
      </c>
      <c r="AU56" s="4">
        <f>'Economic Data'!P58</f>
        <v>7572</v>
      </c>
      <c r="AV56" s="4">
        <f>'Economic Data'!Q58</f>
        <v>4428</v>
      </c>
      <c r="AW56" s="4">
        <f>'Economic Data'!R58</f>
        <v>5084</v>
      </c>
      <c r="AX56" s="4">
        <f>'Economic Data'!E58</f>
        <v>7345.7</v>
      </c>
      <c r="AY56" s="4">
        <f>'Economic Data'!D58</f>
        <v>7255</v>
      </c>
      <c r="AZ56">
        <v>55</v>
      </c>
      <c r="BA56" s="14">
        <f t="shared" si="18"/>
        <v>4.1588830833596715</v>
      </c>
      <c r="BB56">
        <f t="shared" si="19"/>
        <v>3025</v>
      </c>
      <c r="BC56">
        <v>0</v>
      </c>
      <c r="BD56">
        <v>0</v>
      </c>
      <c r="BE56">
        <v>0</v>
      </c>
      <c r="BF56">
        <v>0</v>
      </c>
      <c r="BG56">
        <v>0</v>
      </c>
      <c r="BH56">
        <v>0</v>
      </c>
      <c r="BI56">
        <v>1</v>
      </c>
      <c r="BJ56">
        <v>0</v>
      </c>
      <c r="BK56">
        <v>0</v>
      </c>
      <c r="BL56">
        <v>0</v>
      </c>
      <c r="BM56">
        <v>0</v>
      </c>
      <c r="BN56">
        <v>0</v>
      </c>
      <c r="BO56">
        <v>0</v>
      </c>
      <c r="BP56">
        <v>0</v>
      </c>
      <c r="BQ56">
        <v>0</v>
      </c>
      <c r="BR56">
        <v>31</v>
      </c>
      <c r="BS56">
        <v>21</v>
      </c>
      <c r="BT56">
        <v>0</v>
      </c>
      <c r="BU56">
        <v>0</v>
      </c>
      <c r="BV56">
        <v>0</v>
      </c>
      <c r="BW56">
        <v>0</v>
      </c>
      <c r="BX56" s="17">
        <f t="shared" si="20"/>
        <v>0</v>
      </c>
      <c r="BY56" s="17">
        <f t="shared" si="21"/>
        <v>0</v>
      </c>
      <c r="BZ56" s="17">
        <f t="shared" si="22"/>
        <v>0</v>
      </c>
      <c r="CA56" s="17">
        <f t="shared" si="23"/>
        <v>0</v>
      </c>
      <c r="CB56" s="17">
        <f t="shared" si="24"/>
        <v>0</v>
      </c>
      <c r="CC56" s="17">
        <f t="shared" si="25"/>
        <v>0</v>
      </c>
      <c r="CD56" s="17">
        <f t="shared" si="26"/>
        <v>0</v>
      </c>
      <c r="CE56" s="17">
        <f t="shared" si="27"/>
        <v>0</v>
      </c>
      <c r="CF56" s="17">
        <f t="shared" si="28"/>
        <v>0</v>
      </c>
      <c r="CG56" s="17">
        <f t="shared" si="29"/>
        <v>0</v>
      </c>
      <c r="CH56" s="17">
        <f t="shared" si="30"/>
        <v>0</v>
      </c>
      <c r="CI56" s="17">
        <f t="shared" si="31"/>
        <v>0</v>
      </c>
      <c r="CJ56" s="17">
        <f t="shared" si="12"/>
        <v>0</v>
      </c>
      <c r="CK56" s="17">
        <f t="shared" si="13"/>
        <v>0</v>
      </c>
    </row>
    <row r="57" spans="1:89" x14ac:dyDescent="0.35">
      <c r="A57" s="1">
        <v>43313</v>
      </c>
      <c r="B57">
        <v>2018</v>
      </c>
      <c r="C57">
        <f t="shared" si="14"/>
        <v>8</v>
      </c>
      <c r="D57" s="4">
        <v>3016602.2243974088</v>
      </c>
      <c r="E57" s="4">
        <f>IFERROR(VLOOKUP($B57-1,CDM!$K$5:$N$19,2,FALSE)/12,0)+IFERROR(VLOOKUP($B57,CDM!$K$35:$N$47,2,FALSE)/24,0)+IFERROR(VLOOKUP($B57,CDM!$K$35:$N$47,2,FALSE)/2*$C57/78,0)</f>
        <v>147114.86062498463</v>
      </c>
      <c r="F57" s="4">
        <f t="shared" si="15"/>
        <v>3163717.0850223936</v>
      </c>
      <c r="G57" s="4">
        <v>1404813.2959938531</v>
      </c>
      <c r="H57" s="4">
        <f>IFERROR(VLOOKUP($B57-1,CDM!$K$5:$N$19,3,FALSE)/12,0)+IFERROR(VLOOKUP($B57,CDM!$K$35:$N$47,3,FALSE)/24,0)+IFERROR(VLOOKUP($B57,CDM!$K$35:$N$47,3,FALSE)/2*$C57/78,0)</f>
        <v>203765.67224314538</v>
      </c>
      <c r="I57" s="4">
        <f t="shared" si="16"/>
        <v>1608578.9682369984</v>
      </c>
      <c r="J57" s="4">
        <v>4245962.6952584116</v>
      </c>
      <c r="K57" s="4">
        <f>IFERROR(VLOOKUP($B57-1,CDM!$K$5:$N$19,4,FALSE)/12,0)+IFERROR(VLOOKUP($B57,CDM!$K$35:$N$47,4,FALSE)/24,0)+IFERROR(VLOOKUP($B57,CDM!$K$35:$N$47,4,FALSE)/2*$C57/78,0)</f>
        <v>198118.95899949383</v>
      </c>
      <c r="L57" s="4">
        <f t="shared" si="17"/>
        <v>4444081.6542579057</v>
      </c>
      <c r="M57" s="4">
        <v>33002.099118584156</v>
      </c>
      <c r="N57" s="4">
        <v>13681.499999999998</v>
      </c>
      <c r="O57" s="4">
        <v>13084.36</v>
      </c>
      <c r="P57" s="4">
        <v>118.42</v>
      </c>
      <c r="Q57" s="4">
        <v>5193</v>
      </c>
      <c r="R57" s="4">
        <v>712</v>
      </c>
      <c r="S57" s="4">
        <v>67</v>
      </c>
      <c r="T57" s="4">
        <v>1646</v>
      </c>
      <c r="U57" s="4">
        <v>23</v>
      </c>
      <c r="V57" s="4">
        <f>Weather!D177</f>
        <v>117.84166666666667</v>
      </c>
      <c r="W57" s="4">
        <f>Weather!E177</f>
        <v>12.279166666666661</v>
      </c>
      <c r="X57" s="4">
        <f>Weather!F177</f>
        <v>77.666666666666657</v>
      </c>
      <c r="Y57" s="4">
        <f>Weather!G177</f>
        <v>34.104166666666657</v>
      </c>
      <c r="Z57" s="4">
        <f>Weather!H177</f>
        <v>45.787499999999994</v>
      </c>
      <c r="AA57" s="4">
        <f>Weather!I177</f>
        <v>64.225000000000009</v>
      </c>
      <c r="AB57" s="4">
        <f>Weather!J177</f>
        <v>22.312499999999993</v>
      </c>
      <c r="AC57" s="4">
        <f>Weather!K177</f>
        <v>102.75000000000001</v>
      </c>
      <c r="AD57" s="4">
        <f>Weather!L177</f>
        <v>8.8833333333333329</v>
      </c>
      <c r="AE57" s="4">
        <f>Weather!M177</f>
        <v>151.3208333333333</v>
      </c>
      <c r="AF57" s="4">
        <f>Weather!N177</f>
        <v>0.77916666666666679</v>
      </c>
      <c r="AG57" s="4">
        <f>Weather!O177</f>
        <v>205.21666666666664</v>
      </c>
      <c r="AH57" s="4">
        <f>Weather!P177</f>
        <v>0</v>
      </c>
      <c r="AI57" s="4">
        <f>Weather!Q177</f>
        <v>266.43749999999994</v>
      </c>
      <c r="AJ57" s="4">
        <f>Weather!R177</f>
        <v>16.594758064516128</v>
      </c>
      <c r="AK57" s="4">
        <f>'Economic Data'!F59</f>
        <v>789531.6</v>
      </c>
      <c r="AL57" s="4">
        <f>'Economic Data'!G59</f>
        <v>7545.5</v>
      </c>
      <c r="AM57" s="4">
        <f>'Economic Data'!H59</f>
        <v>7677.9</v>
      </c>
      <c r="AN57" s="4">
        <f>'Economic Data'!I59</f>
        <v>120.2</v>
      </c>
      <c r="AO57" s="4">
        <f>'Economic Data'!J59</f>
        <v>138.5</v>
      </c>
      <c r="AP57" s="4">
        <f>'Economic Data'!K59</f>
        <v>482.5</v>
      </c>
      <c r="AQ57" s="4">
        <f>'Economic Data'!L59</f>
        <v>280</v>
      </c>
      <c r="AR57" s="4">
        <f>'Economic Data'!M59</f>
        <v>1817.2</v>
      </c>
      <c r="AS57" s="4">
        <f>'Economic Data'!N59</f>
        <v>2825.5</v>
      </c>
      <c r="AT57" s="4">
        <f>'Economic Data'!O59</f>
        <v>794140</v>
      </c>
      <c r="AU57" s="4">
        <f>'Economic Data'!P59</f>
        <v>7572</v>
      </c>
      <c r="AV57" s="4">
        <f>'Economic Data'!Q59</f>
        <v>4428</v>
      </c>
      <c r="AW57" s="4">
        <f>'Economic Data'!R59</f>
        <v>5084</v>
      </c>
      <c r="AX57" s="4">
        <f>'Economic Data'!E59</f>
        <v>7359.5</v>
      </c>
      <c r="AY57" s="4">
        <f>'Economic Data'!D59</f>
        <v>7266.2</v>
      </c>
      <c r="AZ57">
        <v>56</v>
      </c>
      <c r="BA57" s="14">
        <f t="shared" si="18"/>
        <v>4.1743872698956368</v>
      </c>
      <c r="BB57">
        <f t="shared" si="19"/>
        <v>3136</v>
      </c>
      <c r="BC57">
        <v>0</v>
      </c>
      <c r="BD57">
        <v>0</v>
      </c>
      <c r="BE57">
        <v>0</v>
      </c>
      <c r="BF57">
        <v>0</v>
      </c>
      <c r="BG57">
        <v>0</v>
      </c>
      <c r="BH57">
        <v>0</v>
      </c>
      <c r="BI57">
        <v>0</v>
      </c>
      <c r="BJ57">
        <v>1</v>
      </c>
      <c r="BK57">
        <v>0</v>
      </c>
      <c r="BL57">
        <v>0</v>
      </c>
      <c r="BM57">
        <v>0</v>
      </c>
      <c r="BN57">
        <v>0</v>
      </c>
      <c r="BO57">
        <v>0</v>
      </c>
      <c r="BP57">
        <v>0</v>
      </c>
      <c r="BQ57">
        <v>0</v>
      </c>
      <c r="BR57">
        <v>31</v>
      </c>
      <c r="BS57">
        <v>22</v>
      </c>
      <c r="BT57">
        <v>0</v>
      </c>
      <c r="BU57">
        <v>0</v>
      </c>
      <c r="BV57">
        <v>0</v>
      </c>
      <c r="BW57">
        <v>0</v>
      </c>
      <c r="BX57" s="17">
        <f t="shared" si="20"/>
        <v>0</v>
      </c>
      <c r="BY57" s="17">
        <f t="shared" si="21"/>
        <v>0</v>
      </c>
      <c r="BZ57" s="17">
        <f t="shared" si="22"/>
        <v>0</v>
      </c>
      <c r="CA57" s="17">
        <f t="shared" si="23"/>
        <v>0</v>
      </c>
      <c r="CB57" s="17">
        <f t="shared" si="24"/>
        <v>0</v>
      </c>
      <c r="CC57" s="17">
        <f t="shared" si="25"/>
        <v>0</v>
      </c>
      <c r="CD57" s="17">
        <f t="shared" si="26"/>
        <v>0</v>
      </c>
      <c r="CE57" s="17">
        <f t="shared" si="27"/>
        <v>0</v>
      </c>
      <c r="CF57" s="17">
        <f t="shared" si="28"/>
        <v>0</v>
      </c>
      <c r="CG57" s="17">
        <f t="shared" si="29"/>
        <v>0</v>
      </c>
      <c r="CH57" s="17">
        <f t="shared" si="30"/>
        <v>0</v>
      </c>
      <c r="CI57" s="17">
        <f t="shared" si="31"/>
        <v>0</v>
      </c>
      <c r="CJ57" s="17">
        <f t="shared" si="12"/>
        <v>0</v>
      </c>
      <c r="CK57" s="17">
        <f t="shared" si="13"/>
        <v>0</v>
      </c>
    </row>
    <row r="58" spans="1:89" x14ac:dyDescent="0.35">
      <c r="A58" s="1">
        <v>43344</v>
      </c>
      <c r="B58">
        <v>2018</v>
      </c>
      <c r="C58">
        <f t="shared" si="14"/>
        <v>9</v>
      </c>
      <c r="D58" s="4">
        <v>2711951.8382423613</v>
      </c>
      <c r="E58" s="4">
        <f>IFERROR(VLOOKUP($B58-1,CDM!$K$5:$N$19,2,FALSE)/12,0)+IFERROR(VLOOKUP($B58,CDM!$K$35:$N$47,2,FALSE)/24,0)+IFERROR(VLOOKUP($B58,CDM!$K$35:$N$47,2,FALSE)/2*$C58/78,0)</f>
        <v>149136.47828584557</v>
      </c>
      <c r="F58" s="4">
        <f t="shared" si="15"/>
        <v>2861088.3165282067</v>
      </c>
      <c r="G58" s="4">
        <v>1303855.1237132528</v>
      </c>
      <c r="H58" s="4">
        <f>IFERROR(VLOOKUP($B58-1,CDM!$K$5:$N$19,3,FALSE)/12,0)+IFERROR(VLOOKUP($B58,CDM!$K$35:$N$47,3,FALSE)/24,0)+IFERROR(VLOOKUP($B58,CDM!$K$35:$N$47,3,FALSE)/2*$C58/78,0)</f>
        <v>207789.29556776938</v>
      </c>
      <c r="I58" s="4">
        <f t="shared" si="16"/>
        <v>1511644.4192810222</v>
      </c>
      <c r="J58" s="4">
        <v>4514167.9152543433</v>
      </c>
      <c r="K58" s="4">
        <f>IFERROR(VLOOKUP($B58-1,CDM!$K$5:$N$19,4,FALSE)/12,0)+IFERROR(VLOOKUP($B58,CDM!$K$35:$N$47,4,FALSE)/24,0)+IFERROR(VLOOKUP($B58,CDM!$K$35:$N$47,4,FALSE)/2*$C58/78,0)</f>
        <v>200753.51997294978</v>
      </c>
      <c r="L58" s="4">
        <f t="shared" si="17"/>
        <v>4714921.4352272935</v>
      </c>
      <c r="M58" s="4">
        <v>37581.879935192293</v>
      </c>
      <c r="N58" s="4">
        <v>13681.499999999998</v>
      </c>
      <c r="O58" s="4">
        <v>13868.71</v>
      </c>
      <c r="P58" s="4">
        <v>118.42</v>
      </c>
      <c r="Q58" s="4">
        <v>5124</v>
      </c>
      <c r="R58" s="4">
        <v>704</v>
      </c>
      <c r="S58" s="4">
        <v>68</v>
      </c>
      <c r="T58" s="4">
        <v>1688</v>
      </c>
      <c r="U58" s="4">
        <v>23</v>
      </c>
      <c r="V58" s="4">
        <f>Weather!D178</f>
        <v>251.97257216855661</v>
      </c>
      <c r="W58" s="4">
        <f>Weather!E178</f>
        <v>3.0666666666666806</v>
      </c>
      <c r="X58" s="4">
        <f>Weather!F178</f>
        <v>202.78923883522327</v>
      </c>
      <c r="Y58" s="4">
        <f>Weather!G178</f>
        <v>13.883333333333344</v>
      </c>
      <c r="Z58" s="4">
        <f>Weather!H178</f>
        <v>156.95590550188993</v>
      </c>
      <c r="AA58" s="4">
        <f>Weather!I178</f>
        <v>28.050000000000008</v>
      </c>
      <c r="AB58" s="4">
        <f>Weather!J178</f>
        <v>115.87257216855662</v>
      </c>
      <c r="AC58" s="4">
        <f>Weather!K178</f>
        <v>46.966666666666669</v>
      </c>
      <c r="AD58" s="4">
        <f>Weather!L178</f>
        <v>83.141666666666666</v>
      </c>
      <c r="AE58" s="4">
        <f>Weather!M178</f>
        <v>74.235761164776719</v>
      </c>
      <c r="AF58" s="4">
        <f>Weather!N178</f>
        <v>55.145833333333329</v>
      </c>
      <c r="AG58" s="4">
        <f>Weather!O178</f>
        <v>106.23992783144338</v>
      </c>
      <c r="AH58" s="4">
        <f>Weather!P178</f>
        <v>32.745833333333337</v>
      </c>
      <c r="AI58" s="4">
        <f>Weather!Q178</f>
        <v>143.83992783144336</v>
      </c>
      <c r="AJ58" s="4">
        <f>Weather!R178</f>
        <v>11.703136483270336</v>
      </c>
      <c r="AK58" s="4">
        <f>'Economic Data'!F60</f>
        <v>789531.6</v>
      </c>
      <c r="AL58" s="4">
        <f>'Economic Data'!G60</f>
        <v>7545.5</v>
      </c>
      <c r="AM58" s="4">
        <f>'Economic Data'!H60</f>
        <v>7677.9</v>
      </c>
      <c r="AN58" s="4">
        <f>'Economic Data'!I60</f>
        <v>120.2</v>
      </c>
      <c r="AO58" s="4">
        <f>'Economic Data'!J60</f>
        <v>138.5</v>
      </c>
      <c r="AP58" s="4">
        <f>'Economic Data'!K60</f>
        <v>482.5</v>
      </c>
      <c r="AQ58" s="4">
        <f>'Economic Data'!L60</f>
        <v>280</v>
      </c>
      <c r="AR58" s="4">
        <f>'Economic Data'!M60</f>
        <v>1817.2</v>
      </c>
      <c r="AS58" s="4">
        <f>'Economic Data'!N60</f>
        <v>2825.5</v>
      </c>
      <c r="AT58" s="4">
        <f>'Economic Data'!O60</f>
        <v>794140</v>
      </c>
      <c r="AU58" s="4">
        <f>'Economic Data'!P60</f>
        <v>7572</v>
      </c>
      <c r="AV58" s="4">
        <f>'Economic Data'!Q60</f>
        <v>4428</v>
      </c>
      <c r="AW58" s="4">
        <f>'Economic Data'!R60</f>
        <v>5084</v>
      </c>
      <c r="AX58" s="4">
        <f>'Economic Data'!E60</f>
        <v>7324.4</v>
      </c>
      <c r="AY58" s="4">
        <f>'Economic Data'!D60</f>
        <v>7279.6</v>
      </c>
      <c r="AZ58">
        <v>57</v>
      </c>
      <c r="BA58" s="14">
        <f t="shared" si="18"/>
        <v>4.1896547420264252</v>
      </c>
      <c r="BB58">
        <f t="shared" si="19"/>
        <v>3249</v>
      </c>
      <c r="BC58">
        <v>0</v>
      </c>
      <c r="BD58">
        <v>0</v>
      </c>
      <c r="BE58">
        <v>0</v>
      </c>
      <c r="BF58">
        <v>0</v>
      </c>
      <c r="BG58">
        <v>0</v>
      </c>
      <c r="BH58">
        <v>0</v>
      </c>
      <c r="BI58">
        <v>0</v>
      </c>
      <c r="BJ58">
        <v>0</v>
      </c>
      <c r="BK58">
        <v>1</v>
      </c>
      <c r="BL58">
        <v>0</v>
      </c>
      <c r="BM58">
        <v>0</v>
      </c>
      <c r="BN58">
        <v>0</v>
      </c>
      <c r="BO58">
        <v>0</v>
      </c>
      <c r="BP58">
        <v>0</v>
      </c>
      <c r="BQ58">
        <v>0</v>
      </c>
      <c r="BR58">
        <v>30</v>
      </c>
      <c r="BS58">
        <v>19</v>
      </c>
      <c r="BT58">
        <v>0</v>
      </c>
      <c r="BU58">
        <v>0</v>
      </c>
      <c r="BV58">
        <v>0</v>
      </c>
      <c r="BW58">
        <v>0</v>
      </c>
      <c r="BX58" s="17">
        <f t="shared" si="20"/>
        <v>0</v>
      </c>
      <c r="BY58" s="17">
        <f t="shared" si="21"/>
        <v>0</v>
      </c>
      <c r="BZ58" s="17">
        <f t="shared" si="22"/>
        <v>0</v>
      </c>
      <c r="CA58" s="17">
        <f t="shared" si="23"/>
        <v>0</v>
      </c>
      <c r="CB58" s="17">
        <f t="shared" si="24"/>
        <v>0</v>
      </c>
      <c r="CC58" s="17">
        <f t="shared" si="25"/>
        <v>0</v>
      </c>
      <c r="CD58" s="17">
        <f t="shared" si="26"/>
        <v>0</v>
      </c>
      <c r="CE58" s="17">
        <f t="shared" si="27"/>
        <v>0</v>
      </c>
      <c r="CF58" s="17">
        <f t="shared" si="28"/>
        <v>0</v>
      </c>
      <c r="CG58" s="17">
        <f t="shared" si="29"/>
        <v>0</v>
      </c>
      <c r="CH58" s="17">
        <f t="shared" si="30"/>
        <v>0</v>
      </c>
      <c r="CI58" s="17">
        <f t="shared" si="31"/>
        <v>0</v>
      </c>
      <c r="CJ58" s="17">
        <f t="shared" si="12"/>
        <v>0</v>
      </c>
      <c r="CK58" s="17">
        <f t="shared" si="13"/>
        <v>0</v>
      </c>
    </row>
    <row r="59" spans="1:89" x14ac:dyDescent="0.35">
      <c r="A59" s="1">
        <v>43374</v>
      </c>
      <c r="B59">
        <v>2018</v>
      </c>
      <c r="C59">
        <f t="shared" si="14"/>
        <v>10</v>
      </c>
      <c r="D59" s="4">
        <v>2548394.2366618072</v>
      </c>
      <c r="E59" s="4">
        <f>IFERROR(VLOOKUP($B59-1,CDM!$K$5:$N$19,2,FALSE)/12,0)+IFERROR(VLOOKUP($B59,CDM!$K$35:$N$47,2,FALSE)/24,0)+IFERROR(VLOOKUP($B59,CDM!$K$35:$N$47,2,FALSE)/2*$C59/78,0)</f>
        <v>151158.09594670651</v>
      </c>
      <c r="F59" s="4">
        <f t="shared" si="15"/>
        <v>2699552.3326085135</v>
      </c>
      <c r="G59" s="4">
        <v>1176761.9537857522</v>
      </c>
      <c r="H59" s="4">
        <f>IFERROR(VLOOKUP($B59-1,CDM!$K$5:$N$19,3,FALSE)/12,0)+IFERROR(VLOOKUP($B59,CDM!$K$35:$N$47,3,FALSE)/24,0)+IFERROR(VLOOKUP($B59,CDM!$K$35:$N$47,3,FALSE)/2*$C59/78,0)</f>
        <v>211812.91889239338</v>
      </c>
      <c r="I59" s="4">
        <f t="shared" si="16"/>
        <v>1388574.8726781455</v>
      </c>
      <c r="J59" s="4">
        <v>3962721.4614239968</v>
      </c>
      <c r="K59" s="4">
        <f>IFERROR(VLOOKUP($B59-1,CDM!$K$5:$N$19,4,FALSE)/12,0)+IFERROR(VLOOKUP($B59,CDM!$K$35:$N$47,4,FALSE)/24,0)+IFERROR(VLOOKUP($B59,CDM!$K$35:$N$47,4,FALSE)/2*$C59/78,0)</f>
        <v>203388.08094640577</v>
      </c>
      <c r="L59" s="4">
        <f t="shared" si="17"/>
        <v>4166109.5423704027</v>
      </c>
      <c r="M59" s="4">
        <v>41529.897687543125</v>
      </c>
      <c r="N59" s="4">
        <v>13681.499999999998</v>
      </c>
      <c r="O59" s="4">
        <v>14435.28</v>
      </c>
      <c r="P59" s="4">
        <v>118.42</v>
      </c>
      <c r="Q59" s="4">
        <v>5104</v>
      </c>
      <c r="R59" s="4">
        <v>712</v>
      </c>
      <c r="S59" s="4">
        <v>70</v>
      </c>
      <c r="T59" s="4">
        <v>1688</v>
      </c>
      <c r="U59" s="4">
        <v>23</v>
      </c>
      <c r="V59" s="4">
        <f>Weather!D179</f>
        <v>595.1166956035878</v>
      </c>
      <c r="W59" s="4">
        <f>Weather!E179</f>
        <v>0</v>
      </c>
      <c r="X59" s="4">
        <f>Weather!F179</f>
        <v>533.1166956035878</v>
      </c>
      <c r="Y59" s="4">
        <f>Weather!G179</f>
        <v>0</v>
      </c>
      <c r="Z59" s="4">
        <f>Weather!H179</f>
        <v>471.1166956035878</v>
      </c>
      <c r="AA59" s="4">
        <f>Weather!I179</f>
        <v>0</v>
      </c>
      <c r="AB59" s="4">
        <f>Weather!J179</f>
        <v>409.1166956035878</v>
      </c>
      <c r="AC59" s="4">
        <f>Weather!K179</f>
        <v>0</v>
      </c>
      <c r="AD59" s="4">
        <f>Weather!L179</f>
        <v>347.11669560358774</v>
      </c>
      <c r="AE59" s="4">
        <f>Weather!M179</f>
        <v>0</v>
      </c>
      <c r="AF59" s="4">
        <f>Weather!N179</f>
        <v>285.1166956035878</v>
      </c>
      <c r="AG59" s="4">
        <f>Weather!O179</f>
        <v>0</v>
      </c>
      <c r="AH59" s="4">
        <f>Weather!P179</f>
        <v>223.11669560358791</v>
      </c>
      <c r="AI59" s="4">
        <f>Weather!Q179</f>
        <v>0</v>
      </c>
      <c r="AJ59" s="4">
        <f>Weather!R179</f>
        <v>0.80268723859393931</v>
      </c>
      <c r="AK59" s="4">
        <f>'Economic Data'!F61</f>
        <v>789531.6</v>
      </c>
      <c r="AL59" s="4">
        <f>'Economic Data'!G61</f>
        <v>7545.5</v>
      </c>
      <c r="AM59" s="4">
        <f>'Economic Data'!H61</f>
        <v>7677.9</v>
      </c>
      <c r="AN59" s="4">
        <f>'Economic Data'!I61</f>
        <v>120.2</v>
      </c>
      <c r="AO59" s="4">
        <f>'Economic Data'!J61</f>
        <v>138.5</v>
      </c>
      <c r="AP59" s="4">
        <f>'Economic Data'!K61</f>
        <v>482.5</v>
      </c>
      <c r="AQ59" s="4">
        <f>'Economic Data'!L61</f>
        <v>280</v>
      </c>
      <c r="AR59" s="4">
        <f>'Economic Data'!M61</f>
        <v>1817.2</v>
      </c>
      <c r="AS59" s="4">
        <f>'Economic Data'!N61</f>
        <v>2825.5</v>
      </c>
      <c r="AT59" s="4">
        <f>'Economic Data'!O61</f>
        <v>799632</v>
      </c>
      <c r="AU59" s="4">
        <f>'Economic Data'!P61</f>
        <v>7527</v>
      </c>
      <c r="AV59" s="4">
        <f>'Economic Data'!Q61</f>
        <v>4741</v>
      </c>
      <c r="AW59" s="4">
        <f>'Economic Data'!R61</f>
        <v>4896</v>
      </c>
      <c r="AX59" s="4">
        <f>'Economic Data'!E61</f>
        <v>7290.6</v>
      </c>
      <c r="AY59" s="4">
        <f>'Economic Data'!D61</f>
        <v>7270.3</v>
      </c>
      <c r="AZ59">
        <v>58</v>
      </c>
      <c r="BA59" s="14">
        <f t="shared" si="18"/>
        <v>4.2046926193909657</v>
      </c>
      <c r="BB59">
        <f t="shared" si="19"/>
        <v>3364</v>
      </c>
      <c r="BC59">
        <v>0</v>
      </c>
      <c r="BD59">
        <v>0</v>
      </c>
      <c r="BE59">
        <v>0</v>
      </c>
      <c r="BF59">
        <v>0</v>
      </c>
      <c r="BG59">
        <v>0</v>
      </c>
      <c r="BH59">
        <v>0</v>
      </c>
      <c r="BI59">
        <v>0</v>
      </c>
      <c r="BJ59">
        <v>0</v>
      </c>
      <c r="BK59">
        <v>0</v>
      </c>
      <c r="BL59">
        <v>1</v>
      </c>
      <c r="BM59">
        <v>0</v>
      </c>
      <c r="BN59">
        <v>0</v>
      </c>
      <c r="BO59">
        <v>0</v>
      </c>
      <c r="BP59">
        <v>1</v>
      </c>
      <c r="BQ59">
        <v>1</v>
      </c>
      <c r="BR59">
        <v>31</v>
      </c>
      <c r="BS59">
        <v>22</v>
      </c>
      <c r="BT59">
        <v>0</v>
      </c>
      <c r="BU59">
        <v>0</v>
      </c>
      <c r="BV59">
        <v>0</v>
      </c>
      <c r="BW59">
        <v>0</v>
      </c>
      <c r="BX59" s="17">
        <f t="shared" si="20"/>
        <v>0</v>
      </c>
      <c r="BY59" s="17">
        <f t="shared" si="21"/>
        <v>0</v>
      </c>
      <c r="BZ59" s="17">
        <f t="shared" si="22"/>
        <v>0</v>
      </c>
      <c r="CA59" s="17">
        <f t="shared" si="23"/>
        <v>0</v>
      </c>
      <c r="CB59" s="17">
        <f t="shared" si="24"/>
        <v>0</v>
      </c>
      <c r="CC59" s="17">
        <f t="shared" si="25"/>
        <v>0</v>
      </c>
      <c r="CD59" s="17">
        <f t="shared" si="26"/>
        <v>0</v>
      </c>
      <c r="CE59" s="17">
        <f t="shared" si="27"/>
        <v>0</v>
      </c>
      <c r="CF59" s="17">
        <f t="shared" si="28"/>
        <v>0</v>
      </c>
      <c r="CG59" s="17">
        <f t="shared" si="29"/>
        <v>0</v>
      </c>
      <c r="CH59" s="17">
        <f t="shared" si="30"/>
        <v>0</v>
      </c>
      <c r="CI59" s="17">
        <f t="shared" si="31"/>
        <v>0</v>
      </c>
      <c r="CJ59" s="17">
        <f t="shared" si="12"/>
        <v>0</v>
      </c>
      <c r="CK59" s="17">
        <f t="shared" si="13"/>
        <v>0</v>
      </c>
    </row>
    <row r="60" spans="1:89" x14ac:dyDescent="0.35">
      <c r="A60" s="1">
        <v>43405</v>
      </c>
      <c r="B60">
        <v>2018</v>
      </c>
      <c r="C60">
        <f t="shared" si="14"/>
        <v>11</v>
      </c>
      <c r="D60" s="4">
        <v>3084363.7669901717</v>
      </c>
      <c r="E60" s="4">
        <f>IFERROR(VLOOKUP($B60-1,CDM!$K$5:$N$19,2,FALSE)/12,0)+IFERROR(VLOOKUP($B60,CDM!$K$35:$N$47,2,FALSE)/24,0)+IFERROR(VLOOKUP($B60,CDM!$K$35:$N$47,2,FALSE)/2*$C60/78,0)</f>
        <v>153179.71360756745</v>
      </c>
      <c r="F60" s="4">
        <f t="shared" si="15"/>
        <v>3237543.4805977391</v>
      </c>
      <c r="G60" s="4">
        <v>1400608.7679811867</v>
      </c>
      <c r="H60" s="4">
        <f>IFERROR(VLOOKUP($B60-1,CDM!$K$5:$N$19,3,FALSE)/12,0)+IFERROR(VLOOKUP($B60,CDM!$K$35:$N$47,3,FALSE)/24,0)+IFERROR(VLOOKUP($B60,CDM!$K$35:$N$47,3,FALSE)/2*$C60/78,0)</f>
        <v>215836.54221701738</v>
      </c>
      <c r="I60" s="4">
        <f t="shared" si="16"/>
        <v>1616445.3101982041</v>
      </c>
      <c r="J60" s="4">
        <v>4760830.3316644691</v>
      </c>
      <c r="K60" s="4">
        <f>IFERROR(VLOOKUP($B60-1,CDM!$K$5:$N$19,4,FALSE)/12,0)+IFERROR(VLOOKUP($B60,CDM!$K$35:$N$47,4,FALSE)/24,0)+IFERROR(VLOOKUP($B60,CDM!$K$35:$N$47,4,FALSE)/2*$C60/78,0)</f>
        <v>206022.64191986172</v>
      </c>
      <c r="L60" s="4">
        <f t="shared" si="17"/>
        <v>4966852.9735843306</v>
      </c>
      <c r="M60" s="4">
        <v>49104.034869027964</v>
      </c>
      <c r="N60" s="4">
        <v>13681.499999999998</v>
      </c>
      <c r="O60" s="4">
        <v>15284.39</v>
      </c>
      <c r="P60" s="4">
        <v>118.42</v>
      </c>
      <c r="Q60" s="4">
        <v>5123</v>
      </c>
      <c r="R60" s="4">
        <v>725</v>
      </c>
      <c r="S60" s="4">
        <v>68</v>
      </c>
      <c r="T60" s="4">
        <v>1693</v>
      </c>
      <c r="U60" s="4">
        <v>23</v>
      </c>
      <c r="V60" s="4">
        <f>Weather!D180</f>
        <v>810.11250000000007</v>
      </c>
      <c r="W60" s="4">
        <f>Weather!E180</f>
        <v>0</v>
      </c>
      <c r="X60" s="4">
        <f>Weather!F180</f>
        <v>750.11250000000007</v>
      </c>
      <c r="Y60" s="4">
        <f>Weather!G180</f>
        <v>0</v>
      </c>
      <c r="Z60" s="4">
        <f>Weather!H180</f>
        <v>690.11250000000007</v>
      </c>
      <c r="AA60" s="4">
        <f>Weather!I180</f>
        <v>0</v>
      </c>
      <c r="AB60" s="4">
        <f>Weather!J180</f>
        <v>630.11249999999995</v>
      </c>
      <c r="AC60" s="4">
        <f>Weather!K180</f>
        <v>0</v>
      </c>
      <c r="AD60" s="4">
        <f>Weather!L180</f>
        <v>570.11250000000007</v>
      </c>
      <c r="AE60" s="4">
        <f>Weather!M180</f>
        <v>0</v>
      </c>
      <c r="AF60" s="4">
        <f>Weather!N180</f>
        <v>510.11249999999995</v>
      </c>
      <c r="AG60" s="4">
        <f>Weather!O180</f>
        <v>0</v>
      </c>
      <c r="AH60" s="4">
        <f>Weather!P180</f>
        <v>450.11249999999995</v>
      </c>
      <c r="AI60" s="4">
        <f>Weather!Q180</f>
        <v>0</v>
      </c>
      <c r="AJ60" s="4">
        <f>Weather!R180</f>
        <v>-7.0037500000000001</v>
      </c>
      <c r="AK60" s="4">
        <f>'Economic Data'!F62</f>
        <v>789531.6</v>
      </c>
      <c r="AL60" s="4">
        <f>'Economic Data'!G62</f>
        <v>7545.5</v>
      </c>
      <c r="AM60" s="4">
        <f>'Economic Data'!H62</f>
        <v>7677.9</v>
      </c>
      <c r="AN60" s="4">
        <f>'Economic Data'!I62</f>
        <v>120.2</v>
      </c>
      <c r="AO60" s="4">
        <f>'Economic Data'!J62</f>
        <v>138.5</v>
      </c>
      <c r="AP60" s="4">
        <f>'Economic Data'!K62</f>
        <v>482.5</v>
      </c>
      <c r="AQ60" s="4">
        <f>'Economic Data'!L62</f>
        <v>280</v>
      </c>
      <c r="AR60" s="4">
        <f>'Economic Data'!M62</f>
        <v>1817.2</v>
      </c>
      <c r="AS60" s="4">
        <f>'Economic Data'!N62</f>
        <v>2825.5</v>
      </c>
      <c r="AT60" s="4">
        <f>'Economic Data'!O62</f>
        <v>799632</v>
      </c>
      <c r="AU60" s="4">
        <f>'Economic Data'!P62</f>
        <v>7527</v>
      </c>
      <c r="AV60" s="4">
        <f>'Economic Data'!Q62</f>
        <v>4741</v>
      </c>
      <c r="AW60" s="4">
        <f>'Economic Data'!R62</f>
        <v>4896</v>
      </c>
      <c r="AX60" s="4">
        <f>'Economic Data'!E62</f>
        <v>7288.9</v>
      </c>
      <c r="AY60" s="4">
        <f>'Economic Data'!D62</f>
        <v>7290</v>
      </c>
      <c r="AZ60">
        <v>59</v>
      </c>
      <c r="BA60" s="14">
        <f t="shared" si="18"/>
        <v>4.219507705176107</v>
      </c>
      <c r="BB60">
        <f t="shared" si="19"/>
        <v>3481</v>
      </c>
      <c r="BC60">
        <v>0</v>
      </c>
      <c r="BD60">
        <v>0</v>
      </c>
      <c r="BE60">
        <v>0</v>
      </c>
      <c r="BF60">
        <v>0</v>
      </c>
      <c r="BG60">
        <v>0</v>
      </c>
      <c r="BH60">
        <v>0</v>
      </c>
      <c r="BI60">
        <v>0</v>
      </c>
      <c r="BJ60">
        <v>0</v>
      </c>
      <c r="BK60">
        <v>0</v>
      </c>
      <c r="BL60">
        <v>0</v>
      </c>
      <c r="BM60">
        <v>1</v>
      </c>
      <c r="BN60">
        <v>0</v>
      </c>
      <c r="BO60">
        <v>0</v>
      </c>
      <c r="BP60">
        <v>1</v>
      </c>
      <c r="BQ60">
        <v>1</v>
      </c>
      <c r="BR60">
        <v>30</v>
      </c>
      <c r="BS60">
        <v>22</v>
      </c>
      <c r="BT60">
        <v>0</v>
      </c>
      <c r="BU60">
        <v>0</v>
      </c>
      <c r="BV60">
        <v>0</v>
      </c>
      <c r="BW60">
        <v>0</v>
      </c>
      <c r="BX60" s="17">
        <f t="shared" si="20"/>
        <v>0</v>
      </c>
      <c r="BY60" s="17">
        <f t="shared" si="21"/>
        <v>0</v>
      </c>
      <c r="BZ60" s="17">
        <f t="shared" si="22"/>
        <v>0</v>
      </c>
      <c r="CA60" s="17">
        <f t="shared" si="23"/>
        <v>0</v>
      </c>
      <c r="CB60" s="17">
        <f t="shared" si="24"/>
        <v>0</v>
      </c>
      <c r="CC60" s="17">
        <f t="shared" si="25"/>
        <v>0</v>
      </c>
      <c r="CD60" s="17">
        <f t="shared" si="26"/>
        <v>0</v>
      </c>
      <c r="CE60" s="17">
        <f t="shared" si="27"/>
        <v>0</v>
      </c>
      <c r="CF60" s="17">
        <f t="shared" si="28"/>
        <v>0</v>
      </c>
      <c r="CG60" s="17">
        <f t="shared" si="29"/>
        <v>0</v>
      </c>
      <c r="CH60" s="17">
        <f t="shared" si="30"/>
        <v>0</v>
      </c>
      <c r="CI60" s="17">
        <f t="shared" si="31"/>
        <v>0</v>
      </c>
      <c r="CJ60" s="17">
        <f t="shared" si="12"/>
        <v>0</v>
      </c>
      <c r="CK60" s="17">
        <f t="shared" si="13"/>
        <v>0</v>
      </c>
    </row>
    <row r="61" spans="1:89" x14ac:dyDescent="0.35">
      <c r="A61" s="1">
        <v>43435</v>
      </c>
      <c r="B61">
        <v>2018</v>
      </c>
      <c r="C61">
        <f t="shared" si="14"/>
        <v>12</v>
      </c>
      <c r="D61" s="4">
        <v>3448694.7337714336</v>
      </c>
      <c r="E61" s="4">
        <f>IFERROR(VLOOKUP($B61-1,CDM!$K$5:$N$19,2,FALSE)/12,0)+IFERROR(VLOOKUP($B61,CDM!$K$35:$N$47,2,FALSE)/24,0)+IFERROR(VLOOKUP($B61,CDM!$K$35:$N$47,2,FALSE)/2*$C61/78,0)</f>
        <v>155201.33126842839</v>
      </c>
      <c r="F61" s="4">
        <f t="shared" si="15"/>
        <v>3603896.0650398619</v>
      </c>
      <c r="G61" s="4">
        <v>1576765.3247181389</v>
      </c>
      <c r="H61" s="4">
        <f>IFERROR(VLOOKUP($B61-1,CDM!$K$5:$N$19,3,FALSE)/12,0)+IFERROR(VLOOKUP($B61,CDM!$K$35:$N$47,3,FALSE)/24,0)+IFERROR(VLOOKUP($B61,CDM!$K$35:$N$47,3,FALSE)/2*$C61/78,0)</f>
        <v>219860.16554164139</v>
      </c>
      <c r="I61" s="4">
        <f t="shared" si="16"/>
        <v>1796625.4902597803</v>
      </c>
      <c r="J61" s="4">
        <v>5543760.0068739746</v>
      </c>
      <c r="K61" s="4">
        <f>IFERROR(VLOOKUP($B61-1,CDM!$K$5:$N$19,4,FALSE)/12,0)+IFERROR(VLOOKUP($B61,CDM!$K$35:$N$47,4,FALSE)/24,0)+IFERROR(VLOOKUP($B61,CDM!$K$35:$N$47,4,FALSE)/2*$C61/78,0)</f>
        <v>208657.20289331768</v>
      </c>
      <c r="L61" s="4">
        <f t="shared" si="17"/>
        <v>5752417.2097672923</v>
      </c>
      <c r="M61" s="4">
        <v>52393.213997224746</v>
      </c>
      <c r="N61" s="4">
        <v>13681.499999999998</v>
      </c>
      <c r="O61" s="4">
        <v>17797.95</v>
      </c>
      <c r="P61" s="4">
        <v>118.42</v>
      </c>
      <c r="Q61" s="4">
        <v>5127</v>
      </c>
      <c r="R61" s="4">
        <v>724</v>
      </c>
      <c r="S61" s="4">
        <v>68</v>
      </c>
      <c r="T61" s="4">
        <v>1693</v>
      </c>
      <c r="U61" s="4">
        <v>23</v>
      </c>
      <c r="V61" s="4">
        <f>Weather!D181</f>
        <v>932.7</v>
      </c>
      <c r="W61" s="4">
        <f>Weather!E181</f>
        <v>0</v>
      </c>
      <c r="X61" s="4">
        <f>Weather!F181</f>
        <v>870.7</v>
      </c>
      <c r="Y61" s="4">
        <f>Weather!G181</f>
        <v>0</v>
      </c>
      <c r="Z61" s="4">
        <f>Weather!H181</f>
        <v>808.7</v>
      </c>
      <c r="AA61" s="4">
        <f>Weather!I181</f>
        <v>0</v>
      </c>
      <c r="AB61" s="4">
        <f>Weather!J181</f>
        <v>746.7</v>
      </c>
      <c r="AC61" s="4">
        <f>Weather!K181</f>
        <v>0</v>
      </c>
      <c r="AD61" s="4">
        <f>Weather!L181</f>
        <v>684.7</v>
      </c>
      <c r="AE61" s="4">
        <f>Weather!M181</f>
        <v>0</v>
      </c>
      <c r="AF61" s="4">
        <f>Weather!N181</f>
        <v>622.70000000000005</v>
      </c>
      <c r="AG61" s="4">
        <f>Weather!O181</f>
        <v>0</v>
      </c>
      <c r="AH61" s="4">
        <f>Weather!P181</f>
        <v>560.70000000000005</v>
      </c>
      <c r="AI61" s="4">
        <f>Weather!Q181</f>
        <v>0</v>
      </c>
      <c r="AJ61" s="4">
        <f>Weather!R181</f>
        <v>-10.087096774193551</v>
      </c>
      <c r="AK61" s="4">
        <f>'Economic Data'!F63</f>
        <v>789531.6</v>
      </c>
      <c r="AL61" s="4">
        <f>'Economic Data'!G63</f>
        <v>7545.5</v>
      </c>
      <c r="AM61" s="4">
        <f>'Economic Data'!H63</f>
        <v>7677.9</v>
      </c>
      <c r="AN61" s="4">
        <f>'Economic Data'!I63</f>
        <v>120.2</v>
      </c>
      <c r="AO61" s="4">
        <f>'Economic Data'!J63</f>
        <v>138.5</v>
      </c>
      <c r="AP61" s="4">
        <f>'Economic Data'!K63</f>
        <v>482.5</v>
      </c>
      <c r="AQ61" s="4">
        <f>'Economic Data'!L63</f>
        <v>280</v>
      </c>
      <c r="AR61" s="4">
        <f>'Economic Data'!M63</f>
        <v>1817.2</v>
      </c>
      <c r="AS61" s="4">
        <f>'Economic Data'!N63</f>
        <v>2825.5</v>
      </c>
      <c r="AT61" s="4">
        <f>'Economic Data'!O63</f>
        <v>799632</v>
      </c>
      <c r="AU61" s="4">
        <f>'Economic Data'!P63</f>
        <v>7527</v>
      </c>
      <c r="AV61" s="4">
        <f>'Economic Data'!Q63</f>
        <v>4741</v>
      </c>
      <c r="AW61" s="4">
        <f>'Economic Data'!R63</f>
        <v>4896</v>
      </c>
      <c r="AX61" s="4">
        <f>'Economic Data'!E63</f>
        <v>7310.7</v>
      </c>
      <c r="AY61" s="4">
        <f>'Economic Data'!D63</f>
        <v>7300.1</v>
      </c>
      <c r="AZ61">
        <v>60</v>
      </c>
      <c r="BA61" s="14">
        <f t="shared" si="18"/>
        <v>4.2341065045972597</v>
      </c>
      <c r="BB61">
        <f t="shared" si="19"/>
        <v>3600</v>
      </c>
      <c r="BC61">
        <v>0</v>
      </c>
      <c r="BD61">
        <v>0</v>
      </c>
      <c r="BE61">
        <v>0</v>
      </c>
      <c r="BF61">
        <v>0</v>
      </c>
      <c r="BG61">
        <v>0</v>
      </c>
      <c r="BH61">
        <v>0</v>
      </c>
      <c r="BI61">
        <v>0</v>
      </c>
      <c r="BJ61">
        <v>0</v>
      </c>
      <c r="BK61">
        <v>0</v>
      </c>
      <c r="BL61">
        <v>0</v>
      </c>
      <c r="BM61">
        <v>0</v>
      </c>
      <c r="BN61">
        <v>1</v>
      </c>
      <c r="BO61">
        <v>0</v>
      </c>
      <c r="BP61">
        <v>0</v>
      </c>
      <c r="BQ61">
        <v>0</v>
      </c>
      <c r="BR61">
        <v>31</v>
      </c>
      <c r="BS61">
        <v>19</v>
      </c>
      <c r="BT61">
        <v>0</v>
      </c>
      <c r="BU61">
        <v>0</v>
      </c>
      <c r="BV61">
        <v>0</v>
      </c>
      <c r="BW61">
        <v>0</v>
      </c>
      <c r="BX61" s="17">
        <f t="shared" si="20"/>
        <v>0</v>
      </c>
      <c r="BY61" s="17">
        <f t="shared" si="21"/>
        <v>0</v>
      </c>
      <c r="BZ61" s="17">
        <f t="shared" si="22"/>
        <v>0</v>
      </c>
      <c r="CA61" s="17">
        <f t="shared" si="23"/>
        <v>0</v>
      </c>
      <c r="CB61" s="17">
        <f t="shared" si="24"/>
        <v>0</v>
      </c>
      <c r="CC61" s="17">
        <f t="shared" si="25"/>
        <v>0</v>
      </c>
      <c r="CD61" s="17">
        <f t="shared" si="26"/>
        <v>0</v>
      </c>
      <c r="CE61" s="17">
        <f t="shared" si="27"/>
        <v>0</v>
      </c>
      <c r="CF61" s="17">
        <f t="shared" si="28"/>
        <v>0</v>
      </c>
      <c r="CG61" s="17">
        <f t="shared" si="29"/>
        <v>0</v>
      </c>
      <c r="CH61" s="17">
        <f t="shared" si="30"/>
        <v>0</v>
      </c>
      <c r="CI61" s="17">
        <f t="shared" si="31"/>
        <v>0</v>
      </c>
      <c r="CJ61" s="17">
        <f t="shared" si="12"/>
        <v>0</v>
      </c>
      <c r="CK61" s="17">
        <f t="shared" si="13"/>
        <v>0</v>
      </c>
    </row>
    <row r="62" spans="1:89" x14ac:dyDescent="0.35">
      <c r="A62" s="1">
        <v>43466</v>
      </c>
      <c r="B62">
        <v>2019</v>
      </c>
      <c r="C62">
        <f t="shared" si="14"/>
        <v>1</v>
      </c>
      <c r="D62" s="4">
        <v>4052505.3548480649</v>
      </c>
      <c r="E62" s="4">
        <f>IFERROR(VLOOKUP($B62-1,CDM!$K$5:$N$19,2,FALSE)/12,0)+IFERROR(VLOOKUP($B62,CDM!$K$35:$N$47,2,FALSE)/24,0)+IFERROR(VLOOKUP($B62,CDM!$K$35:$N$47,2,FALSE)/2*$C62/78,0)</f>
        <v>149262.2436038462</v>
      </c>
      <c r="F62" s="4">
        <f t="shared" si="15"/>
        <v>4201767.5984519115</v>
      </c>
      <c r="G62" s="4">
        <v>1706289.7948344767</v>
      </c>
      <c r="H62" s="4">
        <f>IFERROR(VLOOKUP($B62-1,CDM!$K$5:$N$19,3,FALSE)/12,0)+IFERROR(VLOOKUP($B62,CDM!$K$35:$N$47,3,FALSE)/24,0)+IFERROR(VLOOKUP($B62,CDM!$K$35:$N$47,3,FALSE)/2*$C62/78,0)</f>
        <v>201484.42918322276</v>
      </c>
      <c r="I62" s="4">
        <f t="shared" si="16"/>
        <v>1907774.2240176995</v>
      </c>
      <c r="J62" s="4">
        <v>5413227.2835864956</v>
      </c>
      <c r="K62" s="4">
        <f>IFERROR(VLOOKUP($B62-1,CDM!$K$5:$N$19,4,FALSE)/12,0)+IFERROR(VLOOKUP($B62,CDM!$K$35:$N$47,4,FALSE)/24,0)+IFERROR(VLOOKUP($B62,CDM!$K$35:$N$47,4,FALSE)/2*$C62/78,0)</f>
        <v>206092.73473598994</v>
      </c>
      <c r="L62" s="4">
        <f t="shared" si="17"/>
        <v>5619320.0183224855</v>
      </c>
      <c r="M62" s="4">
        <v>56570.28544050343</v>
      </c>
      <c r="N62" s="4">
        <v>13681.499999999998</v>
      </c>
      <c r="O62" s="4">
        <v>15151.62</v>
      </c>
      <c r="P62" s="4">
        <v>121.92</v>
      </c>
      <c r="Q62" s="4">
        <v>5104</v>
      </c>
      <c r="R62" s="4">
        <v>750</v>
      </c>
      <c r="S62" s="4">
        <v>67</v>
      </c>
      <c r="T62" s="4">
        <v>1710</v>
      </c>
      <c r="U62" s="4">
        <v>23</v>
      </c>
      <c r="V62" s="4">
        <f>Weather!D182</f>
        <v>1247.7493835098301</v>
      </c>
      <c r="W62" s="4">
        <f>Weather!E182</f>
        <v>0</v>
      </c>
      <c r="X62" s="4">
        <f>Weather!F182</f>
        <v>1185.7493835098301</v>
      </c>
      <c r="Y62" s="4">
        <f>Weather!G182</f>
        <v>0</v>
      </c>
      <c r="Z62" s="4">
        <f>Weather!H182</f>
        <v>1123.7493835098301</v>
      </c>
      <c r="AA62" s="4">
        <f>Weather!I182</f>
        <v>0</v>
      </c>
      <c r="AB62" s="4">
        <f>Weather!J182</f>
        <v>1061.7493835098298</v>
      </c>
      <c r="AC62" s="4">
        <f>Weather!K182</f>
        <v>0</v>
      </c>
      <c r="AD62" s="4">
        <f>Weather!L182</f>
        <v>999.74938350982984</v>
      </c>
      <c r="AE62" s="4">
        <f>Weather!M182</f>
        <v>0</v>
      </c>
      <c r="AF62" s="4">
        <f>Weather!N182</f>
        <v>937.74938350982984</v>
      </c>
      <c r="AG62" s="4">
        <f>Weather!O182</f>
        <v>0</v>
      </c>
      <c r="AH62" s="4">
        <f>Weather!P182</f>
        <v>875.74938350982984</v>
      </c>
      <c r="AI62" s="4">
        <f>Weather!Q182</f>
        <v>0</v>
      </c>
      <c r="AJ62" s="4">
        <f>Weather!R182</f>
        <v>-20.249980113220317</v>
      </c>
      <c r="AK62" s="4">
        <f>'Economic Data'!F64</f>
        <v>807274.5</v>
      </c>
      <c r="AL62" s="4">
        <f>'Economic Data'!G64</f>
        <v>7827.1</v>
      </c>
      <c r="AM62" s="4">
        <f>'Economic Data'!H64</f>
        <v>7405</v>
      </c>
      <c r="AN62" s="4">
        <f>'Economic Data'!I64</f>
        <v>118.8</v>
      </c>
      <c r="AO62" s="4">
        <f>'Economic Data'!J64</f>
        <v>129.6</v>
      </c>
      <c r="AP62" s="4">
        <f>'Economic Data'!K64</f>
        <v>473</v>
      </c>
      <c r="AQ62" s="4">
        <f>'Economic Data'!L64</f>
        <v>259.39999999999998</v>
      </c>
      <c r="AR62" s="4">
        <f>'Economic Data'!M64</f>
        <v>2224.8000000000002</v>
      </c>
      <c r="AS62" s="4">
        <f>'Economic Data'!N64</f>
        <v>2526.6</v>
      </c>
      <c r="AT62" s="4">
        <f>'Economic Data'!O64</f>
        <v>800724</v>
      </c>
      <c r="AU62" s="4">
        <f>'Economic Data'!P64</f>
        <v>7595</v>
      </c>
      <c r="AV62" s="4">
        <f>'Economic Data'!Q64</f>
        <v>4835</v>
      </c>
      <c r="AW62" s="4">
        <f>'Economic Data'!R64</f>
        <v>4838</v>
      </c>
      <c r="AX62" s="4">
        <f>'Economic Data'!E64</f>
        <v>7289.4</v>
      </c>
      <c r="AY62" s="4">
        <f>'Economic Data'!D64</f>
        <v>7318</v>
      </c>
      <c r="AZ62">
        <v>61</v>
      </c>
      <c r="BA62" s="14">
        <f t="shared" si="18"/>
        <v>4.2484952420493594</v>
      </c>
      <c r="BB62">
        <f t="shared" si="19"/>
        <v>3721</v>
      </c>
      <c r="BC62">
        <v>1</v>
      </c>
      <c r="BD62">
        <v>0</v>
      </c>
      <c r="BE62">
        <v>0</v>
      </c>
      <c r="BF62">
        <v>0</v>
      </c>
      <c r="BG62">
        <v>0</v>
      </c>
      <c r="BH62">
        <v>0</v>
      </c>
      <c r="BI62">
        <v>0</v>
      </c>
      <c r="BJ62">
        <v>0</v>
      </c>
      <c r="BK62">
        <v>0</v>
      </c>
      <c r="BL62">
        <v>0</v>
      </c>
      <c r="BM62">
        <v>0</v>
      </c>
      <c r="BN62">
        <v>0</v>
      </c>
      <c r="BO62">
        <v>0</v>
      </c>
      <c r="BP62">
        <v>0</v>
      </c>
      <c r="BQ62">
        <v>0</v>
      </c>
      <c r="BR62">
        <v>31</v>
      </c>
      <c r="BS62">
        <v>22</v>
      </c>
      <c r="BT62">
        <v>0</v>
      </c>
      <c r="BU62">
        <v>0</v>
      </c>
      <c r="BV62">
        <v>0</v>
      </c>
      <c r="BW62">
        <v>0</v>
      </c>
      <c r="BX62" s="17">
        <f t="shared" si="20"/>
        <v>0</v>
      </c>
      <c r="BY62" s="17">
        <f t="shared" si="21"/>
        <v>0</v>
      </c>
      <c r="BZ62" s="17">
        <f t="shared" si="22"/>
        <v>0</v>
      </c>
      <c r="CA62" s="17">
        <f t="shared" si="23"/>
        <v>0</v>
      </c>
      <c r="CB62" s="17">
        <f t="shared" si="24"/>
        <v>0</v>
      </c>
      <c r="CC62" s="17">
        <f t="shared" si="25"/>
        <v>0</v>
      </c>
      <c r="CD62" s="17">
        <f t="shared" si="26"/>
        <v>0</v>
      </c>
      <c r="CE62" s="17">
        <f t="shared" si="27"/>
        <v>0</v>
      </c>
      <c r="CF62" s="17">
        <f t="shared" si="28"/>
        <v>0</v>
      </c>
      <c r="CG62" s="17">
        <f t="shared" si="29"/>
        <v>0</v>
      </c>
      <c r="CH62" s="17">
        <f t="shared" si="30"/>
        <v>0</v>
      </c>
      <c r="CI62" s="17">
        <f t="shared" si="31"/>
        <v>0</v>
      </c>
      <c r="CJ62" s="17">
        <f t="shared" si="12"/>
        <v>0</v>
      </c>
      <c r="CK62" s="17">
        <f t="shared" si="13"/>
        <v>0</v>
      </c>
    </row>
    <row r="63" spans="1:89" x14ac:dyDescent="0.35">
      <c r="A63" s="1">
        <v>43497</v>
      </c>
      <c r="B63">
        <v>2019</v>
      </c>
      <c r="C63">
        <f t="shared" si="14"/>
        <v>2</v>
      </c>
      <c r="D63" s="4">
        <v>4581206.1204268746</v>
      </c>
      <c r="E63" s="4">
        <f>IFERROR(VLOOKUP($B63-1,CDM!$K$5:$N$19,2,FALSE)/12,0)+IFERROR(VLOOKUP($B63,CDM!$K$35:$N$47,2,FALSE)/24,0)+IFERROR(VLOOKUP($B63,CDM!$K$35:$N$47,2,FALSE)/2*$C63/78,0)</f>
        <v>149952.88486653325</v>
      </c>
      <c r="F63" s="4">
        <f t="shared" si="15"/>
        <v>4731159.0052934075</v>
      </c>
      <c r="G63" s="4">
        <v>1967691.5373037434</v>
      </c>
      <c r="H63" s="4">
        <f>IFERROR(VLOOKUP($B63-1,CDM!$K$5:$N$19,3,FALSE)/12,0)+IFERROR(VLOOKUP($B63,CDM!$K$35:$N$47,3,FALSE)/24,0)+IFERROR(VLOOKUP($B63,CDM!$K$35:$N$47,3,FALSE)/2*$C63/78,0)</f>
        <v>201984.98810682454</v>
      </c>
      <c r="I63" s="4">
        <f t="shared" si="16"/>
        <v>2169676.5254105679</v>
      </c>
      <c r="J63" s="4">
        <v>6085420.0121112755</v>
      </c>
      <c r="K63" s="4">
        <f>IFERROR(VLOOKUP($B63-1,CDM!$K$5:$N$19,4,FALSE)/12,0)+IFERROR(VLOOKUP($B63,CDM!$K$35:$N$47,4,FALSE)/24,0)+IFERROR(VLOOKUP($B63,CDM!$K$35:$N$47,4,FALSE)/2*$C63/78,0)</f>
        <v>207682.81702888061</v>
      </c>
      <c r="L63" s="4">
        <f t="shared" si="17"/>
        <v>6293102.8291401565</v>
      </c>
      <c r="M63" s="4">
        <v>55167.154344012204</v>
      </c>
      <c r="N63" s="4">
        <v>13681.499999999998</v>
      </c>
      <c r="O63" s="4">
        <v>15969.15</v>
      </c>
      <c r="P63" s="4">
        <v>121.92</v>
      </c>
      <c r="Q63" s="4">
        <v>5054</v>
      </c>
      <c r="R63" s="4">
        <v>734</v>
      </c>
      <c r="S63" s="4">
        <v>68</v>
      </c>
      <c r="T63" s="4">
        <v>1710</v>
      </c>
      <c r="U63" s="4">
        <v>23</v>
      </c>
      <c r="V63" s="4">
        <f>Weather!D183</f>
        <v>1035.4541666666667</v>
      </c>
      <c r="W63" s="4">
        <f>Weather!E183</f>
        <v>0</v>
      </c>
      <c r="X63" s="4">
        <f>Weather!F183</f>
        <v>979.45416666666665</v>
      </c>
      <c r="Y63" s="4">
        <f>Weather!G183</f>
        <v>0</v>
      </c>
      <c r="Z63" s="4">
        <f>Weather!H183</f>
        <v>923.45416666666665</v>
      </c>
      <c r="AA63" s="4">
        <f>Weather!I183</f>
        <v>0</v>
      </c>
      <c r="AB63" s="4">
        <f>Weather!J183</f>
        <v>867.45416666666665</v>
      </c>
      <c r="AC63" s="4">
        <f>Weather!K183</f>
        <v>0</v>
      </c>
      <c r="AD63" s="4">
        <f>Weather!L183</f>
        <v>811.45416666666677</v>
      </c>
      <c r="AE63" s="4">
        <f>Weather!M183</f>
        <v>0</v>
      </c>
      <c r="AF63" s="4">
        <f>Weather!N183</f>
        <v>755.45416666666677</v>
      </c>
      <c r="AG63" s="4">
        <f>Weather!O183</f>
        <v>0</v>
      </c>
      <c r="AH63" s="4">
        <f>Weather!P183</f>
        <v>699.45416666666677</v>
      </c>
      <c r="AI63" s="4">
        <f>Weather!Q183</f>
        <v>0</v>
      </c>
      <c r="AJ63" s="4">
        <f>Weather!R183</f>
        <v>-16.980505952380955</v>
      </c>
      <c r="AK63" s="4">
        <f>'Economic Data'!F65</f>
        <v>807274.5</v>
      </c>
      <c r="AL63" s="4">
        <f>'Economic Data'!G65</f>
        <v>7827.1</v>
      </c>
      <c r="AM63" s="4">
        <f>'Economic Data'!H65</f>
        <v>7405</v>
      </c>
      <c r="AN63" s="4">
        <f>'Economic Data'!I65</f>
        <v>118.8</v>
      </c>
      <c r="AO63" s="4">
        <f>'Economic Data'!J65</f>
        <v>129.6</v>
      </c>
      <c r="AP63" s="4">
        <f>'Economic Data'!K65</f>
        <v>473</v>
      </c>
      <c r="AQ63" s="4">
        <f>'Economic Data'!L65</f>
        <v>259.39999999999998</v>
      </c>
      <c r="AR63" s="4">
        <f>'Economic Data'!M65</f>
        <v>2224.8000000000002</v>
      </c>
      <c r="AS63" s="4">
        <f>'Economic Data'!N65</f>
        <v>2526.6</v>
      </c>
      <c r="AT63" s="4">
        <f>'Economic Data'!O65</f>
        <v>800724</v>
      </c>
      <c r="AU63" s="4">
        <f>'Economic Data'!P65</f>
        <v>7595</v>
      </c>
      <c r="AV63" s="4">
        <f>'Economic Data'!Q65</f>
        <v>4835</v>
      </c>
      <c r="AW63" s="4">
        <f>'Economic Data'!R65</f>
        <v>4838</v>
      </c>
      <c r="AX63" s="4">
        <f>'Economic Data'!E65</f>
        <v>7278.4</v>
      </c>
      <c r="AY63" s="4">
        <f>'Economic Data'!D65</f>
        <v>7345.4</v>
      </c>
      <c r="AZ63">
        <v>62</v>
      </c>
      <c r="BA63" s="14">
        <f t="shared" si="18"/>
        <v>4.2626798770413155</v>
      </c>
      <c r="BB63">
        <f t="shared" si="19"/>
        <v>3844</v>
      </c>
      <c r="BC63">
        <v>0</v>
      </c>
      <c r="BD63">
        <v>1</v>
      </c>
      <c r="BE63">
        <v>0</v>
      </c>
      <c r="BF63">
        <v>0</v>
      </c>
      <c r="BG63">
        <v>0</v>
      </c>
      <c r="BH63">
        <v>0</v>
      </c>
      <c r="BI63">
        <v>0</v>
      </c>
      <c r="BJ63">
        <v>0</v>
      </c>
      <c r="BK63">
        <v>0</v>
      </c>
      <c r="BL63">
        <v>0</v>
      </c>
      <c r="BM63">
        <v>0</v>
      </c>
      <c r="BN63">
        <v>0</v>
      </c>
      <c r="BO63">
        <v>0</v>
      </c>
      <c r="BP63">
        <v>0</v>
      </c>
      <c r="BQ63">
        <v>0</v>
      </c>
      <c r="BR63">
        <v>28</v>
      </c>
      <c r="BS63">
        <v>19</v>
      </c>
      <c r="BT63">
        <v>0</v>
      </c>
      <c r="BU63">
        <v>0</v>
      </c>
      <c r="BV63">
        <v>0</v>
      </c>
      <c r="BW63">
        <v>0</v>
      </c>
      <c r="BX63" s="17">
        <f t="shared" si="20"/>
        <v>0</v>
      </c>
      <c r="BY63" s="17">
        <f t="shared" si="21"/>
        <v>0</v>
      </c>
      <c r="BZ63" s="17">
        <f t="shared" si="22"/>
        <v>0</v>
      </c>
      <c r="CA63" s="17">
        <f t="shared" si="23"/>
        <v>0</v>
      </c>
      <c r="CB63" s="17">
        <f t="shared" si="24"/>
        <v>0</v>
      </c>
      <c r="CC63" s="17">
        <f t="shared" si="25"/>
        <v>0</v>
      </c>
      <c r="CD63" s="17">
        <f t="shared" si="26"/>
        <v>0</v>
      </c>
      <c r="CE63" s="17">
        <f t="shared" si="27"/>
        <v>0</v>
      </c>
      <c r="CF63" s="17">
        <f t="shared" si="28"/>
        <v>0</v>
      </c>
      <c r="CG63" s="17">
        <f t="shared" si="29"/>
        <v>0</v>
      </c>
      <c r="CH63" s="17">
        <f t="shared" si="30"/>
        <v>0</v>
      </c>
      <c r="CI63" s="17">
        <f t="shared" si="31"/>
        <v>0</v>
      </c>
      <c r="CJ63" s="17">
        <f t="shared" si="12"/>
        <v>0</v>
      </c>
      <c r="CK63" s="17">
        <f t="shared" si="13"/>
        <v>0</v>
      </c>
    </row>
    <row r="64" spans="1:89" x14ac:dyDescent="0.35">
      <c r="A64" s="1">
        <v>43525</v>
      </c>
      <c r="B64">
        <v>2019</v>
      </c>
      <c r="C64">
        <f t="shared" si="14"/>
        <v>3</v>
      </c>
      <c r="D64" s="4">
        <v>3808222.3027247181</v>
      </c>
      <c r="E64" s="4">
        <f>IFERROR(VLOOKUP($B64-1,CDM!$K$5:$N$19,2,FALSE)/12,0)+IFERROR(VLOOKUP($B64,CDM!$K$35:$N$47,2,FALSE)/24,0)+IFERROR(VLOOKUP($B64,CDM!$K$35:$N$47,2,FALSE)/2*$C64/78,0)</f>
        <v>150643.52612922032</v>
      </c>
      <c r="F64" s="4">
        <f t="shared" si="15"/>
        <v>3958865.8288539383</v>
      </c>
      <c r="G64" s="4">
        <v>1736298.0904198671</v>
      </c>
      <c r="H64" s="4">
        <f>IFERROR(VLOOKUP($B64-1,CDM!$K$5:$N$19,3,FALSE)/12,0)+IFERROR(VLOOKUP($B64,CDM!$K$35:$N$47,3,FALSE)/24,0)+IFERROR(VLOOKUP($B64,CDM!$K$35:$N$47,3,FALSE)/2*$C64/78,0)</f>
        <v>202485.54703042633</v>
      </c>
      <c r="I64" s="4">
        <f t="shared" si="16"/>
        <v>1938783.6374502934</v>
      </c>
      <c r="J64" s="4">
        <v>5528496.289477272</v>
      </c>
      <c r="K64" s="4">
        <f>IFERROR(VLOOKUP($B64-1,CDM!$K$5:$N$19,4,FALSE)/12,0)+IFERROR(VLOOKUP($B64,CDM!$K$35:$N$47,4,FALSE)/24,0)+IFERROR(VLOOKUP($B64,CDM!$K$35:$N$47,4,FALSE)/2*$C64/78,0)</f>
        <v>209272.89932177129</v>
      </c>
      <c r="L64" s="4">
        <f t="shared" si="17"/>
        <v>5737769.1887990432</v>
      </c>
      <c r="M64" s="4">
        <v>46179.314597635392</v>
      </c>
      <c r="N64" s="4">
        <v>13681.499999999998</v>
      </c>
      <c r="O64" s="4">
        <v>16602.25</v>
      </c>
      <c r="P64" s="4">
        <v>121.92</v>
      </c>
      <c r="Q64" s="4">
        <v>5065</v>
      </c>
      <c r="R64" s="4">
        <v>737</v>
      </c>
      <c r="S64" s="4">
        <v>69</v>
      </c>
      <c r="T64" s="4">
        <v>1710</v>
      </c>
      <c r="U64" s="4">
        <v>23</v>
      </c>
      <c r="V64" s="4">
        <f>Weather!D184</f>
        <v>884.84424598258045</v>
      </c>
      <c r="W64" s="4">
        <f>Weather!E184</f>
        <v>0</v>
      </c>
      <c r="X64" s="4">
        <f>Weather!F184</f>
        <v>822.84424598258033</v>
      </c>
      <c r="Y64" s="4">
        <f>Weather!G184</f>
        <v>0</v>
      </c>
      <c r="Z64" s="4">
        <f>Weather!H184</f>
        <v>760.84424598258022</v>
      </c>
      <c r="AA64" s="4">
        <f>Weather!I184</f>
        <v>0</v>
      </c>
      <c r="AB64" s="4">
        <f>Weather!J184</f>
        <v>698.84424598258033</v>
      </c>
      <c r="AC64" s="4">
        <f>Weather!K184</f>
        <v>0</v>
      </c>
      <c r="AD64" s="4">
        <f>Weather!L184</f>
        <v>636.84424598258033</v>
      </c>
      <c r="AE64" s="4">
        <f>Weather!M184</f>
        <v>0</v>
      </c>
      <c r="AF64" s="4">
        <f>Weather!N184</f>
        <v>574.84424598258033</v>
      </c>
      <c r="AG64" s="4">
        <f>Weather!O184</f>
        <v>0</v>
      </c>
      <c r="AH64" s="4">
        <f>Weather!P184</f>
        <v>512.84424598258033</v>
      </c>
      <c r="AI64" s="4">
        <f>Weather!Q184</f>
        <v>0</v>
      </c>
      <c r="AJ64" s="4">
        <f>Weather!R184</f>
        <v>-8.5433627736316247</v>
      </c>
      <c r="AK64" s="4">
        <f>'Economic Data'!F66</f>
        <v>807274.5</v>
      </c>
      <c r="AL64" s="4">
        <f>'Economic Data'!G66</f>
        <v>7827.1</v>
      </c>
      <c r="AM64" s="4">
        <f>'Economic Data'!H66</f>
        <v>7405</v>
      </c>
      <c r="AN64" s="4">
        <f>'Economic Data'!I66</f>
        <v>118.8</v>
      </c>
      <c r="AO64" s="4">
        <f>'Economic Data'!J66</f>
        <v>129.6</v>
      </c>
      <c r="AP64" s="4">
        <f>'Economic Data'!K66</f>
        <v>473</v>
      </c>
      <c r="AQ64" s="4">
        <f>'Economic Data'!L66</f>
        <v>259.39999999999998</v>
      </c>
      <c r="AR64" s="4">
        <f>'Economic Data'!M66</f>
        <v>2224.8000000000002</v>
      </c>
      <c r="AS64" s="4">
        <f>'Economic Data'!N66</f>
        <v>2526.6</v>
      </c>
      <c r="AT64" s="4">
        <f>'Economic Data'!O66</f>
        <v>800724</v>
      </c>
      <c r="AU64" s="4">
        <f>'Economic Data'!P66</f>
        <v>7595</v>
      </c>
      <c r="AV64" s="4">
        <f>'Economic Data'!Q66</f>
        <v>4835</v>
      </c>
      <c r="AW64" s="4">
        <f>'Economic Data'!R66</f>
        <v>4838</v>
      </c>
      <c r="AX64" s="4">
        <f>'Economic Data'!E66</f>
        <v>7256.9</v>
      </c>
      <c r="AY64" s="4">
        <f>'Economic Data'!D66</f>
        <v>7361.3</v>
      </c>
      <c r="AZ64">
        <v>63</v>
      </c>
      <c r="BA64" s="14">
        <f t="shared" si="18"/>
        <v>4.2766661190160553</v>
      </c>
      <c r="BB64">
        <f t="shared" si="19"/>
        <v>3969</v>
      </c>
      <c r="BC64">
        <v>0</v>
      </c>
      <c r="BD64">
        <v>0</v>
      </c>
      <c r="BE64">
        <v>1</v>
      </c>
      <c r="BF64">
        <v>0</v>
      </c>
      <c r="BG64">
        <v>0</v>
      </c>
      <c r="BH64">
        <v>0</v>
      </c>
      <c r="BI64">
        <v>0</v>
      </c>
      <c r="BJ64">
        <v>0</v>
      </c>
      <c r="BK64">
        <v>0</v>
      </c>
      <c r="BL64">
        <v>0</v>
      </c>
      <c r="BM64">
        <v>0</v>
      </c>
      <c r="BN64">
        <v>0</v>
      </c>
      <c r="BO64">
        <v>1</v>
      </c>
      <c r="BP64">
        <v>0</v>
      </c>
      <c r="BQ64">
        <v>1</v>
      </c>
      <c r="BR64">
        <v>31</v>
      </c>
      <c r="BS64">
        <v>22</v>
      </c>
      <c r="BT64">
        <v>0</v>
      </c>
      <c r="BU64">
        <v>0</v>
      </c>
      <c r="BV64">
        <v>0</v>
      </c>
      <c r="BW64">
        <v>0</v>
      </c>
      <c r="BX64" s="17">
        <f t="shared" si="20"/>
        <v>0</v>
      </c>
      <c r="BY64" s="17">
        <f t="shared" si="21"/>
        <v>0</v>
      </c>
      <c r="BZ64" s="17">
        <f t="shared" si="22"/>
        <v>0</v>
      </c>
      <c r="CA64" s="17">
        <f t="shared" si="23"/>
        <v>0</v>
      </c>
      <c r="CB64" s="17">
        <f t="shared" si="24"/>
        <v>0</v>
      </c>
      <c r="CC64" s="17">
        <f t="shared" si="25"/>
        <v>0</v>
      </c>
      <c r="CD64" s="17">
        <f t="shared" si="26"/>
        <v>0</v>
      </c>
      <c r="CE64" s="17">
        <f t="shared" si="27"/>
        <v>0</v>
      </c>
      <c r="CF64" s="17">
        <f t="shared" si="28"/>
        <v>0</v>
      </c>
      <c r="CG64" s="17">
        <f t="shared" si="29"/>
        <v>0</v>
      </c>
      <c r="CH64" s="17">
        <f t="shared" si="30"/>
        <v>0</v>
      </c>
      <c r="CI64" s="17">
        <f t="shared" si="31"/>
        <v>0</v>
      </c>
      <c r="CJ64" s="17">
        <f t="shared" si="12"/>
        <v>0</v>
      </c>
      <c r="CK64" s="17">
        <f t="shared" si="13"/>
        <v>0</v>
      </c>
    </row>
    <row r="65" spans="1:89" x14ac:dyDescent="0.35">
      <c r="A65" s="1">
        <v>43556</v>
      </c>
      <c r="B65">
        <v>2019</v>
      </c>
      <c r="C65">
        <f t="shared" si="14"/>
        <v>4</v>
      </c>
      <c r="D65" s="4">
        <v>3565943.373087584</v>
      </c>
      <c r="E65" s="4">
        <f>IFERROR(VLOOKUP($B65-1,CDM!$K$5:$N$19,2,FALSE)/12,0)+IFERROR(VLOOKUP($B65,CDM!$K$35:$N$47,2,FALSE)/24,0)+IFERROR(VLOOKUP($B65,CDM!$K$35:$N$47,2,FALSE)/2*$C65/78,0)</f>
        <v>151334.16739190739</v>
      </c>
      <c r="F65" s="4">
        <f t="shared" si="15"/>
        <v>3717277.5404794915</v>
      </c>
      <c r="G65" s="4">
        <v>1704790.8338969192</v>
      </c>
      <c r="H65" s="4">
        <f>IFERROR(VLOOKUP($B65-1,CDM!$K$5:$N$19,3,FALSE)/12,0)+IFERROR(VLOOKUP($B65,CDM!$K$35:$N$47,3,FALSE)/24,0)+IFERROR(VLOOKUP($B65,CDM!$K$35:$N$47,3,FALSE)/2*$C65/78,0)</f>
        <v>202986.10595402814</v>
      </c>
      <c r="I65" s="4">
        <f t="shared" si="16"/>
        <v>1907776.9398509474</v>
      </c>
      <c r="J65" s="4">
        <v>5369502.4041721513</v>
      </c>
      <c r="K65" s="4">
        <f>IFERROR(VLOOKUP($B65-1,CDM!$K$5:$N$19,4,FALSE)/12,0)+IFERROR(VLOOKUP($B65,CDM!$K$35:$N$47,4,FALSE)/24,0)+IFERROR(VLOOKUP($B65,CDM!$K$35:$N$47,4,FALSE)/2*$C65/78,0)</f>
        <v>210862.98161466199</v>
      </c>
      <c r="L65" s="4">
        <f t="shared" si="17"/>
        <v>5580365.3857868137</v>
      </c>
      <c r="M65" s="4">
        <v>45705.270307017548</v>
      </c>
      <c r="N65" s="4">
        <v>13681.499999999998</v>
      </c>
      <c r="O65" s="4">
        <v>15389.14</v>
      </c>
      <c r="P65" s="4">
        <v>121.92</v>
      </c>
      <c r="Q65" s="4">
        <v>5084</v>
      </c>
      <c r="R65" s="4">
        <v>744</v>
      </c>
      <c r="S65" s="4">
        <v>67</v>
      </c>
      <c r="T65" s="4">
        <v>1710</v>
      </c>
      <c r="U65" s="4">
        <v>23</v>
      </c>
      <c r="V65" s="4">
        <f>Weather!D185</f>
        <v>595.23333333333335</v>
      </c>
      <c r="W65" s="4">
        <f>Weather!E185</f>
        <v>0</v>
      </c>
      <c r="X65" s="4">
        <f>Weather!F185</f>
        <v>535.23333333333335</v>
      </c>
      <c r="Y65" s="4">
        <f>Weather!G185</f>
        <v>0</v>
      </c>
      <c r="Z65" s="4">
        <f>Weather!H185</f>
        <v>475.23333333333329</v>
      </c>
      <c r="AA65" s="4">
        <f>Weather!I185</f>
        <v>0</v>
      </c>
      <c r="AB65" s="4">
        <f>Weather!J185</f>
        <v>415.23333333333329</v>
      </c>
      <c r="AC65" s="4">
        <f>Weather!K185</f>
        <v>0</v>
      </c>
      <c r="AD65" s="4">
        <f>Weather!L185</f>
        <v>355.23333333333323</v>
      </c>
      <c r="AE65" s="4">
        <f>Weather!M185</f>
        <v>0</v>
      </c>
      <c r="AF65" s="4">
        <f>Weather!N185</f>
        <v>295.23333333333335</v>
      </c>
      <c r="AG65" s="4">
        <f>Weather!O185</f>
        <v>0</v>
      </c>
      <c r="AH65" s="4">
        <f>Weather!P185</f>
        <v>236.58749999999998</v>
      </c>
      <c r="AI65" s="4">
        <f>Weather!Q185</f>
        <v>1.3541666666666661</v>
      </c>
      <c r="AJ65" s="4">
        <f>Weather!R185</f>
        <v>0.15888888888888925</v>
      </c>
      <c r="AK65" s="4">
        <f>'Economic Data'!F67</f>
        <v>807274.5</v>
      </c>
      <c r="AL65" s="4">
        <f>'Economic Data'!G67</f>
        <v>7827.1</v>
      </c>
      <c r="AM65" s="4">
        <f>'Economic Data'!H67</f>
        <v>7405</v>
      </c>
      <c r="AN65" s="4">
        <f>'Economic Data'!I67</f>
        <v>118.8</v>
      </c>
      <c r="AO65" s="4">
        <f>'Economic Data'!J67</f>
        <v>129.6</v>
      </c>
      <c r="AP65" s="4">
        <f>'Economic Data'!K67</f>
        <v>473</v>
      </c>
      <c r="AQ65" s="4">
        <f>'Economic Data'!L67</f>
        <v>259.39999999999998</v>
      </c>
      <c r="AR65" s="4">
        <f>'Economic Data'!M67</f>
        <v>2224.8000000000002</v>
      </c>
      <c r="AS65" s="4">
        <f>'Economic Data'!N67</f>
        <v>2526.6</v>
      </c>
      <c r="AT65" s="4">
        <f>'Economic Data'!O67</f>
        <v>806630</v>
      </c>
      <c r="AU65" s="4">
        <f>'Economic Data'!P67</f>
        <v>7794</v>
      </c>
      <c r="AV65" s="4">
        <f>'Economic Data'!Q67</f>
        <v>4698</v>
      </c>
      <c r="AW65" s="4">
        <f>'Economic Data'!R67</f>
        <v>4876</v>
      </c>
      <c r="AX65" s="4">
        <f>'Economic Data'!E67</f>
        <v>7294</v>
      </c>
      <c r="AY65" s="4">
        <f>'Economic Data'!D67</f>
        <v>7382.3</v>
      </c>
      <c r="AZ65">
        <v>64</v>
      </c>
      <c r="BA65" s="14">
        <f t="shared" si="18"/>
        <v>4.290459441148391</v>
      </c>
      <c r="BB65">
        <f t="shared" si="19"/>
        <v>4096</v>
      </c>
      <c r="BC65">
        <v>0</v>
      </c>
      <c r="BD65">
        <v>0</v>
      </c>
      <c r="BE65">
        <v>0</v>
      </c>
      <c r="BF65">
        <v>1</v>
      </c>
      <c r="BG65">
        <v>0</v>
      </c>
      <c r="BH65">
        <v>0</v>
      </c>
      <c r="BI65">
        <v>0</v>
      </c>
      <c r="BJ65">
        <v>0</v>
      </c>
      <c r="BK65">
        <v>0</v>
      </c>
      <c r="BL65">
        <v>0</v>
      </c>
      <c r="BM65">
        <v>0</v>
      </c>
      <c r="BN65">
        <v>0</v>
      </c>
      <c r="BO65">
        <v>1</v>
      </c>
      <c r="BP65">
        <v>0</v>
      </c>
      <c r="BQ65">
        <v>1</v>
      </c>
      <c r="BR65">
        <v>30</v>
      </c>
      <c r="BS65">
        <v>21</v>
      </c>
      <c r="BT65">
        <v>0</v>
      </c>
      <c r="BU65">
        <v>0</v>
      </c>
      <c r="BV65">
        <v>0</v>
      </c>
      <c r="BW65">
        <v>0</v>
      </c>
      <c r="BX65" s="17">
        <f t="shared" si="20"/>
        <v>0</v>
      </c>
      <c r="BY65" s="17">
        <f t="shared" si="21"/>
        <v>0</v>
      </c>
      <c r="BZ65" s="17">
        <f t="shared" si="22"/>
        <v>0</v>
      </c>
      <c r="CA65" s="17">
        <f t="shared" si="23"/>
        <v>0</v>
      </c>
      <c r="CB65" s="17">
        <f t="shared" si="24"/>
        <v>0</v>
      </c>
      <c r="CC65" s="17">
        <f t="shared" si="25"/>
        <v>0</v>
      </c>
      <c r="CD65" s="17">
        <f t="shared" si="26"/>
        <v>0</v>
      </c>
      <c r="CE65" s="17">
        <f t="shared" si="27"/>
        <v>0</v>
      </c>
      <c r="CF65" s="17">
        <f t="shared" si="28"/>
        <v>0</v>
      </c>
      <c r="CG65" s="17">
        <f t="shared" si="29"/>
        <v>0</v>
      </c>
      <c r="CH65" s="17">
        <f t="shared" si="30"/>
        <v>0</v>
      </c>
      <c r="CI65" s="17">
        <f t="shared" si="31"/>
        <v>0</v>
      </c>
      <c r="CJ65" s="17">
        <f t="shared" si="12"/>
        <v>0</v>
      </c>
      <c r="CK65" s="17">
        <f t="shared" si="13"/>
        <v>0</v>
      </c>
    </row>
    <row r="66" spans="1:89" x14ac:dyDescent="0.35">
      <c r="A66" s="1">
        <v>43586</v>
      </c>
      <c r="B66">
        <v>2019</v>
      </c>
      <c r="C66">
        <f t="shared" si="14"/>
        <v>5</v>
      </c>
      <c r="D66" s="4">
        <v>2967204.7518458003</v>
      </c>
      <c r="E66" s="4">
        <f>IFERROR(VLOOKUP($B66-1,CDM!$K$5:$N$19,2,FALSE)/12,0)+IFERROR(VLOOKUP($B66,CDM!$K$35:$N$47,2,FALSE)/24,0)+IFERROR(VLOOKUP($B66,CDM!$K$35:$N$47,2,FALSE)/2*$C66/78,0)</f>
        <v>152024.80865459447</v>
      </c>
      <c r="F66" s="4">
        <f t="shared" si="15"/>
        <v>3119229.5605003946</v>
      </c>
      <c r="G66" s="4">
        <v>1423991.8350410387</v>
      </c>
      <c r="H66" s="4">
        <f>IFERROR(VLOOKUP($B66-1,CDM!$K$5:$N$19,3,FALSE)/12,0)+IFERROR(VLOOKUP($B66,CDM!$K$35:$N$47,3,FALSE)/24,0)+IFERROR(VLOOKUP($B66,CDM!$K$35:$N$47,3,FALSE)/2*$C66/78,0)</f>
        <v>203486.66487762993</v>
      </c>
      <c r="I66" s="4">
        <f t="shared" si="16"/>
        <v>1627478.4999186685</v>
      </c>
      <c r="J66" s="4">
        <v>4807412.4225811353</v>
      </c>
      <c r="K66" s="4">
        <f>IFERROR(VLOOKUP($B66-1,CDM!$K$5:$N$19,4,FALSE)/12,0)+IFERROR(VLOOKUP($B66,CDM!$K$35:$N$47,4,FALSE)/24,0)+IFERROR(VLOOKUP($B66,CDM!$K$35:$N$47,4,FALSE)/2*$C66/78,0)</f>
        <v>212453.06390755266</v>
      </c>
      <c r="L66" s="4">
        <f t="shared" si="17"/>
        <v>5019865.4864886878</v>
      </c>
      <c r="M66" s="4">
        <v>38857.63052250191</v>
      </c>
      <c r="N66" s="4">
        <v>13681.499999999998</v>
      </c>
      <c r="O66" s="4">
        <v>14187.43</v>
      </c>
      <c r="P66" s="4">
        <v>121.92</v>
      </c>
      <c r="Q66" s="4">
        <v>5088</v>
      </c>
      <c r="R66" s="4">
        <v>744</v>
      </c>
      <c r="S66" s="4">
        <v>68</v>
      </c>
      <c r="T66" s="4">
        <v>1710</v>
      </c>
      <c r="U66" s="4">
        <v>23</v>
      </c>
      <c r="V66" s="4">
        <f>Weather!D186</f>
        <v>391.57083333333338</v>
      </c>
      <c r="W66" s="4">
        <f>Weather!E186</f>
        <v>0</v>
      </c>
      <c r="X66" s="4">
        <f>Weather!F186</f>
        <v>329.57083333333338</v>
      </c>
      <c r="Y66" s="4">
        <f>Weather!G186</f>
        <v>0</v>
      </c>
      <c r="Z66" s="4">
        <f>Weather!H186</f>
        <v>267.57083333333333</v>
      </c>
      <c r="AA66" s="4">
        <f>Weather!I186</f>
        <v>0</v>
      </c>
      <c r="AB66" s="4">
        <f>Weather!J186</f>
        <v>206.94166666666666</v>
      </c>
      <c r="AC66" s="4">
        <f>Weather!K186</f>
        <v>1.3708333333333353</v>
      </c>
      <c r="AD66" s="4">
        <f>Weather!L186</f>
        <v>148.64583333333331</v>
      </c>
      <c r="AE66" s="4">
        <f>Weather!M186</f>
        <v>5.0750000000000028</v>
      </c>
      <c r="AF66" s="4">
        <f>Weather!N186</f>
        <v>95.812499999999957</v>
      </c>
      <c r="AG66" s="4">
        <f>Weather!O186</f>
        <v>14.241666666666672</v>
      </c>
      <c r="AH66" s="4">
        <f>Weather!P186</f>
        <v>53.012499999999996</v>
      </c>
      <c r="AI66" s="4">
        <f>Weather!Q186</f>
        <v>33.441666666666677</v>
      </c>
      <c r="AJ66" s="4">
        <f>Weather!R186</f>
        <v>7.368682795698926</v>
      </c>
      <c r="AK66" s="4">
        <f>'Economic Data'!F68</f>
        <v>807274.5</v>
      </c>
      <c r="AL66" s="4">
        <f>'Economic Data'!G68</f>
        <v>7827.1</v>
      </c>
      <c r="AM66" s="4">
        <f>'Economic Data'!H68</f>
        <v>7405</v>
      </c>
      <c r="AN66" s="4">
        <f>'Economic Data'!I68</f>
        <v>118.8</v>
      </c>
      <c r="AO66" s="4">
        <f>'Economic Data'!J68</f>
        <v>129.6</v>
      </c>
      <c r="AP66" s="4">
        <f>'Economic Data'!K68</f>
        <v>473</v>
      </c>
      <c r="AQ66" s="4">
        <f>'Economic Data'!L68</f>
        <v>259.39999999999998</v>
      </c>
      <c r="AR66" s="4">
        <f>'Economic Data'!M68</f>
        <v>2224.8000000000002</v>
      </c>
      <c r="AS66" s="4">
        <f>'Economic Data'!N68</f>
        <v>2526.6</v>
      </c>
      <c r="AT66" s="4">
        <f>'Economic Data'!O68</f>
        <v>806630</v>
      </c>
      <c r="AU66" s="4">
        <f>'Economic Data'!P68</f>
        <v>7794</v>
      </c>
      <c r="AV66" s="4">
        <f>'Economic Data'!Q68</f>
        <v>4698</v>
      </c>
      <c r="AW66" s="4">
        <f>'Economic Data'!R68</f>
        <v>4876</v>
      </c>
      <c r="AX66" s="4">
        <f>'Economic Data'!E68</f>
        <v>7366.8</v>
      </c>
      <c r="AY66" s="4">
        <f>'Economic Data'!D68</f>
        <v>7398.9</v>
      </c>
      <c r="AZ66">
        <v>65</v>
      </c>
      <c r="BA66" s="14">
        <f t="shared" si="18"/>
        <v>4.3040650932041702</v>
      </c>
      <c r="BB66">
        <f t="shared" si="19"/>
        <v>4225</v>
      </c>
      <c r="BC66">
        <v>0</v>
      </c>
      <c r="BD66">
        <v>0</v>
      </c>
      <c r="BE66">
        <v>0</v>
      </c>
      <c r="BF66">
        <v>0</v>
      </c>
      <c r="BG66">
        <v>1</v>
      </c>
      <c r="BH66">
        <v>0</v>
      </c>
      <c r="BI66">
        <v>0</v>
      </c>
      <c r="BJ66">
        <v>0</v>
      </c>
      <c r="BK66">
        <v>0</v>
      </c>
      <c r="BL66">
        <v>0</v>
      </c>
      <c r="BM66">
        <v>0</v>
      </c>
      <c r="BN66">
        <v>0</v>
      </c>
      <c r="BO66">
        <v>1</v>
      </c>
      <c r="BP66">
        <v>0</v>
      </c>
      <c r="BQ66">
        <v>1</v>
      </c>
      <c r="BR66">
        <v>31</v>
      </c>
      <c r="BS66">
        <v>20</v>
      </c>
      <c r="BT66">
        <v>0</v>
      </c>
      <c r="BU66">
        <v>0</v>
      </c>
      <c r="BV66">
        <v>0</v>
      </c>
      <c r="BW66">
        <v>0</v>
      </c>
      <c r="BX66" s="17">
        <f t="shared" ref="BX66:BX97" si="32">$BT66*V66</f>
        <v>0</v>
      </c>
      <c r="BY66" s="17">
        <f t="shared" ref="BY66:BY97" si="33">$BT66*W66</f>
        <v>0</v>
      </c>
      <c r="BZ66" s="17">
        <f t="shared" ref="BZ66:BZ97" si="34">$BT66*X66</f>
        <v>0</v>
      </c>
      <c r="CA66" s="17">
        <f t="shared" ref="CA66:CA97" si="35">$BT66*Y66</f>
        <v>0</v>
      </c>
      <c r="CB66" s="17">
        <f t="shared" ref="CB66:CB97" si="36">$BT66*Z66</f>
        <v>0</v>
      </c>
      <c r="CC66" s="17">
        <f t="shared" ref="CC66:CC97" si="37">$BT66*AA66</f>
        <v>0</v>
      </c>
      <c r="CD66" s="17">
        <f t="shared" ref="CD66:CD97" si="38">$BT66*AB66</f>
        <v>0</v>
      </c>
      <c r="CE66" s="17">
        <f t="shared" ref="CE66:CE97" si="39">$BT66*AC66</f>
        <v>0</v>
      </c>
      <c r="CF66" s="17">
        <f t="shared" ref="CF66:CF97" si="40">$BT66*AD66</f>
        <v>0</v>
      </c>
      <c r="CG66" s="17">
        <f t="shared" ref="CG66:CG97" si="41">$BT66*AE66</f>
        <v>0</v>
      </c>
      <c r="CH66" s="17">
        <f t="shared" ref="CH66:CH97" si="42">$BT66*AF66</f>
        <v>0</v>
      </c>
      <c r="CI66" s="17">
        <f t="shared" ref="CI66:CI97" si="43">$BT66*AG66</f>
        <v>0</v>
      </c>
      <c r="CJ66" s="17">
        <f t="shared" ref="CJ66:CJ121" si="44">$BT66*AH66</f>
        <v>0</v>
      </c>
      <c r="CK66" s="17">
        <f t="shared" ref="CK66:CK121" si="45">$BT66*AI66</f>
        <v>0</v>
      </c>
    </row>
    <row r="67" spans="1:89" x14ac:dyDescent="0.35">
      <c r="A67" s="1">
        <v>43617</v>
      </c>
      <c r="B67">
        <v>2019</v>
      </c>
      <c r="C67">
        <f t="shared" ref="C67:C130" si="46">MONTH(A67)</f>
        <v>6</v>
      </c>
      <c r="D67" s="4">
        <v>2661394.3361402112</v>
      </c>
      <c r="E67" s="4">
        <f>IFERROR(VLOOKUP($B67-1,CDM!$K$5:$N$19,2,FALSE)/12,0)+IFERROR(VLOOKUP($B67,CDM!$K$35:$N$47,2,FALSE)/24,0)+IFERROR(VLOOKUP($B67,CDM!$K$35:$N$47,2,FALSE)/2*$C67/78,0)</f>
        <v>152715.44991728151</v>
      </c>
      <c r="F67" s="4">
        <f t="shared" ref="F67:F121" si="47">D67+E67</f>
        <v>2814109.7860574927</v>
      </c>
      <c r="G67" s="4">
        <v>1315959.3640450467</v>
      </c>
      <c r="H67" s="4">
        <f>IFERROR(VLOOKUP($B67-1,CDM!$K$5:$N$19,3,FALSE)/12,0)+IFERROR(VLOOKUP($B67,CDM!$K$35:$N$47,3,FALSE)/24,0)+IFERROR(VLOOKUP($B67,CDM!$K$35:$N$47,3,FALSE)/2*$C67/78,0)</f>
        <v>203987.22380123171</v>
      </c>
      <c r="I67" s="4">
        <f t="shared" ref="I67:I121" si="48">G67+H67</f>
        <v>1519946.5878462784</v>
      </c>
      <c r="J67" s="4">
        <v>4821580.8625940429</v>
      </c>
      <c r="K67" s="4">
        <f>IFERROR(VLOOKUP($B67-1,CDM!$K$5:$N$19,4,FALSE)/12,0)+IFERROR(VLOOKUP($B67,CDM!$K$35:$N$47,4,FALSE)/24,0)+IFERROR(VLOOKUP($B67,CDM!$K$35:$N$47,4,FALSE)/2*$C67/78,0)</f>
        <v>214043.14620044333</v>
      </c>
      <c r="L67" s="4">
        <f t="shared" ref="L67:L130" si="49">J67+K67</f>
        <v>5035624.0087944865</v>
      </c>
      <c r="M67" s="4">
        <v>35142.283392448517</v>
      </c>
      <c r="N67" s="4">
        <v>13681.499999999998</v>
      </c>
      <c r="O67" s="4">
        <v>13737.33</v>
      </c>
      <c r="P67" s="4">
        <v>121.92</v>
      </c>
      <c r="Q67" s="4">
        <v>5096</v>
      </c>
      <c r="R67" s="4">
        <v>743</v>
      </c>
      <c r="S67" s="4">
        <v>69</v>
      </c>
      <c r="T67" s="4">
        <v>1710</v>
      </c>
      <c r="U67" s="4">
        <v>23</v>
      </c>
      <c r="V67" s="4">
        <f>Weather!D187</f>
        <v>183.45833333333331</v>
      </c>
      <c r="W67" s="4">
        <f>Weather!E187</f>
        <v>5.4208333333333307</v>
      </c>
      <c r="X67" s="4">
        <f>Weather!F187</f>
        <v>133.06666666666663</v>
      </c>
      <c r="Y67" s="4">
        <f>Weather!G187</f>
        <v>15.029166666666669</v>
      </c>
      <c r="Z67" s="4">
        <f>Weather!H187</f>
        <v>86.879166666666649</v>
      </c>
      <c r="AA67" s="4">
        <f>Weather!I187</f>
        <v>28.841666666666658</v>
      </c>
      <c r="AB67" s="4">
        <f>Weather!J187</f>
        <v>47.966666666666661</v>
      </c>
      <c r="AC67" s="4">
        <f>Weather!K187</f>
        <v>49.929166666666646</v>
      </c>
      <c r="AD67" s="4">
        <f>Weather!L187</f>
        <v>23.412500000000001</v>
      </c>
      <c r="AE67" s="4">
        <f>Weather!M187</f>
        <v>85.374999999999986</v>
      </c>
      <c r="AF67" s="4">
        <f>Weather!N187</f>
        <v>10.320833333333335</v>
      </c>
      <c r="AG67" s="4">
        <f>Weather!O187</f>
        <v>132.28333333333333</v>
      </c>
      <c r="AH67" s="4">
        <f>Weather!P187</f>
        <v>3.8916666666666675</v>
      </c>
      <c r="AI67" s="4">
        <f>Weather!Q187</f>
        <v>185.85416666666671</v>
      </c>
      <c r="AJ67" s="4">
        <f>Weather!R187</f>
        <v>14.065416666666664</v>
      </c>
      <c r="AK67" s="4">
        <f>'Economic Data'!F69</f>
        <v>807274.5</v>
      </c>
      <c r="AL67" s="4">
        <f>'Economic Data'!G69</f>
        <v>7827.1</v>
      </c>
      <c r="AM67" s="4">
        <f>'Economic Data'!H69</f>
        <v>7405</v>
      </c>
      <c r="AN67" s="4">
        <f>'Economic Data'!I69</f>
        <v>118.8</v>
      </c>
      <c r="AO67" s="4">
        <f>'Economic Data'!J69</f>
        <v>129.6</v>
      </c>
      <c r="AP67" s="4">
        <f>'Economic Data'!K69</f>
        <v>473</v>
      </c>
      <c r="AQ67" s="4">
        <f>'Economic Data'!L69</f>
        <v>259.39999999999998</v>
      </c>
      <c r="AR67" s="4">
        <f>'Economic Data'!M69</f>
        <v>2224.8000000000002</v>
      </c>
      <c r="AS67" s="4">
        <f>'Economic Data'!N69</f>
        <v>2526.6</v>
      </c>
      <c r="AT67" s="4">
        <f>'Economic Data'!O69</f>
        <v>806630</v>
      </c>
      <c r="AU67" s="4">
        <f>'Economic Data'!P69</f>
        <v>7794</v>
      </c>
      <c r="AV67" s="4">
        <f>'Economic Data'!Q69</f>
        <v>4698</v>
      </c>
      <c r="AW67" s="4">
        <f>'Economic Data'!R69</f>
        <v>4876</v>
      </c>
      <c r="AX67" s="4">
        <f>'Economic Data'!E69</f>
        <v>7460.9</v>
      </c>
      <c r="AY67" s="4">
        <f>'Economic Data'!D69</f>
        <v>7420.3</v>
      </c>
      <c r="AZ67">
        <v>66</v>
      </c>
      <c r="BA67" s="14">
        <f t="shared" ref="BA67:BA121" si="50">LN(AZ67+9)</f>
        <v>4.3174881135363101</v>
      </c>
      <c r="BB67">
        <f t="shared" ref="BB67:BB121" si="51">AZ67^2</f>
        <v>4356</v>
      </c>
      <c r="BC67">
        <v>0</v>
      </c>
      <c r="BD67">
        <v>0</v>
      </c>
      <c r="BE67">
        <v>0</v>
      </c>
      <c r="BF67">
        <v>0</v>
      </c>
      <c r="BG67">
        <v>0</v>
      </c>
      <c r="BH67">
        <v>1</v>
      </c>
      <c r="BI67">
        <v>0</v>
      </c>
      <c r="BJ67">
        <v>0</v>
      </c>
      <c r="BK67">
        <v>0</v>
      </c>
      <c r="BL67">
        <v>0</v>
      </c>
      <c r="BM67">
        <v>0</v>
      </c>
      <c r="BN67">
        <v>0</v>
      </c>
      <c r="BO67">
        <v>0</v>
      </c>
      <c r="BP67">
        <v>0</v>
      </c>
      <c r="BQ67">
        <v>0</v>
      </c>
      <c r="BR67">
        <v>30</v>
      </c>
      <c r="BS67">
        <v>22</v>
      </c>
      <c r="BT67">
        <v>0</v>
      </c>
      <c r="BU67">
        <v>0</v>
      </c>
      <c r="BV67">
        <v>0</v>
      </c>
      <c r="BW67">
        <v>0</v>
      </c>
      <c r="BX67" s="17">
        <f t="shared" si="32"/>
        <v>0</v>
      </c>
      <c r="BY67" s="17">
        <f t="shared" si="33"/>
        <v>0</v>
      </c>
      <c r="BZ67" s="17">
        <f t="shared" si="34"/>
        <v>0</v>
      </c>
      <c r="CA67" s="17">
        <f t="shared" si="35"/>
        <v>0</v>
      </c>
      <c r="CB67" s="17">
        <f t="shared" si="36"/>
        <v>0</v>
      </c>
      <c r="CC67" s="17">
        <f t="shared" si="37"/>
        <v>0</v>
      </c>
      <c r="CD67" s="17">
        <f t="shared" si="38"/>
        <v>0</v>
      </c>
      <c r="CE67" s="17">
        <f t="shared" si="39"/>
        <v>0</v>
      </c>
      <c r="CF67" s="17">
        <f t="shared" si="40"/>
        <v>0</v>
      </c>
      <c r="CG67" s="17">
        <f t="shared" si="41"/>
        <v>0</v>
      </c>
      <c r="CH67" s="17">
        <f t="shared" si="42"/>
        <v>0</v>
      </c>
      <c r="CI67" s="17">
        <f t="shared" si="43"/>
        <v>0</v>
      </c>
      <c r="CJ67" s="17">
        <f t="shared" si="44"/>
        <v>0</v>
      </c>
      <c r="CK67" s="17">
        <f t="shared" si="45"/>
        <v>0</v>
      </c>
    </row>
    <row r="68" spans="1:89" x14ac:dyDescent="0.35">
      <c r="A68" s="1">
        <v>43647</v>
      </c>
      <c r="B68">
        <v>2019</v>
      </c>
      <c r="C68">
        <f t="shared" si="46"/>
        <v>7</v>
      </c>
      <c r="D68" s="4">
        <v>2505814.7894888055</v>
      </c>
      <c r="E68" s="4">
        <f>IFERROR(VLOOKUP($B68-1,CDM!$K$5:$N$19,2,FALSE)/12,0)+IFERROR(VLOOKUP($B68,CDM!$K$35:$N$47,2,FALSE)/24,0)+IFERROR(VLOOKUP($B68,CDM!$K$35:$N$47,2,FALSE)/2*$C68/78,0)</f>
        <v>153406.09117996859</v>
      </c>
      <c r="F68" s="4">
        <f t="shared" si="47"/>
        <v>2659220.8806687742</v>
      </c>
      <c r="G68" s="4">
        <v>1225104.283538844</v>
      </c>
      <c r="H68" s="4">
        <f>IFERROR(VLOOKUP($B68-1,CDM!$K$5:$N$19,3,FALSE)/12,0)+IFERROR(VLOOKUP($B68,CDM!$K$35:$N$47,3,FALSE)/24,0)+IFERROR(VLOOKUP($B68,CDM!$K$35:$N$47,3,FALSE)/2*$C68/78,0)</f>
        <v>204487.78272483349</v>
      </c>
      <c r="I68" s="4">
        <f t="shared" si="48"/>
        <v>1429592.0662636776</v>
      </c>
      <c r="J68" s="4">
        <v>4386279.7380067222</v>
      </c>
      <c r="K68" s="4">
        <f>IFERROR(VLOOKUP($B68-1,CDM!$K$5:$N$19,4,FALSE)/12,0)+IFERROR(VLOOKUP($B68,CDM!$K$35:$N$47,4,FALSE)/24,0)+IFERROR(VLOOKUP($B68,CDM!$K$35:$N$47,4,FALSE)/2*$C68/78,0)</f>
        <v>215633.228493334</v>
      </c>
      <c r="L68" s="4">
        <f t="shared" si="49"/>
        <v>4601912.966500056</v>
      </c>
      <c r="M68" s="4">
        <v>31430.936636155606</v>
      </c>
      <c r="N68" s="4">
        <v>13681.499999999998</v>
      </c>
      <c r="O68" s="4">
        <v>13274.77</v>
      </c>
      <c r="P68" s="4">
        <v>121.92</v>
      </c>
      <c r="Q68" s="4">
        <v>5109</v>
      </c>
      <c r="R68" s="4">
        <v>744</v>
      </c>
      <c r="S68" s="4">
        <v>70</v>
      </c>
      <c r="T68" s="4">
        <v>1710</v>
      </c>
      <c r="U68" s="4">
        <v>23</v>
      </c>
      <c r="V68" s="4">
        <f>Weather!D188</f>
        <v>54.962499999999999</v>
      </c>
      <c r="W68" s="4">
        <f>Weather!E188</f>
        <v>27.408333333333317</v>
      </c>
      <c r="X68" s="4">
        <f>Weather!F188</f>
        <v>27.620833333333337</v>
      </c>
      <c r="Y68" s="4">
        <f>Weather!G188</f>
        <v>62.066666666666663</v>
      </c>
      <c r="Z68" s="4">
        <f>Weather!H188</f>
        <v>7.2250000000000014</v>
      </c>
      <c r="AA68" s="4">
        <f>Weather!I188</f>
        <v>103.67083333333333</v>
      </c>
      <c r="AB68" s="4">
        <f>Weather!J188</f>
        <v>2.0416666666666661</v>
      </c>
      <c r="AC68" s="4">
        <f>Weather!K188</f>
        <v>160.48749999999998</v>
      </c>
      <c r="AD68" s="4">
        <f>Weather!L188</f>
        <v>4.1666666666666075E-2</v>
      </c>
      <c r="AE68" s="4">
        <f>Weather!M188</f>
        <v>220.48749999999998</v>
      </c>
      <c r="AF68" s="4">
        <f>Weather!N188</f>
        <v>0</v>
      </c>
      <c r="AG68" s="4">
        <f>Weather!O188</f>
        <v>282.44583333333338</v>
      </c>
      <c r="AH68" s="4">
        <f>Weather!P188</f>
        <v>0</v>
      </c>
      <c r="AI68" s="4">
        <f>Weather!Q188</f>
        <v>344.44583333333338</v>
      </c>
      <c r="AJ68" s="4">
        <f>Weather!R188</f>
        <v>19.111155913978493</v>
      </c>
      <c r="AK68" s="4">
        <f>'Economic Data'!F70</f>
        <v>807274.5</v>
      </c>
      <c r="AL68" s="4">
        <f>'Economic Data'!G70</f>
        <v>7827.1</v>
      </c>
      <c r="AM68" s="4">
        <f>'Economic Data'!H70</f>
        <v>7405</v>
      </c>
      <c r="AN68" s="4">
        <f>'Economic Data'!I70</f>
        <v>118.8</v>
      </c>
      <c r="AO68" s="4">
        <f>'Economic Data'!J70</f>
        <v>129.6</v>
      </c>
      <c r="AP68" s="4">
        <f>'Economic Data'!K70</f>
        <v>473</v>
      </c>
      <c r="AQ68" s="4">
        <f>'Economic Data'!L70</f>
        <v>259.39999999999998</v>
      </c>
      <c r="AR68" s="4">
        <f>'Economic Data'!M70</f>
        <v>2224.8000000000002</v>
      </c>
      <c r="AS68" s="4">
        <f>'Economic Data'!N70</f>
        <v>2526.6</v>
      </c>
      <c r="AT68" s="4">
        <f>'Economic Data'!O70</f>
        <v>810347</v>
      </c>
      <c r="AU68" s="4">
        <f>'Economic Data'!P70</f>
        <v>7923</v>
      </c>
      <c r="AV68" s="4">
        <f>'Economic Data'!Q70</f>
        <v>4586</v>
      </c>
      <c r="AW68" s="4">
        <f>'Economic Data'!R70</f>
        <v>4707</v>
      </c>
      <c r="AX68" s="4">
        <f>'Economic Data'!E70</f>
        <v>7509.9</v>
      </c>
      <c r="AY68" s="4">
        <f>'Economic Data'!D70</f>
        <v>7423.6</v>
      </c>
      <c r="AZ68">
        <v>67</v>
      </c>
      <c r="BA68" s="14">
        <f t="shared" si="50"/>
        <v>4.3307333402863311</v>
      </c>
      <c r="BB68">
        <f t="shared" si="51"/>
        <v>4489</v>
      </c>
      <c r="BC68">
        <v>0</v>
      </c>
      <c r="BD68">
        <v>0</v>
      </c>
      <c r="BE68">
        <v>0</v>
      </c>
      <c r="BF68">
        <v>0</v>
      </c>
      <c r="BG68">
        <v>0</v>
      </c>
      <c r="BH68">
        <v>0</v>
      </c>
      <c r="BI68">
        <v>1</v>
      </c>
      <c r="BJ68">
        <v>0</v>
      </c>
      <c r="BK68">
        <v>0</v>
      </c>
      <c r="BL68">
        <v>0</v>
      </c>
      <c r="BM68">
        <v>0</v>
      </c>
      <c r="BN68">
        <v>0</v>
      </c>
      <c r="BO68">
        <v>0</v>
      </c>
      <c r="BP68">
        <v>0</v>
      </c>
      <c r="BQ68">
        <v>0</v>
      </c>
      <c r="BR68">
        <v>31</v>
      </c>
      <c r="BS68">
        <v>22</v>
      </c>
      <c r="BT68">
        <v>0</v>
      </c>
      <c r="BU68">
        <v>0</v>
      </c>
      <c r="BV68">
        <v>0</v>
      </c>
      <c r="BW68">
        <v>0</v>
      </c>
      <c r="BX68" s="17">
        <f t="shared" si="32"/>
        <v>0</v>
      </c>
      <c r="BY68" s="17">
        <f t="shared" si="33"/>
        <v>0</v>
      </c>
      <c r="BZ68" s="17">
        <f t="shared" si="34"/>
        <v>0</v>
      </c>
      <c r="CA68" s="17">
        <f t="shared" si="35"/>
        <v>0</v>
      </c>
      <c r="CB68" s="17">
        <f t="shared" si="36"/>
        <v>0</v>
      </c>
      <c r="CC68" s="17">
        <f t="shared" si="37"/>
        <v>0</v>
      </c>
      <c r="CD68" s="17">
        <f t="shared" si="38"/>
        <v>0</v>
      </c>
      <c r="CE68" s="17">
        <f t="shared" si="39"/>
        <v>0</v>
      </c>
      <c r="CF68" s="17">
        <f t="shared" si="40"/>
        <v>0</v>
      </c>
      <c r="CG68" s="17">
        <f t="shared" si="41"/>
        <v>0</v>
      </c>
      <c r="CH68" s="17">
        <f t="shared" si="42"/>
        <v>0</v>
      </c>
      <c r="CI68" s="17">
        <f t="shared" si="43"/>
        <v>0</v>
      </c>
      <c r="CJ68" s="17">
        <f t="shared" si="44"/>
        <v>0</v>
      </c>
      <c r="CK68" s="17">
        <f t="shared" si="45"/>
        <v>0</v>
      </c>
    </row>
    <row r="69" spans="1:89" x14ac:dyDescent="0.35">
      <c r="A69" s="1">
        <v>43678</v>
      </c>
      <c r="B69">
        <v>2019</v>
      </c>
      <c r="C69">
        <f t="shared" si="46"/>
        <v>8</v>
      </c>
      <c r="D69" s="4">
        <v>2996176.1697902833</v>
      </c>
      <c r="E69" s="4">
        <f>IFERROR(VLOOKUP($B69-1,CDM!$K$5:$N$19,2,FALSE)/12,0)+IFERROR(VLOOKUP($B69,CDM!$K$35:$N$47,2,FALSE)/24,0)+IFERROR(VLOOKUP($B69,CDM!$K$35:$N$47,2,FALSE)/2*$C69/78,0)</f>
        <v>154096.73244265566</v>
      </c>
      <c r="F69" s="4">
        <f t="shared" si="47"/>
        <v>3150272.9022329389</v>
      </c>
      <c r="G69" s="4">
        <v>1356421.2828645336</v>
      </c>
      <c r="H69" s="4">
        <f>IFERROR(VLOOKUP($B69-1,CDM!$K$5:$N$19,3,FALSE)/12,0)+IFERROR(VLOOKUP($B69,CDM!$K$35:$N$47,3,FALSE)/24,0)+IFERROR(VLOOKUP($B69,CDM!$K$35:$N$47,3,FALSE)/2*$C69/78,0)</f>
        <v>204988.34164843528</v>
      </c>
      <c r="I69" s="4">
        <f t="shared" si="48"/>
        <v>1561409.6245129688</v>
      </c>
      <c r="J69" s="4">
        <v>4349949.7590838689</v>
      </c>
      <c r="K69" s="4">
        <f>IFERROR(VLOOKUP($B69-1,CDM!$K$5:$N$19,4,FALSE)/12,0)+IFERROR(VLOOKUP($B69,CDM!$K$35:$N$47,4,FALSE)/24,0)+IFERROR(VLOOKUP($B69,CDM!$K$35:$N$47,4,FALSE)/2*$C69/78,0)</f>
        <v>217223.31078622467</v>
      </c>
      <c r="L69" s="4">
        <f t="shared" si="49"/>
        <v>4567173.0698700938</v>
      </c>
      <c r="M69" s="4">
        <v>33730.151454996187</v>
      </c>
      <c r="N69" s="4">
        <v>13681.499999999998</v>
      </c>
      <c r="O69" s="4">
        <v>12796.74</v>
      </c>
      <c r="P69" s="4">
        <v>121.92</v>
      </c>
      <c r="Q69" s="4">
        <v>5103</v>
      </c>
      <c r="R69" s="4">
        <v>744</v>
      </c>
      <c r="S69" s="4">
        <v>70</v>
      </c>
      <c r="T69" s="4">
        <v>1710</v>
      </c>
      <c r="U69" s="4">
        <v>23</v>
      </c>
      <c r="V69" s="4">
        <f>Weather!D189</f>
        <v>151.11214122217501</v>
      </c>
      <c r="W69" s="4">
        <f>Weather!E189</f>
        <v>0.84583333333333499</v>
      </c>
      <c r="X69" s="4">
        <f>Weather!F189</f>
        <v>96.537141222174995</v>
      </c>
      <c r="Y69" s="4">
        <f>Weather!G189</f>
        <v>8.2708333333333321</v>
      </c>
      <c r="Z69" s="4">
        <f>Weather!H189</f>
        <v>56.012141222175018</v>
      </c>
      <c r="AA69" s="4">
        <f>Weather!I189</f>
        <v>29.74583333333333</v>
      </c>
      <c r="AB69" s="4">
        <f>Weather!J189</f>
        <v>29.911707873342053</v>
      </c>
      <c r="AC69" s="4">
        <f>Weather!K189</f>
        <v>65.645399984500358</v>
      </c>
      <c r="AD69" s="4">
        <f>Weather!L189</f>
        <v>16.545041206675382</v>
      </c>
      <c r="AE69" s="4">
        <f>Weather!M189</f>
        <v>114.2787333178337</v>
      </c>
      <c r="AF69" s="4">
        <f>Weather!N189</f>
        <v>9.3492078733420492</v>
      </c>
      <c r="AG69" s="4">
        <f>Weather!O189</f>
        <v>169.08289998450033</v>
      </c>
      <c r="AH69" s="4">
        <f>Weather!P189</f>
        <v>4.3904347188053254</v>
      </c>
      <c r="AI69" s="4">
        <f>Weather!Q189</f>
        <v>226.12412682996364</v>
      </c>
      <c r="AJ69" s="4">
        <f>Weather!R189</f>
        <v>15.152699745521234</v>
      </c>
      <c r="AK69" s="4">
        <f>'Economic Data'!F71</f>
        <v>807274.5</v>
      </c>
      <c r="AL69" s="4">
        <f>'Economic Data'!G71</f>
        <v>7827.1</v>
      </c>
      <c r="AM69" s="4">
        <f>'Economic Data'!H71</f>
        <v>7405</v>
      </c>
      <c r="AN69" s="4">
        <f>'Economic Data'!I71</f>
        <v>118.8</v>
      </c>
      <c r="AO69" s="4">
        <f>'Economic Data'!J71</f>
        <v>129.6</v>
      </c>
      <c r="AP69" s="4">
        <f>'Economic Data'!K71</f>
        <v>473</v>
      </c>
      <c r="AQ69" s="4">
        <f>'Economic Data'!L71</f>
        <v>259.39999999999998</v>
      </c>
      <c r="AR69" s="4">
        <f>'Economic Data'!M71</f>
        <v>2224.8000000000002</v>
      </c>
      <c r="AS69" s="4">
        <f>'Economic Data'!N71</f>
        <v>2526.6</v>
      </c>
      <c r="AT69" s="4">
        <f>'Economic Data'!O71</f>
        <v>810347</v>
      </c>
      <c r="AU69" s="4">
        <f>'Economic Data'!P71</f>
        <v>7923</v>
      </c>
      <c r="AV69" s="4">
        <f>'Economic Data'!Q71</f>
        <v>4586</v>
      </c>
      <c r="AW69" s="4">
        <f>'Economic Data'!R71</f>
        <v>4707</v>
      </c>
      <c r="AX69" s="4">
        <f>'Economic Data'!E71</f>
        <v>7523.3</v>
      </c>
      <c r="AY69" s="4">
        <f>'Economic Data'!D71</f>
        <v>7433.8</v>
      </c>
      <c r="AZ69">
        <v>68</v>
      </c>
      <c r="BA69" s="14">
        <f t="shared" si="50"/>
        <v>4.3438054218536841</v>
      </c>
      <c r="BB69">
        <f t="shared" si="51"/>
        <v>4624</v>
      </c>
      <c r="BC69">
        <v>0</v>
      </c>
      <c r="BD69">
        <v>0</v>
      </c>
      <c r="BE69">
        <v>0</v>
      </c>
      <c r="BF69">
        <v>0</v>
      </c>
      <c r="BG69">
        <v>0</v>
      </c>
      <c r="BH69">
        <v>0</v>
      </c>
      <c r="BI69">
        <v>0</v>
      </c>
      <c r="BJ69">
        <v>1</v>
      </c>
      <c r="BK69">
        <v>0</v>
      </c>
      <c r="BL69">
        <v>0</v>
      </c>
      <c r="BM69">
        <v>0</v>
      </c>
      <c r="BN69">
        <v>0</v>
      </c>
      <c r="BO69">
        <v>0</v>
      </c>
      <c r="BP69">
        <v>0</v>
      </c>
      <c r="BQ69">
        <v>0</v>
      </c>
      <c r="BR69">
        <v>31</v>
      </c>
      <c r="BS69">
        <v>20</v>
      </c>
      <c r="BT69">
        <v>0</v>
      </c>
      <c r="BU69">
        <v>0</v>
      </c>
      <c r="BV69">
        <v>0</v>
      </c>
      <c r="BW69">
        <v>0</v>
      </c>
      <c r="BX69" s="17">
        <f t="shared" si="32"/>
        <v>0</v>
      </c>
      <c r="BY69" s="17">
        <f t="shared" si="33"/>
        <v>0</v>
      </c>
      <c r="BZ69" s="17">
        <f t="shared" si="34"/>
        <v>0</v>
      </c>
      <c r="CA69" s="17">
        <f t="shared" si="35"/>
        <v>0</v>
      </c>
      <c r="CB69" s="17">
        <f t="shared" si="36"/>
        <v>0</v>
      </c>
      <c r="CC69" s="17">
        <f t="shared" si="37"/>
        <v>0</v>
      </c>
      <c r="CD69" s="17">
        <f t="shared" si="38"/>
        <v>0</v>
      </c>
      <c r="CE69" s="17">
        <f t="shared" si="39"/>
        <v>0</v>
      </c>
      <c r="CF69" s="17">
        <f t="shared" si="40"/>
        <v>0</v>
      </c>
      <c r="CG69" s="17">
        <f t="shared" si="41"/>
        <v>0</v>
      </c>
      <c r="CH69" s="17">
        <f t="shared" si="42"/>
        <v>0</v>
      </c>
      <c r="CI69" s="17">
        <f t="shared" si="43"/>
        <v>0</v>
      </c>
      <c r="CJ69" s="17">
        <f t="shared" si="44"/>
        <v>0</v>
      </c>
      <c r="CK69" s="17">
        <f t="shared" si="45"/>
        <v>0</v>
      </c>
    </row>
    <row r="70" spans="1:89" x14ac:dyDescent="0.35">
      <c r="A70" s="1">
        <v>43709</v>
      </c>
      <c r="B70">
        <v>2019</v>
      </c>
      <c r="C70">
        <f t="shared" si="46"/>
        <v>9</v>
      </c>
      <c r="D70" s="4">
        <v>2665063.2056615651</v>
      </c>
      <c r="E70" s="4">
        <f>IFERROR(VLOOKUP($B70-1,CDM!$K$5:$N$19,2,FALSE)/12,0)+IFERROR(VLOOKUP($B70,CDM!$K$35:$N$47,2,FALSE)/24,0)+IFERROR(VLOOKUP($B70,CDM!$K$35:$N$47,2,FALSE)/2*$C70/78,0)</f>
        <v>154787.3737053427</v>
      </c>
      <c r="F70" s="4">
        <f t="shared" si="47"/>
        <v>2819850.5793669079</v>
      </c>
      <c r="G70" s="4">
        <v>1236214.6421669878</v>
      </c>
      <c r="H70" s="4">
        <f>IFERROR(VLOOKUP($B70-1,CDM!$K$5:$N$19,3,FALSE)/12,0)+IFERROR(VLOOKUP($B70,CDM!$K$35:$N$47,3,FALSE)/24,0)+IFERROR(VLOOKUP($B70,CDM!$K$35:$N$47,3,FALSE)/2*$C70/78,0)</f>
        <v>205488.90057203706</v>
      </c>
      <c r="I70" s="4">
        <f t="shared" si="48"/>
        <v>1441703.5427390249</v>
      </c>
      <c r="J70" s="4">
        <v>4551957.5136378687</v>
      </c>
      <c r="K70" s="4">
        <f>IFERROR(VLOOKUP($B70-1,CDM!$K$5:$N$19,4,FALSE)/12,0)+IFERROR(VLOOKUP($B70,CDM!$K$35:$N$47,4,FALSE)/24,0)+IFERROR(VLOOKUP($B70,CDM!$K$35:$N$47,4,FALSE)/2*$C70/78,0)</f>
        <v>218813.39307911534</v>
      </c>
      <c r="L70" s="4">
        <f t="shared" si="49"/>
        <v>4770770.9067169838</v>
      </c>
      <c r="M70" s="4">
        <v>37954.546146071705</v>
      </c>
      <c r="N70" s="4">
        <v>13681.499999999998</v>
      </c>
      <c r="O70" s="4">
        <v>12597.53</v>
      </c>
      <c r="P70" s="4">
        <v>121.92</v>
      </c>
      <c r="Q70" s="4">
        <v>5095</v>
      </c>
      <c r="R70" s="4">
        <v>743</v>
      </c>
      <c r="S70" s="4">
        <v>68</v>
      </c>
      <c r="T70" s="4">
        <v>1710</v>
      </c>
      <c r="U70" s="4">
        <v>23</v>
      </c>
      <c r="V70" s="4">
        <f>Weather!D190</f>
        <v>260.47916666666663</v>
      </c>
      <c r="W70" s="4">
        <f>Weather!E190</f>
        <v>0.37083333333333357</v>
      </c>
      <c r="X70" s="4">
        <f>Weather!F190</f>
        <v>205.75000000000003</v>
      </c>
      <c r="Y70" s="4">
        <f>Weather!G190</f>
        <v>5.6416666666666764</v>
      </c>
      <c r="Z70" s="4">
        <f>Weather!H190</f>
        <v>153.75</v>
      </c>
      <c r="AA70" s="4">
        <f>Weather!I190</f>
        <v>13.641666666666676</v>
      </c>
      <c r="AB70" s="4">
        <f>Weather!J190</f>
        <v>102.92083333333333</v>
      </c>
      <c r="AC70" s="4">
        <f>Weather!K190</f>
        <v>22.812500000000011</v>
      </c>
      <c r="AD70" s="4">
        <f>Weather!L190</f>
        <v>60.704166666666666</v>
      </c>
      <c r="AE70" s="4">
        <f>Weather!M190</f>
        <v>40.595833333333346</v>
      </c>
      <c r="AF70" s="4">
        <f>Weather!N190</f>
        <v>29.270833333333339</v>
      </c>
      <c r="AG70" s="4">
        <f>Weather!O190</f>
        <v>69.162500000000009</v>
      </c>
      <c r="AH70" s="4">
        <f>Weather!P190</f>
        <v>11.05</v>
      </c>
      <c r="AI70" s="4">
        <f>Weather!Q190</f>
        <v>110.94166666666668</v>
      </c>
      <c r="AJ70" s="4">
        <f>Weather!R190</f>
        <v>11.329722222222225</v>
      </c>
      <c r="AK70" s="4">
        <f>'Economic Data'!F72</f>
        <v>807274.5</v>
      </c>
      <c r="AL70" s="4">
        <f>'Economic Data'!G72</f>
        <v>7827.1</v>
      </c>
      <c r="AM70" s="4">
        <f>'Economic Data'!H72</f>
        <v>7405</v>
      </c>
      <c r="AN70" s="4">
        <f>'Economic Data'!I72</f>
        <v>118.8</v>
      </c>
      <c r="AO70" s="4">
        <f>'Economic Data'!J72</f>
        <v>129.6</v>
      </c>
      <c r="AP70" s="4">
        <f>'Economic Data'!K72</f>
        <v>473</v>
      </c>
      <c r="AQ70" s="4">
        <f>'Economic Data'!L72</f>
        <v>259.39999999999998</v>
      </c>
      <c r="AR70" s="4">
        <f>'Economic Data'!M72</f>
        <v>2224.8000000000002</v>
      </c>
      <c r="AS70" s="4">
        <f>'Economic Data'!N72</f>
        <v>2526.6</v>
      </c>
      <c r="AT70" s="4">
        <f>'Economic Data'!O72</f>
        <v>810347</v>
      </c>
      <c r="AU70" s="4">
        <f>'Economic Data'!P72</f>
        <v>7923</v>
      </c>
      <c r="AV70" s="4">
        <f>'Economic Data'!Q72</f>
        <v>4586</v>
      </c>
      <c r="AW70" s="4">
        <f>'Economic Data'!R72</f>
        <v>4707</v>
      </c>
      <c r="AX70" s="4">
        <f>'Economic Data'!E72</f>
        <v>7505.1</v>
      </c>
      <c r="AY70" s="4">
        <f>'Economic Data'!D72</f>
        <v>7448.5</v>
      </c>
      <c r="AZ70">
        <v>69</v>
      </c>
      <c r="BA70" s="14">
        <f t="shared" si="50"/>
        <v>4.3567088266895917</v>
      </c>
      <c r="BB70">
        <f t="shared" si="51"/>
        <v>4761</v>
      </c>
      <c r="BC70">
        <v>0</v>
      </c>
      <c r="BD70">
        <v>0</v>
      </c>
      <c r="BE70">
        <v>0</v>
      </c>
      <c r="BF70">
        <v>0</v>
      </c>
      <c r="BG70">
        <v>0</v>
      </c>
      <c r="BH70">
        <v>0</v>
      </c>
      <c r="BI70">
        <v>0</v>
      </c>
      <c r="BJ70">
        <v>0</v>
      </c>
      <c r="BK70">
        <v>1</v>
      </c>
      <c r="BL70">
        <v>0</v>
      </c>
      <c r="BM70">
        <v>0</v>
      </c>
      <c r="BN70">
        <v>0</v>
      </c>
      <c r="BO70">
        <v>0</v>
      </c>
      <c r="BP70">
        <v>0</v>
      </c>
      <c r="BQ70">
        <v>0</v>
      </c>
      <c r="BR70">
        <v>30</v>
      </c>
      <c r="BS70">
        <v>21</v>
      </c>
      <c r="BT70">
        <v>0</v>
      </c>
      <c r="BU70">
        <v>0</v>
      </c>
      <c r="BV70">
        <v>0</v>
      </c>
      <c r="BW70">
        <v>0</v>
      </c>
      <c r="BX70" s="17">
        <f t="shared" si="32"/>
        <v>0</v>
      </c>
      <c r="BY70" s="17">
        <f t="shared" si="33"/>
        <v>0</v>
      </c>
      <c r="BZ70" s="17">
        <f t="shared" si="34"/>
        <v>0</v>
      </c>
      <c r="CA70" s="17">
        <f t="shared" si="35"/>
        <v>0</v>
      </c>
      <c r="CB70" s="17">
        <f t="shared" si="36"/>
        <v>0</v>
      </c>
      <c r="CC70" s="17">
        <f t="shared" si="37"/>
        <v>0</v>
      </c>
      <c r="CD70" s="17">
        <f t="shared" si="38"/>
        <v>0</v>
      </c>
      <c r="CE70" s="17">
        <f t="shared" si="39"/>
        <v>0</v>
      </c>
      <c r="CF70" s="17">
        <f t="shared" si="40"/>
        <v>0</v>
      </c>
      <c r="CG70" s="17">
        <f t="shared" si="41"/>
        <v>0</v>
      </c>
      <c r="CH70" s="17">
        <f t="shared" si="42"/>
        <v>0</v>
      </c>
      <c r="CI70" s="17">
        <f t="shared" si="43"/>
        <v>0</v>
      </c>
      <c r="CJ70" s="17">
        <f t="shared" si="44"/>
        <v>0</v>
      </c>
      <c r="CK70" s="17">
        <f t="shared" si="45"/>
        <v>0</v>
      </c>
    </row>
    <row r="71" spans="1:89" x14ac:dyDescent="0.35">
      <c r="A71" s="1">
        <v>43739</v>
      </c>
      <c r="B71">
        <v>2019</v>
      </c>
      <c r="C71">
        <f t="shared" si="46"/>
        <v>10</v>
      </c>
      <c r="D71" s="4">
        <v>2559648.9734671582</v>
      </c>
      <c r="E71" s="4">
        <f>IFERROR(VLOOKUP($B71-1,CDM!$K$5:$N$19,2,FALSE)/12,0)+IFERROR(VLOOKUP($B71,CDM!$K$35:$N$47,2,FALSE)/24,0)+IFERROR(VLOOKUP($B71,CDM!$K$35:$N$47,2,FALSE)/2*$C71/78,0)</f>
        <v>155478.01496802978</v>
      </c>
      <c r="F71" s="4">
        <f t="shared" si="47"/>
        <v>2715126.9884351878</v>
      </c>
      <c r="G71" s="4">
        <v>1145800.7274216714</v>
      </c>
      <c r="H71" s="4">
        <f>IFERROR(VLOOKUP($B71-1,CDM!$K$5:$N$19,3,FALSE)/12,0)+IFERROR(VLOOKUP($B71,CDM!$K$35:$N$47,3,FALSE)/24,0)+IFERROR(VLOOKUP($B71,CDM!$K$35:$N$47,3,FALSE)/2*$C71/78,0)</f>
        <v>205989.45949563885</v>
      </c>
      <c r="I71" s="4">
        <f t="shared" si="48"/>
        <v>1351790.1869173101</v>
      </c>
      <c r="J71" s="4">
        <v>4532153.5411106795</v>
      </c>
      <c r="K71" s="4">
        <f>IFERROR(VLOOKUP($B71-1,CDM!$K$5:$N$19,4,FALSE)/12,0)+IFERROR(VLOOKUP($B71,CDM!$K$35:$N$47,4,FALSE)/24,0)+IFERROR(VLOOKUP($B71,CDM!$K$35:$N$47,4,FALSE)/2*$C71/78,0)</f>
        <v>220403.47537200601</v>
      </c>
      <c r="L71" s="4">
        <f t="shared" si="49"/>
        <v>4752557.0164826857</v>
      </c>
      <c r="M71" s="4">
        <v>42170.940089626238</v>
      </c>
      <c r="N71" s="4">
        <v>13681.499999999998</v>
      </c>
      <c r="O71" s="4">
        <v>12542.72</v>
      </c>
      <c r="P71" s="4">
        <v>121.92</v>
      </c>
      <c r="Q71" s="4">
        <v>5140</v>
      </c>
      <c r="R71" s="4">
        <v>742</v>
      </c>
      <c r="S71" s="4">
        <v>68</v>
      </c>
      <c r="T71" s="4">
        <v>1710</v>
      </c>
      <c r="U71" s="4">
        <v>23</v>
      </c>
      <c r="V71" s="4">
        <f>Weather!D191</f>
        <v>455.0916666666667</v>
      </c>
      <c r="W71" s="4">
        <f>Weather!E191</f>
        <v>0</v>
      </c>
      <c r="X71" s="4">
        <f>Weather!F191</f>
        <v>393.0916666666667</v>
      </c>
      <c r="Y71" s="4">
        <f>Weather!G191</f>
        <v>0</v>
      </c>
      <c r="Z71" s="4">
        <f>Weather!H191</f>
        <v>331.0916666666667</v>
      </c>
      <c r="AA71" s="4">
        <f>Weather!I191</f>
        <v>0</v>
      </c>
      <c r="AB71" s="4">
        <f>Weather!J191</f>
        <v>269.09166666666675</v>
      </c>
      <c r="AC71" s="4">
        <f>Weather!K191</f>
        <v>0</v>
      </c>
      <c r="AD71" s="4">
        <f>Weather!L191</f>
        <v>208.17916666666667</v>
      </c>
      <c r="AE71" s="4">
        <f>Weather!M191</f>
        <v>1.0875000000000004</v>
      </c>
      <c r="AF71" s="4">
        <f>Weather!N191</f>
        <v>151.38749999999999</v>
      </c>
      <c r="AG71" s="4">
        <f>Weather!O191</f>
        <v>6.2958333333333343</v>
      </c>
      <c r="AH71" s="4">
        <f>Weather!P191</f>
        <v>100.69583333333335</v>
      </c>
      <c r="AI71" s="4">
        <f>Weather!Q191</f>
        <v>17.604166666666668</v>
      </c>
      <c r="AJ71" s="4">
        <f>Weather!R191</f>
        <v>5.3196236559139782</v>
      </c>
      <c r="AK71" s="4">
        <f>'Economic Data'!F73</f>
        <v>807274.5</v>
      </c>
      <c r="AL71" s="4">
        <f>'Economic Data'!G73</f>
        <v>7827.1</v>
      </c>
      <c r="AM71" s="4">
        <f>'Economic Data'!H73</f>
        <v>7405</v>
      </c>
      <c r="AN71" s="4">
        <f>'Economic Data'!I73</f>
        <v>118.8</v>
      </c>
      <c r="AO71" s="4">
        <f>'Economic Data'!J73</f>
        <v>129.6</v>
      </c>
      <c r="AP71" s="4">
        <f>'Economic Data'!K73</f>
        <v>473</v>
      </c>
      <c r="AQ71" s="4">
        <f>'Economic Data'!L73</f>
        <v>259.39999999999998</v>
      </c>
      <c r="AR71" s="4">
        <f>'Economic Data'!M73</f>
        <v>2224.8000000000002</v>
      </c>
      <c r="AS71" s="4">
        <f>'Economic Data'!N73</f>
        <v>2526.6</v>
      </c>
      <c r="AT71" s="4">
        <f>'Economic Data'!O73</f>
        <v>811397</v>
      </c>
      <c r="AU71" s="4">
        <f>'Economic Data'!P73</f>
        <v>7996</v>
      </c>
      <c r="AV71" s="4">
        <f>'Economic Data'!Q73</f>
        <v>4725</v>
      </c>
      <c r="AW71" s="4">
        <f>'Economic Data'!R73</f>
        <v>4762</v>
      </c>
      <c r="AX71" s="4">
        <f>'Economic Data'!E73</f>
        <v>7501.2</v>
      </c>
      <c r="AY71" s="4">
        <f>'Economic Data'!D73</f>
        <v>7462.2</v>
      </c>
      <c r="AZ71">
        <v>70</v>
      </c>
      <c r="BA71" s="14">
        <f t="shared" si="50"/>
        <v>4.3694478524670215</v>
      </c>
      <c r="BB71">
        <f t="shared" si="51"/>
        <v>4900</v>
      </c>
      <c r="BC71">
        <v>0</v>
      </c>
      <c r="BD71">
        <v>0</v>
      </c>
      <c r="BE71">
        <v>0</v>
      </c>
      <c r="BF71">
        <v>0</v>
      </c>
      <c r="BG71">
        <v>0</v>
      </c>
      <c r="BH71">
        <v>0</v>
      </c>
      <c r="BI71">
        <v>0</v>
      </c>
      <c r="BJ71">
        <v>0</v>
      </c>
      <c r="BK71">
        <v>0</v>
      </c>
      <c r="BL71">
        <v>1</v>
      </c>
      <c r="BM71">
        <v>0</v>
      </c>
      <c r="BN71">
        <v>0</v>
      </c>
      <c r="BO71">
        <v>0</v>
      </c>
      <c r="BP71">
        <v>1</v>
      </c>
      <c r="BQ71">
        <v>1</v>
      </c>
      <c r="BR71">
        <v>31</v>
      </c>
      <c r="BS71">
        <v>21</v>
      </c>
      <c r="BT71">
        <v>0</v>
      </c>
      <c r="BU71">
        <v>0</v>
      </c>
      <c r="BV71">
        <v>0</v>
      </c>
      <c r="BW71">
        <v>0</v>
      </c>
      <c r="BX71" s="17">
        <f t="shared" si="32"/>
        <v>0</v>
      </c>
      <c r="BY71" s="17">
        <f t="shared" si="33"/>
        <v>0</v>
      </c>
      <c r="BZ71" s="17">
        <f t="shared" si="34"/>
        <v>0</v>
      </c>
      <c r="CA71" s="17">
        <f t="shared" si="35"/>
        <v>0</v>
      </c>
      <c r="CB71" s="17">
        <f t="shared" si="36"/>
        <v>0</v>
      </c>
      <c r="CC71" s="17">
        <f t="shared" si="37"/>
        <v>0</v>
      </c>
      <c r="CD71" s="17">
        <f t="shared" si="38"/>
        <v>0</v>
      </c>
      <c r="CE71" s="17">
        <f t="shared" si="39"/>
        <v>0</v>
      </c>
      <c r="CF71" s="17">
        <f t="shared" si="40"/>
        <v>0</v>
      </c>
      <c r="CG71" s="17">
        <f t="shared" si="41"/>
        <v>0</v>
      </c>
      <c r="CH71" s="17">
        <f t="shared" si="42"/>
        <v>0</v>
      </c>
      <c r="CI71" s="17">
        <f t="shared" si="43"/>
        <v>0</v>
      </c>
      <c r="CJ71" s="17">
        <f t="shared" si="44"/>
        <v>0</v>
      </c>
      <c r="CK71" s="17">
        <f t="shared" si="45"/>
        <v>0</v>
      </c>
    </row>
    <row r="72" spans="1:89" x14ac:dyDescent="0.35">
      <c r="A72" s="1">
        <v>43770</v>
      </c>
      <c r="B72">
        <v>2019</v>
      </c>
      <c r="C72">
        <f t="shared" si="46"/>
        <v>11</v>
      </c>
      <c r="D72" s="4">
        <v>2913442.8608629424</v>
      </c>
      <c r="E72" s="4">
        <f>IFERROR(VLOOKUP($B72-1,CDM!$K$5:$N$19,2,FALSE)/12,0)+IFERROR(VLOOKUP($B72,CDM!$K$35:$N$47,2,FALSE)/24,0)+IFERROR(VLOOKUP($B72,CDM!$K$35:$N$47,2,FALSE)/2*$C72/78,0)</f>
        <v>156168.65623071685</v>
      </c>
      <c r="F72" s="4">
        <f t="shared" si="47"/>
        <v>3069611.5170936594</v>
      </c>
      <c r="G72" s="4">
        <v>1306679.8433245821</v>
      </c>
      <c r="H72" s="4">
        <f>IFERROR(VLOOKUP($B72-1,CDM!$K$5:$N$19,3,FALSE)/12,0)+IFERROR(VLOOKUP($B72,CDM!$K$35:$N$47,3,FALSE)/24,0)+IFERROR(VLOOKUP($B72,CDM!$K$35:$N$47,3,FALSE)/2*$C72/78,0)</f>
        <v>206490.01841924063</v>
      </c>
      <c r="I72" s="4">
        <f t="shared" si="48"/>
        <v>1513169.8617438227</v>
      </c>
      <c r="J72" s="4">
        <v>4966226.9490713943</v>
      </c>
      <c r="K72" s="4">
        <f>IFERROR(VLOOKUP($B72-1,CDM!$K$5:$N$19,4,FALSE)/12,0)+IFERROR(VLOOKUP($B72,CDM!$K$35:$N$47,4,FALSE)/24,0)+IFERROR(VLOOKUP($B72,CDM!$K$35:$N$47,4,FALSE)/2*$C72/78,0)</f>
        <v>221993.55766489668</v>
      </c>
      <c r="L72" s="4">
        <f t="shared" si="49"/>
        <v>5188220.5067362906</v>
      </c>
      <c r="M72" s="4">
        <v>49166.593703279941</v>
      </c>
      <c r="N72" s="4">
        <v>13681.499999999998</v>
      </c>
      <c r="O72" s="4">
        <v>13744.02</v>
      </c>
      <c r="P72" s="4">
        <v>121.92</v>
      </c>
      <c r="Q72" s="4">
        <v>5179</v>
      </c>
      <c r="R72" s="4">
        <v>743</v>
      </c>
      <c r="S72" s="4">
        <v>68</v>
      </c>
      <c r="T72" s="4">
        <v>1710</v>
      </c>
      <c r="U72" s="4">
        <v>23</v>
      </c>
      <c r="V72" s="4">
        <f>Weather!D192</f>
        <v>793.48750000000007</v>
      </c>
      <c r="W72" s="4">
        <f>Weather!E192</f>
        <v>0</v>
      </c>
      <c r="X72" s="4">
        <f>Weather!F192</f>
        <v>733.48749999999995</v>
      </c>
      <c r="Y72" s="4">
        <f>Weather!G192</f>
        <v>0</v>
      </c>
      <c r="Z72" s="4">
        <f>Weather!H192</f>
        <v>673.48749999999995</v>
      </c>
      <c r="AA72" s="4">
        <f>Weather!I192</f>
        <v>0</v>
      </c>
      <c r="AB72" s="4">
        <f>Weather!J192</f>
        <v>613.48750000000007</v>
      </c>
      <c r="AC72" s="4">
        <f>Weather!K192</f>
        <v>0</v>
      </c>
      <c r="AD72" s="4">
        <f>Weather!L192</f>
        <v>553.48750000000007</v>
      </c>
      <c r="AE72" s="4">
        <f>Weather!M192</f>
        <v>0</v>
      </c>
      <c r="AF72" s="4">
        <f>Weather!N192</f>
        <v>493.48750000000007</v>
      </c>
      <c r="AG72" s="4">
        <f>Weather!O192</f>
        <v>0</v>
      </c>
      <c r="AH72" s="4">
        <f>Weather!P192</f>
        <v>433.48750000000007</v>
      </c>
      <c r="AI72" s="4">
        <f>Weather!Q192</f>
        <v>0</v>
      </c>
      <c r="AJ72" s="4">
        <f>Weather!R192</f>
        <v>-6.4495833333333321</v>
      </c>
      <c r="AK72" s="4">
        <f>'Economic Data'!F74</f>
        <v>807274.5</v>
      </c>
      <c r="AL72" s="4">
        <f>'Economic Data'!G74</f>
        <v>7827.1</v>
      </c>
      <c r="AM72" s="4">
        <f>'Economic Data'!H74</f>
        <v>7405</v>
      </c>
      <c r="AN72" s="4">
        <f>'Economic Data'!I74</f>
        <v>118.8</v>
      </c>
      <c r="AO72" s="4">
        <f>'Economic Data'!J74</f>
        <v>129.6</v>
      </c>
      <c r="AP72" s="4">
        <f>'Economic Data'!K74</f>
        <v>473</v>
      </c>
      <c r="AQ72" s="4">
        <f>'Economic Data'!L74</f>
        <v>259.39999999999998</v>
      </c>
      <c r="AR72" s="4">
        <f>'Economic Data'!M74</f>
        <v>2224.8000000000002</v>
      </c>
      <c r="AS72" s="4">
        <f>'Economic Data'!N74</f>
        <v>2526.6</v>
      </c>
      <c r="AT72" s="4">
        <f>'Economic Data'!O74</f>
        <v>811397</v>
      </c>
      <c r="AU72" s="4">
        <f>'Economic Data'!P74</f>
        <v>7996</v>
      </c>
      <c r="AV72" s="4">
        <f>'Economic Data'!Q74</f>
        <v>4725</v>
      </c>
      <c r="AW72" s="4">
        <f>'Economic Data'!R74</f>
        <v>4762</v>
      </c>
      <c r="AX72" s="4">
        <f>'Economic Data'!E74</f>
        <v>7488.3</v>
      </c>
      <c r="AY72" s="4">
        <f>'Economic Data'!D74</f>
        <v>7470.1</v>
      </c>
      <c r="AZ72">
        <v>71</v>
      </c>
      <c r="BA72" s="14">
        <f t="shared" si="50"/>
        <v>4.3820266346738812</v>
      </c>
      <c r="BB72">
        <f t="shared" si="51"/>
        <v>5041</v>
      </c>
      <c r="BC72">
        <v>0</v>
      </c>
      <c r="BD72">
        <v>0</v>
      </c>
      <c r="BE72">
        <v>0</v>
      </c>
      <c r="BF72">
        <v>0</v>
      </c>
      <c r="BG72">
        <v>0</v>
      </c>
      <c r="BH72">
        <v>0</v>
      </c>
      <c r="BI72">
        <v>0</v>
      </c>
      <c r="BJ72">
        <v>0</v>
      </c>
      <c r="BK72">
        <v>0</v>
      </c>
      <c r="BL72">
        <v>0</v>
      </c>
      <c r="BM72">
        <v>1</v>
      </c>
      <c r="BN72">
        <v>0</v>
      </c>
      <c r="BO72">
        <v>0</v>
      </c>
      <c r="BP72">
        <v>1</v>
      </c>
      <c r="BQ72">
        <v>1</v>
      </c>
      <c r="BR72">
        <v>30</v>
      </c>
      <c r="BS72">
        <v>21</v>
      </c>
      <c r="BT72">
        <v>0</v>
      </c>
      <c r="BU72">
        <v>0</v>
      </c>
      <c r="BV72">
        <v>0</v>
      </c>
      <c r="BW72">
        <v>0</v>
      </c>
      <c r="BX72" s="17">
        <f t="shared" si="32"/>
        <v>0</v>
      </c>
      <c r="BY72" s="17">
        <f t="shared" si="33"/>
        <v>0</v>
      </c>
      <c r="BZ72" s="17">
        <f t="shared" si="34"/>
        <v>0</v>
      </c>
      <c r="CA72" s="17">
        <f t="shared" si="35"/>
        <v>0</v>
      </c>
      <c r="CB72" s="17">
        <f t="shared" si="36"/>
        <v>0</v>
      </c>
      <c r="CC72" s="17">
        <f t="shared" si="37"/>
        <v>0</v>
      </c>
      <c r="CD72" s="17">
        <f t="shared" si="38"/>
        <v>0</v>
      </c>
      <c r="CE72" s="17">
        <f t="shared" si="39"/>
        <v>0</v>
      </c>
      <c r="CF72" s="17">
        <f t="shared" si="40"/>
        <v>0</v>
      </c>
      <c r="CG72" s="17">
        <f t="shared" si="41"/>
        <v>0</v>
      </c>
      <c r="CH72" s="17">
        <f t="shared" si="42"/>
        <v>0</v>
      </c>
      <c r="CI72" s="17">
        <f t="shared" si="43"/>
        <v>0</v>
      </c>
      <c r="CJ72" s="17">
        <f t="shared" si="44"/>
        <v>0</v>
      </c>
      <c r="CK72" s="17">
        <f t="shared" si="45"/>
        <v>0</v>
      </c>
    </row>
    <row r="73" spans="1:89" x14ac:dyDescent="0.35">
      <c r="A73" s="1">
        <v>43800</v>
      </c>
      <c r="B73">
        <v>2019</v>
      </c>
      <c r="C73">
        <f t="shared" si="46"/>
        <v>12</v>
      </c>
      <c r="D73" s="4">
        <v>3526067.761655991</v>
      </c>
      <c r="E73" s="4">
        <f>IFERROR(VLOOKUP($B73-1,CDM!$K$5:$N$19,2,FALSE)/12,0)+IFERROR(VLOOKUP($B73,CDM!$K$35:$N$47,2,FALSE)/24,0)+IFERROR(VLOOKUP($B73,CDM!$K$35:$N$47,2,FALSE)/2*$C73/78,0)</f>
        <v>156859.29749340392</v>
      </c>
      <c r="F73" s="4">
        <f t="shared" si="47"/>
        <v>3682927.0591493947</v>
      </c>
      <c r="G73" s="4">
        <v>1584043.7651422874</v>
      </c>
      <c r="H73" s="4">
        <f>IFERROR(VLOOKUP($B73-1,CDM!$K$5:$N$19,3,FALSE)/12,0)+IFERROR(VLOOKUP($B73,CDM!$K$35:$N$47,3,FALSE)/24,0)+IFERROR(VLOOKUP($B73,CDM!$K$35:$N$47,3,FALSE)/2*$C73/78,0)</f>
        <v>206990.57734284244</v>
      </c>
      <c r="I73" s="4">
        <f t="shared" si="48"/>
        <v>1791034.3424851298</v>
      </c>
      <c r="J73" s="4">
        <v>5442570.2245670957</v>
      </c>
      <c r="K73" s="4">
        <f>IFERROR(VLOOKUP($B73-1,CDM!$K$5:$N$19,4,FALSE)/12,0)+IFERROR(VLOOKUP($B73,CDM!$K$35:$N$47,4,FALSE)/24,0)+IFERROR(VLOOKUP($B73,CDM!$K$35:$N$47,4,FALSE)/2*$C73/78,0)</f>
        <v>223583.63995778735</v>
      </c>
      <c r="L73" s="4">
        <f t="shared" si="49"/>
        <v>5666153.8645248832</v>
      </c>
      <c r="M73" s="4">
        <v>52373.893365751333</v>
      </c>
      <c r="N73" s="4">
        <v>13681.499999999998</v>
      </c>
      <c r="O73" s="4">
        <v>15062.3</v>
      </c>
      <c r="P73" s="4">
        <v>121.92</v>
      </c>
      <c r="Q73" s="4">
        <v>5165</v>
      </c>
      <c r="R73" s="4">
        <v>742</v>
      </c>
      <c r="S73" s="4">
        <v>70</v>
      </c>
      <c r="T73" s="4">
        <v>1710</v>
      </c>
      <c r="U73" s="4">
        <v>23</v>
      </c>
      <c r="V73" s="4">
        <f>Weather!D193</f>
        <v>1012.3625</v>
      </c>
      <c r="W73" s="4">
        <f>Weather!E193</f>
        <v>0</v>
      </c>
      <c r="X73" s="4">
        <f>Weather!F193</f>
        <v>950.36249999999995</v>
      </c>
      <c r="Y73" s="4">
        <f>Weather!G193</f>
        <v>0</v>
      </c>
      <c r="Z73" s="4">
        <f>Weather!H193</f>
        <v>888.36249999999995</v>
      </c>
      <c r="AA73" s="4">
        <f>Weather!I193</f>
        <v>0</v>
      </c>
      <c r="AB73" s="4">
        <f>Weather!J193</f>
        <v>826.36249999999995</v>
      </c>
      <c r="AC73" s="4">
        <f>Weather!K193</f>
        <v>0</v>
      </c>
      <c r="AD73" s="4">
        <f>Weather!L193</f>
        <v>764.36249999999995</v>
      </c>
      <c r="AE73" s="4">
        <f>Weather!M193</f>
        <v>0</v>
      </c>
      <c r="AF73" s="4">
        <f>Weather!N193</f>
        <v>702.36249999999995</v>
      </c>
      <c r="AG73" s="4">
        <f>Weather!O193</f>
        <v>0</v>
      </c>
      <c r="AH73" s="4">
        <f>Weather!P193</f>
        <v>640.36250000000007</v>
      </c>
      <c r="AI73" s="4">
        <f>Weather!Q193</f>
        <v>0</v>
      </c>
      <c r="AJ73" s="4">
        <f>Weather!R193</f>
        <v>-12.65685483870968</v>
      </c>
      <c r="AK73" s="4">
        <f>'Economic Data'!F75</f>
        <v>807274.5</v>
      </c>
      <c r="AL73" s="4">
        <f>'Economic Data'!G75</f>
        <v>7827.1</v>
      </c>
      <c r="AM73" s="4">
        <f>'Economic Data'!H75</f>
        <v>7405</v>
      </c>
      <c r="AN73" s="4">
        <f>'Economic Data'!I75</f>
        <v>118.8</v>
      </c>
      <c r="AO73" s="4">
        <f>'Economic Data'!J75</f>
        <v>129.6</v>
      </c>
      <c r="AP73" s="4">
        <f>'Economic Data'!K75</f>
        <v>473</v>
      </c>
      <c r="AQ73" s="4">
        <f>'Economic Data'!L75</f>
        <v>259.39999999999998</v>
      </c>
      <c r="AR73" s="4">
        <f>'Economic Data'!M75</f>
        <v>2224.8000000000002</v>
      </c>
      <c r="AS73" s="4">
        <f>'Economic Data'!N75</f>
        <v>2526.6</v>
      </c>
      <c r="AT73" s="4">
        <f>'Economic Data'!O75</f>
        <v>811397</v>
      </c>
      <c r="AU73" s="4">
        <f>'Economic Data'!P75</f>
        <v>7996</v>
      </c>
      <c r="AV73" s="4">
        <f>'Economic Data'!Q75</f>
        <v>4725</v>
      </c>
      <c r="AW73" s="4">
        <f>'Economic Data'!R75</f>
        <v>4762</v>
      </c>
      <c r="AX73" s="4">
        <f>'Economic Data'!E75</f>
        <v>7493.8</v>
      </c>
      <c r="AY73" s="4">
        <f>'Economic Data'!D75</f>
        <v>7482.6</v>
      </c>
      <c r="AZ73">
        <v>72</v>
      </c>
      <c r="BA73" s="14">
        <f t="shared" si="50"/>
        <v>4.3944491546724391</v>
      </c>
      <c r="BB73">
        <f t="shared" si="51"/>
        <v>5184</v>
      </c>
      <c r="BC73">
        <v>0</v>
      </c>
      <c r="BD73">
        <v>0</v>
      </c>
      <c r="BE73">
        <v>0</v>
      </c>
      <c r="BF73">
        <v>0</v>
      </c>
      <c r="BG73">
        <v>0</v>
      </c>
      <c r="BH73">
        <v>0</v>
      </c>
      <c r="BI73">
        <v>0</v>
      </c>
      <c r="BJ73">
        <v>0</v>
      </c>
      <c r="BK73">
        <v>0</v>
      </c>
      <c r="BL73">
        <v>0</v>
      </c>
      <c r="BM73">
        <v>0</v>
      </c>
      <c r="BN73">
        <v>1</v>
      </c>
      <c r="BO73">
        <v>0</v>
      </c>
      <c r="BP73">
        <v>0</v>
      </c>
      <c r="BQ73">
        <v>0</v>
      </c>
      <c r="BR73">
        <v>31</v>
      </c>
      <c r="BS73">
        <v>21</v>
      </c>
      <c r="BT73">
        <v>0</v>
      </c>
      <c r="BU73">
        <v>0</v>
      </c>
      <c r="BV73">
        <v>0</v>
      </c>
      <c r="BW73">
        <v>0</v>
      </c>
      <c r="BX73" s="17">
        <f t="shared" si="32"/>
        <v>0</v>
      </c>
      <c r="BY73" s="17">
        <f t="shared" si="33"/>
        <v>0</v>
      </c>
      <c r="BZ73" s="17">
        <f t="shared" si="34"/>
        <v>0</v>
      </c>
      <c r="CA73" s="17">
        <f t="shared" si="35"/>
        <v>0</v>
      </c>
      <c r="CB73" s="17">
        <f t="shared" si="36"/>
        <v>0</v>
      </c>
      <c r="CC73" s="17">
        <f t="shared" si="37"/>
        <v>0</v>
      </c>
      <c r="CD73" s="17">
        <f t="shared" si="38"/>
        <v>0</v>
      </c>
      <c r="CE73" s="17">
        <f t="shared" si="39"/>
        <v>0</v>
      </c>
      <c r="CF73" s="17">
        <f t="shared" si="40"/>
        <v>0</v>
      </c>
      <c r="CG73" s="17">
        <f t="shared" si="41"/>
        <v>0</v>
      </c>
      <c r="CH73" s="17">
        <f t="shared" si="42"/>
        <v>0</v>
      </c>
      <c r="CI73" s="17">
        <f t="shared" si="43"/>
        <v>0</v>
      </c>
      <c r="CJ73" s="17">
        <f t="shared" si="44"/>
        <v>0</v>
      </c>
      <c r="CK73" s="17">
        <f t="shared" si="45"/>
        <v>0</v>
      </c>
    </row>
    <row r="74" spans="1:89" x14ac:dyDescent="0.35">
      <c r="A74" s="1">
        <v>43831</v>
      </c>
      <c r="B74">
        <v>2020</v>
      </c>
      <c r="C74">
        <f t="shared" si="46"/>
        <v>1</v>
      </c>
      <c r="D74" s="4">
        <v>4183654.8159838761</v>
      </c>
      <c r="E74" s="4">
        <f>IFERROR(VLOOKUP($B74-1,CDM!$K$5:$N$19,2,FALSE)/12,0)+IFERROR(VLOOKUP($B74,CDM!$K$35:$N$47,2,FALSE)/24,0)+IFERROR(VLOOKUP($B74,CDM!$K$35:$N$47,2,FALSE)/2*$C74/78,0)</f>
        <v>151409.19141464087</v>
      </c>
      <c r="F74" s="4">
        <f t="shared" si="47"/>
        <v>4335064.0073985169</v>
      </c>
      <c r="G74" s="4">
        <v>1737038.8846114946</v>
      </c>
      <c r="H74" s="4">
        <f>IFERROR(VLOOKUP($B74-1,CDM!$K$5:$N$19,3,FALSE)/12,0)+IFERROR(VLOOKUP($B74,CDM!$K$35:$N$47,3,FALSE)/24,0)+IFERROR(VLOOKUP($B74,CDM!$K$35:$N$47,3,FALSE)/2*$C74/78,0)</f>
        <v>198511.46556638202</v>
      </c>
      <c r="I74" s="4">
        <f t="shared" si="48"/>
        <v>1935550.3501778767</v>
      </c>
      <c r="J74" s="4">
        <v>5568542.8595355954</v>
      </c>
      <c r="K74" s="4">
        <f>IFERROR(VLOOKUP($B74-1,CDM!$K$5:$N$19,4,FALSE)/12,0)+IFERROR(VLOOKUP($B74,CDM!$K$35:$N$47,4,FALSE)/24,0)+IFERROR(VLOOKUP($B74,CDM!$K$35:$N$47,4,FALSE)/2*$C74/78,0)</f>
        <v>214701.79994594853</v>
      </c>
      <c r="L74" s="4">
        <f t="shared" si="49"/>
        <v>5783244.659481544</v>
      </c>
      <c r="M74" s="4">
        <v>56615.892450486113</v>
      </c>
      <c r="N74" s="4">
        <v>13681.499999999998</v>
      </c>
      <c r="O74" s="4">
        <v>15139.34</v>
      </c>
      <c r="P74" s="4">
        <v>125</v>
      </c>
      <c r="Q74" s="4">
        <v>5170</v>
      </c>
      <c r="R74" s="4">
        <v>730</v>
      </c>
      <c r="S74" s="4">
        <v>71</v>
      </c>
      <c r="T74" s="4">
        <v>1710</v>
      </c>
      <c r="U74" s="4">
        <v>23</v>
      </c>
      <c r="V74" s="4">
        <f>Weather!D194</f>
        <v>1002.15</v>
      </c>
      <c r="W74" s="4">
        <f>Weather!E194</f>
        <v>0</v>
      </c>
      <c r="X74" s="4">
        <f>Weather!F194</f>
        <v>940.15</v>
      </c>
      <c r="Y74" s="4">
        <f>Weather!G194</f>
        <v>0</v>
      </c>
      <c r="Z74" s="4">
        <f>Weather!H194</f>
        <v>878.15</v>
      </c>
      <c r="AA74" s="4">
        <f>Weather!I194</f>
        <v>0</v>
      </c>
      <c r="AB74" s="4">
        <f>Weather!J194</f>
        <v>816.15</v>
      </c>
      <c r="AC74" s="4">
        <f>Weather!K194</f>
        <v>0</v>
      </c>
      <c r="AD74" s="4">
        <f>Weather!L194</f>
        <v>754.15</v>
      </c>
      <c r="AE74" s="4">
        <f>Weather!M194</f>
        <v>0</v>
      </c>
      <c r="AF74" s="4">
        <f>Weather!N194</f>
        <v>692.15</v>
      </c>
      <c r="AG74" s="4">
        <f>Weather!O194</f>
        <v>0</v>
      </c>
      <c r="AH74" s="4">
        <f>Weather!P194</f>
        <v>630.15</v>
      </c>
      <c r="AI74" s="4">
        <f>Weather!Q194</f>
        <v>0</v>
      </c>
      <c r="AJ74" s="4">
        <f>Weather!R194</f>
        <v>-12.327419354838714</v>
      </c>
      <c r="AK74" s="4">
        <f>'Economic Data'!F76</f>
        <v>769942</v>
      </c>
      <c r="AL74" s="4">
        <f>'Economic Data'!G76</f>
        <v>8258.2999999999993</v>
      </c>
      <c r="AM74" s="4">
        <f>'Economic Data'!H76</f>
        <v>6539.9</v>
      </c>
      <c r="AN74" s="4">
        <f>'Economic Data'!I76</f>
        <v>107.8</v>
      </c>
      <c r="AO74" s="4">
        <f>'Economic Data'!J76</f>
        <v>72</v>
      </c>
      <c r="AP74" s="4">
        <f>'Economic Data'!K76</f>
        <v>423</v>
      </c>
      <c r="AQ74" s="4">
        <f>'Economic Data'!L76</f>
        <v>256.10000000000002</v>
      </c>
      <c r="AR74" s="4">
        <f>'Economic Data'!M76</f>
        <v>2195.1999999999998</v>
      </c>
      <c r="AS74" s="4">
        <f>'Economic Data'!N76</f>
        <v>2266.3000000000002</v>
      </c>
      <c r="AT74" s="4">
        <f>'Economic Data'!O76</f>
        <v>800126</v>
      </c>
      <c r="AU74" s="4">
        <f>'Economic Data'!P76</f>
        <v>7823</v>
      </c>
      <c r="AV74" s="4">
        <f>'Economic Data'!Q76</f>
        <v>4475</v>
      </c>
      <c r="AW74" s="4">
        <f>'Economic Data'!R76</f>
        <v>4438</v>
      </c>
      <c r="AX74" s="4">
        <f>'Economic Data'!E76</f>
        <v>7471.6</v>
      </c>
      <c r="AY74" s="4">
        <f>'Economic Data'!D76</f>
        <v>7504.9</v>
      </c>
      <c r="AZ74">
        <v>73</v>
      </c>
      <c r="BA74" s="14">
        <f t="shared" si="50"/>
        <v>4.4067192472642533</v>
      </c>
      <c r="BB74">
        <f t="shared" si="51"/>
        <v>5329</v>
      </c>
      <c r="BC74">
        <v>1</v>
      </c>
      <c r="BD74">
        <v>0</v>
      </c>
      <c r="BE74">
        <v>0</v>
      </c>
      <c r="BF74">
        <v>0</v>
      </c>
      <c r="BG74">
        <v>0</v>
      </c>
      <c r="BH74">
        <v>0</v>
      </c>
      <c r="BI74">
        <v>0</v>
      </c>
      <c r="BJ74">
        <v>0</v>
      </c>
      <c r="BK74">
        <v>0</v>
      </c>
      <c r="BL74">
        <v>0</v>
      </c>
      <c r="BM74">
        <v>0</v>
      </c>
      <c r="BN74">
        <v>0</v>
      </c>
      <c r="BO74">
        <v>0</v>
      </c>
      <c r="BP74">
        <v>0</v>
      </c>
      <c r="BQ74">
        <v>0</v>
      </c>
      <c r="BR74">
        <v>31</v>
      </c>
      <c r="BS74">
        <v>22</v>
      </c>
      <c r="BT74">
        <v>0</v>
      </c>
      <c r="BU74">
        <v>0</v>
      </c>
      <c r="BV74">
        <v>0</v>
      </c>
      <c r="BW74">
        <v>0</v>
      </c>
      <c r="BX74" s="17">
        <f t="shared" si="32"/>
        <v>0</v>
      </c>
      <c r="BY74" s="17">
        <f t="shared" si="33"/>
        <v>0</v>
      </c>
      <c r="BZ74" s="17">
        <f t="shared" si="34"/>
        <v>0</v>
      </c>
      <c r="CA74" s="17">
        <f t="shared" si="35"/>
        <v>0</v>
      </c>
      <c r="CB74" s="17">
        <f t="shared" si="36"/>
        <v>0</v>
      </c>
      <c r="CC74" s="17">
        <f t="shared" si="37"/>
        <v>0</v>
      </c>
      <c r="CD74" s="17">
        <f t="shared" si="38"/>
        <v>0</v>
      </c>
      <c r="CE74" s="17">
        <f t="shared" si="39"/>
        <v>0</v>
      </c>
      <c r="CF74" s="17">
        <f t="shared" si="40"/>
        <v>0</v>
      </c>
      <c r="CG74" s="17">
        <f t="shared" si="41"/>
        <v>0</v>
      </c>
      <c r="CH74" s="17">
        <f t="shared" si="42"/>
        <v>0</v>
      </c>
      <c r="CI74" s="17">
        <f t="shared" si="43"/>
        <v>0</v>
      </c>
      <c r="CJ74" s="17">
        <f t="shared" si="44"/>
        <v>0</v>
      </c>
      <c r="CK74" s="17">
        <f t="shared" si="45"/>
        <v>0</v>
      </c>
    </row>
    <row r="75" spans="1:89" x14ac:dyDescent="0.35">
      <c r="A75" s="1">
        <v>43862</v>
      </c>
      <c r="B75">
        <v>2020</v>
      </c>
      <c r="C75">
        <f t="shared" si="46"/>
        <v>2</v>
      </c>
      <c r="D75" s="4">
        <v>3989196.8941865428</v>
      </c>
      <c r="E75" s="4">
        <f>IFERROR(VLOOKUP($B75-1,CDM!$K$5:$N$19,2,FALSE)/12,0)+IFERROR(VLOOKUP($B75,CDM!$K$35:$N$47,2,FALSE)/24,0)+IFERROR(VLOOKUP($B75,CDM!$K$35:$N$47,2,FALSE)/2*$C75/78,0)</f>
        <v>151188.98086344299</v>
      </c>
      <c r="F75" s="4">
        <f t="shared" si="47"/>
        <v>4140385.8750499859</v>
      </c>
      <c r="G75" s="4">
        <v>1780069.6006688229</v>
      </c>
      <c r="H75" s="4">
        <f>IFERROR(VLOOKUP($B75-1,CDM!$K$5:$N$19,3,FALSE)/12,0)+IFERROR(VLOOKUP($B75,CDM!$K$35:$N$47,3,FALSE)/24,0)+IFERROR(VLOOKUP($B75,CDM!$K$35:$N$47,3,FALSE)/2*$C75/78,0)</f>
        <v>197747.99387349529</v>
      </c>
      <c r="I75" s="4">
        <f t="shared" si="48"/>
        <v>1977817.5945423183</v>
      </c>
      <c r="J75" s="4">
        <v>5860126.0145829413</v>
      </c>
      <c r="K75" s="4">
        <f>IFERROR(VLOOKUP($B75-1,CDM!$K$5:$N$19,4,FALSE)/12,0)+IFERROR(VLOOKUP($B75,CDM!$K$35:$N$47,4,FALSE)/24,0)+IFERROR(VLOOKUP($B75,CDM!$K$35:$N$47,4,FALSE)/2*$C75/78,0)</f>
        <v>214683.61495915649</v>
      </c>
      <c r="L75" s="4">
        <f t="shared" si="49"/>
        <v>6074809.6295420974</v>
      </c>
      <c r="M75" s="4">
        <v>55356.894842121663</v>
      </c>
      <c r="N75" s="4">
        <v>13681.499999999998</v>
      </c>
      <c r="O75" s="4">
        <v>15932.08</v>
      </c>
      <c r="P75" s="4">
        <v>125</v>
      </c>
      <c r="Q75" s="4">
        <v>5164</v>
      </c>
      <c r="R75" s="4">
        <v>730</v>
      </c>
      <c r="S75" s="4">
        <v>75</v>
      </c>
      <c r="T75" s="4">
        <v>1710</v>
      </c>
      <c r="U75" s="4">
        <v>23</v>
      </c>
      <c r="V75" s="4">
        <f>Weather!D195</f>
        <v>944.39166666666677</v>
      </c>
      <c r="W75" s="4">
        <f>Weather!E195</f>
        <v>0</v>
      </c>
      <c r="X75" s="4">
        <f>Weather!F195</f>
        <v>886.39166666666677</v>
      </c>
      <c r="Y75" s="4">
        <f>Weather!G195</f>
        <v>0</v>
      </c>
      <c r="Z75" s="4">
        <f>Weather!H195</f>
        <v>828.39166666666677</v>
      </c>
      <c r="AA75" s="4">
        <f>Weather!I195</f>
        <v>0</v>
      </c>
      <c r="AB75" s="4">
        <f>Weather!J195</f>
        <v>770.39166666666677</v>
      </c>
      <c r="AC75" s="4">
        <f>Weather!K195</f>
        <v>0</v>
      </c>
      <c r="AD75" s="4">
        <f>Weather!L195</f>
        <v>712.39166666666665</v>
      </c>
      <c r="AE75" s="4">
        <f>Weather!M195</f>
        <v>0</v>
      </c>
      <c r="AF75" s="4">
        <f>Weather!N195</f>
        <v>654.39166666666677</v>
      </c>
      <c r="AG75" s="4">
        <f>Weather!O195</f>
        <v>0</v>
      </c>
      <c r="AH75" s="4">
        <f>Weather!P195</f>
        <v>596.39166666666677</v>
      </c>
      <c r="AI75" s="4">
        <f>Weather!Q195</f>
        <v>0</v>
      </c>
      <c r="AJ75" s="4">
        <f>Weather!R195</f>
        <v>-12.56522988505747</v>
      </c>
      <c r="AK75" s="4">
        <f>'Economic Data'!F77</f>
        <v>769942</v>
      </c>
      <c r="AL75" s="4">
        <f>'Economic Data'!G77</f>
        <v>8258.2999999999993</v>
      </c>
      <c r="AM75" s="4">
        <f>'Economic Data'!H77</f>
        <v>6539.9</v>
      </c>
      <c r="AN75" s="4">
        <f>'Economic Data'!I77</f>
        <v>107.8</v>
      </c>
      <c r="AO75" s="4">
        <f>'Economic Data'!J77</f>
        <v>72</v>
      </c>
      <c r="AP75" s="4">
        <f>'Economic Data'!K77</f>
        <v>423</v>
      </c>
      <c r="AQ75" s="4">
        <f>'Economic Data'!L77</f>
        <v>256.10000000000002</v>
      </c>
      <c r="AR75" s="4">
        <f>'Economic Data'!M77</f>
        <v>2195.1999999999998</v>
      </c>
      <c r="AS75" s="4">
        <f>'Economic Data'!N77</f>
        <v>2266.3000000000002</v>
      </c>
      <c r="AT75" s="4">
        <f>'Economic Data'!O77</f>
        <v>800126</v>
      </c>
      <c r="AU75" s="4">
        <f>'Economic Data'!P77</f>
        <v>7823</v>
      </c>
      <c r="AV75" s="4">
        <f>'Economic Data'!Q77</f>
        <v>4475</v>
      </c>
      <c r="AW75" s="4">
        <f>'Economic Data'!R77</f>
        <v>4438</v>
      </c>
      <c r="AX75" s="4">
        <f>'Economic Data'!E77</f>
        <v>7442.1</v>
      </c>
      <c r="AY75" s="4">
        <f>'Economic Data'!D77</f>
        <v>7512.3</v>
      </c>
      <c r="AZ75">
        <v>74</v>
      </c>
      <c r="BA75" s="14">
        <f t="shared" si="50"/>
        <v>4.4188406077965983</v>
      </c>
      <c r="BB75">
        <f t="shared" si="51"/>
        <v>5476</v>
      </c>
      <c r="BC75">
        <v>0</v>
      </c>
      <c r="BD75">
        <v>1</v>
      </c>
      <c r="BE75">
        <v>0</v>
      </c>
      <c r="BF75">
        <v>0</v>
      </c>
      <c r="BG75">
        <v>0</v>
      </c>
      <c r="BH75">
        <v>0</v>
      </c>
      <c r="BI75">
        <v>0</v>
      </c>
      <c r="BJ75">
        <v>0</v>
      </c>
      <c r="BK75">
        <v>0</v>
      </c>
      <c r="BL75">
        <v>0</v>
      </c>
      <c r="BM75">
        <v>0</v>
      </c>
      <c r="BN75">
        <v>0</v>
      </c>
      <c r="BO75">
        <v>0</v>
      </c>
      <c r="BP75">
        <v>0</v>
      </c>
      <c r="BQ75">
        <v>0</v>
      </c>
      <c r="BR75">
        <v>29</v>
      </c>
      <c r="BS75">
        <v>19</v>
      </c>
      <c r="BT75">
        <v>0</v>
      </c>
      <c r="BU75">
        <v>0</v>
      </c>
      <c r="BV75">
        <v>0</v>
      </c>
      <c r="BW75">
        <v>0</v>
      </c>
      <c r="BX75" s="17">
        <f t="shared" si="32"/>
        <v>0</v>
      </c>
      <c r="BY75" s="17">
        <f t="shared" si="33"/>
        <v>0</v>
      </c>
      <c r="BZ75" s="17">
        <f t="shared" si="34"/>
        <v>0</v>
      </c>
      <c r="CA75" s="17">
        <f t="shared" si="35"/>
        <v>0</v>
      </c>
      <c r="CB75" s="17">
        <f t="shared" si="36"/>
        <v>0</v>
      </c>
      <c r="CC75" s="17">
        <f t="shared" si="37"/>
        <v>0</v>
      </c>
      <c r="CD75" s="17">
        <f t="shared" si="38"/>
        <v>0</v>
      </c>
      <c r="CE75" s="17">
        <f t="shared" si="39"/>
        <v>0</v>
      </c>
      <c r="CF75" s="17">
        <f t="shared" si="40"/>
        <v>0</v>
      </c>
      <c r="CG75" s="17">
        <f t="shared" si="41"/>
        <v>0</v>
      </c>
      <c r="CH75" s="17">
        <f t="shared" si="42"/>
        <v>0</v>
      </c>
      <c r="CI75" s="17">
        <f t="shared" si="43"/>
        <v>0</v>
      </c>
      <c r="CJ75" s="17">
        <f t="shared" si="44"/>
        <v>0</v>
      </c>
      <c r="CK75" s="17">
        <f t="shared" si="45"/>
        <v>0</v>
      </c>
    </row>
    <row r="76" spans="1:89" x14ac:dyDescent="0.35">
      <c r="A76" s="1">
        <v>43891</v>
      </c>
      <c r="B76">
        <v>2020</v>
      </c>
      <c r="C76">
        <f t="shared" si="46"/>
        <v>3</v>
      </c>
      <c r="D76" s="4">
        <v>3697279.5449117715</v>
      </c>
      <c r="E76" s="4">
        <f>IFERROR(VLOOKUP($B76-1,CDM!$K$5:$N$19,2,FALSE)/12,0)+IFERROR(VLOOKUP($B76,CDM!$K$35:$N$47,2,FALSE)/24,0)+IFERROR(VLOOKUP($B76,CDM!$K$35:$N$47,2,FALSE)/2*$C76/78,0)</f>
        <v>150968.77031224509</v>
      </c>
      <c r="F76" s="4">
        <f t="shared" si="47"/>
        <v>3848248.3152240166</v>
      </c>
      <c r="G76" s="4">
        <v>1653483.3729246063</v>
      </c>
      <c r="H76" s="4">
        <f>IFERROR(VLOOKUP($B76-1,CDM!$K$5:$N$19,3,FALSE)/12,0)+IFERROR(VLOOKUP($B76,CDM!$K$35:$N$47,3,FALSE)/24,0)+IFERROR(VLOOKUP($B76,CDM!$K$35:$N$47,3,FALSE)/2*$C76/78,0)</f>
        <v>196984.52218060853</v>
      </c>
      <c r="I76" s="4">
        <f t="shared" si="48"/>
        <v>1850467.8951052148</v>
      </c>
      <c r="J76" s="4">
        <v>5380515.396167933</v>
      </c>
      <c r="K76" s="4">
        <f>IFERROR(VLOOKUP($B76-1,CDM!$K$5:$N$19,4,FALSE)/12,0)+IFERROR(VLOOKUP($B76,CDM!$K$35:$N$47,4,FALSE)/24,0)+IFERROR(VLOOKUP($B76,CDM!$K$35:$N$47,4,FALSE)/2*$C76/78,0)</f>
        <v>214665.42997236448</v>
      </c>
      <c r="L76" s="4">
        <f t="shared" si="49"/>
        <v>5595180.8261402976</v>
      </c>
      <c r="M76" s="4">
        <v>47642.909495875901</v>
      </c>
      <c r="N76" s="4">
        <v>13681.499999999998</v>
      </c>
      <c r="O76" s="4">
        <v>14628.15</v>
      </c>
      <c r="P76" s="4">
        <v>125</v>
      </c>
      <c r="Q76" s="4">
        <v>5162</v>
      </c>
      <c r="R76" s="4">
        <v>725</v>
      </c>
      <c r="S76" s="4">
        <v>74</v>
      </c>
      <c r="T76" s="4">
        <v>1710</v>
      </c>
      <c r="U76" s="4">
        <v>23</v>
      </c>
      <c r="V76" s="4">
        <f>Weather!D196</f>
        <v>824.96666666666658</v>
      </c>
      <c r="W76" s="4">
        <f>Weather!E196</f>
        <v>0</v>
      </c>
      <c r="X76" s="4">
        <f>Weather!F196</f>
        <v>762.96666666666681</v>
      </c>
      <c r="Y76" s="4">
        <f>Weather!G196</f>
        <v>0</v>
      </c>
      <c r="Z76" s="4">
        <f>Weather!H196</f>
        <v>700.9666666666667</v>
      </c>
      <c r="AA76" s="4">
        <f>Weather!I196</f>
        <v>0</v>
      </c>
      <c r="AB76" s="4">
        <f>Weather!J196</f>
        <v>638.9666666666667</v>
      </c>
      <c r="AC76" s="4">
        <f>Weather!K196</f>
        <v>0</v>
      </c>
      <c r="AD76" s="4">
        <f>Weather!L196</f>
        <v>576.96666666666658</v>
      </c>
      <c r="AE76" s="4">
        <f>Weather!M196</f>
        <v>0</v>
      </c>
      <c r="AF76" s="4">
        <f>Weather!N196</f>
        <v>514.9666666666667</v>
      </c>
      <c r="AG76" s="4">
        <f>Weather!O196</f>
        <v>0</v>
      </c>
      <c r="AH76" s="4">
        <f>Weather!P196</f>
        <v>452.96666666666675</v>
      </c>
      <c r="AI76" s="4">
        <f>Weather!Q196</f>
        <v>0</v>
      </c>
      <c r="AJ76" s="4">
        <f>Weather!R196</f>
        <v>-6.6118279569892486</v>
      </c>
      <c r="AK76" s="4">
        <f>'Economic Data'!F78</f>
        <v>769942</v>
      </c>
      <c r="AL76" s="4">
        <f>'Economic Data'!G78</f>
        <v>8258.2999999999993</v>
      </c>
      <c r="AM76" s="4">
        <f>'Economic Data'!H78</f>
        <v>6539.9</v>
      </c>
      <c r="AN76" s="4">
        <f>'Economic Data'!I78</f>
        <v>107.8</v>
      </c>
      <c r="AO76" s="4">
        <f>'Economic Data'!J78</f>
        <v>72</v>
      </c>
      <c r="AP76" s="4">
        <f>'Economic Data'!K78</f>
        <v>423</v>
      </c>
      <c r="AQ76" s="4">
        <f>'Economic Data'!L78</f>
        <v>256.10000000000002</v>
      </c>
      <c r="AR76" s="4">
        <f>'Economic Data'!M78</f>
        <v>2195.1999999999998</v>
      </c>
      <c r="AS76" s="4">
        <f>'Economic Data'!N78</f>
        <v>2266.3000000000002</v>
      </c>
      <c r="AT76" s="4">
        <f>'Economic Data'!O78</f>
        <v>800126</v>
      </c>
      <c r="AU76" s="4">
        <f>'Economic Data'!P78</f>
        <v>7823</v>
      </c>
      <c r="AV76" s="4">
        <f>'Economic Data'!Q78</f>
        <v>4475</v>
      </c>
      <c r="AW76" s="4">
        <f>'Economic Data'!R78</f>
        <v>4438</v>
      </c>
      <c r="AX76" s="4">
        <f>'Economic Data'!E78</f>
        <v>7256.2</v>
      </c>
      <c r="AY76" s="4">
        <f>'Economic Data'!D78</f>
        <v>7358</v>
      </c>
      <c r="AZ76">
        <v>75</v>
      </c>
      <c r="BA76" s="14">
        <f t="shared" si="50"/>
        <v>4.4308167988433134</v>
      </c>
      <c r="BB76">
        <f t="shared" si="51"/>
        <v>5625</v>
      </c>
      <c r="BC76">
        <v>0</v>
      </c>
      <c r="BD76">
        <v>0</v>
      </c>
      <c r="BE76">
        <v>1</v>
      </c>
      <c r="BF76">
        <v>0</v>
      </c>
      <c r="BG76">
        <v>0</v>
      </c>
      <c r="BH76">
        <v>0</v>
      </c>
      <c r="BI76">
        <v>0</v>
      </c>
      <c r="BJ76">
        <v>0</v>
      </c>
      <c r="BK76">
        <v>0</v>
      </c>
      <c r="BL76">
        <v>0</v>
      </c>
      <c r="BM76">
        <v>0</v>
      </c>
      <c r="BN76">
        <v>0</v>
      </c>
      <c r="BO76">
        <v>1</v>
      </c>
      <c r="BP76">
        <v>0</v>
      </c>
      <c r="BQ76">
        <v>1</v>
      </c>
      <c r="BR76">
        <v>31</v>
      </c>
      <c r="BS76">
        <v>22</v>
      </c>
      <c r="BT76">
        <v>1</v>
      </c>
      <c r="BU76">
        <v>0.5</v>
      </c>
      <c r="BV76">
        <v>0.5</v>
      </c>
      <c r="BW76">
        <v>0.5</v>
      </c>
      <c r="BX76" s="17">
        <f t="shared" si="32"/>
        <v>824.96666666666658</v>
      </c>
      <c r="BY76" s="17">
        <f t="shared" si="33"/>
        <v>0</v>
      </c>
      <c r="BZ76" s="17">
        <f t="shared" si="34"/>
        <v>762.96666666666681</v>
      </c>
      <c r="CA76" s="17">
        <f t="shared" si="35"/>
        <v>0</v>
      </c>
      <c r="CB76" s="17">
        <f t="shared" si="36"/>
        <v>700.9666666666667</v>
      </c>
      <c r="CC76" s="17">
        <f t="shared" si="37"/>
        <v>0</v>
      </c>
      <c r="CD76" s="17">
        <f t="shared" si="38"/>
        <v>638.9666666666667</v>
      </c>
      <c r="CE76" s="17">
        <f t="shared" si="39"/>
        <v>0</v>
      </c>
      <c r="CF76" s="17">
        <f t="shared" si="40"/>
        <v>576.96666666666658</v>
      </c>
      <c r="CG76" s="17">
        <f t="shared" si="41"/>
        <v>0</v>
      </c>
      <c r="CH76" s="17">
        <f t="shared" si="42"/>
        <v>514.9666666666667</v>
      </c>
      <c r="CI76" s="17">
        <f t="shared" si="43"/>
        <v>0</v>
      </c>
      <c r="CJ76" s="17">
        <f t="shared" si="44"/>
        <v>452.96666666666675</v>
      </c>
      <c r="CK76" s="17">
        <f t="shared" si="45"/>
        <v>0</v>
      </c>
    </row>
    <row r="77" spans="1:89" x14ac:dyDescent="0.35">
      <c r="A77" s="1">
        <v>43922</v>
      </c>
      <c r="B77">
        <v>2020</v>
      </c>
      <c r="C77">
        <f t="shared" si="46"/>
        <v>4</v>
      </c>
      <c r="D77" s="4">
        <v>3537248.940143296</v>
      </c>
      <c r="E77" s="4">
        <f>IFERROR(VLOOKUP($B77-1,CDM!$K$5:$N$19,2,FALSE)/12,0)+IFERROR(VLOOKUP($B77,CDM!$K$35:$N$47,2,FALSE)/24,0)+IFERROR(VLOOKUP($B77,CDM!$K$35:$N$47,2,FALSE)/2*$C77/78,0)</f>
        <v>150748.55976104722</v>
      </c>
      <c r="F77" s="4">
        <f t="shared" si="47"/>
        <v>3687997.4999043434</v>
      </c>
      <c r="G77" s="4">
        <v>1560369.0113776927</v>
      </c>
      <c r="H77" s="4">
        <f>IFERROR(VLOOKUP($B77-1,CDM!$K$5:$N$19,3,FALSE)/12,0)+IFERROR(VLOOKUP($B77,CDM!$K$35:$N$47,3,FALSE)/24,0)+IFERROR(VLOOKUP($B77,CDM!$K$35:$N$47,3,FALSE)/2*$C77/78,0)</f>
        <v>196221.0504877218</v>
      </c>
      <c r="I77" s="4">
        <f t="shared" si="48"/>
        <v>1756590.0618654145</v>
      </c>
      <c r="J77" s="4">
        <v>5265269.5434842221</v>
      </c>
      <c r="K77" s="4">
        <f>IFERROR(VLOOKUP($B77-1,CDM!$K$5:$N$19,4,FALSE)/12,0)+IFERROR(VLOOKUP($B77,CDM!$K$35:$N$47,4,FALSE)/24,0)+IFERROR(VLOOKUP($B77,CDM!$K$35:$N$47,4,FALSE)/2*$C77/78,0)</f>
        <v>214647.24498557244</v>
      </c>
      <c r="L77" s="4">
        <f t="shared" si="49"/>
        <v>5479916.7884697942</v>
      </c>
      <c r="M77" s="4">
        <v>45698.913188758743</v>
      </c>
      <c r="N77" s="4">
        <v>13681.499999999998</v>
      </c>
      <c r="O77" s="4">
        <v>14314.83</v>
      </c>
      <c r="P77" s="4">
        <v>125</v>
      </c>
      <c r="Q77" s="4">
        <v>5156</v>
      </c>
      <c r="R77" s="4">
        <v>720</v>
      </c>
      <c r="S77" s="4">
        <v>70</v>
      </c>
      <c r="T77" s="4">
        <v>1710</v>
      </c>
      <c r="U77" s="4">
        <v>23</v>
      </c>
      <c r="V77" s="4">
        <f>Weather!D197</f>
        <v>643.1875</v>
      </c>
      <c r="W77" s="4">
        <f>Weather!E197</f>
        <v>0</v>
      </c>
      <c r="X77" s="4">
        <f>Weather!F197</f>
        <v>583.18749999999989</v>
      </c>
      <c r="Y77" s="4">
        <f>Weather!G197</f>
        <v>0</v>
      </c>
      <c r="Z77" s="4">
        <f>Weather!H197</f>
        <v>523.1875</v>
      </c>
      <c r="AA77" s="4">
        <f>Weather!I197</f>
        <v>0</v>
      </c>
      <c r="AB77" s="4">
        <f>Weather!J197</f>
        <v>463.1875</v>
      </c>
      <c r="AC77" s="4">
        <f>Weather!K197</f>
        <v>0</v>
      </c>
      <c r="AD77" s="4">
        <f>Weather!L197</f>
        <v>403.18750000000006</v>
      </c>
      <c r="AE77" s="4">
        <f>Weather!M197</f>
        <v>0</v>
      </c>
      <c r="AF77" s="4">
        <f>Weather!N197</f>
        <v>343.1875</v>
      </c>
      <c r="AG77" s="4">
        <f>Weather!O197</f>
        <v>0</v>
      </c>
      <c r="AH77" s="4">
        <f>Weather!P197</f>
        <v>283.1875</v>
      </c>
      <c r="AI77" s="4">
        <f>Weather!Q197</f>
        <v>0</v>
      </c>
      <c r="AJ77" s="4">
        <f>Weather!R197</f>
        <v>-1.439583333333333</v>
      </c>
      <c r="AK77" s="4">
        <f>'Economic Data'!F79</f>
        <v>769942</v>
      </c>
      <c r="AL77" s="4">
        <f>'Economic Data'!G79</f>
        <v>8258.2999999999993</v>
      </c>
      <c r="AM77" s="4">
        <f>'Economic Data'!H79</f>
        <v>6539.9</v>
      </c>
      <c r="AN77" s="4">
        <f>'Economic Data'!I79</f>
        <v>107.8</v>
      </c>
      <c r="AO77" s="4">
        <f>'Economic Data'!J79</f>
        <v>72</v>
      </c>
      <c r="AP77" s="4">
        <f>'Economic Data'!K79</f>
        <v>423</v>
      </c>
      <c r="AQ77" s="4">
        <f>'Economic Data'!L79</f>
        <v>256.10000000000002</v>
      </c>
      <c r="AR77" s="4">
        <f>'Economic Data'!M79</f>
        <v>2195.1999999999998</v>
      </c>
      <c r="AS77" s="4">
        <f>'Economic Data'!N79</f>
        <v>2266.3000000000002</v>
      </c>
      <c r="AT77" s="4">
        <f>'Economic Data'!O79</f>
        <v>706539</v>
      </c>
      <c r="AU77" s="4">
        <f>'Economic Data'!P79</f>
        <v>8133</v>
      </c>
      <c r="AV77" s="4">
        <f>'Economic Data'!Q79</f>
        <v>3717</v>
      </c>
      <c r="AW77" s="4">
        <f>'Economic Data'!R79</f>
        <v>3624</v>
      </c>
      <c r="AX77" s="4">
        <f>'Economic Data'!E79</f>
        <v>6885.2</v>
      </c>
      <c r="AY77" s="4">
        <f>'Economic Data'!D79</f>
        <v>6963.7</v>
      </c>
      <c r="AZ77">
        <v>76</v>
      </c>
      <c r="BA77" s="14">
        <f t="shared" si="50"/>
        <v>4.4426512564903167</v>
      </c>
      <c r="BB77">
        <f t="shared" si="51"/>
        <v>5776</v>
      </c>
      <c r="BC77">
        <v>0</v>
      </c>
      <c r="BD77">
        <v>0</v>
      </c>
      <c r="BE77">
        <v>0</v>
      </c>
      <c r="BF77">
        <v>1</v>
      </c>
      <c r="BG77">
        <v>0</v>
      </c>
      <c r="BH77">
        <v>0</v>
      </c>
      <c r="BI77">
        <v>0</v>
      </c>
      <c r="BJ77">
        <v>0</v>
      </c>
      <c r="BK77">
        <v>0</v>
      </c>
      <c r="BL77">
        <v>0</v>
      </c>
      <c r="BM77">
        <v>0</v>
      </c>
      <c r="BN77">
        <v>0</v>
      </c>
      <c r="BO77">
        <v>1</v>
      </c>
      <c r="BP77">
        <v>0</v>
      </c>
      <c r="BQ77">
        <v>1</v>
      </c>
      <c r="BR77">
        <v>30</v>
      </c>
      <c r="BS77">
        <v>21</v>
      </c>
      <c r="BT77">
        <v>1</v>
      </c>
      <c r="BU77">
        <v>1</v>
      </c>
      <c r="BV77">
        <v>1</v>
      </c>
      <c r="BW77">
        <v>1</v>
      </c>
      <c r="BX77" s="17">
        <f t="shared" si="32"/>
        <v>643.1875</v>
      </c>
      <c r="BY77" s="17">
        <f t="shared" si="33"/>
        <v>0</v>
      </c>
      <c r="BZ77" s="17">
        <f t="shared" si="34"/>
        <v>583.18749999999989</v>
      </c>
      <c r="CA77" s="17">
        <f t="shared" si="35"/>
        <v>0</v>
      </c>
      <c r="CB77" s="17">
        <f t="shared" si="36"/>
        <v>523.1875</v>
      </c>
      <c r="CC77" s="17">
        <f t="shared" si="37"/>
        <v>0</v>
      </c>
      <c r="CD77" s="17">
        <f t="shared" si="38"/>
        <v>463.1875</v>
      </c>
      <c r="CE77" s="17">
        <f t="shared" si="39"/>
        <v>0</v>
      </c>
      <c r="CF77" s="17">
        <f t="shared" si="40"/>
        <v>403.18750000000006</v>
      </c>
      <c r="CG77" s="17">
        <f t="shared" si="41"/>
        <v>0</v>
      </c>
      <c r="CH77" s="17">
        <f t="shared" si="42"/>
        <v>343.1875</v>
      </c>
      <c r="CI77" s="17">
        <f t="shared" si="43"/>
        <v>0</v>
      </c>
      <c r="CJ77" s="17">
        <f t="shared" si="44"/>
        <v>283.1875</v>
      </c>
      <c r="CK77" s="17">
        <f t="shared" si="45"/>
        <v>0</v>
      </c>
    </row>
    <row r="78" spans="1:89" x14ac:dyDescent="0.35">
      <c r="A78" s="1">
        <v>43952</v>
      </c>
      <c r="B78">
        <v>2020</v>
      </c>
      <c r="C78">
        <f t="shared" si="46"/>
        <v>5</v>
      </c>
      <c r="D78" s="4">
        <v>3175887.321537849</v>
      </c>
      <c r="E78" s="4">
        <f>IFERROR(VLOOKUP($B78-1,CDM!$K$5:$N$19,2,FALSE)/12,0)+IFERROR(VLOOKUP($B78,CDM!$K$35:$N$47,2,FALSE)/24,0)+IFERROR(VLOOKUP($B78,CDM!$K$35:$N$47,2,FALSE)/2*$C78/78,0)</f>
        <v>150528.34920984932</v>
      </c>
      <c r="F78" s="4">
        <f t="shared" si="47"/>
        <v>3326415.6707476983</v>
      </c>
      <c r="G78" s="4">
        <v>1223478.1544084135</v>
      </c>
      <c r="H78" s="4">
        <f>IFERROR(VLOOKUP($B78-1,CDM!$K$5:$N$19,3,FALSE)/12,0)+IFERROR(VLOOKUP($B78,CDM!$K$35:$N$47,3,FALSE)/24,0)+IFERROR(VLOOKUP($B78,CDM!$K$35:$N$47,3,FALSE)/2*$C78/78,0)</f>
        <v>195457.57879483505</v>
      </c>
      <c r="I78" s="4">
        <f t="shared" si="48"/>
        <v>1418935.7332032486</v>
      </c>
      <c r="J78" s="4">
        <v>3739025.152665921</v>
      </c>
      <c r="K78" s="4">
        <f>IFERROR(VLOOKUP($B78-1,CDM!$K$5:$N$19,4,FALSE)/12,0)+IFERROR(VLOOKUP($B78,CDM!$K$35:$N$47,4,FALSE)/24,0)+IFERROR(VLOOKUP($B78,CDM!$K$35:$N$47,4,FALSE)/2*$C78/78,0)</f>
        <v>214629.05999878043</v>
      </c>
      <c r="L78" s="4">
        <f t="shared" si="49"/>
        <v>3953654.2126647015</v>
      </c>
      <c r="M78" s="4">
        <v>39159.925610446451</v>
      </c>
      <c r="N78" s="4">
        <v>13681.499999999998</v>
      </c>
      <c r="O78" s="4">
        <v>10165.39</v>
      </c>
      <c r="P78" s="4">
        <v>125</v>
      </c>
      <c r="Q78" s="4">
        <v>5149</v>
      </c>
      <c r="R78" s="4">
        <v>715</v>
      </c>
      <c r="S78" s="4">
        <v>72</v>
      </c>
      <c r="T78" s="4">
        <v>1710</v>
      </c>
      <c r="U78" s="4">
        <v>23</v>
      </c>
      <c r="V78" s="4">
        <f>Weather!D198</f>
        <v>385.58750000000003</v>
      </c>
      <c r="W78" s="4">
        <f>Weather!E198</f>
        <v>3.0375000000000014</v>
      </c>
      <c r="X78" s="4">
        <f>Weather!F198</f>
        <v>333.47916666666674</v>
      </c>
      <c r="Y78" s="4">
        <f>Weather!G198</f>
        <v>12.929166666666664</v>
      </c>
      <c r="Z78" s="4">
        <f>Weather!H198</f>
        <v>284.15416666666675</v>
      </c>
      <c r="AA78" s="4">
        <f>Weather!I198</f>
        <v>25.604166666666664</v>
      </c>
      <c r="AB78" s="4">
        <f>Weather!J198</f>
        <v>237.35833333333335</v>
      </c>
      <c r="AC78" s="4">
        <f>Weather!K198</f>
        <v>40.808333333333337</v>
      </c>
      <c r="AD78" s="4">
        <f>Weather!L198</f>
        <v>194.12916666666666</v>
      </c>
      <c r="AE78" s="4">
        <f>Weather!M198</f>
        <v>59.579166666666666</v>
      </c>
      <c r="AF78" s="4">
        <f>Weather!N198</f>
        <v>153.04999999999995</v>
      </c>
      <c r="AG78" s="4">
        <f>Weather!O198</f>
        <v>80.5</v>
      </c>
      <c r="AH78" s="4">
        <f>Weather!P198</f>
        <v>115.39999999999999</v>
      </c>
      <c r="AI78" s="4">
        <f>Weather!Q198</f>
        <v>104.85000000000001</v>
      </c>
      <c r="AJ78" s="4">
        <f>Weather!R198</f>
        <v>7.6596774193548391</v>
      </c>
      <c r="AK78" s="4">
        <f>'Economic Data'!F80</f>
        <v>769942</v>
      </c>
      <c r="AL78" s="4">
        <f>'Economic Data'!G80</f>
        <v>8258.2999999999993</v>
      </c>
      <c r="AM78" s="4">
        <f>'Economic Data'!H80</f>
        <v>6539.9</v>
      </c>
      <c r="AN78" s="4">
        <f>'Economic Data'!I80</f>
        <v>107.8</v>
      </c>
      <c r="AO78" s="4">
        <f>'Economic Data'!J80</f>
        <v>72</v>
      </c>
      <c r="AP78" s="4">
        <f>'Economic Data'!K80</f>
        <v>423</v>
      </c>
      <c r="AQ78" s="4">
        <f>'Economic Data'!L80</f>
        <v>256.10000000000002</v>
      </c>
      <c r="AR78" s="4">
        <f>'Economic Data'!M80</f>
        <v>2195.1999999999998</v>
      </c>
      <c r="AS78" s="4">
        <f>'Economic Data'!N80</f>
        <v>2266.3000000000002</v>
      </c>
      <c r="AT78" s="4">
        <f>'Economic Data'!O80</f>
        <v>706539</v>
      </c>
      <c r="AU78" s="4">
        <f>'Economic Data'!P80</f>
        <v>8133</v>
      </c>
      <c r="AV78" s="4">
        <f>'Economic Data'!Q80</f>
        <v>3717</v>
      </c>
      <c r="AW78" s="4">
        <f>'Economic Data'!R80</f>
        <v>3624</v>
      </c>
      <c r="AX78" s="4">
        <f>'Economic Data'!E80</f>
        <v>6536.7</v>
      </c>
      <c r="AY78" s="4">
        <f>'Economic Data'!D80</f>
        <v>6568.2</v>
      </c>
      <c r="AZ78">
        <v>77</v>
      </c>
      <c r="BA78" s="14">
        <f t="shared" si="50"/>
        <v>4.4543472962535073</v>
      </c>
      <c r="BB78">
        <f t="shared" si="51"/>
        <v>5929</v>
      </c>
      <c r="BC78">
        <v>0</v>
      </c>
      <c r="BD78">
        <v>0</v>
      </c>
      <c r="BE78">
        <v>0</v>
      </c>
      <c r="BF78">
        <v>0</v>
      </c>
      <c r="BG78">
        <v>1</v>
      </c>
      <c r="BH78">
        <v>0</v>
      </c>
      <c r="BI78">
        <v>0</v>
      </c>
      <c r="BJ78">
        <v>0</v>
      </c>
      <c r="BK78">
        <v>0</v>
      </c>
      <c r="BL78">
        <v>0</v>
      </c>
      <c r="BM78">
        <v>0</v>
      </c>
      <c r="BN78">
        <v>0</v>
      </c>
      <c r="BO78">
        <v>1</v>
      </c>
      <c r="BP78">
        <v>0</v>
      </c>
      <c r="BQ78">
        <v>1</v>
      </c>
      <c r="BR78">
        <v>31</v>
      </c>
      <c r="BS78">
        <v>20</v>
      </c>
      <c r="BT78">
        <v>1</v>
      </c>
      <c r="BU78">
        <v>1</v>
      </c>
      <c r="BV78">
        <v>1</v>
      </c>
      <c r="BW78">
        <v>1</v>
      </c>
      <c r="BX78" s="17">
        <f t="shared" si="32"/>
        <v>385.58750000000003</v>
      </c>
      <c r="BY78" s="17">
        <f t="shared" si="33"/>
        <v>3.0375000000000014</v>
      </c>
      <c r="BZ78" s="17">
        <f t="shared" si="34"/>
        <v>333.47916666666674</v>
      </c>
      <c r="CA78" s="17">
        <f t="shared" si="35"/>
        <v>12.929166666666664</v>
      </c>
      <c r="CB78" s="17">
        <f t="shared" si="36"/>
        <v>284.15416666666675</v>
      </c>
      <c r="CC78" s="17">
        <f t="shared" si="37"/>
        <v>25.604166666666664</v>
      </c>
      <c r="CD78" s="17">
        <f t="shared" si="38"/>
        <v>237.35833333333335</v>
      </c>
      <c r="CE78" s="17">
        <f t="shared" si="39"/>
        <v>40.808333333333337</v>
      </c>
      <c r="CF78" s="17">
        <f t="shared" si="40"/>
        <v>194.12916666666666</v>
      </c>
      <c r="CG78" s="17">
        <f t="shared" si="41"/>
        <v>59.579166666666666</v>
      </c>
      <c r="CH78" s="17">
        <f t="shared" si="42"/>
        <v>153.04999999999995</v>
      </c>
      <c r="CI78" s="17">
        <f t="shared" si="43"/>
        <v>80.5</v>
      </c>
      <c r="CJ78" s="17">
        <f t="shared" si="44"/>
        <v>115.39999999999999</v>
      </c>
      <c r="CK78" s="17">
        <f t="shared" si="45"/>
        <v>104.85000000000001</v>
      </c>
    </row>
    <row r="79" spans="1:89" x14ac:dyDescent="0.35">
      <c r="A79" s="1">
        <v>43983</v>
      </c>
      <c r="B79">
        <v>2020</v>
      </c>
      <c r="C79">
        <f t="shared" si="46"/>
        <v>6</v>
      </c>
      <c r="D79" s="4">
        <v>3004660.6304188408</v>
      </c>
      <c r="E79" s="4">
        <f>IFERROR(VLOOKUP($B79-1,CDM!$K$5:$N$19,2,FALSE)/12,0)+IFERROR(VLOOKUP($B79,CDM!$K$35:$N$47,2,FALSE)/24,0)+IFERROR(VLOOKUP($B79,CDM!$K$35:$N$47,2,FALSE)/2*$C79/78,0)</f>
        <v>150308.13865865144</v>
      </c>
      <c r="F79" s="4">
        <f t="shared" si="47"/>
        <v>3154968.7690774924</v>
      </c>
      <c r="G79" s="4">
        <v>1182867.940960071</v>
      </c>
      <c r="H79" s="4">
        <f>IFERROR(VLOOKUP($B79-1,CDM!$K$5:$N$19,3,FALSE)/12,0)+IFERROR(VLOOKUP($B79,CDM!$K$35:$N$47,3,FALSE)/24,0)+IFERROR(VLOOKUP($B79,CDM!$K$35:$N$47,3,FALSE)/2*$C79/78,0)</f>
        <v>194694.10710194832</v>
      </c>
      <c r="I79" s="4">
        <f t="shared" si="48"/>
        <v>1377562.0480620193</v>
      </c>
      <c r="J79" s="4">
        <v>4367564.3069350449</v>
      </c>
      <c r="K79" s="4">
        <f>IFERROR(VLOOKUP($B79-1,CDM!$K$5:$N$19,4,FALSE)/12,0)+IFERROR(VLOOKUP($B79,CDM!$K$35:$N$47,4,FALSE)/24,0)+IFERROR(VLOOKUP($B79,CDM!$K$35:$N$47,4,FALSE)/2*$C79/78,0)</f>
        <v>214610.87501198842</v>
      </c>
      <c r="L79" s="4">
        <f t="shared" si="49"/>
        <v>4582175.1819470329</v>
      </c>
      <c r="M79" s="4">
        <v>35138.933248863068</v>
      </c>
      <c r="N79" s="4">
        <v>13681.499999999998</v>
      </c>
      <c r="O79" s="4">
        <v>13239.89</v>
      </c>
      <c r="P79" s="4">
        <v>125</v>
      </c>
      <c r="Q79" s="4">
        <v>5145</v>
      </c>
      <c r="R79" s="4">
        <v>725</v>
      </c>
      <c r="S79" s="4">
        <v>70</v>
      </c>
      <c r="T79" s="4">
        <v>1710</v>
      </c>
      <c r="U79" s="4">
        <v>23</v>
      </c>
      <c r="V79" s="4">
        <f>Weather!D199</f>
        <v>149.93124999999998</v>
      </c>
      <c r="W79" s="4">
        <f>Weather!E199</f>
        <v>22.449999999999989</v>
      </c>
      <c r="X79" s="4">
        <f>Weather!F199</f>
        <v>109.80208333333333</v>
      </c>
      <c r="Y79" s="4">
        <f>Weather!G199</f>
        <v>42.32083333333334</v>
      </c>
      <c r="Z79" s="4">
        <f>Weather!H199</f>
        <v>75.07083333333334</v>
      </c>
      <c r="AA79" s="4">
        <f>Weather!I199</f>
        <v>67.589583333333337</v>
      </c>
      <c r="AB79" s="4">
        <f>Weather!J199</f>
        <v>44.308333333333337</v>
      </c>
      <c r="AC79" s="4">
        <f>Weather!K199</f>
        <v>96.827083333333334</v>
      </c>
      <c r="AD79" s="4">
        <f>Weather!L199</f>
        <v>23.783333333333339</v>
      </c>
      <c r="AE79" s="4">
        <f>Weather!M199</f>
        <v>136.30208333333334</v>
      </c>
      <c r="AF79" s="4">
        <f>Weather!N199</f>
        <v>10.508333333333333</v>
      </c>
      <c r="AG79" s="4">
        <f>Weather!O199</f>
        <v>183.02708333333334</v>
      </c>
      <c r="AH79" s="4">
        <f>Weather!P199</f>
        <v>1.3791666666666655</v>
      </c>
      <c r="AI79" s="4">
        <f>Weather!Q199</f>
        <v>233.89791666666665</v>
      </c>
      <c r="AJ79" s="4">
        <f>Weather!R199</f>
        <v>15.750625000000003</v>
      </c>
      <c r="AK79" s="4">
        <f>'Economic Data'!F81</f>
        <v>769942</v>
      </c>
      <c r="AL79" s="4">
        <f>'Economic Data'!G81</f>
        <v>8258.2999999999993</v>
      </c>
      <c r="AM79" s="4">
        <f>'Economic Data'!H81</f>
        <v>6539.9</v>
      </c>
      <c r="AN79" s="4">
        <f>'Economic Data'!I81</f>
        <v>107.8</v>
      </c>
      <c r="AO79" s="4">
        <f>'Economic Data'!J81</f>
        <v>72</v>
      </c>
      <c r="AP79" s="4">
        <f>'Economic Data'!K81</f>
        <v>423</v>
      </c>
      <c r="AQ79" s="4">
        <f>'Economic Data'!L81</f>
        <v>256.10000000000002</v>
      </c>
      <c r="AR79" s="4">
        <f>'Economic Data'!M81</f>
        <v>2195.1999999999998</v>
      </c>
      <c r="AS79" s="4">
        <f>'Economic Data'!N81</f>
        <v>2266.3000000000002</v>
      </c>
      <c r="AT79" s="4">
        <f>'Economic Data'!O81</f>
        <v>706539</v>
      </c>
      <c r="AU79" s="4">
        <f>'Economic Data'!P81</f>
        <v>8133</v>
      </c>
      <c r="AV79" s="4">
        <f>'Economic Data'!Q81</f>
        <v>3717</v>
      </c>
      <c r="AW79" s="4">
        <f>'Economic Data'!R81</f>
        <v>3624</v>
      </c>
      <c r="AX79" s="4">
        <f>'Economic Data'!E81</f>
        <v>6498.5</v>
      </c>
      <c r="AY79" s="4">
        <f>'Economic Data'!D81</f>
        <v>6459.7</v>
      </c>
      <c r="AZ79">
        <v>78</v>
      </c>
      <c r="BA79" s="14">
        <f t="shared" si="50"/>
        <v>4.4659081186545837</v>
      </c>
      <c r="BB79">
        <f t="shared" si="51"/>
        <v>6084</v>
      </c>
      <c r="BC79">
        <v>0</v>
      </c>
      <c r="BD79">
        <v>0</v>
      </c>
      <c r="BE79">
        <v>0</v>
      </c>
      <c r="BF79">
        <v>0</v>
      </c>
      <c r="BG79">
        <v>0</v>
      </c>
      <c r="BH79">
        <v>1</v>
      </c>
      <c r="BI79">
        <v>0</v>
      </c>
      <c r="BJ79">
        <v>0</v>
      </c>
      <c r="BK79">
        <v>0</v>
      </c>
      <c r="BL79">
        <v>0</v>
      </c>
      <c r="BM79">
        <v>0</v>
      </c>
      <c r="BN79">
        <v>0</v>
      </c>
      <c r="BO79">
        <v>0</v>
      </c>
      <c r="BP79">
        <v>0</v>
      </c>
      <c r="BQ79">
        <v>0</v>
      </c>
      <c r="BR79">
        <v>30</v>
      </c>
      <c r="BS79">
        <v>22</v>
      </c>
      <c r="BT79">
        <v>1</v>
      </c>
      <c r="BU79">
        <v>0.5</v>
      </c>
      <c r="BV79">
        <v>1</v>
      </c>
      <c r="BW79">
        <v>0.5</v>
      </c>
      <c r="BX79" s="17">
        <f t="shared" si="32"/>
        <v>149.93124999999998</v>
      </c>
      <c r="BY79" s="17">
        <f t="shared" si="33"/>
        <v>22.449999999999989</v>
      </c>
      <c r="BZ79" s="17">
        <f t="shared" si="34"/>
        <v>109.80208333333333</v>
      </c>
      <c r="CA79" s="17">
        <f t="shared" si="35"/>
        <v>42.32083333333334</v>
      </c>
      <c r="CB79" s="17">
        <f t="shared" si="36"/>
        <v>75.07083333333334</v>
      </c>
      <c r="CC79" s="17">
        <f t="shared" si="37"/>
        <v>67.589583333333337</v>
      </c>
      <c r="CD79" s="17">
        <f t="shared" si="38"/>
        <v>44.308333333333337</v>
      </c>
      <c r="CE79" s="17">
        <f t="shared" si="39"/>
        <v>96.827083333333334</v>
      </c>
      <c r="CF79" s="17">
        <f t="shared" si="40"/>
        <v>23.783333333333339</v>
      </c>
      <c r="CG79" s="17">
        <f t="shared" si="41"/>
        <v>136.30208333333334</v>
      </c>
      <c r="CH79" s="17">
        <f t="shared" si="42"/>
        <v>10.508333333333333</v>
      </c>
      <c r="CI79" s="17">
        <f t="shared" si="43"/>
        <v>183.02708333333334</v>
      </c>
      <c r="CJ79" s="17">
        <f t="shared" si="44"/>
        <v>1.3791666666666655</v>
      </c>
      <c r="CK79" s="17">
        <f t="shared" si="45"/>
        <v>233.89791666666665</v>
      </c>
    </row>
    <row r="80" spans="1:89" x14ac:dyDescent="0.35">
      <c r="A80" s="1">
        <v>44013</v>
      </c>
      <c r="B80">
        <v>2020</v>
      </c>
      <c r="C80">
        <f t="shared" si="46"/>
        <v>7</v>
      </c>
      <c r="D80" s="4">
        <v>2972479.1154194833</v>
      </c>
      <c r="E80" s="4">
        <f>IFERROR(VLOOKUP($B80-1,CDM!$K$5:$N$19,2,FALSE)/12,0)+IFERROR(VLOOKUP($B80,CDM!$K$35:$N$47,2,FALSE)/24,0)+IFERROR(VLOOKUP($B80,CDM!$K$35:$N$47,2,FALSE)/2*$C80/78,0)</f>
        <v>150087.92810745354</v>
      </c>
      <c r="F80" s="4">
        <f t="shared" si="47"/>
        <v>3122567.0435269368</v>
      </c>
      <c r="G80" s="4">
        <v>1184737.200668775</v>
      </c>
      <c r="H80" s="4">
        <f>IFERROR(VLOOKUP($B80-1,CDM!$K$5:$N$19,3,FALSE)/12,0)+IFERROR(VLOOKUP($B80,CDM!$K$35:$N$47,3,FALSE)/24,0)+IFERROR(VLOOKUP($B80,CDM!$K$35:$N$47,3,FALSE)/2*$C80/78,0)</f>
        <v>193930.63540906156</v>
      </c>
      <c r="I80" s="4">
        <f t="shared" si="48"/>
        <v>1378667.8360778366</v>
      </c>
      <c r="J80" s="4">
        <v>4209607.4522277806</v>
      </c>
      <c r="K80" s="4">
        <f>IFERROR(VLOOKUP($B80-1,CDM!$K$5:$N$19,4,FALSE)/12,0)+IFERROR(VLOOKUP($B80,CDM!$K$35:$N$47,4,FALSE)/24,0)+IFERROR(VLOOKUP($B80,CDM!$K$35:$N$47,4,FALSE)/2*$C80/78,0)</f>
        <v>214592.69002519638</v>
      </c>
      <c r="L80" s="4">
        <f t="shared" si="49"/>
        <v>4424200.142252977</v>
      </c>
      <c r="M80" s="4">
        <v>31427.940298394053</v>
      </c>
      <c r="N80" s="4">
        <v>13681.499999999998</v>
      </c>
      <c r="O80" s="4">
        <v>12413.74</v>
      </c>
      <c r="P80" s="4">
        <v>125</v>
      </c>
      <c r="Q80" s="4">
        <v>5143</v>
      </c>
      <c r="R80" s="4">
        <v>718</v>
      </c>
      <c r="S80" s="4">
        <v>70</v>
      </c>
      <c r="T80" s="4">
        <v>1710</v>
      </c>
      <c r="U80" s="4">
        <v>23</v>
      </c>
      <c r="V80" s="4">
        <f>Weather!D200</f>
        <v>32.341666666666661</v>
      </c>
      <c r="W80" s="4">
        <f>Weather!E200</f>
        <v>38.016666666666666</v>
      </c>
      <c r="X80" s="4">
        <f>Weather!F200</f>
        <v>11.624999999999995</v>
      </c>
      <c r="Y80" s="4">
        <f>Weather!G200</f>
        <v>79.299999999999969</v>
      </c>
      <c r="Z80" s="4">
        <f>Weather!H200</f>
        <v>3.045833333333329</v>
      </c>
      <c r="AA80" s="4">
        <f>Weather!I200</f>
        <v>132.72083333333333</v>
      </c>
      <c r="AB80" s="4">
        <f>Weather!J200</f>
        <v>0</v>
      </c>
      <c r="AC80" s="4">
        <f>Weather!K200</f>
        <v>191.67500000000001</v>
      </c>
      <c r="AD80" s="4">
        <f>Weather!L200</f>
        <v>0</v>
      </c>
      <c r="AE80" s="4">
        <f>Weather!M200</f>
        <v>253.67500000000001</v>
      </c>
      <c r="AF80" s="4">
        <f>Weather!N200</f>
        <v>0</v>
      </c>
      <c r="AG80" s="4">
        <f>Weather!O200</f>
        <v>315.67499999999995</v>
      </c>
      <c r="AH80" s="4">
        <f>Weather!P200</f>
        <v>0</v>
      </c>
      <c r="AI80" s="4">
        <f>Weather!Q200</f>
        <v>377.67500000000001</v>
      </c>
      <c r="AJ80" s="4">
        <f>Weather!R200</f>
        <v>20.183064516129029</v>
      </c>
      <c r="AK80" s="4">
        <f>'Economic Data'!F82</f>
        <v>769942</v>
      </c>
      <c r="AL80" s="4">
        <f>'Economic Data'!G82</f>
        <v>8258.2999999999993</v>
      </c>
      <c r="AM80" s="4">
        <f>'Economic Data'!H82</f>
        <v>6539.9</v>
      </c>
      <c r="AN80" s="4">
        <f>'Economic Data'!I82</f>
        <v>107.8</v>
      </c>
      <c r="AO80" s="4">
        <f>'Economic Data'!J82</f>
        <v>72</v>
      </c>
      <c r="AP80" s="4">
        <f>'Economic Data'!K82</f>
        <v>423</v>
      </c>
      <c r="AQ80" s="4">
        <f>'Economic Data'!L82</f>
        <v>256.10000000000002</v>
      </c>
      <c r="AR80" s="4">
        <f>'Economic Data'!M82</f>
        <v>2195.1999999999998</v>
      </c>
      <c r="AS80" s="4">
        <f>'Economic Data'!N82</f>
        <v>2266.3000000000002</v>
      </c>
      <c r="AT80" s="4">
        <f>'Economic Data'!O82</f>
        <v>777225</v>
      </c>
      <c r="AU80" s="4">
        <f>'Economic Data'!P82</f>
        <v>8275</v>
      </c>
      <c r="AV80" s="4">
        <f>'Economic Data'!Q82</f>
        <v>4357</v>
      </c>
      <c r="AW80" s="4">
        <f>'Economic Data'!R82</f>
        <v>3753</v>
      </c>
      <c r="AX80" s="4">
        <f>'Economic Data'!E82</f>
        <v>6711.9</v>
      </c>
      <c r="AY80" s="4">
        <f>'Economic Data'!D82</f>
        <v>6643.5</v>
      </c>
      <c r="AZ80">
        <v>79</v>
      </c>
      <c r="BA80" s="14">
        <f t="shared" si="50"/>
        <v>4.4773368144782069</v>
      </c>
      <c r="BB80">
        <f t="shared" si="51"/>
        <v>6241</v>
      </c>
      <c r="BC80">
        <v>0</v>
      </c>
      <c r="BD80">
        <v>0</v>
      </c>
      <c r="BE80">
        <v>0</v>
      </c>
      <c r="BF80">
        <v>0</v>
      </c>
      <c r="BG80">
        <v>0</v>
      </c>
      <c r="BH80">
        <v>0</v>
      </c>
      <c r="BI80">
        <v>1</v>
      </c>
      <c r="BJ80">
        <v>0</v>
      </c>
      <c r="BK80">
        <v>0</v>
      </c>
      <c r="BL80">
        <v>0</v>
      </c>
      <c r="BM80">
        <v>0</v>
      </c>
      <c r="BN80">
        <v>0</v>
      </c>
      <c r="BO80">
        <v>0</v>
      </c>
      <c r="BP80">
        <v>0</v>
      </c>
      <c r="BQ80">
        <v>0</v>
      </c>
      <c r="BR80">
        <v>31</v>
      </c>
      <c r="BS80">
        <v>22</v>
      </c>
      <c r="BT80">
        <v>1</v>
      </c>
      <c r="BU80">
        <v>0.5</v>
      </c>
      <c r="BV80">
        <v>1</v>
      </c>
      <c r="BW80">
        <v>0</v>
      </c>
      <c r="BX80" s="17">
        <f t="shared" si="32"/>
        <v>32.341666666666661</v>
      </c>
      <c r="BY80" s="17">
        <f t="shared" si="33"/>
        <v>38.016666666666666</v>
      </c>
      <c r="BZ80" s="17">
        <f t="shared" si="34"/>
        <v>11.624999999999995</v>
      </c>
      <c r="CA80" s="17">
        <f t="shared" si="35"/>
        <v>79.299999999999969</v>
      </c>
      <c r="CB80" s="17">
        <f t="shared" si="36"/>
        <v>3.045833333333329</v>
      </c>
      <c r="CC80" s="17">
        <f t="shared" si="37"/>
        <v>132.72083333333333</v>
      </c>
      <c r="CD80" s="17">
        <f t="shared" si="38"/>
        <v>0</v>
      </c>
      <c r="CE80" s="17">
        <f t="shared" si="39"/>
        <v>191.67500000000001</v>
      </c>
      <c r="CF80" s="17">
        <f t="shared" si="40"/>
        <v>0</v>
      </c>
      <c r="CG80" s="17">
        <f t="shared" si="41"/>
        <v>253.67500000000001</v>
      </c>
      <c r="CH80" s="17">
        <f t="shared" si="42"/>
        <v>0</v>
      </c>
      <c r="CI80" s="17">
        <f t="shared" si="43"/>
        <v>315.67499999999995</v>
      </c>
      <c r="CJ80" s="17">
        <f t="shared" si="44"/>
        <v>0</v>
      </c>
      <c r="CK80" s="17">
        <f t="shared" si="45"/>
        <v>377.67500000000001</v>
      </c>
    </row>
    <row r="81" spans="1:89" x14ac:dyDescent="0.35">
      <c r="A81" s="1">
        <v>44044</v>
      </c>
      <c r="B81">
        <v>2020</v>
      </c>
      <c r="C81">
        <f t="shared" si="46"/>
        <v>8</v>
      </c>
      <c r="D81" s="4">
        <v>3513473.9679696015</v>
      </c>
      <c r="E81" s="4">
        <f>IFERROR(VLOOKUP($B81-1,CDM!$K$5:$N$19,2,FALSE)/12,0)+IFERROR(VLOOKUP($B81,CDM!$K$35:$N$47,2,FALSE)/24,0)+IFERROR(VLOOKUP($B81,CDM!$K$35:$N$47,2,FALSE)/2*$C81/78,0)</f>
        <v>149867.71755625564</v>
      </c>
      <c r="F81" s="4">
        <f t="shared" si="47"/>
        <v>3663341.6855258569</v>
      </c>
      <c r="G81" s="4">
        <v>1319947.6484186649</v>
      </c>
      <c r="H81" s="4">
        <f>IFERROR(VLOOKUP($B81-1,CDM!$K$5:$N$19,3,FALSE)/12,0)+IFERROR(VLOOKUP($B81,CDM!$K$35:$N$47,3,FALSE)/24,0)+IFERROR(VLOOKUP($B81,CDM!$K$35:$N$47,3,FALSE)/2*$C81/78,0)</f>
        <v>193167.16371617484</v>
      </c>
      <c r="I81" s="4">
        <f t="shared" si="48"/>
        <v>1513114.8121348398</v>
      </c>
      <c r="J81" s="4">
        <v>4417763.4102991484</v>
      </c>
      <c r="K81" s="4">
        <f>IFERROR(VLOOKUP($B81-1,CDM!$K$5:$N$19,4,FALSE)/12,0)+IFERROR(VLOOKUP($B81,CDM!$K$35:$N$47,4,FALSE)/24,0)+IFERROR(VLOOKUP($B81,CDM!$K$35:$N$47,4,FALSE)/2*$C81/78,0)</f>
        <v>214574.50503840437</v>
      </c>
      <c r="L81" s="4">
        <f t="shared" si="49"/>
        <v>4632337.9153375532</v>
      </c>
      <c r="M81" s="4">
        <v>33726.935931142172</v>
      </c>
      <c r="N81" s="4">
        <v>13681.499999999998</v>
      </c>
      <c r="O81" s="4">
        <v>12294.56</v>
      </c>
      <c r="P81" s="4">
        <v>125</v>
      </c>
      <c r="Q81" s="4">
        <v>5148</v>
      </c>
      <c r="R81" s="4">
        <v>711</v>
      </c>
      <c r="S81" s="4">
        <v>70</v>
      </c>
      <c r="T81" s="4">
        <v>1710</v>
      </c>
      <c r="U81" s="4">
        <v>23</v>
      </c>
      <c r="V81" s="4">
        <f>Weather!D201</f>
        <v>132.28686751764945</v>
      </c>
      <c r="W81" s="4">
        <f>Weather!E201</f>
        <v>12.905653934421348</v>
      </c>
      <c r="X81" s="4">
        <f>Weather!F201</f>
        <v>89.261867517649449</v>
      </c>
      <c r="Y81" s="4">
        <f>Weather!G201</f>
        <v>31.880653934421346</v>
      </c>
      <c r="Z81" s="4">
        <f>Weather!H201</f>
        <v>53.670200850982781</v>
      </c>
      <c r="AA81" s="4">
        <f>Weather!I201</f>
        <v>58.288987267754671</v>
      </c>
      <c r="AB81" s="4">
        <f>Weather!J201</f>
        <v>24.186867517649446</v>
      </c>
      <c r="AC81" s="4">
        <f>Weather!K201</f>
        <v>90.805653934421315</v>
      </c>
      <c r="AD81" s="4">
        <f>Weather!L201</f>
        <v>4.5785341843161174</v>
      </c>
      <c r="AE81" s="4">
        <f>Weather!M201</f>
        <v>133.19732060108799</v>
      </c>
      <c r="AF81" s="4">
        <f>Weather!N201</f>
        <v>0</v>
      </c>
      <c r="AG81" s="4">
        <f>Weather!O201</f>
        <v>190.61878641677185</v>
      </c>
      <c r="AH81" s="4">
        <f>Weather!P201</f>
        <v>0</v>
      </c>
      <c r="AI81" s="4">
        <f>Weather!Q201</f>
        <v>252.61878641677185</v>
      </c>
      <c r="AJ81" s="4">
        <f>Weather!R201</f>
        <v>16.148993110218452</v>
      </c>
      <c r="AK81" s="4">
        <f>'Economic Data'!F83</f>
        <v>769942</v>
      </c>
      <c r="AL81" s="4">
        <f>'Economic Data'!G83</f>
        <v>8258.2999999999993</v>
      </c>
      <c r="AM81" s="4">
        <f>'Economic Data'!H83</f>
        <v>6539.9</v>
      </c>
      <c r="AN81" s="4">
        <f>'Economic Data'!I83</f>
        <v>107.8</v>
      </c>
      <c r="AO81" s="4">
        <f>'Economic Data'!J83</f>
        <v>72</v>
      </c>
      <c r="AP81" s="4">
        <f>'Economic Data'!K83</f>
        <v>423</v>
      </c>
      <c r="AQ81" s="4">
        <f>'Economic Data'!L83</f>
        <v>256.10000000000002</v>
      </c>
      <c r="AR81" s="4">
        <f>'Economic Data'!M83</f>
        <v>2195.1999999999998</v>
      </c>
      <c r="AS81" s="4">
        <f>'Economic Data'!N83</f>
        <v>2266.3000000000002</v>
      </c>
      <c r="AT81" s="4">
        <f>'Economic Data'!O83</f>
        <v>777225</v>
      </c>
      <c r="AU81" s="4">
        <f>'Economic Data'!P83</f>
        <v>8275</v>
      </c>
      <c r="AV81" s="4">
        <f>'Economic Data'!Q83</f>
        <v>4357</v>
      </c>
      <c r="AW81" s="4">
        <f>'Economic Data'!R83</f>
        <v>3753</v>
      </c>
      <c r="AX81" s="4">
        <f>'Economic Data'!E83</f>
        <v>6950.9</v>
      </c>
      <c r="AY81" s="4">
        <f>'Economic Data'!D83</f>
        <v>6879.1</v>
      </c>
      <c r="AZ81">
        <v>80</v>
      </c>
      <c r="BA81" s="14">
        <f t="shared" si="50"/>
        <v>4.4886363697321396</v>
      </c>
      <c r="BB81">
        <f t="shared" si="51"/>
        <v>6400</v>
      </c>
      <c r="BC81">
        <v>0</v>
      </c>
      <c r="BD81">
        <v>0</v>
      </c>
      <c r="BE81">
        <v>0</v>
      </c>
      <c r="BF81">
        <v>0</v>
      </c>
      <c r="BG81">
        <v>0</v>
      </c>
      <c r="BH81">
        <v>0</v>
      </c>
      <c r="BI81">
        <v>0</v>
      </c>
      <c r="BJ81">
        <v>1</v>
      </c>
      <c r="BK81">
        <v>0</v>
      </c>
      <c r="BL81">
        <v>0</v>
      </c>
      <c r="BM81">
        <v>0</v>
      </c>
      <c r="BN81">
        <v>0</v>
      </c>
      <c r="BO81">
        <v>0</v>
      </c>
      <c r="BP81">
        <v>0</v>
      </c>
      <c r="BQ81">
        <v>0</v>
      </c>
      <c r="BR81">
        <v>31</v>
      </c>
      <c r="BS81">
        <v>20</v>
      </c>
      <c r="BT81">
        <v>1</v>
      </c>
      <c r="BU81">
        <v>0.5</v>
      </c>
      <c r="BV81">
        <v>1</v>
      </c>
      <c r="BW81">
        <v>0</v>
      </c>
      <c r="BX81" s="17">
        <f t="shared" si="32"/>
        <v>132.28686751764945</v>
      </c>
      <c r="BY81" s="17">
        <f t="shared" si="33"/>
        <v>12.905653934421348</v>
      </c>
      <c r="BZ81" s="17">
        <f t="shared" si="34"/>
        <v>89.261867517649449</v>
      </c>
      <c r="CA81" s="17">
        <f t="shared" si="35"/>
        <v>31.880653934421346</v>
      </c>
      <c r="CB81" s="17">
        <f t="shared" si="36"/>
        <v>53.670200850982781</v>
      </c>
      <c r="CC81" s="17">
        <f t="shared" si="37"/>
        <v>58.288987267754671</v>
      </c>
      <c r="CD81" s="17">
        <f t="shared" si="38"/>
        <v>24.186867517649446</v>
      </c>
      <c r="CE81" s="17">
        <f t="shared" si="39"/>
        <v>90.805653934421315</v>
      </c>
      <c r="CF81" s="17">
        <f t="shared" si="40"/>
        <v>4.5785341843161174</v>
      </c>
      <c r="CG81" s="17">
        <f t="shared" si="41"/>
        <v>133.19732060108799</v>
      </c>
      <c r="CH81" s="17">
        <f t="shared" si="42"/>
        <v>0</v>
      </c>
      <c r="CI81" s="17">
        <f t="shared" si="43"/>
        <v>190.61878641677185</v>
      </c>
      <c r="CJ81" s="17">
        <f t="shared" si="44"/>
        <v>0</v>
      </c>
      <c r="CK81" s="17">
        <f t="shared" si="45"/>
        <v>252.61878641677185</v>
      </c>
    </row>
    <row r="82" spans="1:89" x14ac:dyDescent="0.35">
      <c r="A82" s="1">
        <v>44075</v>
      </c>
      <c r="B82">
        <v>2020</v>
      </c>
      <c r="C82">
        <f t="shared" si="46"/>
        <v>9</v>
      </c>
      <c r="D82" s="4">
        <v>3005496.6953236479</v>
      </c>
      <c r="E82" s="4">
        <f>IFERROR(VLOOKUP($B82-1,CDM!$K$5:$N$19,2,FALSE)/12,0)+IFERROR(VLOOKUP($B82,CDM!$K$35:$N$47,2,FALSE)/24,0)+IFERROR(VLOOKUP($B82,CDM!$K$35:$N$47,2,FALSE)/2*$C82/78,0)</f>
        <v>149647.50700505776</v>
      </c>
      <c r="F82" s="4">
        <f t="shared" si="47"/>
        <v>3155144.2023287057</v>
      </c>
      <c r="G82" s="4">
        <v>1205593.0536780029</v>
      </c>
      <c r="H82" s="4">
        <f>IFERROR(VLOOKUP($B82-1,CDM!$K$5:$N$19,3,FALSE)/12,0)+IFERROR(VLOOKUP($B82,CDM!$K$35:$N$47,3,FALSE)/24,0)+IFERROR(VLOOKUP($B82,CDM!$K$35:$N$47,3,FALSE)/2*$C82/78,0)</f>
        <v>192403.69202328808</v>
      </c>
      <c r="I82" s="4">
        <f t="shared" si="48"/>
        <v>1397996.7457012909</v>
      </c>
      <c r="J82" s="4">
        <v>4281276.3998958115</v>
      </c>
      <c r="K82" s="4">
        <f>IFERROR(VLOOKUP($B82-1,CDM!$K$5:$N$19,4,FALSE)/12,0)+IFERROR(VLOOKUP($B82,CDM!$K$35:$N$47,4,FALSE)/24,0)+IFERROR(VLOOKUP($B82,CDM!$K$35:$N$47,4,FALSE)/2*$C82/78,0)</f>
        <v>214556.32005161236</v>
      </c>
      <c r="L82" s="4">
        <f t="shared" si="49"/>
        <v>4495832.7199474238</v>
      </c>
      <c r="M82" s="4">
        <v>37950.927907100442</v>
      </c>
      <c r="N82" s="4">
        <v>13681.499999999998</v>
      </c>
      <c r="O82" s="4">
        <v>12648.36</v>
      </c>
      <c r="P82" s="4">
        <v>125</v>
      </c>
      <c r="Q82" s="4">
        <v>5156</v>
      </c>
      <c r="R82" s="4">
        <v>713</v>
      </c>
      <c r="S82" s="4">
        <v>72</v>
      </c>
      <c r="T82" s="4">
        <v>1710</v>
      </c>
      <c r="U82" s="4">
        <v>23</v>
      </c>
      <c r="V82" s="4">
        <f>Weather!D202</f>
        <v>278.61250000000007</v>
      </c>
      <c r="W82" s="4">
        <f>Weather!E202</f>
        <v>0</v>
      </c>
      <c r="X82" s="4">
        <f>Weather!F202</f>
        <v>218.61250000000001</v>
      </c>
      <c r="Y82" s="4">
        <f>Weather!G202</f>
        <v>0</v>
      </c>
      <c r="Z82" s="4">
        <f>Weather!H202</f>
        <v>159.08749999999998</v>
      </c>
      <c r="AA82" s="4">
        <f>Weather!I202</f>
        <v>0.47499999999999787</v>
      </c>
      <c r="AB82" s="4">
        <f>Weather!J202</f>
        <v>108.50416666666668</v>
      </c>
      <c r="AC82" s="4">
        <f>Weather!K202</f>
        <v>9.8916666666666675</v>
      </c>
      <c r="AD82" s="4">
        <f>Weather!L202</f>
        <v>63.32083333333334</v>
      </c>
      <c r="AE82" s="4">
        <f>Weather!M202</f>
        <v>24.708333333333343</v>
      </c>
      <c r="AF82" s="4">
        <f>Weather!N202</f>
        <v>30.970833333333331</v>
      </c>
      <c r="AG82" s="4">
        <f>Weather!O202</f>
        <v>52.358333333333334</v>
      </c>
      <c r="AH82" s="4">
        <f>Weather!P202</f>
        <v>12.591666666666665</v>
      </c>
      <c r="AI82" s="4">
        <f>Weather!Q202</f>
        <v>93.979166666666629</v>
      </c>
      <c r="AJ82" s="4">
        <f>Weather!R202</f>
        <v>10.712916666666667</v>
      </c>
      <c r="AK82" s="4">
        <f>'Economic Data'!F84</f>
        <v>769942</v>
      </c>
      <c r="AL82" s="4">
        <f>'Economic Data'!G84</f>
        <v>8258.2999999999993</v>
      </c>
      <c r="AM82" s="4">
        <f>'Economic Data'!H84</f>
        <v>6539.9</v>
      </c>
      <c r="AN82" s="4">
        <f>'Economic Data'!I84</f>
        <v>107.8</v>
      </c>
      <c r="AO82" s="4">
        <f>'Economic Data'!J84</f>
        <v>72</v>
      </c>
      <c r="AP82" s="4">
        <f>'Economic Data'!K84</f>
        <v>423</v>
      </c>
      <c r="AQ82" s="4">
        <f>'Economic Data'!L84</f>
        <v>256.10000000000002</v>
      </c>
      <c r="AR82" s="4">
        <f>'Economic Data'!M84</f>
        <v>2195.1999999999998</v>
      </c>
      <c r="AS82" s="4">
        <f>'Economic Data'!N84</f>
        <v>2266.3000000000002</v>
      </c>
      <c r="AT82" s="4">
        <f>'Economic Data'!O84</f>
        <v>777225</v>
      </c>
      <c r="AU82" s="4">
        <f>'Economic Data'!P84</f>
        <v>8275</v>
      </c>
      <c r="AV82" s="4">
        <f>'Economic Data'!Q84</f>
        <v>4357</v>
      </c>
      <c r="AW82" s="4">
        <f>'Economic Data'!R84</f>
        <v>3753</v>
      </c>
      <c r="AX82" s="4">
        <f>'Economic Data'!E84</f>
        <v>7075.5</v>
      </c>
      <c r="AY82" s="4">
        <f>'Economic Data'!D84</f>
        <v>7040.8</v>
      </c>
      <c r="AZ82">
        <v>81</v>
      </c>
      <c r="BA82" s="14">
        <f t="shared" si="50"/>
        <v>4.499809670330265</v>
      </c>
      <c r="BB82">
        <f t="shared" si="51"/>
        <v>6561</v>
      </c>
      <c r="BC82">
        <v>0</v>
      </c>
      <c r="BD82">
        <v>0</v>
      </c>
      <c r="BE82">
        <v>0</v>
      </c>
      <c r="BF82">
        <v>0</v>
      </c>
      <c r="BG82">
        <v>0</v>
      </c>
      <c r="BH82">
        <v>0</v>
      </c>
      <c r="BI82">
        <v>0</v>
      </c>
      <c r="BJ82">
        <v>0</v>
      </c>
      <c r="BK82">
        <v>1</v>
      </c>
      <c r="BL82">
        <v>0</v>
      </c>
      <c r="BM82">
        <v>0</v>
      </c>
      <c r="BN82">
        <v>0</v>
      </c>
      <c r="BO82">
        <v>0</v>
      </c>
      <c r="BP82">
        <v>0</v>
      </c>
      <c r="BQ82">
        <v>0</v>
      </c>
      <c r="BR82">
        <v>30</v>
      </c>
      <c r="BS82">
        <v>21</v>
      </c>
      <c r="BT82">
        <v>1</v>
      </c>
      <c r="BU82">
        <v>0.5</v>
      </c>
      <c r="BV82">
        <v>1</v>
      </c>
      <c r="BW82">
        <v>0</v>
      </c>
      <c r="BX82" s="17">
        <f t="shared" si="32"/>
        <v>278.61250000000007</v>
      </c>
      <c r="BY82" s="17">
        <f t="shared" si="33"/>
        <v>0</v>
      </c>
      <c r="BZ82" s="17">
        <f t="shared" si="34"/>
        <v>218.61250000000001</v>
      </c>
      <c r="CA82" s="17">
        <f t="shared" si="35"/>
        <v>0</v>
      </c>
      <c r="CB82" s="17">
        <f t="shared" si="36"/>
        <v>159.08749999999998</v>
      </c>
      <c r="CC82" s="17">
        <f t="shared" si="37"/>
        <v>0.47499999999999787</v>
      </c>
      <c r="CD82" s="17">
        <f t="shared" si="38"/>
        <v>108.50416666666668</v>
      </c>
      <c r="CE82" s="17">
        <f t="shared" si="39"/>
        <v>9.8916666666666675</v>
      </c>
      <c r="CF82" s="17">
        <f t="shared" si="40"/>
        <v>63.32083333333334</v>
      </c>
      <c r="CG82" s="17">
        <f t="shared" si="41"/>
        <v>24.708333333333343</v>
      </c>
      <c r="CH82" s="17">
        <f t="shared" si="42"/>
        <v>30.970833333333331</v>
      </c>
      <c r="CI82" s="17">
        <f t="shared" si="43"/>
        <v>52.358333333333334</v>
      </c>
      <c r="CJ82" s="17">
        <f t="shared" si="44"/>
        <v>12.591666666666665</v>
      </c>
      <c r="CK82" s="17">
        <f t="shared" si="45"/>
        <v>93.979166666666629</v>
      </c>
    </row>
    <row r="83" spans="1:89" x14ac:dyDescent="0.35">
      <c r="A83" s="1">
        <v>44105</v>
      </c>
      <c r="B83">
        <v>2020</v>
      </c>
      <c r="C83">
        <f t="shared" si="46"/>
        <v>10</v>
      </c>
      <c r="D83" s="4">
        <v>2570326.9077531258</v>
      </c>
      <c r="E83" s="4">
        <f>IFERROR(VLOOKUP($B83-1,CDM!$K$5:$N$19,2,FALSE)/12,0)+IFERROR(VLOOKUP($B83,CDM!$K$35:$N$47,2,FALSE)/24,0)+IFERROR(VLOOKUP($B83,CDM!$K$35:$N$47,2,FALSE)/2*$C83/78,0)</f>
        <v>149427.29645385986</v>
      </c>
      <c r="F83" s="4">
        <f t="shared" si="47"/>
        <v>2719754.2042069854</v>
      </c>
      <c r="G83" s="4">
        <v>1093352.0533369805</v>
      </c>
      <c r="H83" s="4">
        <f>IFERROR(VLOOKUP($B83-1,CDM!$K$5:$N$19,3,FALSE)/12,0)+IFERROR(VLOOKUP($B83,CDM!$K$35:$N$47,3,FALSE)/24,0)+IFERROR(VLOOKUP($B83,CDM!$K$35:$N$47,3,FALSE)/2*$C83/78,0)</f>
        <v>191640.22033040132</v>
      </c>
      <c r="I83" s="4">
        <f t="shared" si="48"/>
        <v>1284992.2736673818</v>
      </c>
      <c r="J83" s="4">
        <v>4471182.689919265</v>
      </c>
      <c r="K83" s="4">
        <f>IFERROR(VLOOKUP($B83-1,CDM!$K$5:$N$19,4,FALSE)/12,0)+IFERROR(VLOOKUP($B83,CDM!$K$35:$N$47,4,FALSE)/24,0)+IFERROR(VLOOKUP($B83,CDM!$K$35:$N$47,4,FALSE)/2*$C83/78,0)</f>
        <v>214538.13506482032</v>
      </c>
      <c r="L83" s="4">
        <f t="shared" si="49"/>
        <v>4685720.8249840857</v>
      </c>
      <c r="M83" s="4">
        <v>42166.919898255757</v>
      </c>
      <c r="N83" s="4">
        <v>13681.499999999998</v>
      </c>
      <c r="O83" s="4">
        <v>12849.88</v>
      </c>
      <c r="P83" s="4">
        <v>125</v>
      </c>
      <c r="Q83" s="4">
        <v>5140</v>
      </c>
      <c r="R83" s="4">
        <v>708</v>
      </c>
      <c r="S83" s="4">
        <v>72</v>
      </c>
      <c r="T83" s="4">
        <v>1710</v>
      </c>
      <c r="U83" s="4">
        <v>23</v>
      </c>
      <c r="V83" s="4">
        <f>Weather!D203</f>
        <v>575.12500000000011</v>
      </c>
      <c r="W83" s="4">
        <f>Weather!E203</f>
        <v>0</v>
      </c>
      <c r="X83" s="4">
        <f>Weather!F203</f>
        <v>513.12500000000011</v>
      </c>
      <c r="Y83" s="4">
        <f>Weather!G203</f>
        <v>0</v>
      </c>
      <c r="Z83" s="4">
        <f>Weather!H203</f>
        <v>451.12500000000006</v>
      </c>
      <c r="AA83" s="4">
        <f>Weather!I203</f>
        <v>0</v>
      </c>
      <c r="AB83" s="4">
        <f>Weather!J203</f>
        <v>389.125</v>
      </c>
      <c r="AC83" s="4">
        <f>Weather!K203</f>
        <v>0</v>
      </c>
      <c r="AD83" s="4">
        <f>Weather!L203</f>
        <v>327.125</v>
      </c>
      <c r="AE83" s="4">
        <f>Weather!M203</f>
        <v>0</v>
      </c>
      <c r="AF83" s="4">
        <f>Weather!N203</f>
        <v>265.67500000000001</v>
      </c>
      <c r="AG83" s="4">
        <f>Weather!O203</f>
        <v>0.55000000000000249</v>
      </c>
      <c r="AH83" s="4">
        <f>Weather!P203</f>
        <v>208.15833333333327</v>
      </c>
      <c r="AI83" s="4">
        <f>Weather!Q203</f>
        <v>5.033333333333335</v>
      </c>
      <c r="AJ83" s="4">
        <f>Weather!R203</f>
        <v>1.44758064516129</v>
      </c>
      <c r="AK83" s="4">
        <f>'Economic Data'!F85</f>
        <v>769942</v>
      </c>
      <c r="AL83" s="4">
        <f>'Economic Data'!G85</f>
        <v>8258.2999999999993</v>
      </c>
      <c r="AM83" s="4">
        <f>'Economic Data'!H85</f>
        <v>6539.9</v>
      </c>
      <c r="AN83" s="4">
        <f>'Economic Data'!I85</f>
        <v>107.8</v>
      </c>
      <c r="AO83" s="4">
        <f>'Economic Data'!J85</f>
        <v>72</v>
      </c>
      <c r="AP83" s="4">
        <f>'Economic Data'!K85</f>
        <v>423</v>
      </c>
      <c r="AQ83" s="4">
        <f>'Economic Data'!L85</f>
        <v>256.10000000000002</v>
      </c>
      <c r="AR83" s="4">
        <f>'Economic Data'!M85</f>
        <v>2195.1999999999998</v>
      </c>
      <c r="AS83" s="4">
        <f>'Economic Data'!N85</f>
        <v>2266.3000000000002</v>
      </c>
      <c r="AT83" s="4">
        <f>'Economic Data'!O85</f>
        <v>795879</v>
      </c>
      <c r="AU83" s="4">
        <f>'Economic Data'!P85</f>
        <v>8803</v>
      </c>
      <c r="AV83" s="4">
        <f>'Economic Data'!Q85</f>
        <v>4351</v>
      </c>
      <c r="AW83" s="4">
        <f>'Economic Data'!R85</f>
        <v>3607</v>
      </c>
      <c r="AX83" s="4">
        <f>'Economic Data'!E85</f>
        <v>7184.1</v>
      </c>
      <c r="AY83" s="4">
        <f>'Economic Data'!D85</f>
        <v>7159.1</v>
      </c>
      <c r="AZ83">
        <v>82</v>
      </c>
      <c r="BA83" s="14">
        <f t="shared" si="50"/>
        <v>4.5108595065168497</v>
      </c>
      <c r="BB83">
        <f t="shared" si="51"/>
        <v>6724</v>
      </c>
      <c r="BC83">
        <v>0</v>
      </c>
      <c r="BD83">
        <v>0</v>
      </c>
      <c r="BE83">
        <v>0</v>
      </c>
      <c r="BF83">
        <v>0</v>
      </c>
      <c r="BG83">
        <v>0</v>
      </c>
      <c r="BH83">
        <v>0</v>
      </c>
      <c r="BI83">
        <v>0</v>
      </c>
      <c r="BJ83">
        <v>0</v>
      </c>
      <c r="BK83">
        <v>0</v>
      </c>
      <c r="BL83">
        <v>1</v>
      </c>
      <c r="BM83">
        <v>0</v>
      </c>
      <c r="BN83">
        <v>0</v>
      </c>
      <c r="BO83">
        <v>0</v>
      </c>
      <c r="BP83">
        <v>1</v>
      </c>
      <c r="BQ83">
        <v>1</v>
      </c>
      <c r="BR83">
        <v>31</v>
      </c>
      <c r="BS83">
        <v>21</v>
      </c>
      <c r="BT83">
        <v>1</v>
      </c>
      <c r="BU83">
        <v>0.5</v>
      </c>
      <c r="BV83">
        <v>1</v>
      </c>
      <c r="BW83">
        <v>0</v>
      </c>
      <c r="BX83" s="17">
        <f t="shared" si="32"/>
        <v>575.12500000000011</v>
      </c>
      <c r="BY83" s="17">
        <f t="shared" si="33"/>
        <v>0</v>
      </c>
      <c r="BZ83" s="17">
        <f t="shared" si="34"/>
        <v>513.12500000000011</v>
      </c>
      <c r="CA83" s="17">
        <f t="shared" si="35"/>
        <v>0</v>
      </c>
      <c r="CB83" s="17">
        <f t="shared" si="36"/>
        <v>451.12500000000006</v>
      </c>
      <c r="CC83" s="17">
        <f t="shared" si="37"/>
        <v>0</v>
      </c>
      <c r="CD83" s="17">
        <f t="shared" si="38"/>
        <v>389.125</v>
      </c>
      <c r="CE83" s="17">
        <f t="shared" si="39"/>
        <v>0</v>
      </c>
      <c r="CF83" s="17">
        <f t="shared" si="40"/>
        <v>327.125</v>
      </c>
      <c r="CG83" s="17">
        <f t="shared" si="41"/>
        <v>0</v>
      </c>
      <c r="CH83" s="17">
        <f t="shared" si="42"/>
        <v>265.67500000000001</v>
      </c>
      <c r="CI83" s="17">
        <f t="shared" si="43"/>
        <v>0.55000000000000249</v>
      </c>
      <c r="CJ83" s="17">
        <f t="shared" si="44"/>
        <v>208.15833333333327</v>
      </c>
      <c r="CK83" s="17">
        <f t="shared" si="45"/>
        <v>5.033333333333335</v>
      </c>
    </row>
    <row r="84" spans="1:89" x14ac:dyDescent="0.35">
      <c r="A84" s="1">
        <v>44136</v>
      </c>
      <c r="B84">
        <v>2020</v>
      </c>
      <c r="C84">
        <f t="shared" si="46"/>
        <v>11</v>
      </c>
      <c r="D84" s="4">
        <v>3116676.3669191157</v>
      </c>
      <c r="E84" s="4">
        <f>IFERROR(VLOOKUP($B84-1,CDM!$K$5:$N$19,2,FALSE)/12,0)+IFERROR(VLOOKUP($B84,CDM!$K$35:$N$47,2,FALSE)/24,0)+IFERROR(VLOOKUP($B84,CDM!$K$35:$N$47,2,FALSE)/2*$C84/78,0)</f>
        <v>149207.08590266199</v>
      </c>
      <c r="F84" s="4">
        <f t="shared" si="47"/>
        <v>3265883.4528217777</v>
      </c>
      <c r="G84" s="4">
        <v>1273601.5291160371</v>
      </c>
      <c r="H84" s="4">
        <f>IFERROR(VLOOKUP($B84-1,CDM!$K$5:$N$19,3,FALSE)/12,0)+IFERROR(VLOOKUP($B84,CDM!$K$35:$N$47,3,FALSE)/24,0)+IFERROR(VLOOKUP($B84,CDM!$K$35:$N$47,3,FALSE)/2*$C84/78,0)</f>
        <v>190876.7486375146</v>
      </c>
      <c r="I84" s="4">
        <f t="shared" si="48"/>
        <v>1464478.2777535517</v>
      </c>
      <c r="J84" s="4">
        <v>4908697.1036431799</v>
      </c>
      <c r="K84" s="4">
        <f>IFERROR(VLOOKUP($B84-1,CDM!$K$5:$N$19,4,FALSE)/12,0)+IFERROR(VLOOKUP($B84,CDM!$K$35:$N$47,4,FALSE)/24,0)+IFERROR(VLOOKUP($B84,CDM!$K$35:$N$47,4,FALSE)/2*$C84/78,0)</f>
        <v>214519.95007802831</v>
      </c>
      <c r="L84" s="4">
        <f t="shared" si="49"/>
        <v>5123217.0537212081</v>
      </c>
      <c r="M84" s="4">
        <v>49161.906610336271</v>
      </c>
      <c r="N84" s="4">
        <v>13681.499999999998</v>
      </c>
      <c r="O84" s="4">
        <v>13414.91</v>
      </c>
      <c r="P84" s="4">
        <v>125</v>
      </c>
      <c r="Q84" s="4">
        <v>5171</v>
      </c>
      <c r="R84" s="4">
        <v>707</v>
      </c>
      <c r="S84" s="4">
        <v>73</v>
      </c>
      <c r="T84" s="4">
        <v>1710</v>
      </c>
      <c r="U84" s="4">
        <v>23</v>
      </c>
      <c r="V84" s="4">
        <f>Weather!D204</f>
        <v>647.4</v>
      </c>
      <c r="W84" s="4">
        <f>Weather!E204</f>
        <v>0</v>
      </c>
      <c r="X84" s="4">
        <f>Weather!F204</f>
        <v>587.4</v>
      </c>
      <c r="Y84" s="4">
        <f>Weather!G204</f>
        <v>0</v>
      </c>
      <c r="Z84" s="4">
        <f>Weather!H204</f>
        <v>527.40000000000009</v>
      </c>
      <c r="AA84" s="4">
        <f>Weather!I204</f>
        <v>0</v>
      </c>
      <c r="AB84" s="4">
        <f>Weather!J204</f>
        <v>468.30416666666667</v>
      </c>
      <c r="AC84" s="4">
        <f>Weather!K204</f>
        <v>0.90416666666666679</v>
      </c>
      <c r="AD84" s="4">
        <f>Weather!L204</f>
        <v>410.30416666666673</v>
      </c>
      <c r="AE84" s="4">
        <f>Weather!M204</f>
        <v>2.9041666666666668</v>
      </c>
      <c r="AF84" s="4">
        <f>Weather!N204</f>
        <v>352.30416666666673</v>
      </c>
      <c r="AG84" s="4">
        <f>Weather!O204</f>
        <v>4.9041666666666668</v>
      </c>
      <c r="AH84" s="4">
        <f>Weather!P204</f>
        <v>294.90833333333336</v>
      </c>
      <c r="AI84" s="4">
        <f>Weather!Q204</f>
        <v>7.5083333333333329</v>
      </c>
      <c r="AJ84" s="4">
        <f>Weather!R204</f>
        <v>-1.5799999999999996</v>
      </c>
      <c r="AK84" s="4">
        <f>'Economic Data'!F86</f>
        <v>769942</v>
      </c>
      <c r="AL84" s="4">
        <f>'Economic Data'!G86</f>
        <v>8258.2999999999993</v>
      </c>
      <c r="AM84" s="4">
        <f>'Economic Data'!H86</f>
        <v>6539.9</v>
      </c>
      <c r="AN84" s="4">
        <f>'Economic Data'!I86</f>
        <v>107.8</v>
      </c>
      <c r="AO84" s="4">
        <f>'Economic Data'!J86</f>
        <v>72</v>
      </c>
      <c r="AP84" s="4">
        <f>'Economic Data'!K86</f>
        <v>423</v>
      </c>
      <c r="AQ84" s="4">
        <f>'Economic Data'!L86</f>
        <v>256.10000000000002</v>
      </c>
      <c r="AR84" s="4">
        <f>'Economic Data'!M86</f>
        <v>2195.1999999999998</v>
      </c>
      <c r="AS84" s="4">
        <f>'Economic Data'!N86</f>
        <v>2266.3000000000002</v>
      </c>
      <c r="AT84" s="4">
        <f>'Economic Data'!O86</f>
        <v>795879</v>
      </c>
      <c r="AU84" s="4">
        <f>'Economic Data'!P86</f>
        <v>8803</v>
      </c>
      <c r="AV84" s="4">
        <f>'Economic Data'!Q86</f>
        <v>4351</v>
      </c>
      <c r="AW84" s="4">
        <f>'Economic Data'!R86</f>
        <v>3607</v>
      </c>
      <c r="AX84" s="4">
        <f>'Economic Data'!E86</f>
        <v>7255.2</v>
      </c>
      <c r="AY84" s="4">
        <f>'Economic Data'!D86</f>
        <v>7242.5</v>
      </c>
      <c r="AZ84">
        <v>83</v>
      </c>
      <c r="BA84" s="14">
        <f t="shared" si="50"/>
        <v>4.5217885770490405</v>
      </c>
      <c r="BB84">
        <f t="shared" si="51"/>
        <v>6889</v>
      </c>
      <c r="BC84">
        <v>0</v>
      </c>
      <c r="BD84">
        <v>0</v>
      </c>
      <c r="BE84">
        <v>0</v>
      </c>
      <c r="BF84">
        <v>0</v>
      </c>
      <c r="BG84">
        <v>0</v>
      </c>
      <c r="BH84">
        <v>0</v>
      </c>
      <c r="BI84">
        <v>0</v>
      </c>
      <c r="BJ84">
        <v>0</v>
      </c>
      <c r="BK84">
        <v>0</v>
      </c>
      <c r="BL84">
        <v>0</v>
      </c>
      <c r="BM84">
        <v>1</v>
      </c>
      <c r="BN84">
        <v>0</v>
      </c>
      <c r="BO84">
        <v>0</v>
      </c>
      <c r="BP84">
        <v>1</v>
      </c>
      <c r="BQ84">
        <v>1</v>
      </c>
      <c r="BR84">
        <v>30</v>
      </c>
      <c r="BS84">
        <v>21</v>
      </c>
      <c r="BT84">
        <v>1</v>
      </c>
      <c r="BU84">
        <v>0.5</v>
      </c>
      <c r="BV84">
        <v>1</v>
      </c>
      <c r="BW84">
        <v>0</v>
      </c>
      <c r="BX84" s="17">
        <f t="shared" si="32"/>
        <v>647.4</v>
      </c>
      <c r="BY84" s="17">
        <f t="shared" si="33"/>
        <v>0</v>
      </c>
      <c r="BZ84" s="17">
        <f t="shared" si="34"/>
        <v>587.4</v>
      </c>
      <c r="CA84" s="17">
        <f t="shared" si="35"/>
        <v>0</v>
      </c>
      <c r="CB84" s="17">
        <f t="shared" si="36"/>
        <v>527.40000000000009</v>
      </c>
      <c r="CC84" s="17">
        <f t="shared" si="37"/>
        <v>0</v>
      </c>
      <c r="CD84" s="17">
        <f t="shared" si="38"/>
        <v>468.30416666666667</v>
      </c>
      <c r="CE84" s="17">
        <f t="shared" si="39"/>
        <v>0.90416666666666679</v>
      </c>
      <c r="CF84" s="17">
        <f t="shared" si="40"/>
        <v>410.30416666666673</v>
      </c>
      <c r="CG84" s="17">
        <f t="shared" si="41"/>
        <v>2.9041666666666668</v>
      </c>
      <c r="CH84" s="17">
        <f t="shared" si="42"/>
        <v>352.30416666666673</v>
      </c>
      <c r="CI84" s="17">
        <f t="shared" si="43"/>
        <v>4.9041666666666668</v>
      </c>
      <c r="CJ84" s="17">
        <f t="shared" si="44"/>
        <v>294.90833333333336</v>
      </c>
      <c r="CK84" s="17">
        <f t="shared" si="45"/>
        <v>7.5083333333333329</v>
      </c>
    </row>
    <row r="85" spans="1:89" x14ac:dyDescent="0.35">
      <c r="A85" s="1">
        <v>44166</v>
      </c>
      <c r="B85">
        <v>2020</v>
      </c>
      <c r="C85">
        <f t="shared" si="46"/>
        <v>12</v>
      </c>
      <c r="D85" s="4">
        <v>3360599.7994328472</v>
      </c>
      <c r="E85" s="4">
        <f>IFERROR(VLOOKUP($B85-1,CDM!$K$5:$N$19,2,FALSE)/12,0)+IFERROR(VLOOKUP($B85,CDM!$K$35:$N$47,2,FALSE)/24,0)+IFERROR(VLOOKUP($B85,CDM!$K$35:$N$47,2,FALSE)/2*$C85/78,0)</f>
        <v>148986.87535146408</v>
      </c>
      <c r="F85" s="4">
        <f t="shared" si="47"/>
        <v>3509586.6747843111</v>
      </c>
      <c r="G85" s="4">
        <v>1372194.5498304379</v>
      </c>
      <c r="H85" s="4">
        <f>IFERROR(VLOOKUP($B85-1,CDM!$K$5:$N$19,3,FALSE)/12,0)+IFERROR(VLOOKUP($B85,CDM!$K$35:$N$47,3,FALSE)/24,0)+IFERROR(VLOOKUP($B85,CDM!$K$35:$N$47,3,FALSE)/2*$C85/78,0)</f>
        <v>190113.27694462784</v>
      </c>
      <c r="I85" s="4">
        <f t="shared" si="48"/>
        <v>1562307.8267750656</v>
      </c>
      <c r="J85" s="4">
        <v>5129659.6706431573</v>
      </c>
      <c r="K85" s="4">
        <f>IFERROR(VLOOKUP($B85-1,CDM!$K$5:$N$19,4,FALSE)/12,0)+IFERROR(VLOOKUP($B85,CDM!$K$35:$N$47,4,FALSE)/24,0)+IFERROR(VLOOKUP($B85,CDM!$K$35:$N$47,4,FALSE)/2*$C85/78,0)</f>
        <v>214501.76509123627</v>
      </c>
      <c r="L85" s="4">
        <f t="shared" si="49"/>
        <v>5344161.435734394</v>
      </c>
      <c r="M85" s="4">
        <v>52368.900518219358</v>
      </c>
      <c r="N85" s="4">
        <v>13681.499999999998</v>
      </c>
      <c r="O85" s="4">
        <v>14045.88</v>
      </c>
      <c r="P85" s="4">
        <v>125</v>
      </c>
      <c r="Q85" s="4">
        <v>5150</v>
      </c>
      <c r="R85" s="4">
        <v>706</v>
      </c>
      <c r="S85" s="4">
        <v>73</v>
      </c>
      <c r="T85" s="4">
        <v>1710</v>
      </c>
      <c r="U85" s="4">
        <v>23</v>
      </c>
      <c r="V85" s="4">
        <f>Weather!D205</f>
        <v>927.46666666666658</v>
      </c>
      <c r="W85" s="4">
        <f>Weather!E205</f>
        <v>0</v>
      </c>
      <c r="X85" s="4">
        <f>Weather!F205</f>
        <v>865.46666666666658</v>
      </c>
      <c r="Y85" s="4">
        <f>Weather!G205</f>
        <v>0</v>
      </c>
      <c r="Z85" s="4">
        <f>Weather!H205</f>
        <v>803.46666666666681</v>
      </c>
      <c r="AA85" s="4">
        <f>Weather!I205</f>
        <v>0</v>
      </c>
      <c r="AB85" s="4">
        <f>Weather!J205</f>
        <v>741.46666666666681</v>
      </c>
      <c r="AC85" s="4">
        <f>Weather!K205</f>
        <v>0</v>
      </c>
      <c r="AD85" s="4">
        <f>Weather!L205</f>
        <v>679.46666666666681</v>
      </c>
      <c r="AE85" s="4">
        <f>Weather!M205</f>
        <v>0</v>
      </c>
      <c r="AF85" s="4">
        <f>Weather!N205</f>
        <v>617.46666666666681</v>
      </c>
      <c r="AG85" s="4">
        <f>Weather!O205</f>
        <v>0</v>
      </c>
      <c r="AH85" s="4">
        <f>Weather!P205</f>
        <v>555.4666666666667</v>
      </c>
      <c r="AI85" s="4">
        <f>Weather!Q205</f>
        <v>0</v>
      </c>
      <c r="AJ85" s="4">
        <f>Weather!R205</f>
        <v>-9.9182795698924728</v>
      </c>
      <c r="AK85" s="4">
        <f>'Economic Data'!F87</f>
        <v>769942</v>
      </c>
      <c r="AL85" s="4">
        <f>'Economic Data'!G87</f>
        <v>8258.2999999999993</v>
      </c>
      <c r="AM85" s="4">
        <f>'Economic Data'!H87</f>
        <v>6539.9</v>
      </c>
      <c r="AN85" s="4">
        <f>'Economic Data'!I87</f>
        <v>107.8</v>
      </c>
      <c r="AO85" s="4">
        <f>'Economic Data'!J87</f>
        <v>72</v>
      </c>
      <c r="AP85" s="4">
        <f>'Economic Data'!K87</f>
        <v>423</v>
      </c>
      <c r="AQ85" s="4">
        <f>'Economic Data'!L87</f>
        <v>256.10000000000002</v>
      </c>
      <c r="AR85" s="4">
        <f>'Economic Data'!M87</f>
        <v>2195.1999999999998</v>
      </c>
      <c r="AS85" s="4">
        <f>'Economic Data'!N87</f>
        <v>2266.3000000000002</v>
      </c>
      <c r="AT85" s="4">
        <f>'Economic Data'!O87</f>
        <v>795879</v>
      </c>
      <c r="AU85" s="4">
        <f>'Economic Data'!P87</f>
        <v>8803</v>
      </c>
      <c r="AV85" s="4">
        <f>'Economic Data'!Q87</f>
        <v>4351</v>
      </c>
      <c r="AW85" s="4">
        <f>'Economic Data'!R87</f>
        <v>3607</v>
      </c>
      <c r="AX85" s="4">
        <f>'Economic Data'!E87</f>
        <v>7273.3</v>
      </c>
      <c r="AY85" s="4">
        <f>'Economic Data'!D87</f>
        <v>7258.1</v>
      </c>
      <c r="AZ85">
        <v>84</v>
      </c>
      <c r="BA85" s="14">
        <f t="shared" si="50"/>
        <v>4.5325994931532563</v>
      </c>
      <c r="BB85">
        <f t="shared" si="51"/>
        <v>7056</v>
      </c>
      <c r="BC85">
        <v>0</v>
      </c>
      <c r="BD85">
        <v>0</v>
      </c>
      <c r="BE85">
        <v>0</v>
      </c>
      <c r="BF85">
        <v>0</v>
      </c>
      <c r="BG85">
        <v>0</v>
      </c>
      <c r="BH85">
        <v>0</v>
      </c>
      <c r="BI85">
        <v>0</v>
      </c>
      <c r="BJ85">
        <v>0</v>
      </c>
      <c r="BK85">
        <v>0</v>
      </c>
      <c r="BL85">
        <v>0</v>
      </c>
      <c r="BM85">
        <v>0</v>
      </c>
      <c r="BN85">
        <v>1</v>
      </c>
      <c r="BO85">
        <v>0</v>
      </c>
      <c r="BP85">
        <v>0</v>
      </c>
      <c r="BQ85">
        <v>0</v>
      </c>
      <c r="BR85">
        <v>31</v>
      </c>
      <c r="BS85">
        <v>21</v>
      </c>
      <c r="BT85">
        <v>1</v>
      </c>
      <c r="BU85">
        <v>0.5</v>
      </c>
      <c r="BV85">
        <v>1</v>
      </c>
      <c r="BW85">
        <v>0</v>
      </c>
      <c r="BX85" s="17">
        <f t="shared" si="32"/>
        <v>927.46666666666658</v>
      </c>
      <c r="BY85" s="17">
        <f t="shared" si="33"/>
        <v>0</v>
      </c>
      <c r="BZ85" s="17">
        <f t="shared" si="34"/>
        <v>865.46666666666658</v>
      </c>
      <c r="CA85" s="17">
        <f t="shared" si="35"/>
        <v>0</v>
      </c>
      <c r="CB85" s="17">
        <f t="shared" si="36"/>
        <v>803.46666666666681</v>
      </c>
      <c r="CC85" s="17">
        <f t="shared" si="37"/>
        <v>0</v>
      </c>
      <c r="CD85" s="17">
        <f t="shared" si="38"/>
        <v>741.46666666666681</v>
      </c>
      <c r="CE85" s="17">
        <f t="shared" si="39"/>
        <v>0</v>
      </c>
      <c r="CF85" s="17">
        <f t="shared" si="40"/>
        <v>679.46666666666681</v>
      </c>
      <c r="CG85" s="17">
        <f t="shared" si="41"/>
        <v>0</v>
      </c>
      <c r="CH85" s="17">
        <f t="shared" si="42"/>
        <v>617.46666666666681</v>
      </c>
      <c r="CI85" s="17">
        <f t="shared" si="43"/>
        <v>0</v>
      </c>
      <c r="CJ85" s="17">
        <f t="shared" si="44"/>
        <v>555.4666666666667</v>
      </c>
      <c r="CK85" s="17">
        <f t="shared" si="45"/>
        <v>0</v>
      </c>
    </row>
    <row r="86" spans="1:89" x14ac:dyDescent="0.35">
      <c r="A86" s="1">
        <v>44197</v>
      </c>
      <c r="B86">
        <v>2021</v>
      </c>
      <c r="C86">
        <f t="shared" si="46"/>
        <v>1</v>
      </c>
      <c r="D86" s="4">
        <v>4115470.9888212504</v>
      </c>
      <c r="E86" s="4">
        <f>IFERROR(VLOOKUP($B86-1,CDM!$K$5:$N$19,2,FALSE)/12,0)+IFERROR(VLOOKUP($B86,CDM!$K$35:$N$47,2,FALSE)/24,0)+IFERROR(VLOOKUP($B86,CDM!$K$35:$N$47,2,FALSE)/2*$C86/78,0)</f>
        <v>147719.16858359787</v>
      </c>
      <c r="F86" s="4">
        <f t="shared" si="47"/>
        <v>4263190.1574048484</v>
      </c>
      <c r="G86" s="4">
        <v>1646728.9949142649</v>
      </c>
      <c r="H86" s="4">
        <f>IFERROR(VLOOKUP($B86-1,CDM!$K$5:$N$19,3,FALSE)/12,0)+IFERROR(VLOOKUP($B86,CDM!$K$35:$N$47,3,FALSE)/24,0)+IFERROR(VLOOKUP($B86,CDM!$K$35:$N$47,3,FALSE)/2*$C86/78,0)</f>
        <v>187816.45563968134</v>
      </c>
      <c r="I86" s="4">
        <f t="shared" si="48"/>
        <v>1834545.4505539462</v>
      </c>
      <c r="J86" s="4">
        <v>5411787.3491024701</v>
      </c>
      <c r="K86" s="4">
        <f>IFERROR(VLOOKUP($B86-1,CDM!$K$5:$N$19,4,FALSE)/12,0)+IFERROR(VLOOKUP($B86,CDM!$K$35:$N$47,4,FALSE)/24,0)+IFERROR(VLOOKUP($B86,CDM!$K$35:$N$47,4,FALSE)/2*$C86/78,0)</f>
        <v>219819.54289066151</v>
      </c>
      <c r="L86" s="4">
        <f t="shared" si="49"/>
        <v>5631606.8919931315</v>
      </c>
      <c r="M86" s="4">
        <v>56648.426116838491</v>
      </c>
      <c r="N86" s="4">
        <v>13679.916666666668</v>
      </c>
      <c r="O86" s="4">
        <v>14006.81</v>
      </c>
      <c r="P86" s="4">
        <v>127.67</v>
      </c>
      <c r="Q86" s="4">
        <v>5165</v>
      </c>
      <c r="R86" s="4">
        <v>702</v>
      </c>
      <c r="S86" s="4">
        <v>73</v>
      </c>
      <c r="T86" s="4">
        <v>1710</v>
      </c>
      <c r="U86" s="4">
        <v>23</v>
      </c>
      <c r="V86" s="4">
        <f>Weather!D206</f>
        <v>962.06666666666683</v>
      </c>
      <c r="W86" s="4">
        <f>Weather!E206</f>
        <v>0</v>
      </c>
      <c r="X86" s="4">
        <f>Weather!F206</f>
        <v>900.06666666666683</v>
      </c>
      <c r="Y86" s="4">
        <f>Weather!G206</f>
        <v>0</v>
      </c>
      <c r="Z86" s="4">
        <f>Weather!H206</f>
        <v>838.06666666666661</v>
      </c>
      <c r="AA86" s="4">
        <f>Weather!I206</f>
        <v>0</v>
      </c>
      <c r="AB86" s="4">
        <f>Weather!J206</f>
        <v>776.06666666666683</v>
      </c>
      <c r="AC86" s="4">
        <f>Weather!K206</f>
        <v>0</v>
      </c>
      <c r="AD86" s="4">
        <f>Weather!L206</f>
        <v>714.06666666666683</v>
      </c>
      <c r="AE86" s="4">
        <f>Weather!M206</f>
        <v>0</v>
      </c>
      <c r="AF86" s="4">
        <f>Weather!N206</f>
        <v>652.06666666666683</v>
      </c>
      <c r="AG86" s="4">
        <f>Weather!O206</f>
        <v>0</v>
      </c>
      <c r="AH86" s="4">
        <f>Weather!P206</f>
        <v>590.06666666666672</v>
      </c>
      <c r="AI86" s="4">
        <f>Weather!Q206</f>
        <v>0</v>
      </c>
      <c r="AJ86" s="4">
        <f>Weather!R206</f>
        <v>-11.034408602150537</v>
      </c>
      <c r="AK86" s="4">
        <f>'Economic Data'!F88</f>
        <v>809658.6</v>
      </c>
      <c r="AL86" s="4">
        <f>'Economic Data'!G88</f>
        <v>8675.1</v>
      </c>
      <c r="AM86" s="4">
        <f>'Economic Data'!H88</f>
        <v>6484.1</v>
      </c>
      <c r="AN86" s="4">
        <f>'Economic Data'!I88</f>
        <v>102.4</v>
      </c>
      <c r="AO86" s="4">
        <f>'Economic Data'!J88</f>
        <v>101.8</v>
      </c>
      <c r="AP86" s="4">
        <f>'Economic Data'!K88</f>
        <v>428.3</v>
      </c>
      <c r="AQ86" s="4">
        <f>'Economic Data'!L88</f>
        <v>266</v>
      </c>
      <c r="AR86" s="4">
        <f>'Economic Data'!M88</f>
        <v>2409.3000000000002</v>
      </c>
      <c r="AS86" s="4">
        <f>'Economic Data'!N88</f>
        <v>2179.1999999999998</v>
      </c>
      <c r="AT86" s="4">
        <f>'Economic Data'!O88</f>
        <v>805455</v>
      </c>
      <c r="AU86" s="4">
        <f>'Economic Data'!P88</f>
        <v>8723</v>
      </c>
      <c r="AV86" s="4">
        <f>'Economic Data'!Q88</f>
        <v>4296</v>
      </c>
      <c r="AW86" s="4">
        <f>'Economic Data'!R88</f>
        <v>3573</v>
      </c>
      <c r="AX86" s="4">
        <f>'Economic Data'!E88</f>
        <v>7180.4</v>
      </c>
      <c r="AY86" s="4">
        <f>'Economic Data'!D88</f>
        <v>7204.7</v>
      </c>
      <c r="AZ86">
        <v>85</v>
      </c>
      <c r="BA86" s="14">
        <f t="shared" si="50"/>
        <v>4.5432947822700038</v>
      </c>
      <c r="BB86">
        <f t="shared" si="51"/>
        <v>7225</v>
      </c>
      <c r="BC86">
        <v>1</v>
      </c>
      <c r="BD86">
        <v>0</v>
      </c>
      <c r="BE86">
        <v>0</v>
      </c>
      <c r="BF86">
        <v>0</v>
      </c>
      <c r="BG86">
        <v>0</v>
      </c>
      <c r="BH86">
        <v>0</v>
      </c>
      <c r="BI86">
        <v>0</v>
      </c>
      <c r="BJ86">
        <v>0</v>
      </c>
      <c r="BK86">
        <v>0</v>
      </c>
      <c r="BL86">
        <v>0</v>
      </c>
      <c r="BM86">
        <v>0</v>
      </c>
      <c r="BN86">
        <v>0</v>
      </c>
      <c r="BO86">
        <v>0</v>
      </c>
      <c r="BP86">
        <v>0</v>
      </c>
      <c r="BQ86">
        <v>0</v>
      </c>
      <c r="BR86">
        <v>31</v>
      </c>
      <c r="BS86">
        <v>20</v>
      </c>
      <c r="BT86">
        <v>1</v>
      </c>
      <c r="BU86">
        <v>0.5</v>
      </c>
      <c r="BV86">
        <v>0.75</v>
      </c>
      <c r="BW86">
        <v>0</v>
      </c>
      <c r="BX86" s="17">
        <f t="shared" si="32"/>
        <v>962.06666666666683</v>
      </c>
      <c r="BY86" s="17">
        <f t="shared" si="33"/>
        <v>0</v>
      </c>
      <c r="BZ86" s="17">
        <f t="shared" si="34"/>
        <v>900.06666666666683</v>
      </c>
      <c r="CA86" s="17">
        <f t="shared" si="35"/>
        <v>0</v>
      </c>
      <c r="CB86" s="17">
        <f t="shared" si="36"/>
        <v>838.06666666666661</v>
      </c>
      <c r="CC86" s="17">
        <f t="shared" si="37"/>
        <v>0</v>
      </c>
      <c r="CD86" s="17">
        <f t="shared" si="38"/>
        <v>776.06666666666683</v>
      </c>
      <c r="CE86" s="17">
        <f t="shared" si="39"/>
        <v>0</v>
      </c>
      <c r="CF86" s="17">
        <f t="shared" si="40"/>
        <v>714.06666666666683</v>
      </c>
      <c r="CG86" s="17">
        <f t="shared" si="41"/>
        <v>0</v>
      </c>
      <c r="CH86" s="17">
        <f t="shared" si="42"/>
        <v>652.06666666666683</v>
      </c>
      <c r="CI86" s="17">
        <f t="shared" si="43"/>
        <v>0</v>
      </c>
      <c r="CJ86" s="17">
        <f t="shared" si="44"/>
        <v>590.06666666666672</v>
      </c>
      <c r="CK86" s="17">
        <f t="shared" si="45"/>
        <v>0</v>
      </c>
    </row>
    <row r="87" spans="1:89" x14ac:dyDescent="0.35">
      <c r="A87" s="1">
        <v>44228</v>
      </c>
      <c r="B87">
        <v>2021</v>
      </c>
      <c r="C87">
        <f t="shared" si="46"/>
        <v>2</v>
      </c>
      <c r="D87" s="4">
        <v>4079440.5343967439</v>
      </c>
      <c r="E87" s="4">
        <f>IFERROR(VLOOKUP($B87-1,CDM!$K$5:$N$19,2,FALSE)/12,0)+IFERROR(VLOOKUP($B87,CDM!$K$35:$N$47,2,FALSE)/24,0)+IFERROR(VLOOKUP($B87,CDM!$K$35:$N$47,2,FALSE)/2*$C87/78,0)</f>
        <v>147388.6532770039</v>
      </c>
      <c r="F87" s="4">
        <f t="shared" si="47"/>
        <v>4226829.1876737475</v>
      </c>
      <c r="G87" s="4">
        <v>1631975.0942897005</v>
      </c>
      <c r="H87" s="4">
        <f>IFERROR(VLOOKUP($B87-1,CDM!$K$5:$N$19,3,FALSE)/12,0)+IFERROR(VLOOKUP($B87,CDM!$K$35:$N$47,3,FALSE)/24,0)+IFERROR(VLOOKUP($B87,CDM!$K$35:$N$47,3,FALSE)/2*$C87/78,0)</f>
        <v>186950.33355757155</v>
      </c>
      <c r="I87" s="4">
        <f t="shared" si="48"/>
        <v>1818925.427847272</v>
      </c>
      <c r="J87" s="4">
        <v>5682610.8777375892</v>
      </c>
      <c r="K87" s="4">
        <f>IFERROR(VLOOKUP($B87-1,CDM!$K$5:$N$19,4,FALSE)/12,0)+IFERROR(VLOOKUP($B87,CDM!$K$35:$N$47,4,FALSE)/24,0)+IFERROR(VLOOKUP($B87,CDM!$K$35:$N$47,4,FALSE)/2*$C87/78,0)</f>
        <v>220515.24427360404</v>
      </c>
      <c r="L87" s="4">
        <f t="shared" si="49"/>
        <v>5903126.1220111931</v>
      </c>
      <c r="M87" s="4">
        <v>57505.916953035507</v>
      </c>
      <c r="N87" s="4">
        <v>13679.916666666668</v>
      </c>
      <c r="O87" s="4">
        <v>13604.75</v>
      </c>
      <c r="P87" s="4">
        <v>127.67</v>
      </c>
      <c r="Q87" s="4">
        <v>5172</v>
      </c>
      <c r="R87" s="4">
        <v>700</v>
      </c>
      <c r="S87" s="4">
        <v>73</v>
      </c>
      <c r="T87" s="4">
        <v>1710</v>
      </c>
      <c r="U87" s="4">
        <v>23</v>
      </c>
      <c r="V87" s="4">
        <f>Weather!D207</f>
        <v>1033.4958333333332</v>
      </c>
      <c r="W87" s="4">
        <f>Weather!E207</f>
        <v>0</v>
      </c>
      <c r="X87" s="4">
        <f>Weather!F207</f>
        <v>977.49583333333317</v>
      </c>
      <c r="Y87" s="4">
        <f>Weather!G207</f>
        <v>0</v>
      </c>
      <c r="Z87" s="4">
        <f>Weather!H207</f>
        <v>921.49583333333317</v>
      </c>
      <c r="AA87" s="4">
        <f>Weather!I207</f>
        <v>0</v>
      </c>
      <c r="AB87" s="4">
        <f>Weather!J207</f>
        <v>865.49583333333328</v>
      </c>
      <c r="AC87" s="4">
        <f>Weather!K207</f>
        <v>0</v>
      </c>
      <c r="AD87" s="4">
        <f>Weather!L207</f>
        <v>809.49583333333328</v>
      </c>
      <c r="AE87" s="4">
        <f>Weather!M207</f>
        <v>0</v>
      </c>
      <c r="AF87" s="4">
        <f>Weather!N207</f>
        <v>753.49583333333328</v>
      </c>
      <c r="AG87" s="4">
        <f>Weather!O207</f>
        <v>0</v>
      </c>
      <c r="AH87" s="4">
        <f>Weather!P207</f>
        <v>697.49583333333339</v>
      </c>
      <c r="AI87" s="4">
        <f>Weather!Q207</f>
        <v>0</v>
      </c>
      <c r="AJ87" s="4">
        <f>Weather!R207</f>
        <v>-16.910565476190477</v>
      </c>
      <c r="AK87" s="4">
        <f>'Economic Data'!F89</f>
        <v>809658.6</v>
      </c>
      <c r="AL87" s="4">
        <f>'Economic Data'!G89</f>
        <v>8675.1</v>
      </c>
      <c r="AM87" s="4">
        <f>'Economic Data'!H89</f>
        <v>6484.1</v>
      </c>
      <c r="AN87" s="4">
        <f>'Economic Data'!I89</f>
        <v>102.4</v>
      </c>
      <c r="AO87" s="4">
        <f>'Economic Data'!J89</f>
        <v>101.8</v>
      </c>
      <c r="AP87" s="4">
        <f>'Economic Data'!K89</f>
        <v>428.3</v>
      </c>
      <c r="AQ87" s="4">
        <f>'Economic Data'!L89</f>
        <v>266</v>
      </c>
      <c r="AR87" s="4">
        <f>'Economic Data'!M89</f>
        <v>2409.3000000000002</v>
      </c>
      <c r="AS87" s="4">
        <f>'Economic Data'!N89</f>
        <v>2179.1999999999998</v>
      </c>
      <c r="AT87" s="4">
        <f>'Economic Data'!O89</f>
        <v>805455</v>
      </c>
      <c r="AU87" s="4">
        <f>'Economic Data'!P89</f>
        <v>8723</v>
      </c>
      <c r="AV87" s="4">
        <f>'Economic Data'!Q89</f>
        <v>4296</v>
      </c>
      <c r="AW87" s="4">
        <f>'Economic Data'!R89</f>
        <v>3573</v>
      </c>
      <c r="AX87" s="4">
        <f>'Economic Data'!E89</f>
        <v>7124.8</v>
      </c>
      <c r="AY87" s="4">
        <f>'Economic Data'!D89</f>
        <v>7181.2</v>
      </c>
      <c r="AZ87">
        <v>86</v>
      </c>
      <c r="BA87" s="14">
        <f t="shared" si="50"/>
        <v>4.5538768916005408</v>
      </c>
      <c r="BB87">
        <f t="shared" si="51"/>
        <v>7396</v>
      </c>
      <c r="BC87">
        <v>0</v>
      </c>
      <c r="BD87">
        <v>1</v>
      </c>
      <c r="BE87">
        <v>0</v>
      </c>
      <c r="BF87">
        <v>0</v>
      </c>
      <c r="BG87">
        <v>0</v>
      </c>
      <c r="BH87">
        <v>0</v>
      </c>
      <c r="BI87">
        <v>0</v>
      </c>
      <c r="BJ87">
        <v>0</v>
      </c>
      <c r="BK87">
        <v>0</v>
      </c>
      <c r="BL87">
        <v>0</v>
      </c>
      <c r="BM87">
        <v>0</v>
      </c>
      <c r="BN87">
        <v>0</v>
      </c>
      <c r="BO87">
        <v>0</v>
      </c>
      <c r="BP87">
        <v>0</v>
      </c>
      <c r="BQ87">
        <v>0</v>
      </c>
      <c r="BR87">
        <v>28</v>
      </c>
      <c r="BS87">
        <v>19</v>
      </c>
      <c r="BT87">
        <v>1</v>
      </c>
      <c r="BU87">
        <v>0.5</v>
      </c>
      <c r="BV87">
        <v>0.75</v>
      </c>
      <c r="BW87">
        <v>0</v>
      </c>
      <c r="BX87" s="17">
        <f t="shared" si="32"/>
        <v>1033.4958333333332</v>
      </c>
      <c r="BY87" s="17">
        <f t="shared" si="33"/>
        <v>0</v>
      </c>
      <c r="BZ87" s="17">
        <f t="shared" si="34"/>
        <v>977.49583333333317</v>
      </c>
      <c r="CA87" s="17">
        <f t="shared" si="35"/>
        <v>0</v>
      </c>
      <c r="CB87" s="17">
        <f t="shared" si="36"/>
        <v>921.49583333333317</v>
      </c>
      <c r="CC87" s="17">
        <f t="shared" si="37"/>
        <v>0</v>
      </c>
      <c r="CD87" s="17">
        <f t="shared" si="38"/>
        <v>865.49583333333328</v>
      </c>
      <c r="CE87" s="17">
        <f t="shared" si="39"/>
        <v>0</v>
      </c>
      <c r="CF87" s="17">
        <f t="shared" si="40"/>
        <v>809.49583333333328</v>
      </c>
      <c r="CG87" s="17">
        <f t="shared" si="41"/>
        <v>0</v>
      </c>
      <c r="CH87" s="17">
        <f t="shared" si="42"/>
        <v>753.49583333333328</v>
      </c>
      <c r="CI87" s="17">
        <f t="shared" si="43"/>
        <v>0</v>
      </c>
      <c r="CJ87" s="17">
        <f t="shared" si="44"/>
        <v>697.49583333333339</v>
      </c>
      <c r="CK87" s="17">
        <f t="shared" si="45"/>
        <v>0</v>
      </c>
    </row>
    <row r="88" spans="1:89" x14ac:dyDescent="0.35">
      <c r="A88" s="1">
        <v>44256</v>
      </c>
      <c r="B88">
        <v>2021</v>
      </c>
      <c r="C88">
        <f t="shared" si="46"/>
        <v>3</v>
      </c>
      <c r="D88" s="4">
        <v>3892186.351482607</v>
      </c>
      <c r="E88" s="4">
        <f>IFERROR(VLOOKUP($B88-1,CDM!$K$5:$N$19,2,FALSE)/12,0)+IFERROR(VLOOKUP($B88,CDM!$K$35:$N$47,2,FALSE)/24,0)+IFERROR(VLOOKUP($B88,CDM!$K$35:$N$47,2,FALSE)/2*$C88/78,0)</f>
        <v>147058.13797040997</v>
      </c>
      <c r="F88" s="4">
        <f t="shared" si="47"/>
        <v>4039244.4894530168</v>
      </c>
      <c r="G88" s="4">
        <v>1575154.0539749553</v>
      </c>
      <c r="H88" s="4">
        <f>IFERROR(VLOOKUP($B88-1,CDM!$K$5:$N$19,3,FALSE)/12,0)+IFERROR(VLOOKUP($B88,CDM!$K$35:$N$47,3,FALSE)/24,0)+IFERROR(VLOOKUP($B88,CDM!$K$35:$N$47,3,FALSE)/2*$C88/78,0)</f>
        <v>186084.21147546172</v>
      </c>
      <c r="I88" s="4">
        <f t="shared" si="48"/>
        <v>1761238.2654504171</v>
      </c>
      <c r="J88" s="4">
        <v>5436575.6345649678</v>
      </c>
      <c r="K88" s="4">
        <f>IFERROR(VLOOKUP($B88-1,CDM!$K$5:$N$19,4,FALSE)/12,0)+IFERROR(VLOOKUP($B88,CDM!$K$35:$N$47,4,FALSE)/24,0)+IFERROR(VLOOKUP($B88,CDM!$K$35:$N$47,4,FALSE)/2*$C88/78,0)</f>
        <v>221210.9456565466</v>
      </c>
      <c r="L88" s="4">
        <f t="shared" si="49"/>
        <v>5657786.5802215142</v>
      </c>
      <c r="M88" s="4">
        <v>48313.655211912941</v>
      </c>
      <c r="N88" s="4">
        <v>13679.916666666668</v>
      </c>
      <c r="O88" s="4">
        <v>14954.89</v>
      </c>
      <c r="P88" s="4">
        <v>127.67</v>
      </c>
      <c r="Q88" s="4">
        <v>5152</v>
      </c>
      <c r="R88" s="4">
        <v>701</v>
      </c>
      <c r="S88" s="4">
        <v>75</v>
      </c>
      <c r="T88" s="4">
        <v>1710</v>
      </c>
      <c r="U88" s="4">
        <v>23</v>
      </c>
      <c r="V88" s="4">
        <f>Weather!D208</f>
        <v>802.00833333333344</v>
      </c>
      <c r="W88" s="4">
        <f>Weather!E208</f>
        <v>0</v>
      </c>
      <c r="X88" s="4">
        <f>Weather!F208</f>
        <v>740.00833333333344</v>
      </c>
      <c r="Y88" s="4">
        <f>Weather!G208</f>
        <v>0</v>
      </c>
      <c r="Z88" s="4">
        <f>Weather!H208</f>
        <v>678.00833333333344</v>
      </c>
      <c r="AA88" s="4">
        <f>Weather!I208</f>
        <v>0</v>
      </c>
      <c r="AB88" s="4">
        <f>Weather!J208</f>
        <v>616.00833333333344</v>
      </c>
      <c r="AC88" s="4">
        <f>Weather!K208</f>
        <v>0</v>
      </c>
      <c r="AD88" s="4">
        <f>Weather!L208</f>
        <v>554.00833333333344</v>
      </c>
      <c r="AE88" s="4">
        <f>Weather!M208</f>
        <v>0</v>
      </c>
      <c r="AF88" s="4">
        <f>Weather!N208</f>
        <v>492.00833333333338</v>
      </c>
      <c r="AG88" s="4">
        <f>Weather!O208</f>
        <v>0</v>
      </c>
      <c r="AH88" s="4">
        <f>Weather!P208</f>
        <v>430.00833333333338</v>
      </c>
      <c r="AI88" s="4">
        <f>Weather!Q208</f>
        <v>0</v>
      </c>
      <c r="AJ88" s="4">
        <f>Weather!R208</f>
        <v>-5.8712365591397839</v>
      </c>
      <c r="AK88" s="4">
        <f>'Economic Data'!F90</f>
        <v>809658.6</v>
      </c>
      <c r="AL88" s="4">
        <f>'Economic Data'!G90</f>
        <v>8675.1</v>
      </c>
      <c r="AM88" s="4">
        <f>'Economic Data'!H90</f>
        <v>6484.1</v>
      </c>
      <c r="AN88" s="4">
        <f>'Economic Data'!I90</f>
        <v>102.4</v>
      </c>
      <c r="AO88" s="4">
        <f>'Economic Data'!J90</f>
        <v>101.8</v>
      </c>
      <c r="AP88" s="4">
        <f>'Economic Data'!K90</f>
        <v>428.3</v>
      </c>
      <c r="AQ88" s="4">
        <f>'Economic Data'!L90</f>
        <v>266</v>
      </c>
      <c r="AR88" s="4">
        <f>'Economic Data'!M90</f>
        <v>2409.3000000000002</v>
      </c>
      <c r="AS88" s="4">
        <f>'Economic Data'!N90</f>
        <v>2179.1999999999998</v>
      </c>
      <c r="AT88" s="4">
        <f>'Economic Data'!O90</f>
        <v>805455</v>
      </c>
      <c r="AU88" s="4">
        <f>'Economic Data'!P90</f>
        <v>8723</v>
      </c>
      <c r="AV88" s="4">
        <f>'Economic Data'!Q90</f>
        <v>4296</v>
      </c>
      <c r="AW88" s="4">
        <f>'Economic Data'!R90</f>
        <v>3573</v>
      </c>
      <c r="AX88" s="4">
        <f>'Economic Data'!E90</f>
        <v>7129.5</v>
      </c>
      <c r="AY88" s="4">
        <f>'Economic Data'!D90</f>
        <v>7218.1</v>
      </c>
      <c r="AZ88">
        <v>87</v>
      </c>
      <c r="BA88" s="14">
        <f t="shared" si="50"/>
        <v>4.5643481914678361</v>
      </c>
      <c r="BB88">
        <f t="shared" si="51"/>
        <v>7569</v>
      </c>
      <c r="BC88">
        <v>0</v>
      </c>
      <c r="BD88">
        <v>0</v>
      </c>
      <c r="BE88">
        <v>1</v>
      </c>
      <c r="BF88">
        <v>0</v>
      </c>
      <c r="BG88">
        <v>0</v>
      </c>
      <c r="BH88">
        <v>0</v>
      </c>
      <c r="BI88">
        <v>0</v>
      </c>
      <c r="BJ88">
        <v>0</v>
      </c>
      <c r="BK88">
        <v>0</v>
      </c>
      <c r="BL88">
        <v>0</v>
      </c>
      <c r="BM88">
        <v>0</v>
      </c>
      <c r="BN88">
        <v>0</v>
      </c>
      <c r="BO88">
        <v>1</v>
      </c>
      <c r="BP88">
        <v>0</v>
      </c>
      <c r="BQ88">
        <v>1</v>
      </c>
      <c r="BR88">
        <v>31</v>
      </c>
      <c r="BS88">
        <v>23</v>
      </c>
      <c r="BT88">
        <v>1</v>
      </c>
      <c r="BU88">
        <v>0.5</v>
      </c>
      <c r="BV88">
        <v>0.75</v>
      </c>
      <c r="BW88">
        <v>0</v>
      </c>
      <c r="BX88" s="17">
        <f t="shared" si="32"/>
        <v>802.00833333333344</v>
      </c>
      <c r="BY88" s="17">
        <f t="shared" si="33"/>
        <v>0</v>
      </c>
      <c r="BZ88" s="17">
        <f t="shared" si="34"/>
        <v>740.00833333333344</v>
      </c>
      <c r="CA88" s="17">
        <f t="shared" si="35"/>
        <v>0</v>
      </c>
      <c r="CB88" s="17">
        <f t="shared" si="36"/>
        <v>678.00833333333344</v>
      </c>
      <c r="CC88" s="17">
        <f t="shared" si="37"/>
        <v>0</v>
      </c>
      <c r="CD88" s="17">
        <f t="shared" si="38"/>
        <v>616.00833333333344</v>
      </c>
      <c r="CE88" s="17">
        <f t="shared" si="39"/>
        <v>0</v>
      </c>
      <c r="CF88" s="17">
        <f t="shared" si="40"/>
        <v>554.00833333333344</v>
      </c>
      <c r="CG88" s="17">
        <f t="shared" si="41"/>
        <v>0</v>
      </c>
      <c r="CH88" s="17">
        <f t="shared" si="42"/>
        <v>492.00833333333338</v>
      </c>
      <c r="CI88" s="17">
        <f t="shared" si="43"/>
        <v>0</v>
      </c>
      <c r="CJ88" s="17">
        <f t="shared" si="44"/>
        <v>430.00833333333338</v>
      </c>
      <c r="CK88" s="17">
        <f t="shared" si="45"/>
        <v>0</v>
      </c>
    </row>
    <row r="89" spans="1:89" x14ac:dyDescent="0.35">
      <c r="A89" s="1">
        <v>44287</v>
      </c>
      <c r="B89">
        <v>2021</v>
      </c>
      <c r="C89">
        <f t="shared" si="46"/>
        <v>4</v>
      </c>
      <c r="D89" s="4">
        <v>3647381.1981471321</v>
      </c>
      <c r="E89" s="4">
        <f>IFERROR(VLOOKUP($B89-1,CDM!$K$5:$N$19,2,FALSE)/12,0)+IFERROR(VLOOKUP($B89,CDM!$K$35:$N$47,2,FALSE)/24,0)+IFERROR(VLOOKUP($B89,CDM!$K$35:$N$47,2,FALSE)/2*$C89/78,0)</f>
        <v>146727.622663816</v>
      </c>
      <c r="F89" s="4">
        <f t="shared" si="47"/>
        <v>3794108.820810948</v>
      </c>
      <c r="G89" s="4">
        <v>1646294.1091971651</v>
      </c>
      <c r="H89" s="4">
        <f>IFERROR(VLOOKUP($B89-1,CDM!$K$5:$N$19,3,FALSE)/12,0)+IFERROR(VLOOKUP($B89,CDM!$K$35:$N$47,3,FALSE)/24,0)+IFERROR(VLOOKUP($B89,CDM!$K$35:$N$47,3,FALSE)/2*$C89/78,0)</f>
        <v>185218.08939335193</v>
      </c>
      <c r="I89" s="4">
        <f t="shared" si="48"/>
        <v>1831512.198590517</v>
      </c>
      <c r="J89" s="4">
        <v>5621847.3304129979</v>
      </c>
      <c r="K89" s="4">
        <f>IFERROR(VLOOKUP($B89-1,CDM!$K$5:$N$19,4,FALSE)/12,0)+IFERROR(VLOOKUP($B89,CDM!$K$35:$N$47,4,FALSE)/24,0)+IFERROR(VLOOKUP($B89,CDM!$K$35:$N$47,4,FALSE)/2*$C89/78,0)</f>
        <v>221906.64703948915</v>
      </c>
      <c r="L89" s="4">
        <f t="shared" si="49"/>
        <v>5843753.9774524868</v>
      </c>
      <c r="M89" s="4">
        <v>47333.093928980525</v>
      </c>
      <c r="N89" s="4">
        <v>13679.916666666668</v>
      </c>
      <c r="O89" s="4">
        <v>13205.06</v>
      </c>
      <c r="P89" s="4">
        <v>127.67</v>
      </c>
      <c r="Q89" s="4">
        <v>5159</v>
      </c>
      <c r="R89" s="4">
        <v>699</v>
      </c>
      <c r="S89" s="4">
        <v>73</v>
      </c>
      <c r="T89" s="4">
        <v>1710</v>
      </c>
      <c r="U89" s="4">
        <v>23</v>
      </c>
      <c r="V89" s="4">
        <f>Weather!D209</f>
        <v>510.89166666666665</v>
      </c>
      <c r="W89" s="4">
        <f>Weather!E209</f>
        <v>0</v>
      </c>
      <c r="X89" s="4">
        <f>Weather!F209</f>
        <v>450.89166666666665</v>
      </c>
      <c r="Y89" s="4">
        <f>Weather!G209</f>
        <v>0</v>
      </c>
      <c r="Z89" s="4">
        <f>Weather!H209</f>
        <v>390.89166666666665</v>
      </c>
      <c r="AA89" s="4">
        <f>Weather!I209</f>
        <v>0</v>
      </c>
      <c r="AB89" s="4">
        <f>Weather!J209</f>
        <v>330.89166666666665</v>
      </c>
      <c r="AC89" s="4">
        <f>Weather!K209</f>
        <v>0</v>
      </c>
      <c r="AD89" s="4">
        <f>Weather!L209</f>
        <v>270.89166666666665</v>
      </c>
      <c r="AE89" s="4">
        <f>Weather!M209</f>
        <v>0</v>
      </c>
      <c r="AF89" s="4">
        <f>Weather!N209</f>
        <v>213.375</v>
      </c>
      <c r="AG89" s="4">
        <f>Weather!O209</f>
        <v>2.4833333333333307</v>
      </c>
      <c r="AH89" s="4">
        <f>Weather!P209</f>
        <v>164.13333333333333</v>
      </c>
      <c r="AI89" s="4">
        <f>Weather!Q209</f>
        <v>13.24166666666666</v>
      </c>
      <c r="AJ89" s="4">
        <f>Weather!R209</f>
        <v>2.9702777777777762</v>
      </c>
      <c r="AK89" s="4">
        <f>'Economic Data'!F91</f>
        <v>809658.6</v>
      </c>
      <c r="AL89" s="4">
        <f>'Economic Data'!G91</f>
        <v>8675.1</v>
      </c>
      <c r="AM89" s="4">
        <f>'Economic Data'!H91</f>
        <v>6484.1</v>
      </c>
      <c r="AN89" s="4">
        <f>'Economic Data'!I91</f>
        <v>102.4</v>
      </c>
      <c r="AO89" s="4">
        <f>'Economic Data'!J91</f>
        <v>101.8</v>
      </c>
      <c r="AP89" s="4">
        <f>'Economic Data'!K91</f>
        <v>428.3</v>
      </c>
      <c r="AQ89" s="4">
        <f>'Economic Data'!L91</f>
        <v>266</v>
      </c>
      <c r="AR89" s="4">
        <f>'Economic Data'!M91</f>
        <v>2409.3000000000002</v>
      </c>
      <c r="AS89" s="4">
        <f>'Economic Data'!N91</f>
        <v>2179.1999999999998</v>
      </c>
      <c r="AT89" s="4">
        <f>'Economic Data'!O91</f>
        <v>795824</v>
      </c>
      <c r="AU89" s="4">
        <f>'Economic Data'!P91</f>
        <v>8775</v>
      </c>
      <c r="AV89" s="4">
        <f>'Economic Data'!Q91</f>
        <v>4273</v>
      </c>
      <c r="AW89" s="4">
        <f>'Economic Data'!R91</f>
        <v>3655</v>
      </c>
      <c r="AX89" s="4">
        <f>'Economic Data'!E91</f>
        <v>7197</v>
      </c>
      <c r="AY89" s="4">
        <f>'Economic Data'!D91</f>
        <v>7264</v>
      </c>
      <c r="AZ89">
        <v>88</v>
      </c>
      <c r="BA89" s="14">
        <f t="shared" si="50"/>
        <v>4.5747109785033828</v>
      </c>
      <c r="BB89">
        <f t="shared" si="51"/>
        <v>7744</v>
      </c>
      <c r="BC89">
        <v>0</v>
      </c>
      <c r="BD89">
        <v>0</v>
      </c>
      <c r="BE89">
        <v>0</v>
      </c>
      <c r="BF89">
        <v>1</v>
      </c>
      <c r="BG89">
        <v>0</v>
      </c>
      <c r="BH89">
        <v>0</v>
      </c>
      <c r="BI89">
        <v>0</v>
      </c>
      <c r="BJ89">
        <v>0</v>
      </c>
      <c r="BK89">
        <v>0</v>
      </c>
      <c r="BL89">
        <v>0</v>
      </c>
      <c r="BM89">
        <v>0</v>
      </c>
      <c r="BN89">
        <v>0</v>
      </c>
      <c r="BO89">
        <v>1</v>
      </c>
      <c r="BP89">
        <v>0</v>
      </c>
      <c r="BQ89">
        <v>1</v>
      </c>
      <c r="BR89">
        <v>30</v>
      </c>
      <c r="BS89">
        <v>21</v>
      </c>
      <c r="BT89">
        <v>1</v>
      </c>
      <c r="BU89">
        <v>0.5</v>
      </c>
      <c r="BV89">
        <v>0.75</v>
      </c>
      <c r="BW89">
        <v>0</v>
      </c>
      <c r="BX89" s="17">
        <f t="shared" si="32"/>
        <v>510.89166666666665</v>
      </c>
      <c r="BY89" s="17">
        <f t="shared" si="33"/>
        <v>0</v>
      </c>
      <c r="BZ89" s="17">
        <f t="shared" si="34"/>
        <v>450.89166666666665</v>
      </c>
      <c r="CA89" s="17">
        <f t="shared" si="35"/>
        <v>0</v>
      </c>
      <c r="CB89" s="17">
        <f t="shared" si="36"/>
        <v>390.89166666666665</v>
      </c>
      <c r="CC89" s="17">
        <f t="shared" si="37"/>
        <v>0</v>
      </c>
      <c r="CD89" s="17">
        <f t="shared" si="38"/>
        <v>330.89166666666665</v>
      </c>
      <c r="CE89" s="17">
        <f t="shared" si="39"/>
        <v>0</v>
      </c>
      <c r="CF89" s="17">
        <f t="shared" si="40"/>
        <v>270.89166666666665</v>
      </c>
      <c r="CG89" s="17">
        <f t="shared" si="41"/>
        <v>0</v>
      </c>
      <c r="CH89" s="17">
        <f t="shared" si="42"/>
        <v>213.375</v>
      </c>
      <c r="CI89" s="17">
        <f t="shared" si="43"/>
        <v>2.4833333333333307</v>
      </c>
      <c r="CJ89" s="17">
        <f t="shared" si="44"/>
        <v>164.13333333333333</v>
      </c>
      <c r="CK89" s="17">
        <f t="shared" si="45"/>
        <v>13.24166666666666</v>
      </c>
    </row>
    <row r="90" spans="1:89" x14ac:dyDescent="0.35">
      <c r="A90" s="1">
        <v>44317</v>
      </c>
      <c r="B90">
        <v>2021</v>
      </c>
      <c r="C90">
        <f t="shared" si="46"/>
        <v>5</v>
      </c>
      <c r="D90" s="4">
        <v>2955471.8184028943</v>
      </c>
      <c r="E90" s="4">
        <f>IFERROR(VLOOKUP($B90-1,CDM!$K$5:$N$19,2,FALSE)/12,0)+IFERROR(VLOOKUP($B90,CDM!$K$35:$N$47,2,FALSE)/24,0)+IFERROR(VLOOKUP($B90,CDM!$K$35:$N$47,2,FALSE)/2*$C90/78,0)</f>
        <v>146397.10735722206</v>
      </c>
      <c r="F90" s="4">
        <f t="shared" si="47"/>
        <v>3101868.9257601164</v>
      </c>
      <c r="G90" s="4">
        <v>1327290.3355060972</v>
      </c>
      <c r="H90" s="4">
        <f>IFERROR(VLOOKUP($B90-1,CDM!$K$5:$N$19,3,FALSE)/12,0)+IFERROR(VLOOKUP($B90,CDM!$K$35:$N$47,3,FALSE)/24,0)+IFERROR(VLOOKUP($B90,CDM!$K$35:$N$47,3,FALSE)/2*$C90/78,0)</f>
        <v>184351.9673112421</v>
      </c>
      <c r="I90" s="4">
        <f t="shared" si="48"/>
        <v>1511642.3028173393</v>
      </c>
      <c r="J90" s="4">
        <v>4483788.8890129188</v>
      </c>
      <c r="K90" s="4">
        <f>IFERROR(VLOOKUP($B90-1,CDM!$K$5:$N$19,4,FALSE)/12,0)+IFERROR(VLOOKUP($B90,CDM!$K$35:$N$47,4,FALSE)/24,0)+IFERROR(VLOOKUP($B90,CDM!$K$35:$N$47,4,FALSE)/2*$C90/78,0)</f>
        <v>222602.34842243171</v>
      </c>
      <c r="L90" s="4">
        <f t="shared" si="49"/>
        <v>4706391.2374353502</v>
      </c>
      <c r="M90" s="4">
        <v>39182.42840778923</v>
      </c>
      <c r="N90" s="4">
        <v>13679.916666666668</v>
      </c>
      <c r="O90" s="4">
        <v>11934.11</v>
      </c>
      <c r="P90" s="4">
        <v>127.67</v>
      </c>
      <c r="Q90" s="4">
        <v>5183</v>
      </c>
      <c r="R90" s="4">
        <v>718</v>
      </c>
      <c r="S90" s="4">
        <v>74</v>
      </c>
      <c r="T90" s="4">
        <v>1710</v>
      </c>
      <c r="U90" s="4">
        <v>23</v>
      </c>
      <c r="V90" s="4">
        <f>Weather!D210</f>
        <v>316.82083333333338</v>
      </c>
      <c r="W90" s="4">
        <f>Weather!E210</f>
        <v>1.8999999999999986</v>
      </c>
      <c r="X90" s="4">
        <f>Weather!F210</f>
        <v>261.4666666666667</v>
      </c>
      <c r="Y90" s="4">
        <f>Weather!G210</f>
        <v>8.5458333333333343</v>
      </c>
      <c r="Z90" s="4">
        <f>Weather!H210</f>
        <v>209.46666666666664</v>
      </c>
      <c r="AA90" s="4">
        <f>Weather!I210</f>
        <v>18.545833333333334</v>
      </c>
      <c r="AB90" s="4">
        <f>Weather!J210</f>
        <v>161.02499999999995</v>
      </c>
      <c r="AC90" s="4">
        <f>Weather!K210</f>
        <v>32.104166666666664</v>
      </c>
      <c r="AD90" s="4">
        <f>Weather!L210</f>
        <v>121.40416666666664</v>
      </c>
      <c r="AE90" s="4">
        <f>Weather!M210</f>
        <v>54.483333333333327</v>
      </c>
      <c r="AF90" s="4">
        <f>Weather!N210</f>
        <v>86.762499999999974</v>
      </c>
      <c r="AG90" s="4">
        <f>Weather!O210</f>
        <v>81.84166666666664</v>
      </c>
      <c r="AH90" s="4">
        <f>Weather!P210</f>
        <v>58.620833333333337</v>
      </c>
      <c r="AI90" s="4">
        <f>Weather!Q210</f>
        <v>115.69999999999999</v>
      </c>
      <c r="AJ90" s="4">
        <f>Weather!R210</f>
        <v>9.8412634408602138</v>
      </c>
      <c r="AK90" s="4">
        <f>'Economic Data'!F92</f>
        <v>809658.6</v>
      </c>
      <c r="AL90" s="4">
        <f>'Economic Data'!G92</f>
        <v>8675.1</v>
      </c>
      <c r="AM90" s="4">
        <f>'Economic Data'!H92</f>
        <v>6484.1</v>
      </c>
      <c r="AN90" s="4">
        <f>'Economic Data'!I92</f>
        <v>102.4</v>
      </c>
      <c r="AO90" s="4">
        <f>'Economic Data'!J92</f>
        <v>101.8</v>
      </c>
      <c r="AP90" s="4">
        <f>'Economic Data'!K92</f>
        <v>428.3</v>
      </c>
      <c r="AQ90" s="4">
        <f>'Economic Data'!L92</f>
        <v>266</v>
      </c>
      <c r="AR90" s="4">
        <f>'Economic Data'!M92</f>
        <v>2409.3000000000002</v>
      </c>
      <c r="AS90" s="4">
        <f>'Economic Data'!N92</f>
        <v>2179.1999999999998</v>
      </c>
      <c r="AT90" s="4">
        <f>'Economic Data'!O92</f>
        <v>795824</v>
      </c>
      <c r="AU90" s="4">
        <f>'Economic Data'!P92</f>
        <v>8775</v>
      </c>
      <c r="AV90" s="4">
        <f>'Economic Data'!Q92</f>
        <v>4273</v>
      </c>
      <c r="AW90" s="4">
        <f>'Economic Data'!R92</f>
        <v>3655</v>
      </c>
      <c r="AX90" s="4">
        <f>'Economic Data'!E92</f>
        <v>7237.7</v>
      </c>
      <c r="AY90" s="4">
        <f>'Economic Data'!D92</f>
        <v>7259.3</v>
      </c>
      <c r="AZ90">
        <v>89</v>
      </c>
      <c r="BA90" s="14">
        <f t="shared" si="50"/>
        <v>4.5849674786705723</v>
      </c>
      <c r="BB90">
        <f t="shared" si="51"/>
        <v>7921</v>
      </c>
      <c r="BC90">
        <v>0</v>
      </c>
      <c r="BD90">
        <v>0</v>
      </c>
      <c r="BE90">
        <v>0</v>
      </c>
      <c r="BF90">
        <v>0</v>
      </c>
      <c r="BG90">
        <v>1</v>
      </c>
      <c r="BH90">
        <v>0</v>
      </c>
      <c r="BI90">
        <v>0</v>
      </c>
      <c r="BJ90">
        <v>0</v>
      </c>
      <c r="BK90">
        <v>0</v>
      </c>
      <c r="BL90">
        <v>0</v>
      </c>
      <c r="BM90">
        <v>0</v>
      </c>
      <c r="BN90">
        <v>0</v>
      </c>
      <c r="BO90">
        <v>1</v>
      </c>
      <c r="BP90">
        <v>0</v>
      </c>
      <c r="BQ90">
        <v>1</v>
      </c>
      <c r="BR90">
        <v>31</v>
      </c>
      <c r="BS90">
        <v>20</v>
      </c>
      <c r="BT90">
        <v>1</v>
      </c>
      <c r="BU90">
        <v>0.5</v>
      </c>
      <c r="BV90">
        <v>0.75</v>
      </c>
      <c r="BW90">
        <v>0</v>
      </c>
      <c r="BX90" s="17">
        <f t="shared" si="32"/>
        <v>316.82083333333338</v>
      </c>
      <c r="BY90" s="17">
        <f t="shared" si="33"/>
        <v>1.8999999999999986</v>
      </c>
      <c r="BZ90" s="17">
        <f t="shared" si="34"/>
        <v>261.4666666666667</v>
      </c>
      <c r="CA90" s="17">
        <f t="shared" si="35"/>
        <v>8.5458333333333343</v>
      </c>
      <c r="CB90" s="17">
        <f t="shared" si="36"/>
        <v>209.46666666666664</v>
      </c>
      <c r="CC90" s="17">
        <f t="shared" si="37"/>
        <v>18.545833333333334</v>
      </c>
      <c r="CD90" s="17">
        <f t="shared" si="38"/>
        <v>161.02499999999995</v>
      </c>
      <c r="CE90" s="17">
        <f t="shared" si="39"/>
        <v>32.104166666666664</v>
      </c>
      <c r="CF90" s="17">
        <f t="shared" si="40"/>
        <v>121.40416666666664</v>
      </c>
      <c r="CG90" s="17">
        <f t="shared" si="41"/>
        <v>54.483333333333327</v>
      </c>
      <c r="CH90" s="17">
        <f t="shared" si="42"/>
        <v>86.762499999999974</v>
      </c>
      <c r="CI90" s="17">
        <f t="shared" si="43"/>
        <v>81.84166666666664</v>
      </c>
      <c r="CJ90" s="17">
        <f t="shared" si="44"/>
        <v>58.620833333333337</v>
      </c>
      <c r="CK90" s="17">
        <f t="shared" si="45"/>
        <v>115.69999999999999</v>
      </c>
    </row>
    <row r="91" spans="1:89" x14ac:dyDescent="0.35">
      <c r="A91" s="1">
        <v>44348</v>
      </c>
      <c r="B91">
        <v>2021</v>
      </c>
      <c r="C91">
        <f t="shared" si="46"/>
        <v>6</v>
      </c>
      <c r="D91" s="4">
        <v>2819062.1378618344</v>
      </c>
      <c r="E91" s="4">
        <f>IFERROR(VLOOKUP($B91-1,CDM!$K$5:$N$19,2,FALSE)/12,0)+IFERROR(VLOOKUP($B91,CDM!$K$35:$N$47,2,FALSE)/24,0)+IFERROR(VLOOKUP($B91,CDM!$K$35:$N$47,2,FALSE)/2*$C91/78,0)</f>
        <v>146066.5920506281</v>
      </c>
      <c r="F91" s="4">
        <f t="shared" si="47"/>
        <v>2965128.7299124626</v>
      </c>
      <c r="G91" s="4">
        <v>1291260.2551803752</v>
      </c>
      <c r="H91" s="4">
        <f>IFERROR(VLOOKUP($B91-1,CDM!$K$5:$N$19,3,FALSE)/12,0)+IFERROR(VLOOKUP($B91,CDM!$K$35:$N$47,3,FALSE)/24,0)+IFERROR(VLOOKUP($B91,CDM!$K$35:$N$47,3,FALSE)/2*$C91/78,0)</f>
        <v>183485.8452291323</v>
      </c>
      <c r="I91" s="4">
        <f t="shared" si="48"/>
        <v>1474746.1004095075</v>
      </c>
      <c r="J91" s="4">
        <v>4148559.751607236</v>
      </c>
      <c r="K91" s="4">
        <f>IFERROR(VLOOKUP($B91-1,CDM!$K$5:$N$19,4,FALSE)/12,0)+IFERROR(VLOOKUP($B91,CDM!$K$35:$N$47,4,FALSE)/24,0)+IFERROR(VLOOKUP($B91,CDM!$K$35:$N$47,4,FALSE)/2*$C91/78,0)</f>
        <v>223298.04980537423</v>
      </c>
      <c r="L91" s="4">
        <f t="shared" si="49"/>
        <v>4371857.8014126103</v>
      </c>
      <c r="M91" s="4">
        <v>35159.125429553264</v>
      </c>
      <c r="N91" s="4">
        <v>13679.916666666668</v>
      </c>
      <c r="O91" s="4">
        <v>11689.55</v>
      </c>
      <c r="P91" s="4">
        <v>127.67</v>
      </c>
      <c r="Q91" s="4">
        <v>5162</v>
      </c>
      <c r="R91" s="4">
        <v>708</v>
      </c>
      <c r="S91" s="4">
        <v>70</v>
      </c>
      <c r="T91" s="4">
        <v>1710</v>
      </c>
      <c r="U91" s="4">
        <v>23</v>
      </c>
      <c r="V91" s="4">
        <f>Weather!D211</f>
        <v>114.52916666666668</v>
      </c>
      <c r="W91" s="4">
        <f>Weather!E211</f>
        <v>10.295833333333338</v>
      </c>
      <c r="X91" s="4">
        <f>Weather!F211</f>
        <v>70.870833333333323</v>
      </c>
      <c r="Y91" s="4">
        <f>Weather!G211</f>
        <v>26.637500000000006</v>
      </c>
      <c r="Z91" s="4">
        <f>Weather!H211</f>
        <v>38.616666666666674</v>
      </c>
      <c r="AA91" s="4">
        <f>Weather!I211</f>
        <v>54.383333333333326</v>
      </c>
      <c r="AB91" s="4">
        <f>Weather!J211</f>
        <v>19.562499999999996</v>
      </c>
      <c r="AC91" s="4">
        <f>Weather!K211</f>
        <v>95.329166666666666</v>
      </c>
      <c r="AD91" s="4">
        <f>Weather!L211</f>
        <v>10.362499999999999</v>
      </c>
      <c r="AE91" s="4">
        <f>Weather!M211</f>
        <v>146.12916666666661</v>
      </c>
      <c r="AF91" s="4">
        <f>Weather!N211</f>
        <v>2.9166666666666679</v>
      </c>
      <c r="AG91" s="4">
        <f>Weather!O211</f>
        <v>198.68333333333328</v>
      </c>
      <c r="AH91" s="4">
        <f>Weather!P211</f>
        <v>0</v>
      </c>
      <c r="AI91" s="4">
        <f>Weather!Q211</f>
        <v>255.76666666666665</v>
      </c>
      <c r="AJ91" s="4">
        <f>Weather!R211</f>
        <v>16.525555555555552</v>
      </c>
      <c r="AK91" s="4">
        <f>'Economic Data'!F93</f>
        <v>809658.6</v>
      </c>
      <c r="AL91" s="4">
        <f>'Economic Data'!G93</f>
        <v>8675.1</v>
      </c>
      <c r="AM91" s="4">
        <f>'Economic Data'!H93</f>
        <v>6484.1</v>
      </c>
      <c r="AN91" s="4">
        <f>'Economic Data'!I93</f>
        <v>102.4</v>
      </c>
      <c r="AO91" s="4">
        <f>'Economic Data'!J93</f>
        <v>101.8</v>
      </c>
      <c r="AP91" s="4">
        <f>'Economic Data'!K93</f>
        <v>428.3</v>
      </c>
      <c r="AQ91" s="4">
        <f>'Economic Data'!L93</f>
        <v>266</v>
      </c>
      <c r="AR91" s="4">
        <f>'Economic Data'!M93</f>
        <v>2409.3000000000002</v>
      </c>
      <c r="AS91" s="4">
        <f>'Economic Data'!N93</f>
        <v>2179.1999999999998</v>
      </c>
      <c r="AT91" s="4">
        <f>'Economic Data'!O93</f>
        <v>795824</v>
      </c>
      <c r="AU91" s="4">
        <f>'Economic Data'!P93</f>
        <v>8775</v>
      </c>
      <c r="AV91" s="4">
        <f>'Economic Data'!Q93</f>
        <v>4273</v>
      </c>
      <c r="AW91" s="4">
        <f>'Economic Data'!R93</f>
        <v>3655</v>
      </c>
      <c r="AX91" s="4">
        <f>'Economic Data'!E93</f>
        <v>7293</v>
      </c>
      <c r="AY91" s="4">
        <f>'Economic Data'!D93</f>
        <v>7245.3</v>
      </c>
      <c r="AZ91">
        <v>90</v>
      </c>
      <c r="BA91" s="14">
        <f t="shared" si="50"/>
        <v>4.5951198501345898</v>
      </c>
      <c r="BB91">
        <f t="shared" si="51"/>
        <v>8100</v>
      </c>
      <c r="BC91">
        <v>0</v>
      </c>
      <c r="BD91">
        <v>0</v>
      </c>
      <c r="BE91">
        <v>0</v>
      </c>
      <c r="BF91">
        <v>0</v>
      </c>
      <c r="BG91">
        <v>0</v>
      </c>
      <c r="BH91">
        <v>1</v>
      </c>
      <c r="BI91">
        <v>0</v>
      </c>
      <c r="BJ91">
        <v>0</v>
      </c>
      <c r="BK91">
        <v>0</v>
      </c>
      <c r="BL91">
        <v>0</v>
      </c>
      <c r="BM91">
        <v>0</v>
      </c>
      <c r="BN91">
        <v>0</v>
      </c>
      <c r="BO91">
        <v>0</v>
      </c>
      <c r="BP91">
        <v>0</v>
      </c>
      <c r="BQ91">
        <v>0</v>
      </c>
      <c r="BR91">
        <v>30</v>
      </c>
      <c r="BS91">
        <v>22</v>
      </c>
      <c r="BT91">
        <v>1</v>
      </c>
      <c r="BU91">
        <v>0.5</v>
      </c>
      <c r="BV91">
        <v>0.75</v>
      </c>
      <c r="BW91">
        <v>0</v>
      </c>
      <c r="BX91" s="17">
        <f t="shared" si="32"/>
        <v>114.52916666666668</v>
      </c>
      <c r="BY91" s="17">
        <f t="shared" si="33"/>
        <v>10.295833333333338</v>
      </c>
      <c r="BZ91" s="17">
        <f t="shared" si="34"/>
        <v>70.870833333333323</v>
      </c>
      <c r="CA91" s="17">
        <f t="shared" si="35"/>
        <v>26.637500000000006</v>
      </c>
      <c r="CB91" s="17">
        <f t="shared" si="36"/>
        <v>38.616666666666674</v>
      </c>
      <c r="CC91" s="17">
        <f t="shared" si="37"/>
        <v>54.383333333333326</v>
      </c>
      <c r="CD91" s="17">
        <f t="shared" si="38"/>
        <v>19.562499999999996</v>
      </c>
      <c r="CE91" s="17">
        <f t="shared" si="39"/>
        <v>95.329166666666666</v>
      </c>
      <c r="CF91" s="17">
        <f t="shared" si="40"/>
        <v>10.362499999999999</v>
      </c>
      <c r="CG91" s="17">
        <f t="shared" si="41"/>
        <v>146.12916666666661</v>
      </c>
      <c r="CH91" s="17">
        <f t="shared" si="42"/>
        <v>2.9166666666666679</v>
      </c>
      <c r="CI91" s="17">
        <f t="shared" si="43"/>
        <v>198.68333333333328</v>
      </c>
      <c r="CJ91" s="17">
        <f t="shared" si="44"/>
        <v>0</v>
      </c>
      <c r="CK91" s="17">
        <f t="shared" si="45"/>
        <v>255.76666666666665</v>
      </c>
    </row>
    <row r="92" spans="1:89" x14ac:dyDescent="0.35">
      <c r="A92" s="1">
        <v>44378</v>
      </c>
      <c r="B92">
        <v>2021</v>
      </c>
      <c r="C92">
        <f t="shared" si="46"/>
        <v>7</v>
      </c>
      <c r="D92" s="4">
        <v>2773826.0975440834</v>
      </c>
      <c r="E92" s="4">
        <f>IFERROR(VLOOKUP($B92-1,CDM!$K$5:$N$19,2,FALSE)/12,0)+IFERROR(VLOOKUP($B92,CDM!$K$35:$N$47,2,FALSE)/24,0)+IFERROR(VLOOKUP($B92,CDM!$K$35:$N$47,2,FALSE)/2*$C92/78,0)</f>
        <v>145736.07674403416</v>
      </c>
      <c r="F92" s="4">
        <f t="shared" si="47"/>
        <v>2919562.1742881173</v>
      </c>
      <c r="G92" s="4">
        <v>1242985.927222518</v>
      </c>
      <c r="H92" s="4">
        <f>IFERROR(VLOOKUP($B92-1,CDM!$K$5:$N$19,3,FALSE)/12,0)+IFERROR(VLOOKUP($B92,CDM!$K$35:$N$47,3,FALSE)/24,0)+IFERROR(VLOOKUP($B92,CDM!$K$35:$N$47,3,FALSE)/2*$C92/78,0)</f>
        <v>182619.72314702248</v>
      </c>
      <c r="I92" s="4">
        <f t="shared" si="48"/>
        <v>1425605.6503695406</v>
      </c>
      <c r="J92" s="4">
        <v>4180230.9414052512</v>
      </c>
      <c r="K92" s="4">
        <f>IFERROR(VLOOKUP($B92-1,CDM!$K$5:$N$19,4,FALSE)/12,0)+IFERROR(VLOOKUP($B92,CDM!$K$35:$N$47,4,FALSE)/24,0)+IFERROR(VLOOKUP($B92,CDM!$K$35:$N$47,4,FALSE)/2*$C92/78,0)</f>
        <v>223993.75118831679</v>
      </c>
      <c r="L92" s="4">
        <f t="shared" si="49"/>
        <v>4404224.692593568</v>
      </c>
      <c r="M92" s="4">
        <v>31446</v>
      </c>
      <c r="N92" s="4">
        <v>13679.916666666668</v>
      </c>
      <c r="O92" s="4">
        <v>11545.16</v>
      </c>
      <c r="P92" s="4">
        <v>127.67</v>
      </c>
      <c r="Q92" s="4">
        <v>5169</v>
      </c>
      <c r="R92" s="4">
        <v>707</v>
      </c>
      <c r="S92" s="4">
        <v>67</v>
      </c>
      <c r="T92" s="4">
        <v>1710</v>
      </c>
      <c r="U92" s="4">
        <v>23</v>
      </c>
      <c r="V92" s="4">
        <f>Weather!D212</f>
        <v>118.30475525239467</v>
      </c>
      <c r="W92" s="4">
        <f>Weather!E212</f>
        <v>5.88333333333334</v>
      </c>
      <c r="X92" s="4">
        <f>Weather!F212</f>
        <v>72.775588585728002</v>
      </c>
      <c r="Y92" s="4">
        <f>Weather!G212</f>
        <v>22.354166666666671</v>
      </c>
      <c r="Z92" s="4">
        <f>Weather!H212</f>
        <v>38.888088585727999</v>
      </c>
      <c r="AA92" s="4">
        <f>Weather!I212</f>
        <v>50.466666666666669</v>
      </c>
      <c r="AB92" s="4">
        <f>Weather!J212</f>
        <v>15.892255252394667</v>
      </c>
      <c r="AC92" s="4">
        <f>Weather!K212</f>
        <v>89.470833333333346</v>
      </c>
      <c r="AD92" s="4">
        <f>Weather!L212</f>
        <v>5.4130885857279898</v>
      </c>
      <c r="AE92" s="4">
        <f>Weather!M212</f>
        <v>140.99166666666667</v>
      </c>
      <c r="AF92" s="4">
        <f>Weather!N212</f>
        <v>2.104755252394658</v>
      </c>
      <c r="AG92" s="4">
        <f>Weather!O212</f>
        <v>199.68333333333331</v>
      </c>
      <c r="AH92" s="4">
        <f>Weather!P212</f>
        <v>0.10475525239465799</v>
      </c>
      <c r="AI92" s="4">
        <f>Weather!Q212</f>
        <v>259.68333333333328</v>
      </c>
      <c r="AJ92" s="4">
        <f>Weather!R212</f>
        <v>16.373502518739954</v>
      </c>
      <c r="AK92" s="4">
        <f>'Economic Data'!F94</f>
        <v>809658.6</v>
      </c>
      <c r="AL92" s="4">
        <f>'Economic Data'!G94</f>
        <v>8675.1</v>
      </c>
      <c r="AM92" s="4">
        <f>'Economic Data'!H94</f>
        <v>6484.1</v>
      </c>
      <c r="AN92" s="4">
        <f>'Economic Data'!I94</f>
        <v>102.4</v>
      </c>
      <c r="AO92" s="4">
        <f>'Economic Data'!J94</f>
        <v>101.8</v>
      </c>
      <c r="AP92" s="4">
        <f>'Economic Data'!K94</f>
        <v>428.3</v>
      </c>
      <c r="AQ92" s="4">
        <f>'Economic Data'!L94</f>
        <v>266</v>
      </c>
      <c r="AR92" s="4">
        <f>'Economic Data'!M94</f>
        <v>2409.3000000000002</v>
      </c>
      <c r="AS92" s="4">
        <f>'Economic Data'!N94</f>
        <v>2179.1999999999998</v>
      </c>
      <c r="AT92" s="4">
        <f>'Economic Data'!O94</f>
        <v>810982</v>
      </c>
      <c r="AU92" s="4">
        <f>'Economic Data'!P94</f>
        <v>8142</v>
      </c>
      <c r="AV92" s="4">
        <f>'Economic Data'!Q94</f>
        <v>4674</v>
      </c>
      <c r="AW92" s="4">
        <f>'Economic Data'!R94</f>
        <v>3722</v>
      </c>
      <c r="AX92" s="4">
        <f>'Economic Data'!E94</f>
        <v>7391.8</v>
      </c>
      <c r="AY92" s="4">
        <f>'Economic Data'!D94</f>
        <v>7311.4</v>
      </c>
      <c r="AZ92">
        <v>91</v>
      </c>
      <c r="BA92" s="14">
        <f t="shared" si="50"/>
        <v>4.6051701859880918</v>
      </c>
      <c r="BB92">
        <f t="shared" si="51"/>
        <v>8281</v>
      </c>
      <c r="BC92">
        <v>0</v>
      </c>
      <c r="BD92">
        <v>0</v>
      </c>
      <c r="BE92">
        <v>0</v>
      </c>
      <c r="BF92">
        <v>0</v>
      </c>
      <c r="BG92">
        <v>0</v>
      </c>
      <c r="BH92">
        <v>0</v>
      </c>
      <c r="BI92">
        <v>1</v>
      </c>
      <c r="BJ92">
        <v>0</v>
      </c>
      <c r="BK92">
        <v>0</v>
      </c>
      <c r="BL92">
        <v>0</v>
      </c>
      <c r="BM92">
        <v>0</v>
      </c>
      <c r="BN92">
        <v>0</v>
      </c>
      <c r="BO92">
        <v>0</v>
      </c>
      <c r="BP92">
        <v>0</v>
      </c>
      <c r="BQ92">
        <v>0</v>
      </c>
      <c r="BR92">
        <v>31</v>
      </c>
      <c r="BS92">
        <v>21</v>
      </c>
      <c r="BT92">
        <v>1</v>
      </c>
      <c r="BU92">
        <v>0.5</v>
      </c>
      <c r="BV92">
        <v>0.75</v>
      </c>
      <c r="BW92">
        <v>0</v>
      </c>
      <c r="BX92" s="17">
        <f t="shared" si="32"/>
        <v>118.30475525239467</v>
      </c>
      <c r="BY92" s="17">
        <f t="shared" si="33"/>
        <v>5.88333333333334</v>
      </c>
      <c r="BZ92" s="17">
        <f t="shared" si="34"/>
        <v>72.775588585728002</v>
      </c>
      <c r="CA92" s="17">
        <f t="shared" si="35"/>
        <v>22.354166666666671</v>
      </c>
      <c r="CB92" s="17">
        <f t="shared" si="36"/>
        <v>38.888088585727999</v>
      </c>
      <c r="CC92" s="17">
        <f t="shared" si="37"/>
        <v>50.466666666666669</v>
      </c>
      <c r="CD92" s="17">
        <f t="shared" si="38"/>
        <v>15.892255252394667</v>
      </c>
      <c r="CE92" s="17">
        <f t="shared" si="39"/>
        <v>89.470833333333346</v>
      </c>
      <c r="CF92" s="17">
        <f t="shared" si="40"/>
        <v>5.4130885857279898</v>
      </c>
      <c r="CG92" s="17">
        <f t="shared" si="41"/>
        <v>140.99166666666667</v>
      </c>
      <c r="CH92" s="17">
        <f t="shared" si="42"/>
        <v>2.104755252394658</v>
      </c>
      <c r="CI92" s="17">
        <f t="shared" si="43"/>
        <v>199.68333333333331</v>
      </c>
      <c r="CJ92" s="17">
        <f t="shared" si="44"/>
        <v>0.10475525239465799</v>
      </c>
      <c r="CK92" s="17">
        <f t="shared" si="45"/>
        <v>259.68333333333328</v>
      </c>
    </row>
    <row r="93" spans="1:89" x14ac:dyDescent="0.35">
      <c r="A93" s="1">
        <v>44409</v>
      </c>
      <c r="B93">
        <v>2021</v>
      </c>
      <c r="C93">
        <f t="shared" si="46"/>
        <v>8</v>
      </c>
      <c r="D93" s="4">
        <v>2933488.6143231159</v>
      </c>
      <c r="E93" s="4">
        <f>IFERROR(VLOOKUP($B93-1,CDM!$K$5:$N$19,2,FALSE)/12,0)+IFERROR(VLOOKUP($B93,CDM!$K$35:$N$47,2,FALSE)/24,0)+IFERROR(VLOOKUP($B93,CDM!$K$35:$N$47,2,FALSE)/2*$C93/78,0)</f>
        <v>145405.56143744022</v>
      </c>
      <c r="F93" s="4">
        <f t="shared" si="47"/>
        <v>3078894.175760556</v>
      </c>
      <c r="G93" s="4">
        <v>1340395.2944533254</v>
      </c>
      <c r="H93" s="4">
        <f>IFERROR(VLOOKUP($B93-1,CDM!$K$5:$N$19,3,FALSE)/12,0)+IFERROR(VLOOKUP($B93,CDM!$K$35:$N$47,3,FALSE)/24,0)+IFERROR(VLOOKUP($B93,CDM!$K$35:$N$47,3,FALSE)/2*$C93/78,0)</f>
        <v>181753.60106491268</v>
      </c>
      <c r="I93" s="4">
        <f t="shared" si="48"/>
        <v>1522148.8955182382</v>
      </c>
      <c r="J93" s="4">
        <v>4159483.9298523725</v>
      </c>
      <c r="K93" s="4">
        <f>IFERROR(VLOOKUP($B93-1,CDM!$K$5:$N$19,4,FALSE)/12,0)+IFERROR(VLOOKUP($B93,CDM!$K$35:$N$47,4,FALSE)/24,0)+IFERROR(VLOOKUP($B93,CDM!$K$35:$N$47,4,FALSE)/2*$C93/78,0)</f>
        <v>224689.45257125935</v>
      </c>
      <c r="L93" s="4">
        <f t="shared" si="49"/>
        <v>4384173.3824236318</v>
      </c>
      <c r="M93" s="4">
        <v>33746.316723940436</v>
      </c>
      <c r="N93" s="4">
        <v>13679.916666666668</v>
      </c>
      <c r="O93" s="4">
        <v>11618.51</v>
      </c>
      <c r="P93" s="4">
        <v>127.67</v>
      </c>
      <c r="Q93" s="4">
        <v>5151</v>
      </c>
      <c r="R93" s="4">
        <v>705</v>
      </c>
      <c r="S93" s="4">
        <v>69</v>
      </c>
      <c r="T93" s="4">
        <v>1710</v>
      </c>
      <c r="U93" s="4">
        <v>23</v>
      </c>
      <c r="V93" s="4">
        <f>Weather!D213</f>
        <v>77.445833333333326</v>
      </c>
      <c r="W93" s="4">
        <f>Weather!E213</f>
        <v>26.645833333333343</v>
      </c>
      <c r="X93" s="4">
        <f>Weather!F213</f>
        <v>44.262500000000003</v>
      </c>
      <c r="Y93" s="4">
        <f>Weather!G213</f>
        <v>55.46250000000002</v>
      </c>
      <c r="Z93" s="4">
        <f>Weather!H213</f>
        <v>19.387500000000003</v>
      </c>
      <c r="AA93" s="4">
        <f>Weather!I213</f>
        <v>92.58750000000002</v>
      </c>
      <c r="AB93" s="4">
        <f>Weather!J213</f>
        <v>5.5166666666666657</v>
      </c>
      <c r="AC93" s="4">
        <f>Weather!K213</f>
        <v>140.7166666666667</v>
      </c>
      <c r="AD93" s="4">
        <f>Weather!L213</f>
        <v>0</v>
      </c>
      <c r="AE93" s="4">
        <f>Weather!M213</f>
        <v>197.20000000000007</v>
      </c>
      <c r="AF93" s="4">
        <f>Weather!N213</f>
        <v>0</v>
      </c>
      <c r="AG93" s="4">
        <f>Weather!O213</f>
        <v>259.20000000000005</v>
      </c>
      <c r="AH93" s="4">
        <f>Weather!P213</f>
        <v>0</v>
      </c>
      <c r="AI93" s="4">
        <f>Weather!Q213</f>
        <v>321.2</v>
      </c>
      <c r="AJ93" s="4">
        <f>Weather!R213</f>
        <v>18.361290322580643</v>
      </c>
      <c r="AK93" s="4">
        <f>'Economic Data'!F95</f>
        <v>809658.6</v>
      </c>
      <c r="AL93" s="4">
        <f>'Economic Data'!G95</f>
        <v>8675.1</v>
      </c>
      <c r="AM93" s="4">
        <f>'Economic Data'!H95</f>
        <v>6484.1</v>
      </c>
      <c r="AN93" s="4">
        <f>'Economic Data'!I95</f>
        <v>102.4</v>
      </c>
      <c r="AO93" s="4">
        <f>'Economic Data'!J95</f>
        <v>101.8</v>
      </c>
      <c r="AP93" s="4">
        <f>'Economic Data'!K95</f>
        <v>428.3</v>
      </c>
      <c r="AQ93" s="4">
        <f>'Economic Data'!L95</f>
        <v>266</v>
      </c>
      <c r="AR93" s="4">
        <f>'Economic Data'!M95</f>
        <v>2409.3000000000002</v>
      </c>
      <c r="AS93" s="4">
        <f>'Economic Data'!N95</f>
        <v>2179.1999999999998</v>
      </c>
      <c r="AT93" s="4">
        <f>'Economic Data'!O95</f>
        <v>810982</v>
      </c>
      <c r="AU93" s="4">
        <f>'Economic Data'!P95</f>
        <v>8142</v>
      </c>
      <c r="AV93" s="4">
        <f>'Economic Data'!Q95</f>
        <v>4674</v>
      </c>
      <c r="AW93" s="4">
        <f>'Economic Data'!R95</f>
        <v>3722</v>
      </c>
      <c r="AX93" s="4">
        <f>'Economic Data'!E95</f>
        <v>7475.2</v>
      </c>
      <c r="AY93" s="4">
        <f>'Economic Data'!D95</f>
        <v>7400.1</v>
      </c>
      <c r="AZ93">
        <v>92</v>
      </c>
      <c r="BA93" s="14">
        <f t="shared" si="50"/>
        <v>4.6151205168412597</v>
      </c>
      <c r="BB93">
        <f t="shared" si="51"/>
        <v>8464</v>
      </c>
      <c r="BC93">
        <v>0</v>
      </c>
      <c r="BD93">
        <v>0</v>
      </c>
      <c r="BE93">
        <v>0</v>
      </c>
      <c r="BF93">
        <v>0</v>
      </c>
      <c r="BG93">
        <v>0</v>
      </c>
      <c r="BH93">
        <v>0</v>
      </c>
      <c r="BI93">
        <v>0</v>
      </c>
      <c r="BJ93">
        <v>1</v>
      </c>
      <c r="BK93">
        <v>0</v>
      </c>
      <c r="BL93">
        <v>0</v>
      </c>
      <c r="BM93">
        <v>0</v>
      </c>
      <c r="BN93">
        <v>0</v>
      </c>
      <c r="BO93">
        <v>0</v>
      </c>
      <c r="BP93">
        <v>0</v>
      </c>
      <c r="BQ93">
        <v>0</v>
      </c>
      <c r="BR93">
        <v>31</v>
      </c>
      <c r="BS93">
        <v>20</v>
      </c>
      <c r="BT93">
        <v>1</v>
      </c>
      <c r="BU93">
        <v>0.5</v>
      </c>
      <c r="BV93">
        <v>0.75</v>
      </c>
      <c r="BW93">
        <v>0</v>
      </c>
      <c r="BX93" s="17">
        <f t="shared" si="32"/>
        <v>77.445833333333326</v>
      </c>
      <c r="BY93" s="17">
        <f t="shared" si="33"/>
        <v>26.645833333333343</v>
      </c>
      <c r="BZ93" s="17">
        <f t="shared" si="34"/>
        <v>44.262500000000003</v>
      </c>
      <c r="CA93" s="17">
        <f t="shared" si="35"/>
        <v>55.46250000000002</v>
      </c>
      <c r="CB93" s="17">
        <f t="shared" si="36"/>
        <v>19.387500000000003</v>
      </c>
      <c r="CC93" s="17">
        <f t="shared" si="37"/>
        <v>92.58750000000002</v>
      </c>
      <c r="CD93" s="17">
        <f t="shared" si="38"/>
        <v>5.5166666666666657</v>
      </c>
      <c r="CE93" s="17">
        <f t="shared" si="39"/>
        <v>140.7166666666667</v>
      </c>
      <c r="CF93" s="17">
        <f t="shared" si="40"/>
        <v>0</v>
      </c>
      <c r="CG93" s="17">
        <f t="shared" si="41"/>
        <v>197.20000000000007</v>
      </c>
      <c r="CH93" s="17">
        <f t="shared" si="42"/>
        <v>0</v>
      </c>
      <c r="CI93" s="17">
        <f t="shared" si="43"/>
        <v>259.20000000000005</v>
      </c>
      <c r="CJ93" s="17">
        <f t="shared" si="44"/>
        <v>0</v>
      </c>
      <c r="CK93" s="17">
        <f t="shared" si="45"/>
        <v>321.2</v>
      </c>
    </row>
    <row r="94" spans="1:89" x14ac:dyDescent="0.35">
      <c r="A94" s="1">
        <v>44440</v>
      </c>
      <c r="B94">
        <v>2021</v>
      </c>
      <c r="C94">
        <f t="shared" si="46"/>
        <v>9</v>
      </c>
      <c r="D94" s="4">
        <v>3181664.0639330694</v>
      </c>
      <c r="E94" s="4">
        <f>IFERROR(VLOOKUP($B94-1,CDM!$K$5:$N$19,2,FALSE)/12,0)+IFERROR(VLOOKUP($B94,CDM!$K$35:$N$47,2,FALSE)/24,0)+IFERROR(VLOOKUP($B94,CDM!$K$35:$N$47,2,FALSE)/2*$C94/78,0)</f>
        <v>145075.04613084625</v>
      </c>
      <c r="F94" s="4">
        <f t="shared" si="47"/>
        <v>3326739.1100639156</v>
      </c>
      <c r="G94" s="4">
        <v>1414092.3166232968</v>
      </c>
      <c r="H94" s="4">
        <f>IFERROR(VLOOKUP($B94-1,CDM!$K$5:$N$19,3,FALSE)/12,0)+IFERROR(VLOOKUP($B94,CDM!$K$35:$N$47,3,FALSE)/24,0)+IFERROR(VLOOKUP($B94,CDM!$K$35:$N$47,3,FALSE)/2*$C94/78,0)</f>
        <v>180887.47898280286</v>
      </c>
      <c r="I94" s="4">
        <f t="shared" si="48"/>
        <v>1594979.7956060998</v>
      </c>
      <c r="J94" s="4">
        <v>4331600.6722815288</v>
      </c>
      <c r="K94" s="4">
        <f>IFERROR(VLOOKUP($B94-1,CDM!$K$5:$N$19,4,FALSE)/12,0)+IFERROR(VLOOKUP($B94,CDM!$K$35:$N$47,4,FALSE)/24,0)+IFERROR(VLOOKUP($B94,CDM!$K$35:$N$47,4,FALSE)/2*$C94/78,0)</f>
        <v>225385.1539542019</v>
      </c>
      <c r="L94" s="4">
        <f t="shared" si="49"/>
        <v>4556985.8262357311</v>
      </c>
      <c r="M94" s="4">
        <v>37972.735967926688</v>
      </c>
      <c r="N94" s="4">
        <v>13679.916666666668</v>
      </c>
      <c r="O94" s="4">
        <v>15200.33</v>
      </c>
      <c r="P94" s="4">
        <v>127.67</v>
      </c>
      <c r="Q94" s="4">
        <v>5177</v>
      </c>
      <c r="R94" s="4">
        <v>703</v>
      </c>
      <c r="S94" s="4">
        <v>69</v>
      </c>
      <c r="T94" s="4">
        <v>1710</v>
      </c>
      <c r="U94" s="4">
        <v>23</v>
      </c>
      <c r="V94" s="4">
        <f>Weather!D214</f>
        <v>255.56249999999997</v>
      </c>
      <c r="W94" s="4">
        <f>Weather!E214</f>
        <v>1.3833333333333293</v>
      </c>
      <c r="X94" s="4">
        <f>Weather!F214</f>
        <v>197.56249999999997</v>
      </c>
      <c r="Y94" s="4">
        <f>Weather!G214</f>
        <v>3.3833333333333293</v>
      </c>
      <c r="Z94" s="4">
        <f>Weather!H214</f>
        <v>140.19166666666666</v>
      </c>
      <c r="AA94" s="4">
        <f>Weather!I214</f>
        <v>6.0124999999999957</v>
      </c>
      <c r="AB94" s="4">
        <f>Weather!J214</f>
        <v>88.3</v>
      </c>
      <c r="AC94" s="4">
        <f>Weather!K214</f>
        <v>14.12083333333333</v>
      </c>
      <c r="AD94" s="4">
        <f>Weather!L214</f>
        <v>49.94166666666667</v>
      </c>
      <c r="AE94" s="4">
        <f>Weather!M214</f>
        <v>35.762499999999996</v>
      </c>
      <c r="AF94" s="4">
        <f>Weather!N214</f>
        <v>22.32083333333334</v>
      </c>
      <c r="AG94" s="4">
        <f>Weather!O214</f>
        <v>68.141666666666652</v>
      </c>
      <c r="AH94" s="4">
        <f>Weather!P214</f>
        <v>7.4833333333333352</v>
      </c>
      <c r="AI94" s="4">
        <f>Weather!Q214</f>
        <v>113.30416666666666</v>
      </c>
      <c r="AJ94" s="4">
        <f>Weather!R214</f>
        <v>11.527361111111112</v>
      </c>
      <c r="AK94" s="4">
        <f>'Economic Data'!F96</f>
        <v>809658.6</v>
      </c>
      <c r="AL94" s="4">
        <f>'Economic Data'!G96</f>
        <v>8675.1</v>
      </c>
      <c r="AM94" s="4">
        <f>'Economic Data'!H96</f>
        <v>6484.1</v>
      </c>
      <c r="AN94" s="4">
        <f>'Economic Data'!I96</f>
        <v>102.4</v>
      </c>
      <c r="AO94" s="4">
        <f>'Economic Data'!J96</f>
        <v>101.8</v>
      </c>
      <c r="AP94" s="4">
        <f>'Economic Data'!K96</f>
        <v>428.3</v>
      </c>
      <c r="AQ94" s="4">
        <f>'Economic Data'!L96</f>
        <v>266</v>
      </c>
      <c r="AR94" s="4">
        <f>'Economic Data'!M96</f>
        <v>2409.3000000000002</v>
      </c>
      <c r="AS94" s="4">
        <f>'Economic Data'!N96</f>
        <v>2179.1999999999998</v>
      </c>
      <c r="AT94" s="4">
        <f>'Economic Data'!O96</f>
        <v>810982</v>
      </c>
      <c r="AU94" s="4">
        <f>'Economic Data'!P96</f>
        <v>8142</v>
      </c>
      <c r="AV94" s="4">
        <f>'Economic Data'!Q96</f>
        <v>4674</v>
      </c>
      <c r="AW94" s="4">
        <f>'Economic Data'!R96</f>
        <v>3722</v>
      </c>
      <c r="AX94" s="4">
        <f>'Economic Data'!E96</f>
        <v>7503.2</v>
      </c>
      <c r="AY94" s="4">
        <f>'Economic Data'!D96</f>
        <v>7474.5</v>
      </c>
      <c r="AZ94">
        <v>93</v>
      </c>
      <c r="BA94" s="14">
        <f t="shared" si="50"/>
        <v>4.6249728132842707</v>
      </c>
      <c r="BB94">
        <f t="shared" si="51"/>
        <v>8649</v>
      </c>
      <c r="BC94">
        <v>0</v>
      </c>
      <c r="BD94">
        <v>0</v>
      </c>
      <c r="BE94">
        <v>0</v>
      </c>
      <c r="BF94">
        <v>0</v>
      </c>
      <c r="BG94">
        <v>0</v>
      </c>
      <c r="BH94">
        <v>0</v>
      </c>
      <c r="BI94">
        <v>0</v>
      </c>
      <c r="BJ94">
        <v>0</v>
      </c>
      <c r="BK94">
        <v>1</v>
      </c>
      <c r="BL94">
        <v>0</v>
      </c>
      <c r="BM94">
        <v>0</v>
      </c>
      <c r="BN94">
        <v>0</v>
      </c>
      <c r="BO94">
        <v>0</v>
      </c>
      <c r="BP94">
        <v>0</v>
      </c>
      <c r="BQ94">
        <v>0</v>
      </c>
      <c r="BR94">
        <v>30</v>
      </c>
      <c r="BS94">
        <v>20</v>
      </c>
      <c r="BT94">
        <v>1</v>
      </c>
      <c r="BU94">
        <v>0.5</v>
      </c>
      <c r="BV94">
        <v>0.75</v>
      </c>
      <c r="BW94">
        <v>0</v>
      </c>
      <c r="BX94" s="17">
        <f t="shared" si="32"/>
        <v>255.56249999999997</v>
      </c>
      <c r="BY94" s="17">
        <f t="shared" si="33"/>
        <v>1.3833333333333293</v>
      </c>
      <c r="BZ94" s="17">
        <f t="shared" si="34"/>
        <v>197.56249999999997</v>
      </c>
      <c r="CA94" s="17">
        <f t="shared" si="35"/>
        <v>3.3833333333333293</v>
      </c>
      <c r="CB94" s="17">
        <f t="shared" si="36"/>
        <v>140.19166666666666</v>
      </c>
      <c r="CC94" s="17">
        <f t="shared" si="37"/>
        <v>6.0124999999999957</v>
      </c>
      <c r="CD94" s="17">
        <f t="shared" si="38"/>
        <v>88.3</v>
      </c>
      <c r="CE94" s="17">
        <f t="shared" si="39"/>
        <v>14.12083333333333</v>
      </c>
      <c r="CF94" s="17">
        <f t="shared" si="40"/>
        <v>49.94166666666667</v>
      </c>
      <c r="CG94" s="17">
        <f t="shared" si="41"/>
        <v>35.762499999999996</v>
      </c>
      <c r="CH94" s="17">
        <f t="shared" si="42"/>
        <v>22.32083333333334</v>
      </c>
      <c r="CI94" s="17">
        <f t="shared" si="43"/>
        <v>68.141666666666652</v>
      </c>
      <c r="CJ94" s="17">
        <f t="shared" si="44"/>
        <v>7.4833333333333352</v>
      </c>
      <c r="CK94" s="17">
        <f t="shared" si="45"/>
        <v>113.30416666666666</v>
      </c>
    </row>
    <row r="95" spans="1:89" x14ac:dyDescent="0.35">
      <c r="A95" s="1">
        <v>44470</v>
      </c>
      <c r="B95">
        <v>2021</v>
      </c>
      <c r="C95">
        <f t="shared" si="46"/>
        <v>10</v>
      </c>
      <c r="D95" s="4">
        <v>2555860.8676666478</v>
      </c>
      <c r="E95" s="4">
        <f>IFERROR(VLOOKUP($B95-1,CDM!$K$5:$N$19,2,FALSE)/12,0)+IFERROR(VLOOKUP($B95,CDM!$K$35:$N$47,2,FALSE)/24,0)+IFERROR(VLOOKUP($B95,CDM!$K$35:$N$47,2,FALSE)/2*$C95/78,0)</f>
        <v>144744.53082425232</v>
      </c>
      <c r="F95" s="4">
        <f t="shared" si="47"/>
        <v>2700605.3984909002</v>
      </c>
      <c r="G95" s="4">
        <v>1242636.6092969775</v>
      </c>
      <c r="H95" s="4">
        <f>IFERROR(VLOOKUP($B95-1,CDM!$K$5:$N$19,3,FALSE)/12,0)+IFERROR(VLOOKUP($B95,CDM!$K$35:$N$47,3,FALSE)/24,0)+IFERROR(VLOOKUP($B95,CDM!$K$35:$N$47,3,FALSE)/2*$C95/78,0)</f>
        <v>180021.35690069306</v>
      </c>
      <c r="I95" s="4">
        <f t="shared" si="48"/>
        <v>1422657.9661976707</v>
      </c>
      <c r="J95" s="4">
        <v>4291748.6361179519</v>
      </c>
      <c r="K95" s="4">
        <f>IFERROR(VLOOKUP($B95-1,CDM!$K$5:$N$19,4,FALSE)/12,0)+IFERROR(VLOOKUP($B95,CDM!$K$35:$N$47,4,FALSE)/24,0)+IFERROR(VLOOKUP($B95,CDM!$K$35:$N$47,4,FALSE)/2*$C95/78,0)</f>
        <v>226080.85533714443</v>
      </c>
      <c r="L95" s="4">
        <f t="shared" si="49"/>
        <v>4517829.4914550968</v>
      </c>
      <c r="M95" s="4">
        <v>42191.150630011456</v>
      </c>
      <c r="N95" s="4">
        <v>13679.916666666668</v>
      </c>
      <c r="O95" s="4">
        <v>12904.17</v>
      </c>
      <c r="P95" s="4">
        <v>127.67</v>
      </c>
      <c r="Q95" s="4">
        <v>5165</v>
      </c>
      <c r="R95" s="4">
        <v>711</v>
      </c>
      <c r="S95" s="4">
        <v>70</v>
      </c>
      <c r="T95" s="4">
        <v>1710</v>
      </c>
      <c r="U95" s="4">
        <v>23</v>
      </c>
      <c r="V95" s="4">
        <f>Weather!D215</f>
        <v>349.22499999999997</v>
      </c>
      <c r="W95" s="4">
        <f>Weather!E215</f>
        <v>0</v>
      </c>
      <c r="X95" s="4">
        <f>Weather!F215</f>
        <v>287.22499999999997</v>
      </c>
      <c r="Y95" s="4">
        <f>Weather!G215</f>
        <v>0</v>
      </c>
      <c r="Z95" s="4">
        <f>Weather!H215</f>
        <v>229.09999999999997</v>
      </c>
      <c r="AA95" s="4">
        <f>Weather!I215</f>
        <v>3.8750000000000036</v>
      </c>
      <c r="AB95" s="4">
        <f>Weather!J215</f>
        <v>177.39999999999998</v>
      </c>
      <c r="AC95" s="4">
        <f>Weather!K215</f>
        <v>14.175000000000004</v>
      </c>
      <c r="AD95" s="4">
        <f>Weather!L215</f>
        <v>132.99583333333334</v>
      </c>
      <c r="AE95" s="4">
        <f>Weather!M215</f>
        <v>31.770833333333343</v>
      </c>
      <c r="AF95" s="4">
        <f>Weather!N215</f>
        <v>99.116666666666674</v>
      </c>
      <c r="AG95" s="4">
        <f>Weather!O215</f>
        <v>59.89166666666668</v>
      </c>
      <c r="AH95" s="4">
        <f>Weather!P215</f>
        <v>69.233333333333334</v>
      </c>
      <c r="AI95" s="4">
        <f>Weather!Q215</f>
        <v>92.008333333333368</v>
      </c>
      <c r="AJ95" s="4">
        <f>Weather!R215</f>
        <v>8.7346774193548384</v>
      </c>
      <c r="AK95" s="4">
        <f>'Economic Data'!F97</f>
        <v>809658.6</v>
      </c>
      <c r="AL95" s="4">
        <f>'Economic Data'!G97</f>
        <v>8675.1</v>
      </c>
      <c r="AM95" s="4">
        <f>'Economic Data'!H97</f>
        <v>6484.1</v>
      </c>
      <c r="AN95" s="4">
        <f>'Economic Data'!I97</f>
        <v>102.4</v>
      </c>
      <c r="AO95" s="4">
        <f>'Economic Data'!J97</f>
        <v>101.8</v>
      </c>
      <c r="AP95" s="4">
        <f>'Economic Data'!K97</f>
        <v>428.3</v>
      </c>
      <c r="AQ95" s="4">
        <f>'Economic Data'!L97</f>
        <v>266</v>
      </c>
      <c r="AR95" s="4">
        <f>'Economic Data'!M97</f>
        <v>2409.3000000000002</v>
      </c>
      <c r="AS95" s="4">
        <f>'Economic Data'!N97</f>
        <v>2179.1999999999998</v>
      </c>
      <c r="AT95" s="4">
        <f>'Economic Data'!O97</f>
        <v>826374</v>
      </c>
      <c r="AU95" s="4">
        <f>'Economic Data'!P97</f>
        <v>9060</v>
      </c>
      <c r="AV95" s="4">
        <f>'Economic Data'!Q97</f>
        <v>4993</v>
      </c>
      <c r="AW95" s="4">
        <f>'Economic Data'!R97</f>
        <v>3780</v>
      </c>
      <c r="AX95" s="4">
        <f>'Economic Data'!E97</f>
        <v>7538.5</v>
      </c>
      <c r="AY95" s="4">
        <f>'Economic Data'!D97</f>
        <v>7529.4</v>
      </c>
      <c r="AZ95">
        <v>94</v>
      </c>
      <c r="BA95" s="14">
        <f t="shared" si="50"/>
        <v>4.6347289882296359</v>
      </c>
      <c r="BB95">
        <f t="shared" si="51"/>
        <v>8836</v>
      </c>
      <c r="BC95">
        <v>0</v>
      </c>
      <c r="BD95">
        <v>0</v>
      </c>
      <c r="BE95">
        <v>0</v>
      </c>
      <c r="BF95">
        <v>0</v>
      </c>
      <c r="BG95">
        <v>0</v>
      </c>
      <c r="BH95">
        <v>0</v>
      </c>
      <c r="BI95">
        <v>0</v>
      </c>
      <c r="BJ95">
        <v>0</v>
      </c>
      <c r="BK95">
        <v>0</v>
      </c>
      <c r="BL95">
        <v>1</v>
      </c>
      <c r="BM95">
        <v>0</v>
      </c>
      <c r="BN95">
        <v>0</v>
      </c>
      <c r="BO95">
        <v>0</v>
      </c>
      <c r="BP95">
        <v>1</v>
      </c>
      <c r="BQ95">
        <v>1</v>
      </c>
      <c r="BR95">
        <v>31</v>
      </c>
      <c r="BS95">
        <v>20</v>
      </c>
      <c r="BT95">
        <v>1</v>
      </c>
      <c r="BU95">
        <v>0.5</v>
      </c>
      <c r="BV95">
        <v>0.75</v>
      </c>
      <c r="BW95">
        <v>0</v>
      </c>
      <c r="BX95" s="17">
        <f t="shared" si="32"/>
        <v>349.22499999999997</v>
      </c>
      <c r="BY95" s="17">
        <f t="shared" si="33"/>
        <v>0</v>
      </c>
      <c r="BZ95" s="17">
        <f t="shared" si="34"/>
        <v>287.22499999999997</v>
      </c>
      <c r="CA95" s="17">
        <f t="shared" si="35"/>
        <v>0</v>
      </c>
      <c r="CB95" s="17">
        <f t="shared" si="36"/>
        <v>229.09999999999997</v>
      </c>
      <c r="CC95" s="17">
        <f t="shared" si="37"/>
        <v>3.8750000000000036</v>
      </c>
      <c r="CD95" s="17">
        <f t="shared" si="38"/>
        <v>177.39999999999998</v>
      </c>
      <c r="CE95" s="17">
        <f t="shared" si="39"/>
        <v>14.175000000000004</v>
      </c>
      <c r="CF95" s="17">
        <f t="shared" si="40"/>
        <v>132.99583333333334</v>
      </c>
      <c r="CG95" s="17">
        <f t="shared" si="41"/>
        <v>31.770833333333343</v>
      </c>
      <c r="CH95" s="17">
        <f t="shared" si="42"/>
        <v>99.116666666666674</v>
      </c>
      <c r="CI95" s="17">
        <f t="shared" si="43"/>
        <v>59.89166666666668</v>
      </c>
      <c r="CJ95" s="17">
        <f t="shared" si="44"/>
        <v>69.233333333333334</v>
      </c>
      <c r="CK95" s="17">
        <f t="shared" si="45"/>
        <v>92.008333333333368</v>
      </c>
    </row>
    <row r="96" spans="1:89" x14ac:dyDescent="0.35">
      <c r="A96" s="1">
        <v>44501</v>
      </c>
      <c r="B96">
        <v>2021</v>
      </c>
      <c r="C96">
        <f t="shared" si="46"/>
        <v>11</v>
      </c>
      <c r="D96" s="4">
        <v>2807161.7200755067</v>
      </c>
      <c r="E96" s="4">
        <f>IFERROR(VLOOKUP($B96-1,CDM!$K$5:$N$19,2,FALSE)/12,0)+IFERROR(VLOOKUP($B96,CDM!$K$35:$N$47,2,FALSE)/24,0)+IFERROR(VLOOKUP($B96,CDM!$K$35:$N$47,2,FALSE)/2*$C96/78,0)</f>
        <v>144414.01551765835</v>
      </c>
      <c r="F96" s="4">
        <f t="shared" si="47"/>
        <v>2951575.7355931653</v>
      </c>
      <c r="G96" s="4">
        <v>1231614.471064284</v>
      </c>
      <c r="H96" s="4">
        <f>IFERROR(VLOOKUP($B96-1,CDM!$K$5:$N$19,3,FALSE)/12,0)+IFERROR(VLOOKUP($B96,CDM!$K$35:$N$47,3,FALSE)/24,0)+IFERROR(VLOOKUP($B96,CDM!$K$35:$N$47,3,FALSE)/2*$C96/78,0)</f>
        <v>179155.23481858324</v>
      </c>
      <c r="I96" s="4">
        <f t="shared" si="48"/>
        <v>1410769.7058828673</v>
      </c>
      <c r="J96" s="4">
        <v>4581890.8382450659</v>
      </c>
      <c r="K96" s="4">
        <f>IFERROR(VLOOKUP($B96-1,CDM!$K$5:$N$19,4,FALSE)/12,0)+IFERROR(VLOOKUP($B96,CDM!$K$35:$N$47,4,FALSE)/24,0)+IFERROR(VLOOKUP($B96,CDM!$K$35:$N$47,4,FALSE)/2*$C96/78,0)</f>
        <v>226776.55672008698</v>
      </c>
      <c r="L96" s="4">
        <f t="shared" si="49"/>
        <v>4808667.3949651532</v>
      </c>
      <c r="M96" s="4">
        <v>49190.156930126002</v>
      </c>
      <c r="N96" s="4">
        <v>13679.916666666668</v>
      </c>
      <c r="O96" s="4">
        <v>12623.33</v>
      </c>
      <c r="P96" s="4">
        <v>127.67</v>
      </c>
      <c r="Q96" s="4">
        <v>5178</v>
      </c>
      <c r="R96" s="4">
        <v>707</v>
      </c>
      <c r="S96" s="4">
        <v>68</v>
      </c>
      <c r="T96" s="4">
        <v>1710</v>
      </c>
      <c r="U96" s="4">
        <v>23</v>
      </c>
      <c r="V96" s="4">
        <f>Weather!D216</f>
        <v>664.64166666666677</v>
      </c>
      <c r="W96" s="4">
        <f>Weather!E216</f>
        <v>0</v>
      </c>
      <c r="X96" s="4">
        <f>Weather!F216</f>
        <v>604.64166666666665</v>
      </c>
      <c r="Y96" s="4">
        <f>Weather!G216</f>
        <v>0</v>
      </c>
      <c r="Z96" s="4">
        <f>Weather!H216</f>
        <v>544.64166666666665</v>
      </c>
      <c r="AA96" s="4">
        <f>Weather!I216</f>
        <v>0</v>
      </c>
      <c r="AB96" s="4">
        <f>Weather!J216</f>
        <v>484.64166666666671</v>
      </c>
      <c r="AC96" s="4">
        <f>Weather!K216</f>
        <v>0</v>
      </c>
      <c r="AD96" s="4">
        <f>Weather!L216</f>
        <v>424.64166666666671</v>
      </c>
      <c r="AE96" s="4">
        <f>Weather!M216</f>
        <v>0</v>
      </c>
      <c r="AF96" s="4">
        <f>Weather!N216</f>
        <v>364.64166666666665</v>
      </c>
      <c r="AG96" s="4">
        <f>Weather!O216</f>
        <v>0</v>
      </c>
      <c r="AH96" s="4">
        <f>Weather!P216</f>
        <v>305.45416666666665</v>
      </c>
      <c r="AI96" s="4">
        <f>Weather!Q216</f>
        <v>0.81249999999999822</v>
      </c>
      <c r="AJ96" s="4">
        <f>Weather!R216</f>
        <v>-2.154722222222222</v>
      </c>
      <c r="AK96" s="4">
        <f>'Economic Data'!F98</f>
        <v>809658.6</v>
      </c>
      <c r="AL96" s="4">
        <f>'Economic Data'!G98</f>
        <v>8675.1</v>
      </c>
      <c r="AM96" s="4">
        <f>'Economic Data'!H98</f>
        <v>6484.1</v>
      </c>
      <c r="AN96" s="4">
        <f>'Economic Data'!I98</f>
        <v>102.4</v>
      </c>
      <c r="AO96" s="4">
        <f>'Economic Data'!J98</f>
        <v>101.8</v>
      </c>
      <c r="AP96" s="4">
        <f>'Economic Data'!K98</f>
        <v>428.3</v>
      </c>
      <c r="AQ96" s="4">
        <f>'Economic Data'!L98</f>
        <v>266</v>
      </c>
      <c r="AR96" s="4">
        <f>'Economic Data'!M98</f>
        <v>2409.3000000000002</v>
      </c>
      <c r="AS96" s="4">
        <f>'Economic Data'!N98</f>
        <v>2179.1999999999998</v>
      </c>
      <c r="AT96" s="4">
        <f>'Economic Data'!O98</f>
        <v>826374</v>
      </c>
      <c r="AU96" s="4">
        <f>'Economic Data'!P98</f>
        <v>9060</v>
      </c>
      <c r="AV96" s="4">
        <f>'Economic Data'!Q98</f>
        <v>4993</v>
      </c>
      <c r="AW96" s="4">
        <f>'Economic Data'!R98</f>
        <v>3780</v>
      </c>
      <c r="AX96" s="4">
        <f>'Economic Data'!E98</f>
        <v>7590.1</v>
      </c>
      <c r="AY96" s="4">
        <f>'Economic Data'!D98</f>
        <v>7592</v>
      </c>
      <c r="AZ96">
        <v>95</v>
      </c>
      <c r="BA96" s="14">
        <f t="shared" si="50"/>
        <v>4.6443908991413725</v>
      </c>
      <c r="BB96">
        <f t="shared" si="51"/>
        <v>9025</v>
      </c>
      <c r="BC96">
        <v>0</v>
      </c>
      <c r="BD96">
        <v>0</v>
      </c>
      <c r="BE96">
        <v>0</v>
      </c>
      <c r="BF96">
        <v>0</v>
      </c>
      <c r="BG96">
        <v>0</v>
      </c>
      <c r="BH96">
        <v>0</v>
      </c>
      <c r="BI96">
        <v>0</v>
      </c>
      <c r="BJ96">
        <v>0</v>
      </c>
      <c r="BK96">
        <v>0</v>
      </c>
      <c r="BL96">
        <v>0</v>
      </c>
      <c r="BM96">
        <v>1</v>
      </c>
      <c r="BN96">
        <v>0</v>
      </c>
      <c r="BO96">
        <v>0</v>
      </c>
      <c r="BP96">
        <v>1</v>
      </c>
      <c r="BQ96">
        <v>1</v>
      </c>
      <c r="BR96">
        <v>30</v>
      </c>
      <c r="BS96">
        <v>22</v>
      </c>
      <c r="BT96">
        <v>1</v>
      </c>
      <c r="BU96">
        <v>0.5</v>
      </c>
      <c r="BV96">
        <v>0.75</v>
      </c>
      <c r="BW96">
        <v>0</v>
      </c>
      <c r="BX96" s="17">
        <f t="shared" si="32"/>
        <v>664.64166666666677</v>
      </c>
      <c r="BY96" s="17">
        <f t="shared" si="33"/>
        <v>0</v>
      </c>
      <c r="BZ96" s="17">
        <f t="shared" si="34"/>
        <v>604.64166666666665</v>
      </c>
      <c r="CA96" s="17">
        <f t="shared" si="35"/>
        <v>0</v>
      </c>
      <c r="CB96" s="17">
        <f t="shared" si="36"/>
        <v>544.64166666666665</v>
      </c>
      <c r="CC96" s="17">
        <f t="shared" si="37"/>
        <v>0</v>
      </c>
      <c r="CD96" s="17">
        <f t="shared" si="38"/>
        <v>484.64166666666671</v>
      </c>
      <c r="CE96" s="17">
        <f t="shared" si="39"/>
        <v>0</v>
      </c>
      <c r="CF96" s="17">
        <f t="shared" si="40"/>
        <v>424.64166666666671</v>
      </c>
      <c r="CG96" s="17">
        <f t="shared" si="41"/>
        <v>0</v>
      </c>
      <c r="CH96" s="17">
        <f t="shared" si="42"/>
        <v>364.64166666666665</v>
      </c>
      <c r="CI96" s="17">
        <f t="shared" si="43"/>
        <v>0</v>
      </c>
      <c r="CJ96" s="17">
        <f t="shared" si="44"/>
        <v>305.45416666666665</v>
      </c>
      <c r="CK96" s="17">
        <f t="shared" si="45"/>
        <v>0.81249999999999822</v>
      </c>
    </row>
    <row r="97" spans="1:89" x14ac:dyDescent="0.35">
      <c r="A97" s="1">
        <v>44531</v>
      </c>
      <c r="B97">
        <v>2021</v>
      </c>
      <c r="C97">
        <f t="shared" si="46"/>
        <v>12</v>
      </c>
      <c r="D97" s="4">
        <v>3343526.6073451145</v>
      </c>
      <c r="E97" s="4">
        <f>IFERROR(VLOOKUP($B97-1,CDM!$K$5:$N$19,2,FALSE)/12,0)+IFERROR(VLOOKUP($B97,CDM!$K$35:$N$47,2,FALSE)/24,0)+IFERROR(VLOOKUP($B97,CDM!$K$35:$N$47,2,FALSE)/2*$C97/78,0)</f>
        <v>144083.50021106441</v>
      </c>
      <c r="F97" s="4">
        <f t="shared" si="47"/>
        <v>3487610.1075561787</v>
      </c>
      <c r="G97" s="4">
        <v>1489778.5382770384</v>
      </c>
      <c r="H97" s="4">
        <f>IFERROR(VLOOKUP($B97-1,CDM!$K$5:$N$19,3,FALSE)/12,0)+IFERROR(VLOOKUP($B97,CDM!$K$35:$N$47,3,FALSE)/24,0)+IFERROR(VLOOKUP($B97,CDM!$K$35:$N$47,3,FALSE)/2*$C97/78,0)</f>
        <v>178289.11273647344</v>
      </c>
      <c r="I97" s="4">
        <f t="shared" si="48"/>
        <v>1668067.6510135117</v>
      </c>
      <c r="J97" s="4">
        <v>4979736.1496596448</v>
      </c>
      <c r="K97" s="4">
        <f>IFERROR(VLOOKUP($B97-1,CDM!$K$5:$N$19,4,FALSE)/12,0)+IFERROR(VLOOKUP($B97,CDM!$K$35:$N$47,4,FALSE)/24,0)+IFERROR(VLOOKUP($B97,CDM!$K$35:$N$47,4,FALSE)/2*$C97/78,0)</f>
        <v>227472.25810302954</v>
      </c>
      <c r="L97" s="4">
        <f t="shared" si="49"/>
        <v>5207208.4077626746</v>
      </c>
      <c r="M97" s="4">
        <v>52398.993699885454</v>
      </c>
      <c r="N97" s="4">
        <v>13679.916666666668</v>
      </c>
      <c r="O97" s="4">
        <v>12940.31</v>
      </c>
      <c r="P97" s="4">
        <v>127.67</v>
      </c>
      <c r="Q97" s="4">
        <v>5158</v>
      </c>
      <c r="R97" s="4">
        <v>709</v>
      </c>
      <c r="S97" s="4">
        <v>67</v>
      </c>
      <c r="T97" s="4">
        <v>1710</v>
      </c>
      <c r="U97" s="4">
        <v>23</v>
      </c>
      <c r="V97" s="4">
        <f>Weather!D217</f>
        <v>993.00833333333321</v>
      </c>
      <c r="W97" s="4">
        <f>Weather!E217</f>
        <v>0</v>
      </c>
      <c r="X97" s="4">
        <f>Weather!F217</f>
        <v>931.00833333333321</v>
      </c>
      <c r="Y97" s="4">
        <f>Weather!G217</f>
        <v>0</v>
      </c>
      <c r="Z97" s="4">
        <f>Weather!H217</f>
        <v>869.00833333333321</v>
      </c>
      <c r="AA97" s="4">
        <f>Weather!I217</f>
        <v>0</v>
      </c>
      <c r="AB97" s="4">
        <f>Weather!J217</f>
        <v>807.00833333333321</v>
      </c>
      <c r="AC97" s="4">
        <f>Weather!K217</f>
        <v>0</v>
      </c>
      <c r="AD97" s="4">
        <f>Weather!L217</f>
        <v>745.00833333333321</v>
      </c>
      <c r="AE97" s="4">
        <f>Weather!M217</f>
        <v>0</v>
      </c>
      <c r="AF97" s="4">
        <f>Weather!N217</f>
        <v>683.00833333333321</v>
      </c>
      <c r="AG97" s="4">
        <f>Weather!O217</f>
        <v>0</v>
      </c>
      <c r="AH97" s="4">
        <f>Weather!P217</f>
        <v>621.00833333333344</v>
      </c>
      <c r="AI97" s="4">
        <f>Weather!Q217</f>
        <v>0</v>
      </c>
      <c r="AJ97" s="4">
        <f>Weather!R217</f>
        <v>-12.032526881720432</v>
      </c>
      <c r="AK97" s="4">
        <f>'Economic Data'!F99</f>
        <v>809658.6</v>
      </c>
      <c r="AL97" s="4">
        <f>'Economic Data'!G99</f>
        <v>8675.1</v>
      </c>
      <c r="AM97" s="4">
        <f>'Economic Data'!H99</f>
        <v>6484.1</v>
      </c>
      <c r="AN97" s="4">
        <f>'Economic Data'!I99</f>
        <v>102.4</v>
      </c>
      <c r="AO97" s="4">
        <f>'Economic Data'!J99</f>
        <v>101.8</v>
      </c>
      <c r="AP97" s="4">
        <f>'Economic Data'!K99</f>
        <v>428.3</v>
      </c>
      <c r="AQ97" s="4">
        <f>'Economic Data'!L99</f>
        <v>266</v>
      </c>
      <c r="AR97" s="4">
        <f>'Economic Data'!M99</f>
        <v>2409.3000000000002</v>
      </c>
      <c r="AS97" s="4">
        <f>'Economic Data'!N99</f>
        <v>2179.1999999999998</v>
      </c>
      <c r="AT97" s="4">
        <f>'Economic Data'!O99</f>
        <v>826374</v>
      </c>
      <c r="AU97" s="4">
        <f>'Economic Data'!P99</f>
        <v>9060</v>
      </c>
      <c r="AV97" s="4">
        <f>'Economic Data'!Q99</f>
        <v>4993</v>
      </c>
      <c r="AW97" s="4">
        <f>'Economic Data'!R99</f>
        <v>3780</v>
      </c>
      <c r="AX97" s="4">
        <f>'Economic Data'!E99</f>
        <v>7647.5</v>
      </c>
      <c r="AY97" s="4">
        <f>'Economic Data'!D99</f>
        <v>7644.2</v>
      </c>
      <c r="AZ97">
        <v>96</v>
      </c>
      <c r="BA97" s="14">
        <f t="shared" si="50"/>
        <v>4.6539603501575231</v>
      </c>
      <c r="BB97">
        <f t="shared" si="51"/>
        <v>9216</v>
      </c>
      <c r="BC97">
        <v>0</v>
      </c>
      <c r="BD97">
        <v>0</v>
      </c>
      <c r="BE97">
        <v>0</v>
      </c>
      <c r="BF97">
        <v>0</v>
      </c>
      <c r="BG97">
        <v>0</v>
      </c>
      <c r="BH97">
        <v>0</v>
      </c>
      <c r="BI97">
        <v>0</v>
      </c>
      <c r="BJ97">
        <v>0</v>
      </c>
      <c r="BK97">
        <v>0</v>
      </c>
      <c r="BL97">
        <v>0</v>
      </c>
      <c r="BM97">
        <v>0</v>
      </c>
      <c r="BN97">
        <v>1</v>
      </c>
      <c r="BO97">
        <v>0</v>
      </c>
      <c r="BP97">
        <v>0</v>
      </c>
      <c r="BQ97">
        <v>0</v>
      </c>
      <c r="BR97">
        <v>31</v>
      </c>
      <c r="BS97">
        <v>21</v>
      </c>
      <c r="BT97">
        <v>1</v>
      </c>
      <c r="BU97">
        <v>0.5</v>
      </c>
      <c r="BV97">
        <v>0.75</v>
      </c>
      <c r="BW97">
        <v>0</v>
      </c>
      <c r="BX97" s="17">
        <f t="shared" si="32"/>
        <v>993.00833333333321</v>
      </c>
      <c r="BY97" s="17">
        <f t="shared" si="33"/>
        <v>0</v>
      </c>
      <c r="BZ97" s="17">
        <f t="shared" si="34"/>
        <v>931.00833333333321</v>
      </c>
      <c r="CA97" s="17">
        <f t="shared" si="35"/>
        <v>0</v>
      </c>
      <c r="CB97" s="17">
        <f t="shared" si="36"/>
        <v>869.00833333333321</v>
      </c>
      <c r="CC97" s="17">
        <f t="shared" si="37"/>
        <v>0</v>
      </c>
      <c r="CD97" s="17">
        <f t="shared" si="38"/>
        <v>807.00833333333321</v>
      </c>
      <c r="CE97" s="17">
        <f t="shared" si="39"/>
        <v>0</v>
      </c>
      <c r="CF97" s="17">
        <f t="shared" si="40"/>
        <v>745.00833333333321</v>
      </c>
      <c r="CG97" s="17">
        <f t="shared" si="41"/>
        <v>0</v>
      </c>
      <c r="CH97" s="17">
        <f t="shared" si="42"/>
        <v>683.00833333333321</v>
      </c>
      <c r="CI97" s="17">
        <f t="shared" si="43"/>
        <v>0</v>
      </c>
      <c r="CJ97" s="17">
        <f t="shared" si="44"/>
        <v>621.00833333333344</v>
      </c>
      <c r="CK97" s="17">
        <f t="shared" si="45"/>
        <v>0</v>
      </c>
    </row>
    <row r="98" spans="1:89" x14ac:dyDescent="0.35">
      <c r="A98" s="1">
        <v>44562</v>
      </c>
      <c r="B98">
        <v>2022</v>
      </c>
      <c r="C98">
        <f t="shared" si="46"/>
        <v>1</v>
      </c>
      <c r="D98" s="4">
        <v>4224883.177284101</v>
      </c>
      <c r="E98" s="4">
        <f>IFERROR(VLOOKUP($B98-1,CDM!$K$5:$N$19,2,FALSE)/12,0)+IFERROR(VLOOKUP($B98,CDM!$K$35:$N$47,2,FALSE)/24,0)+IFERROR(VLOOKUP($B98,CDM!$K$35:$N$47,2,FALSE)/2*$C98/78,0)</f>
        <v>146320.95008716948</v>
      </c>
      <c r="F98" s="4">
        <f t="shared" si="47"/>
        <v>4371204.1273712702</v>
      </c>
      <c r="G98" s="4">
        <v>1749205.5312985508</v>
      </c>
      <c r="H98" s="4">
        <f>IFERROR(VLOOKUP($B98-1,CDM!$K$5:$N$19,3,FALSE)/12,0)+IFERROR(VLOOKUP($B98,CDM!$K$35:$N$47,3,FALSE)/24,0)+IFERROR(VLOOKUP($B98,CDM!$K$35:$N$47,3,FALSE)/2*$C98/78,0)</f>
        <v>177701.88212988403</v>
      </c>
      <c r="I98" s="4">
        <f t="shared" si="48"/>
        <v>1926907.4134284349</v>
      </c>
      <c r="J98" s="4">
        <v>5289325.3414188745</v>
      </c>
      <c r="K98" s="4">
        <f>IFERROR(VLOOKUP($B98-1,CDM!$K$5:$N$19,4,FALSE)/12,0)+IFERROR(VLOOKUP($B98,CDM!$K$35:$N$47,4,FALSE)/24,0)+IFERROR(VLOOKUP($B98,CDM!$K$35:$N$47,4,FALSE)/2*$C98/78,0)</f>
        <v>225745.44516331636</v>
      </c>
      <c r="L98" s="4">
        <f t="shared" si="49"/>
        <v>5515070.7865821905</v>
      </c>
      <c r="M98" s="4">
        <v>56990.71064993937</v>
      </c>
      <c r="N98" s="4">
        <v>13662.75</v>
      </c>
      <c r="O98" s="4">
        <v>13430.55</v>
      </c>
      <c r="P98" s="4">
        <v>126.42</v>
      </c>
      <c r="Q98" s="4">
        <v>5171</v>
      </c>
      <c r="R98" s="4">
        <v>709</v>
      </c>
      <c r="S98" s="4">
        <v>67</v>
      </c>
      <c r="T98" s="4">
        <v>1710</v>
      </c>
      <c r="U98" s="4">
        <v>22</v>
      </c>
      <c r="V98" s="4">
        <f>Weather!D218</f>
        <v>1300.5749999999996</v>
      </c>
      <c r="W98" s="4">
        <f>Weather!E218</f>
        <v>0</v>
      </c>
      <c r="X98" s="4">
        <f>Weather!F218</f>
        <v>1238.5749999999994</v>
      </c>
      <c r="Y98" s="4">
        <f>Weather!G218</f>
        <v>0</v>
      </c>
      <c r="Z98" s="4">
        <f>Weather!H218</f>
        <v>1176.5749999999996</v>
      </c>
      <c r="AA98" s="4">
        <f>Weather!I218</f>
        <v>0</v>
      </c>
      <c r="AB98" s="4">
        <f>Weather!J218</f>
        <v>1114.5749999999998</v>
      </c>
      <c r="AC98" s="4">
        <f>Weather!K218</f>
        <v>0</v>
      </c>
      <c r="AD98" s="4">
        <f>Weather!L218</f>
        <v>1052.575</v>
      </c>
      <c r="AE98" s="4">
        <f>Weather!M218</f>
        <v>0</v>
      </c>
      <c r="AF98" s="4">
        <f>Weather!N218</f>
        <v>990.57499999999993</v>
      </c>
      <c r="AG98" s="4">
        <f>Weather!O218</f>
        <v>0</v>
      </c>
      <c r="AH98" s="4">
        <f>Weather!P218</f>
        <v>928.57499999999982</v>
      </c>
      <c r="AI98" s="4">
        <f>Weather!Q218</f>
        <v>0</v>
      </c>
      <c r="AJ98" s="4">
        <f>Weather!R218</f>
        <v>-21.954032258064522</v>
      </c>
      <c r="AK98" s="4">
        <f>'Economic Data'!F100</f>
        <v>839497.4</v>
      </c>
      <c r="AL98" s="4">
        <f>'Economic Data'!G100</f>
        <v>8788.9</v>
      </c>
      <c r="AM98" s="4">
        <f>'Economic Data'!H100</f>
        <v>6860.3</v>
      </c>
      <c r="AN98" s="4">
        <f>'Economic Data'!I100</f>
        <v>109.5</v>
      </c>
      <c r="AO98" s="4">
        <f>'Economic Data'!J100</f>
        <v>119.5</v>
      </c>
      <c r="AP98" s="4">
        <f>'Economic Data'!K100</f>
        <v>388.2</v>
      </c>
      <c r="AQ98" s="4">
        <f>'Economic Data'!L100</f>
        <v>261.39999999999998</v>
      </c>
      <c r="AR98" s="4">
        <f>'Economic Data'!M100</f>
        <v>2672.2</v>
      </c>
      <c r="AS98" s="4">
        <f>'Economic Data'!N100</f>
        <v>2064.1</v>
      </c>
      <c r="AT98" s="4">
        <f>'Economic Data'!O100</f>
        <v>833713</v>
      </c>
      <c r="AU98" s="4">
        <f>'Economic Data'!P100</f>
        <v>8882</v>
      </c>
      <c r="AV98" s="4">
        <f>'Economic Data'!Q100</f>
        <v>4968</v>
      </c>
      <c r="AW98" s="4">
        <f>'Economic Data'!R100</f>
        <v>3727</v>
      </c>
      <c r="AX98" s="4">
        <f>'Economic Data'!E100</f>
        <v>7595.1</v>
      </c>
      <c r="AY98" s="4">
        <f>'Economic Data'!D100</f>
        <v>7627.7</v>
      </c>
      <c r="AZ98">
        <v>97</v>
      </c>
      <c r="BA98" s="14">
        <f t="shared" si="50"/>
        <v>4.6634390941120669</v>
      </c>
      <c r="BB98">
        <f t="shared" si="51"/>
        <v>9409</v>
      </c>
      <c r="BC98">
        <v>1</v>
      </c>
      <c r="BD98">
        <v>0</v>
      </c>
      <c r="BE98">
        <v>0</v>
      </c>
      <c r="BF98">
        <v>0</v>
      </c>
      <c r="BG98">
        <v>0</v>
      </c>
      <c r="BH98">
        <v>0</v>
      </c>
      <c r="BI98">
        <v>0</v>
      </c>
      <c r="BJ98">
        <v>0</v>
      </c>
      <c r="BK98">
        <v>0</v>
      </c>
      <c r="BL98">
        <v>0</v>
      </c>
      <c r="BM98">
        <v>0</v>
      </c>
      <c r="BN98">
        <v>0</v>
      </c>
      <c r="BO98">
        <v>0</v>
      </c>
      <c r="BP98">
        <v>0</v>
      </c>
      <c r="BQ98">
        <v>0</v>
      </c>
      <c r="BR98">
        <v>31</v>
      </c>
      <c r="BS98">
        <v>20</v>
      </c>
      <c r="BT98">
        <v>0.5</v>
      </c>
      <c r="BU98">
        <v>0.25</v>
      </c>
      <c r="BV98">
        <v>0.5</v>
      </c>
      <c r="BW98">
        <v>0</v>
      </c>
      <c r="BX98" s="17">
        <f t="shared" ref="BX98:BX121" si="52">$BT98*V98</f>
        <v>650.2874999999998</v>
      </c>
      <c r="BY98" s="17">
        <f t="shared" ref="BY98:BY121" si="53">$BT98*W98</f>
        <v>0</v>
      </c>
      <c r="BZ98" s="17">
        <f t="shared" ref="BZ98:BZ121" si="54">$BT98*X98</f>
        <v>619.28749999999968</v>
      </c>
      <c r="CA98" s="17">
        <f t="shared" ref="CA98:CA121" si="55">$BT98*Y98</f>
        <v>0</v>
      </c>
      <c r="CB98" s="17">
        <f t="shared" ref="CB98:CB121" si="56">$BT98*Z98</f>
        <v>588.2874999999998</v>
      </c>
      <c r="CC98" s="17">
        <f t="shared" ref="CC98:CC121" si="57">$BT98*AA98</f>
        <v>0</v>
      </c>
      <c r="CD98" s="17">
        <f t="shared" ref="CD98:CD121" si="58">$BT98*AB98</f>
        <v>557.28749999999991</v>
      </c>
      <c r="CE98" s="17">
        <f t="shared" ref="CE98:CE121" si="59">$BT98*AC98</f>
        <v>0</v>
      </c>
      <c r="CF98" s="17">
        <f t="shared" ref="CF98:CF121" si="60">$BT98*AD98</f>
        <v>526.28750000000002</v>
      </c>
      <c r="CG98" s="17">
        <f t="shared" ref="CG98:CG121" si="61">$BT98*AE98</f>
        <v>0</v>
      </c>
      <c r="CH98" s="17">
        <f t="shared" ref="CH98:CH121" si="62">$BT98*AF98</f>
        <v>495.28749999999997</v>
      </c>
      <c r="CI98" s="17">
        <f t="shared" ref="CI98:CI121" si="63">$BT98*AG98</f>
        <v>0</v>
      </c>
      <c r="CJ98" s="17">
        <f t="shared" si="44"/>
        <v>464.28749999999991</v>
      </c>
      <c r="CK98" s="17">
        <f t="shared" si="45"/>
        <v>0</v>
      </c>
    </row>
    <row r="99" spans="1:89" x14ac:dyDescent="0.35">
      <c r="A99" s="1">
        <v>44593</v>
      </c>
      <c r="B99">
        <v>2022</v>
      </c>
      <c r="C99">
        <f t="shared" si="46"/>
        <v>2</v>
      </c>
      <c r="D99" s="4">
        <v>4892776.0118678762</v>
      </c>
      <c r="E99" s="4">
        <f>IFERROR(VLOOKUP($B99-1,CDM!$K$5:$N$19,2,FALSE)/12,0)+IFERROR(VLOOKUP($B99,CDM!$K$35:$N$47,2,FALSE)/24,0)+IFERROR(VLOOKUP($B99,CDM!$K$35:$N$47,2,FALSE)/2*$C99/78,0)</f>
        <v>146376.89884581461</v>
      </c>
      <c r="F99" s="4">
        <f t="shared" si="47"/>
        <v>5039152.9107136903</v>
      </c>
      <c r="G99" s="4">
        <v>1983839.0426516265</v>
      </c>
      <c r="H99" s="4">
        <f>IFERROR(VLOOKUP($B99-1,CDM!$K$5:$N$19,3,FALSE)/12,0)+IFERROR(VLOOKUP($B99,CDM!$K$35:$N$47,3,FALSE)/24,0)+IFERROR(VLOOKUP($B99,CDM!$K$35:$N$47,3,FALSE)/2*$C99/78,0)</f>
        <v>176988.42852212492</v>
      </c>
      <c r="I99" s="4">
        <f t="shared" si="48"/>
        <v>2160827.4711737516</v>
      </c>
      <c r="J99" s="4">
        <v>5773019.2808087626</v>
      </c>
      <c r="K99" s="4">
        <f>IFERROR(VLOOKUP($B99-1,CDM!$K$5:$N$19,4,FALSE)/12,0)+IFERROR(VLOOKUP($B99,CDM!$K$35:$N$47,4,FALSE)/24,0)+IFERROR(VLOOKUP($B99,CDM!$K$35:$N$47,4,FALSE)/2*$C99/78,0)</f>
        <v>226025.38445217913</v>
      </c>
      <c r="L99" s="4">
        <f t="shared" si="49"/>
        <v>5999044.6652609417</v>
      </c>
      <c r="M99" s="4">
        <v>55952.440645125906</v>
      </c>
      <c r="N99" s="4">
        <v>13662.75</v>
      </c>
      <c r="O99" s="4">
        <v>13954.61</v>
      </c>
      <c r="P99" s="4">
        <v>126.42</v>
      </c>
      <c r="Q99" s="4">
        <v>5169</v>
      </c>
      <c r="R99" s="4">
        <v>709</v>
      </c>
      <c r="S99" s="4">
        <v>67</v>
      </c>
      <c r="T99" s="4">
        <v>1710</v>
      </c>
      <c r="U99" s="4">
        <v>22</v>
      </c>
      <c r="V99" s="4">
        <f>Weather!D219</f>
        <v>1083.7208333333335</v>
      </c>
      <c r="W99" s="4">
        <f>Weather!E219</f>
        <v>0</v>
      </c>
      <c r="X99" s="4">
        <f>Weather!F219</f>
        <v>1027.7208333333335</v>
      </c>
      <c r="Y99" s="4">
        <f>Weather!G219</f>
        <v>0</v>
      </c>
      <c r="Z99" s="4">
        <f>Weather!H219</f>
        <v>971.72083333333342</v>
      </c>
      <c r="AA99" s="4">
        <f>Weather!I219</f>
        <v>0</v>
      </c>
      <c r="AB99" s="4">
        <f>Weather!J219</f>
        <v>915.72083333333342</v>
      </c>
      <c r="AC99" s="4">
        <f>Weather!K219</f>
        <v>0</v>
      </c>
      <c r="AD99" s="4">
        <f>Weather!L219</f>
        <v>859.72083333333319</v>
      </c>
      <c r="AE99" s="4">
        <f>Weather!M219</f>
        <v>0</v>
      </c>
      <c r="AF99" s="4">
        <f>Weather!N219</f>
        <v>803.72083333333319</v>
      </c>
      <c r="AG99" s="4">
        <f>Weather!O219</f>
        <v>0</v>
      </c>
      <c r="AH99" s="4">
        <f>Weather!P219</f>
        <v>747.72083333333319</v>
      </c>
      <c r="AI99" s="4">
        <f>Weather!Q219</f>
        <v>0</v>
      </c>
      <c r="AJ99" s="4">
        <f>Weather!R219</f>
        <v>-18.704315476190477</v>
      </c>
      <c r="AK99" s="4">
        <f>'Economic Data'!F101</f>
        <v>839497.4</v>
      </c>
      <c r="AL99" s="4">
        <f>'Economic Data'!G101</f>
        <v>8788.9</v>
      </c>
      <c r="AM99" s="4">
        <f>'Economic Data'!H101</f>
        <v>6860.3</v>
      </c>
      <c r="AN99" s="4">
        <f>'Economic Data'!I101</f>
        <v>109.5</v>
      </c>
      <c r="AO99" s="4">
        <f>'Economic Data'!J101</f>
        <v>119.5</v>
      </c>
      <c r="AP99" s="4">
        <f>'Economic Data'!K101</f>
        <v>388.2</v>
      </c>
      <c r="AQ99" s="4">
        <f>'Economic Data'!L101</f>
        <v>261.39999999999998</v>
      </c>
      <c r="AR99" s="4">
        <f>'Economic Data'!M101</f>
        <v>2672.2</v>
      </c>
      <c r="AS99" s="4">
        <f>'Economic Data'!N101</f>
        <v>2064.1</v>
      </c>
      <c r="AT99" s="4">
        <f>'Economic Data'!O101</f>
        <v>833713</v>
      </c>
      <c r="AU99" s="4">
        <f>'Economic Data'!P101</f>
        <v>8882</v>
      </c>
      <c r="AV99" s="4">
        <f>'Economic Data'!Q101</f>
        <v>4968</v>
      </c>
      <c r="AW99" s="4">
        <f>'Economic Data'!R101</f>
        <v>3727</v>
      </c>
      <c r="AX99" s="4">
        <f>'Economic Data'!E101</f>
        <v>7588.8</v>
      </c>
      <c r="AY99" s="4">
        <f>'Economic Data'!D101</f>
        <v>7651.3</v>
      </c>
      <c r="AZ99">
        <v>98</v>
      </c>
      <c r="BA99" s="14">
        <f t="shared" si="50"/>
        <v>4.6728288344619058</v>
      </c>
      <c r="BB99">
        <f t="shared" si="51"/>
        <v>9604</v>
      </c>
      <c r="BC99">
        <v>0</v>
      </c>
      <c r="BD99">
        <v>1</v>
      </c>
      <c r="BE99">
        <v>0</v>
      </c>
      <c r="BF99">
        <v>0</v>
      </c>
      <c r="BG99">
        <v>0</v>
      </c>
      <c r="BH99">
        <v>0</v>
      </c>
      <c r="BI99">
        <v>0</v>
      </c>
      <c r="BJ99">
        <v>0</v>
      </c>
      <c r="BK99">
        <v>0</v>
      </c>
      <c r="BL99">
        <v>0</v>
      </c>
      <c r="BM99">
        <v>0</v>
      </c>
      <c r="BN99">
        <v>0</v>
      </c>
      <c r="BO99">
        <v>0</v>
      </c>
      <c r="BP99">
        <v>0</v>
      </c>
      <c r="BQ99">
        <v>0</v>
      </c>
      <c r="BR99">
        <v>28</v>
      </c>
      <c r="BS99">
        <v>19</v>
      </c>
      <c r="BT99">
        <v>0.5</v>
      </c>
      <c r="BU99">
        <v>0.25</v>
      </c>
      <c r="BV99">
        <v>0.5</v>
      </c>
      <c r="BW99">
        <v>0</v>
      </c>
      <c r="BX99" s="17">
        <f t="shared" si="52"/>
        <v>541.86041666666677</v>
      </c>
      <c r="BY99" s="17">
        <f t="shared" si="53"/>
        <v>0</v>
      </c>
      <c r="BZ99" s="17">
        <f t="shared" si="54"/>
        <v>513.86041666666677</v>
      </c>
      <c r="CA99" s="17">
        <f t="shared" si="55"/>
        <v>0</v>
      </c>
      <c r="CB99" s="17">
        <f t="shared" si="56"/>
        <v>485.86041666666671</v>
      </c>
      <c r="CC99" s="17">
        <f t="shared" si="57"/>
        <v>0</v>
      </c>
      <c r="CD99" s="17">
        <f t="shared" si="58"/>
        <v>457.86041666666671</v>
      </c>
      <c r="CE99" s="17">
        <f t="shared" si="59"/>
        <v>0</v>
      </c>
      <c r="CF99" s="17">
        <f t="shared" si="60"/>
        <v>429.86041666666659</v>
      </c>
      <c r="CG99" s="17">
        <f t="shared" si="61"/>
        <v>0</v>
      </c>
      <c r="CH99" s="17">
        <f t="shared" si="62"/>
        <v>401.86041666666659</v>
      </c>
      <c r="CI99" s="17">
        <f t="shared" si="63"/>
        <v>0</v>
      </c>
      <c r="CJ99" s="17">
        <f t="shared" si="44"/>
        <v>373.86041666666659</v>
      </c>
      <c r="CK99" s="17">
        <f t="shared" si="45"/>
        <v>0</v>
      </c>
    </row>
    <row r="100" spans="1:89" x14ac:dyDescent="0.35">
      <c r="A100" s="1">
        <v>44621</v>
      </c>
      <c r="B100">
        <v>2022</v>
      </c>
      <c r="C100">
        <f t="shared" si="46"/>
        <v>3</v>
      </c>
      <c r="D100" s="4">
        <v>4065119.1561179436</v>
      </c>
      <c r="E100" s="4">
        <f>IFERROR(VLOOKUP($B100-1,CDM!$K$5:$N$19,2,FALSE)/12,0)+IFERROR(VLOOKUP($B100,CDM!$K$35:$N$47,2,FALSE)/24,0)+IFERROR(VLOOKUP($B100,CDM!$K$35:$N$47,2,FALSE)/2*$C100/78,0)</f>
        <v>146432.8476044597</v>
      </c>
      <c r="F100" s="4">
        <f t="shared" si="47"/>
        <v>4211552.0037224032</v>
      </c>
      <c r="G100" s="4">
        <v>1756471.0516864129</v>
      </c>
      <c r="H100" s="4">
        <f>IFERROR(VLOOKUP($B100-1,CDM!$K$5:$N$19,3,FALSE)/12,0)+IFERROR(VLOOKUP($B100,CDM!$K$35:$N$47,3,FALSE)/24,0)+IFERROR(VLOOKUP($B100,CDM!$K$35:$N$47,3,FALSE)/2*$C100/78,0)</f>
        <v>176274.9749143658</v>
      </c>
      <c r="I100" s="4">
        <f t="shared" si="48"/>
        <v>1932746.0266007786</v>
      </c>
      <c r="J100" s="4">
        <v>5251064.4426798793</v>
      </c>
      <c r="K100" s="4">
        <f>IFERROR(VLOOKUP($B100-1,CDM!$K$5:$N$19,4,FALSE)/12,0)+IFERROR(VLOOKUP($B100,CDM!$K$35:$N$47,4,FALSE)/24,0)+IFERROR(VLOOKUP($B100,CDM!$K$35:$N$47,4,FALSE)/2*$C100/78,0)</f>
        <v>226305.32374104191</v>
      </c>
      <c r="L100" s="4">
        <f t="shared" si="49"/>
        <v>5477369.7664209213</v>
      </c>
      <c r="M100" s="4">
        <v>46587.986107979988</v>
      </c>
      <c r="N100" s="4">
        <v>13662.75</v>
      </c>
      <c r="O100" s="4">
        <v>13929.24</v>
      </c>
      <c r="P100" s="4">
        <v>126.42</v>
      </c>
      <c r="Q100" s="4">
        <v>5156</v>
      </c>
      <c r="R100" s="4">
        <v>705</v>
      </c>
      <c r="S100" s="4">
        <v>67</v>
      </c>
      <c r="T100" s="4">
        <v>1710</v>
      </c>
      <c r="U100" s="4">
        <v>22</v>
      </c>
      <c r="V100" s="4">
        <f>Weather!D220</f>
        <v>865.07083333333344</v>
      </c>
      <c r="W100" s="4">
        <f>Weather!E220</f>
        <v>0</v>
      </c>
      <c r="X100" s="4">
        <f>Weather!F220</f>
        <v>803.07083333333333</v>
      </c>
      <c r="Y100" s="4">
        <f>Weather!G220</f>
        <v>0</v>
      </c>
      <c r="Z100" s="4">
        <f>Weather!H220</f>
        <v>741.07083333333333</v>
      </c>
      <c r="AA100" s="4">
        <f>Weather!I220</f>
        <v>0</v>
      </c>
      <c r="AB100" s="4">
        <f>Weather!J220</f>
        <v>679.07083333333321</v>
      </c>
      <c r="AC100" s="4">
        <f>Weather!K220</f>
        <v>0</v>
      </c>
      <c r="AD100" s="4">
        <f>Weather!L220</f>
        <v>617.07083333333333</v>
      </c>
      <c r="AE100" s="4">
        <f>Weather!M220</f>
        <v>0</v>
      </c>
      <c r="AF100" s="4">
        <f>Weather!N220</f>
        <v>555.07083333333333</v>
      </c>
      <c r="AG100" s="4">
        <f>Weather!O220</f>
        <v>0</v>
      </c>
      <c r="AH100" s="4">
        <f>Weather!P220</f>
        <v>493.07083333333327</v>
      </c>
      <c r="AI100" s="4">
        <f>Weather!Q220</f>
        <v>0</v>
      </c>
      <c r="AJ100" s="4">
        <f>Weather!R220</f>
        <v>-7.9055107526881727</v>
      </c>
      <c r="AK100" s="4">
        <f>'Economic Data'!F102</f>
        <v>839497.4</v>
      </c>
      <c r="AL100" s="4">
        <f>'Economic Data'!G102</f>
        <v>8788.9</v>
      </c>
      <c r="AM100" s="4">
        <f>'Economic Data'!H102</f>
        <v>6860.3</v>
      </c>
      <c r="AN100" s="4">
        <f>'Economic Data'!I102</f>
        <v>109.5</v>
      </c>
      <c r="AO100" s="4">
        <f>'Economic Data'!J102</f>
        <v>119.5</v>
      </c>
      <c r="AP100" s="4">
        <f>'Economic Data'!K102</f>
        <v>388.2</v>
      </c>
      <c r="AQ100" s="4">
        <f>'Economic Data'!L102</f>
        <v>261.39999999999998</v>
      </c>
      <c r="AR100" s="4">
        <f>'Economic Data'!M102</f>
        <v>2672.2</v>
      </c>
      <c r="AS100" s="4">
        <f>'Economic Data'!N102</f>
        <v>2064.1</v>
      </c>
      <c r="AT100" s="4">
        <f>'Economic Data'!O102</f>
        <v>833713</v>
      </c>
      <c r="AU100" s="4">
        <f>'Economic Data'!P102</f>
        <v>8882</v>
      </c>
      <c r="AV100" s="4">
        <f>'Economic Data'!Q102</f>
        <v>4968</v>
      </c>
      <c r="AW100" s="4">
        <f>'Economic Data'!R102</f>
        <v>3727</v>
      </c>
      <c r="AX100" s="4">
        <f>'Economic Data'!E102</f>
        <v>7573.4</v>
      </c>
      <c r="AY100" s="4">
        <f>'Economic Data'!D102</f>
        <v>7662.5</v>
      </c>
      <c r="AZ100">
        <v>99</v>
      </c>
      <c r="BA100" s="14">
        <f t="shared" si="50"/>
        <v>4.6821312271242199</v>
      </c>
      <c r="BB100">
        <f t="shared" si="51"/>
        <v>9801</v>
      </c>
      <c r="BC100">
        <v>0</v>
      </c>
      <c r="BD100">
        <v>0</v>
      </c>
      <c r="BE100">
        <v>1</v>
      </c>
      <c r="BF100">
        <v>0</v>
      </c>
      <c r="BG100">
        <v>0</v>
      </c>
      <c r="BH100">
        <v>0</v>
      </c>
      <c r="BI100">
        <v>0</v>
      </c>
      <c r="BJ100">
        <v>0</v>
      </c>
      <c r="BK100">
        <v>0</v>
      </c>
      <c r="BL100">
        <v>0</v>
      </c>
      <c r="BM100">
        <v>0</v>
      </c>
      <c r="BN100">
        <v>0</v>
      </c>
      <c r="BO100">
        <v>1</v>
      </c>
      <c r="BP100">
        <v>0</v>
      </c>
      <c r="BQ100">
        <v>1</v>
      </c>
      <c r="BR100">
        <v>31</v>
      </c>
      <c r="BS100">
        <v>23</v>
      </c>
      <c r="BT100">
        <v>0.5</v>
      </c>
      <c r="BU100">
        <v>0.25</v>
      </c>
      <c r="BV100">
        <v>0.5</v>
      </c>
      <c r="BW100">
        <v>0</v>
      </c>
      <c r="BX100" s="17">
        <f t="shared" si="52"/>
        <v>432.53541666666672</v>
      </c>
      <c r="BY100" s="17">
        <f t="shared" si="53"/>
        <v>0</v>
      </c>
      <c r="BZ100" s="17">
        <f t="shared" si="54"/>
        <v>401.53541666666666</v>
      </c>
      <c r="CA100" s="17">
        <f t="shared" si="55"/>
        <v>0</v>
      </c>
      <c r="CB100" s="17">
        <f t="shared" si="56"/>
        <v>370.53541666666666</v>
      </c>
      <c r="CC100" s="17">
        <f t="shared" si="57"/>
        <v>0</v>
      </c>
      <c r="CD100" s="17">
        <f t="shared" si="58"/>
        <v>339.53541666666661</v>
      </c>
      <c r="CE100" s="17">
        <f t="shared" si="59"/>
        <v>0</v>
      </c>
      <c r="CF100" s="17">
        <f t="shared" si="60"/>
        <v>308.53541666666666</v>
      </c>
      <c r="CG100" s="17">
        <f t="shared" si="61"/>
        <v>0</v>
      </c>
      <c r="CH100" s="17">
        <f t="shared" si="62"/>
        <v>277.53541666666666</v>
      </c>
      <c r="CI100" s="17">
        <f t="shared" si="63"/>
        <v>0</v>
      </c>
      <c r="CJ100" s="17">
        <f t="shared" si="44"/>
        <v>246.53541666666663</v>
      </c>
      <c r="CK100" s="17">
        <f t="shared" si="45"/>
        <v>0</v>
      </c>
    </row>
    <row r="101" spans="1:89" x14ac:dyDescent="0.35">
      <c r="A101" s="1">
        <v>44652</v>
      </c>
      <c r="B101">
        <v>2022</v>
      </c>
      <c r="C101">
        <f t="shared" si="46"/>
        <v>4</v>
      </c>
      <c r="D101" s="4">
        <v>3653207.1355119641</v>
      </c>
      <c r="E101" s="4">
        <f>IFERROR(VLOOKUP($B101-1,CDM!$K$5:$N$19,2,FALSE)/12,0)+IFERROR(VLOOKUP($B101,CDM!$K$35:$N$47,2,FALSE)/24,0)+IFERROR(VLOOKUP($B101,CDM!$K$35:$N$47,2,FALSE)/2*$C101/78,0)</f>
        <v>146488.79636310483</v>
      </c>
      <c r="F101" s="4">
        <f t="shared" si="47"/>
        <v>3799695.9318750687</v>
      </c>
      <c r="G101" s="4">
        <v>1736802.3500583856</v>
      </c>
      <c r="H101" s="4">
        <f>IFERROR(VLOOKUP($B101-1,CDM!$K$5:$N$19,3,FALSE)/12,0)+IFERROR(VLOOKUP($B101,CDM!$K$35:$N$47,3,FALSE)/24,0)+IFERROR(VLOOKUP($B101,CDM!$K$35:$N$47,3,FALSE)/2*$C101/78,0)</f>
        <v>175561.52130660671</v>
      </c>
      <c r="I101" s="4">
        <f t="shared" si="48"/>
        <v>1912363.8713649923</v>
      </c>
      <c r="J101" s="4">
        <v>5432827.6048408607</v>
      </c>
      <c r="K101" s="4">
        <f>IFERROR(VLOOKUP($B101-1,CDM!$K$5:$N$19,4,FALSE)/12,0)+IFERROR(VLOOKUP($B101,CDM!$K$35:$N$47,4,FALSE)/24,0)+IFERROR(VLOOKUP($B101,CDM!$K$35:$N$47,4,FALSE)/2*$C101/78,0)</f>
        <v>226585.26302990469</v>
      </c>
      <c r="L101" s="4">
        <f t="shared" si="49"/>
        <v>5659412.8678707657</v>
      </c>
      <c r="M101" s="4">
        <v>43313.981367632805</v>
      </c>
      <c r="N101" s="4">
        <v>13662.75</v>
      </c>
      <c r="O101" s="4">
        <v>14061.86</v>
      </c>
      <c r="P101" s="4">
        <v>126.42</v>
      </c>
      <c r="Q101" s="4">
        <v>5146</v>
      </c>
      <c r="R101" s="4">
        <v>709</v>
      </c>
      <c r="S101" s="4">
        <v>67</v>
      </c>
      <c r="T101" s="4">
        <v>1710</v>
      </c>
      <c r="U101" s="4">
        <v>22</v>
      </c>
      <c r="V101" s="4">
        <f>Weather!D221</f>
        <v>569.69166666666672</v>
      </c>
      <c r="W101" s="4">
        <f>Weather!E221</f>
        <v>0</v>
      </c>
      <c r="X101" s="4">
        <f>Weather!F221</f>
        <v>509.69166666666672</v>
      </c>
      <c r="Y101" s="4">
        <f>Weather!G221</f>
        <v>0</v>
      </c>
      <c r="Z101" s="4">
        <f>Weather!H221</f>
        <v>449.69166666666666</v>
      </c>
      <c r="AA101" s="4">
        <f>Weather!I221</f>
        <v>0</v>
      </c>
      <c r="AB101" s="4">
        <f>Weather!J221</f>
        <v>389.69166666666666</v>
      </c>
      <c r="AC101" s="4">
        <f>Weather!K221</f>
        <v>0</v>
      </c>
      <c r="AD101" s="4">
        <f>Weather!L221</f>
        <v>329.69166666666666</v>
      </c>
      <c r="AE101" s="4">
        <f>Weather!M221</f>
        <v>0</v>
      </c>
      <c r="AF101" s="4">
        <f>Weather!N221</f>
        <v>269.69166666666661</v>
      </c>
      <c r="AG101" s="4">
        <f>Weather!O221</f>
        <v>0</v>
      </c>
      <c r="AH101" s="4">
        <f>Weather!P221</f>
        <v>211.05833333333334</v>
      </c>
      <c r="AI101" s="4">
        <f>Weather!Q221</f>
        <v>1.3666666666666689</v>
      </c>
      <c r="AJ101" s="4">
        <f>Weather!R221</f>
        <v>1.0102777777777776</v>
      </c>
      <c r="AK101" s="4">
        <f>'Economic Data'!F103</f>
        <v>839497.4</v>
      </c>
      <c r="AL101" s="4">
        <f>'Economic Data'!G103</f>
        <v>8788.9</v>
      </c>
      <c r="AM101" s="4">
        <f>'Economic Data'!H103</f>
        <v>6860.3</v>
      </c>
      <c r="AN101" s="4">
        <f>'Economic Data'!I103</f>
        <v>109.5</v>
      </c>
      <c r="AO101" s="4">
        <f>'Economic Data'!J103</f>
        <v>119.5</v>
      </c>
      <c r="AP101" s="4">
        <f>'Economic Data'!K103</f>
        <v>388.2</v>
      </c>
      <c r="AQ101" s="4">
        <f>'Economic Data'!L103</f>
        <v>261.39999999999998</v>
      </c>
      <c r="AR101" s="4">
        <f>'Economic Data'!M103</f>
        <v>2672.2</v>
      </c>
      <c r="AS101" s="4">
        <f>'Economic Data'!N103</f>
        <v>2064.1</v>
      </c>
      <c r="AT101" s="4">
        <f>'Economic Data'!O103</f>
        <v>840190</v>
      </c>
      <c r="AU101" s="4">
        <f>'Economic Data'!P103</f>
        <v>8753</v>
      </c>
      <c r="AV101" s="4">
        <f>'Economic Data'!Q103</f>
        <v>5279</v>
      </c>
      <c r="AW101" s="4">
        <f>'Economic Data'!R103</f>
        <v>3598</v>
      </c>
      <c r="AX101" s="4">
        <f>'Economic Data'!E103</f>
        <v>7670</v>
      </c>
      <c r="AY101" s="4">
        <f>'Economic Data'!D103</f>
        <v>7736.6</v>
      </c>
      <c r="AZ101">
        <v>100</v>
      </c>
      <c r="BA101" s="14">
        <f t="shared" si="50"/>
        <v>4.6913478822291435</v>
      </c>
      <c r="BB101">
        <f t="shared" si="51"/>
        <v>10000</v>
      </c>
      <c r="BC101">
        <v>0</v>
      </c>
      <c r="BD101">
        <v>0</v>
      </c>
      <c r="BE101">
        <v>0</v>
      </c>
      <c r="BF101">
        <v>1</v>
      </c>
      <c r="BG101">
        <v>0</v>
      </c>
      <c r="BH101">
        <v>0</v>
      </c>
      <c r="BI101">
        <v>0</v>
      </c>
      <c r="BJ101">
        <v>0</v>
      </c>
      <c r="BK101">
        <v>0</v>
      </c>
      <c r="BL101">
        <v>0</v>
      </c>
      <c r="BM101">
        <v>0</v>
      </c>
      <c r="BN101">
        <v>0</v>
      </c>
      <c r="BO101">
        <v>1</v>
      </c>
      <c r="BP101">
        <v>0</v>
      </c>
      <c r="BQ101">
        <v>1</v>
      </c>
      <c r="BR101">
        <v>30</v>
      </c>
      <c r="BS101">
        <v>20</v>
      </c>
      <c r="BT101">
        <v>0.5</v>
      </c>
      <c r="BU101">
        <v>0.25</v>
      </c>
      <c r="BV101">
        <v>0.5</v>
      </c>
      <c r="BW101">
        <v>0</v>
      </c>
      <c r="BX101" s="17">
        <f t="shared" si="52"/>
        <v>284.84583333333336</v>
      </c>
      <c r="BY101" s="17">
        <f t="shared" si="53"/>
        <v>0</v>
      </c>
      <c r="BZ101" s="17">
        <f t="shared" si="54"/>
        <v>254.84583333333336</v>
      </c>
      <c r="CA101" s="17">
        <f t="shared" si="55"/>
        <v>0</v>
      </c>
      <c r="CB101" s="17">
        <f t="shared" si="56"/>
        <v>224.84583333333333</v>
      </c>
      <c r="CC101" s="17">
        <f t="shared" si="57"/>
        <v>0</v>
      </c>
      <c r="CD101" s="17">
        <f t="shared" si="58"/>
        <v>194.84583333333333</v>
      </c>
      <c r="CE101" s="17">
        <f t="shared" si="59"/>
        <v>0</v>
      </c>
      <c r="CF101" s="17">
        <f t="shared" si="60"/>
        <v>164.84583333333333</v>
      </c>
      <c r="CG101" s="17">
        <f t="shared" si="61"/>
        <v>0</v>
      </c>
      <c r="CH101" s="17">
        <f t="shared" si="62"/>
        <v>134.8458333333333</v>
      </c>
      <c r="CI101" s="17">
        <f t="shared" si="63"/>
        <v>0</v>
      </c>
      <c r="CJ101" s="17">
        <f t="shared" si="44"/>
        <v>105.52916666666667</v>
      </c>
      <c r="CK101" s="17">
        <f t="shared" si="45"/>
        <v>0.68333333333333446</v>
      </c>
    </row>
    <row r="102" spans="1:89" x14ac:dyDescent="0.35">
      <c r="A102" s="1">
        <v>44682</v>
      </c>
      <c r="B102">
        <v>2022</v>
      </c>
      <c r="C102">
        <f t="shared" si="46"/>
        <v>5</v>
      </c>
      <c r="D102" s="4">
        <v>3028574.9041021164</v>
      </c>
      <c r="E102" s="4">
        <f>IFERROR(VLOOKUP($B102-1,CDM!$K$5:$N$19,2,FALSE)/12,0)+IFERROR(VLOOKUP($B102,CDM!$K$35:$N$47,2,FALSE)/24,0)+IFERROR(VLOOKUP($B102,CDM!$K$35:$N$47,2,FALSE)/2*$C102/78,0)</f>
        <v>146544.74512174993</v>
      </c>
      <c r="F102" s="4">
        <f t="shared" si="47"/>
        <v>3175119.6492238664</v>
      </c>
      <c r="G102" s="4">
        <v>1407424.0930033666</v>
      </c>
      <c r="H102" s="4">
        <f>IFERROR(VLOOKUP($B102-1,CDM!$K$5:$N$19,3,FALSE)/12,0)+IFERROR(VLOOKUP($B102,CDM!$K$35:$N$47,3,FALSE)/24,0)+IFERROR(VLOOKUP($B102,CDM!$K$35:$N$47,3,FALSE)/2*$C102/78,0)</f>
        <v>174848.06769884759</v>
      </c>
      <c r="I102" s="4">
        <f t="shared" si="48"/>
        <v>1582272.1607022141</v>
      </c>
      <c r="J102" s="4">
        <v>4675572.0225493563</v>
      </c>
      <c r="K102" s="4">
        <f>IFERROR(VLOOKUP($B102-1,CDM!$K$5:$N$19,4,FALSE)/12,0)+IFERROR(VLOOKUP($B102,CDM!$K$35:$N$47,4,FALSE)/24,0)+IFERROR(VLOOKUP($B102,CDM!$K$35:$N$47,4,FALSE)/2*$C102/78,0)</f>
        <v>226865.20231876746</v>
      </c>
      <c r="L102" s="4">
        <f t="shared" si="49"/>
        <v>4902437.2248681234</v>
      </c>
      <c r="M102" s="4">
        <v>34357.02527982062</v>
      </c>
      <c r="N102" s="4">
        <v>13662.75</v>
      </c>
      <c r="O102" s="4">
        <v>13347.26</v>
      </c>
      <c r="P102" s="4">
        <v>126.42</v>
      </c>
      <c r="Q102" s="4">
        <v>5171</v>
      </c>
      <c r="R102" s="4">
        <v>712</v>
      </c>
      <c r="S102" s="4">
        <v>68</v>
      </c>
      <c r="T102" s="4">
        <v>1710</v>
      </c>
      <c r="U102" s="4">
        <v>22</v>
      </c>
      <c r="V102" s="4">
        <f>Weather!D222</f>
        <v>248.15</v>
      </c>
      <c r="W102" s="4">
        <f>Weather!E222</f>
        <v>1.8166666666666629</v>
      </c>
      <c r="X102" s="4">
        <f>Weather!F222</f>
        <v>192.75416666666672</v>
      </c>
      <c r="Y102" s="4">
        <f>Weather!G222</f>
        <v>8.4208333333333307</v>
      </c>
      <c r="Z102" s="4">
        <f>Weather!H222</f>
        <v>143.22916666666671</v>
      </c>
      <c r="AA102" s="4">
        <f>Weather!I222</f>
        <v>20.895833333333329</v>
      </c>
      <c r="AB102" s="4">
        <f>Weather!J222</f>
        <v>98.941666666666663</v>
      </c>
      <c r="AC102" s="4">
        <f>Weather!K222</f>
        <v>38.608333333333327</v>
      </c>
      <c r="AD102" s="4">
        <f>Weather!L222</f>
        <v>64.333333333333314</v>
      </c>
      <c r="AE102" s="4">
        <f>Weather!M222</f>
        <v>66.000000000000014</v>
      </c>
      <c r="AF102" s="4">
        <f>Weather!N222</f>
        <v>37.020833333333329</v>
      </c>
      <c r="AG102" s="4">
        <f>Weather!O222</f>
        <v>100.68750000000004</v>
      </c>
      <c r="AH102" s="4">
        <f>Weather!P222</f>
        <v>19.362499999999997</v>
      </c>
      <c r="AI102" s="4">
        <f>Weather!Q222</f>
        <v>145.02916666666667</v>
      </c>
      <c r="AJ102" s="4">
        <f>Weather!R222</f>
        <v>12.053763440860218</v>
      </c>
      <c r="AK102" s="4">
        <f>'Economic Data'!F104</f>
        <v>839497.4</v>
      </c>
      <c r="AL102" s="4">
        <f>'Economic Data'!G104</f>
        <v>8788.9</v>
      </c>
      <c r="AM102" s="4">
        <f>'Economic Data'!H104</f>
        <v>6860.3</v>
      </c>
      <c r="AN102" s="4">
        <f>'Economic Data'!I104</f>
        <v>109.5</v>
      </c>
      <c r="AO102" s="4">
        <f>'Economic Data'!J104</f>
        <v>119.5</v>
      </c>
      <c r="AP102" s="4">
        <f>'Economic Data'!K104</f>
        <v>388.2</v>
      </c>
      <c r="AQ102" s="4">
        <f>'Economic Data'!L104</f>
        <v>261.39999999999998</v>
      </c>
      <c r="AR102" s="4">
        <f>'Economic Data'!M104</f>
        <v>2672.2</v>
      </c>
      <c r="AS102" s="4">
        <f>'Economic Data'!N104</f>
        <v>2064.1</v>
      </c>
      <c r="AT102" s="4">
        <f>'Economic Data'!O104</f>
        <v>840190</v>
      </c>
      <c r="AU102" s="4">
        <f>'Economic Data'!P104</f>
        <v>8753</v>
      </c>
      <c r="AV102" s="4">
        <f>'Economic Data'!Q104</f>
        <v>5279</v>
      </c>
      <c r="AW102" s="4">
        <f>'Economic Data'!R104</f>
        <v>3598</v>
      </c>
      <c r="AX102" s="4">
        <f>'Economic Data'!E104</f>
        <v>7738.6</v>
      </c>
      <c r="AY102" s="4">
        <f>'Economic Data'!D104</f>
        <v>7753.3</v>
      </c>
      <c r="AZ102">
        <v>101</v>
      </c>
      <c r="BA102" s="14">
        <f t="shared" si="50"/>
        <v>4.7004803657924166</v>
      </c>
      <c r="BB102">
        <f t="shared" si="51"/>
        <v>10201</v>
      </c>
      <c r="BC102">
        <v>0</v>
      </c>
      <c r="BD102">
        <v>0</v>
      </c>
      <c r="BE102">
        <v>0</v>
      </c>
      <c r="BF102">
        <v>0</v>
      </c>
      <c r="BG102">
        <v>1</v>
      </c>
      <c r="BH102">
        <v>0</v>
      </c>
      <c r="BI102">
        <v>0</v>
      </c>
      <c r="BJ102">
        <v>0</v>
      </c>
      <c r="BK102">
        <v>0</v>
      </c>
      <c r="BL102">
        <v>0</v>
      </c>
      <c r="BM102">
        <v>0</v>
      </c>
      <c r="BN102">
        <v>0</v>
      </c>
      <c r="BO102">
        <v>1</v>
      </c>
      <c r="BP102">
        <v>0</v>
      </c>
      <c r="BQ102">
        <v>1</v>
      </c>
      <c r="BR102">
        <v>31</v>
      </c>
      <c r="BS102">
        <v>21</v>
      </c>
      <c r="BT102">
        <v>0.5</v>
      </c>
      <c r="BU102">
        <v>0.25</v>
      </c>
      <c r="BV102">
        <v>0.5</v>
      </c>
      <c r="BW102">
        <v>0</v>
      </c>
      <c r="BX102" s="17">
        <f t="shared" si="52"/>
        <v>124.075</v>
      </c>
      <c r="BY102" s="17">
        <f t="shared" si="53"/>
        <v>0.90833333333333144</v>
      </c>
      <c r="BZ102" s="17">
        <f t="shared" si="54"/>
        <v>96.37708333333336</v>
      </c>
      <c r="CA102" s="17">
        <f t="shared" si="55"/>
        <v>4.2104166666666654</v>
      </c>
      <c r="CB102" s="17">
        <f t="shared" si="56"/>
        <v>71.614583333333357</v>
      </c>
      <c r="CC102" s="17">
        <f t="shared" si="57"/>
        <v>10.447916666666664</v>
      </c>
      <c r="CD102" s="17">
        <f t="shared" si="58"/>
        <v>49.470833333333331</v>
      </c>
      <c r="CE102" s="17">
        <f t="shared" si="59"/>
        <v>19.304166666666664</v>
      </c>
      <c r="CF102" s="17">
        <f t="shared" si="60"/>
        <v>32.166666666666657</v>
      </c>
      <c r="CG102" s="17">
        <f t="shared" si="61"/>
        <v>33.000000000000007</v>
      </c>
      <c r="CH102" s="17">
        <f t="shared" si="62"/>
        <v>18.510416666666664</v>
      </c>
      <c r="CI102" s="17">
        <f t="shared" si="63"/>
        <v>50.343750000000021</v>
      </c>
      <c r="CJ102" s="17">
        <f t="shared" si="44"/>
        <v>9.6812499999999986</v>
      </c>
      <c r="CK102" s="17">
        <f t="shared" si="45"/>
        <v>72.514583333333334</v>
      </c>
    </row>
    <row r="103" spans="1:89" x14ac:dyDescent="0.35">
      <c r="A103" s="1">
        <v>44713</v>
      </c>
      <c r="B103">
        <v>2022</v>
      </c>
      <c r="C103">
        <f t="shared" si="46"/>
        <v>6</v>
      </c>
      <c r="D103" s="4">
        <v>2708174.3187512821</v>
      </c>
      <c r="E103" s="4">
        <f>IFERROR(VLOOKUP($B103-1,CDM!$K$5:$N$19,2,FALSE)/12,0)+IFERROR(VLOOKUP($B103,CDM!$K$35:$N$47,2,FALSE)/24,0)+IFERROR(VLOOKUP($B103,CDM!$K$35:$N$47,2,FALSE)/2*$C103/78,0)</f>
        <v>146600.69388039503</v>
      </c>
      <c r="F103" s="4">
        <f t="shared" si="47"/>
        <v>2854775.0126316771</v>
      </c>
      <c r="G103" s="4">
        <v>1288899.9170311582</v>
      </c>
      <c r="H103" s="4">
        <f>IFERROR(VLOOKUP($B103-1,CDM!$K$5:$N$19,3,FALSE)/12,0)+IFERROR(VLOOKUP($B103,CDM!$K$35:$N$47,3,FALSE)/24,0)+IFERROR(VLOOKUP($B103,CDM!$K$35:$N$47,3,FALSE)/2*$C103/78,0)</f>
        <v>174134.61409108847</v>
      </c>
      <c r="I103" s="4">
        <f t="shared" si="48"/>
        <v>1463034.5311222468</v>
      </c>
      <c r="J103" s="4">
        <v>4672825.3057607198</v>
      </c>
      <c r="K103" s="4">
        <f>IFERROR(VLOOKUP($B103-1,CDM!$K$5:$N$19,4,FALSE)/12,0)+IFERROR(VLOOKUP($B103,CDM!$K$35:$N$47,4,FALSE)/24,0)+IFERROR(VLOOKUP($B103,CDM!$K$35:$N$47,4,FALSE)/2*$C103/78,0)</f>
        <v>227145.14160763024</v>
      </c>
      <c r="L103" s="4">
        <f t="shared" si="49"/>
        <v>4899970.4473683499</v>
      </c>
      <c r="M103" s="4">
        <v>29264.796500185832</v>
      </c>
      <c r="N103" s="4">
        <v>13662.75</v>
      </c>
      <c r="O103" s="4">
        <v>13811.81</v>
      </c>
      <c r="P103" s="4">
        <v>126.42</v>
      </c>
      <c r="Q103" s="4">
        <v>5172</v>
      </c>
      <c r="R103" s="4">
        <v>715</v>
      </c>
      <c r="S103" s="4">
        <v>69</v>
      </c>
      <c r="T103" s="4">
        <v>1710</v>
      </c>
      <c r="U103" s="4">
        <v>22</v>
      </c>
      <c r="V103" s="4">
        <f>Weather!D223</f>
        <v>146.92083333333335</v>
      </c>
      <c r="W103" s="4">
        <f>Weather!E223</f>
        <v>6.5916666666666615</v>
      </c>
      <c r="X103" s="4">
        <f>Weather!F223</f>
        <v>101.08333333333334</v>
      </c>
      <c r="Y103" s="4">
        <f>Weather!G223</f>
        <v>20.754166666666666</v>
      </c>
      <c r="Z103" s="4">
        <f>Weather!H223</f>
        <v>60.712500000000006</v>
      </c>
      <c r="AA103" s="4">
        <f>Weather!I223</f>
        <v>40.38333333333334</v>
      </c>
      <c r="AB103" s="4">
        <f>Weather!J223</f>
        <v>27.729166666666664</v>
      </c>
      <c r="AC103" s="4">
        <f>Weather!K223</f>
        <v>67.400000000000006</v>
      </c>
      <c r="AD103" s="4">
        <f>Weather!L223</f>
        <v>9.05833333333333</v>
      </c>
      <c r="AE103" s="4">
        <f>Weather!M223</f>
        <v>108.72916666666666</v>
      </c>
      <c r="AF103" s="4">
        <f>Weather!N223</f>
        <v>0.58750000000000036</v>
      </c>
      <c r="AG103" s="4">
        <f>Weather!O223</f>
        <v>160.25833333333335</v>
      </c>
      <c r="AH103" s="4">
        <f>Weather!P223</f>
        <v>0</v>
      </c>
      <c r="AI103" s="4">
        <f>Weather!Q223</f>
        <v>219.67083333333332</v>
      </c>
      <c r="AJ103" s="4">
        <f>Weather!R223</f>
        <v>15.322361111111112</v>
      </c>
      <c r="AK103" s="4">
        <f>'Economic Data'!F105</f>
        <v>839497.4</v>
      </c>
      <c r="AL103" s="4">
        <f>'Economic Data'!G105</f>
        <v>8788.9</v>
      </c>
      <c r="AM103" s="4">
        <f>'Economic Data'!H105</f>
        <v>6860.3</v>
      </c>
      <c r="AN103" s="4">
        <f>'Economic Data'!I105</f>
        <v>109.5</v>
      </c>
      <c r="AO103" s="4">
        <f>'Economic Data'!J105</f>
        <v>119.5</v>
      </c>
      <c r="AP103" s="4">
        <f>'Economic Data'!K105</f>
        <v>388.2</v>
      </c>
      <c r="AQ103" s="4">
        <f>'Economic Data'!L105</f>
        <v>261.39999999999998</v>
      </c>
      <c r="AR103" s="4">
        <f>'Economic Data'!M105</f>
        <v>2672.2</v>
      </c>
      <c r="AS103" s="4">
        <f>'Economic Data'!N105</f>
        <v>2064.1</v>
      </c>
      <c r="AT103" s="4">
        <f>'Economic Data'!O105</f>
        <v>840190</v>
      </c>
      <c r="AU103" s="4">
        <f>'Economic Data'!P105</f>
        <v>8753</v>
      </c>
      <c r="AV103" s="4">
        <f>'Economic Data'!Q105</f>
        <v>5279</v>
      </c>
      <c r="AW103" s="4">
        <f>'Economic Data'!R105</f>
        <v>3598</v>
      </c>
      <c r="AX103" s="4">
        <f>'Economic Data'!E105</f>
        <v>7809.2</v>
      </c>
      <c r="AY103" s="4">
        <f>'Economic Data'!D105</f>
        <v>7754.8</v>
      </c>
      <c r="AZ103">
        <v>102</v>
      </c>
      <c r="BA103" s="14">
        <f t="shared" si="50"/>
        <v>4.7095302013123339</v>
      </c>
      <c r="BB103">
        <f t="shared" si="51"/>
        <v>10404</v>
      </c>
      <c r="BC103">
        <v>0</v>
      </c>
      <c r="BD103">
        <v>0</v>
      </c>
      <c r="BE103">
        <v>0</v>
      </c>
      <c r="BF103">
        <v>0</v>
      </c>
      <c r="BG103">
        <v>0</v>
      </c>
      <c r="BH103">
        <v>1</v>
      </c>
      <c r="BI103">
        <v>0</v>
      </c>
      <c r="BJ103">
        <v>0</v>
      </c>
      <c r="BK103">
        <v>0</v>
      </c>
      <c r="BL103">
        <v>0</v>
      </c>
      <c r="BM103">
        <v>0</v>
      </c>
      <c r="BN103">
        <v>0</v>
      </c>
      <c r="BO103">
        <v>0</v>
      </c>
      <c r="BP103">
        <v>0</v>
      </c>
      <c r="BQ103">
        <v>0</v>
      </c>
      <c r="BR103">
        <v>30</v>
      </c>
      <c r="BS103">
        <v>22</v>
      </c>
      <c r="BT103">
        <v>0.5</v>
      </c>
      <c r="BU103">
        <v>0.25</v>
      </c>
      <c r="BV103">
        <v>0.5</v>
      </c>
      <c r="BW103">
        <v>0</v>
      </c>
      <c r="BX103" s="17">
        <f t="shared" si="52"/>
        <v>73.460416666666674</v>
      </c>
      <c r="BY103" s="17">
        <f t="shared" si="53"/>
        <v>3.2958333333333307</v>
      </c>
      <c r="BZ103" s="17">
        <f t="shared" si="54"/>
        <v>50.541666666666671</v>
      </c>
      <c r="CA103" s="17">
        <f t="shared" si="55"/>
        <v>10.377083333333333</v>
      </c>
      <c r="CB103" s="17">
        <f t="shared" si="56"/>
        <v>30.356250000000003</v>
      </c>
      <c r="CC103" s="17">
        <f t="shared" si="57"/>
        <v>20.19166666666667</v>
      </c>
      <c r="CD103" s="17">
        <f t="shared" si="58"/>
        <v>13.864583333333332</v>
      </c>
      <c r="CE103" s="17">
        <f t="shared" si="59"/>
        <v>33.700000000000003</v>
      </c>
      <c r="CF103" s="17">
        <f t="shared" si="60"/>
        <v>4.529166666666665</v>
      </c>
      <c r="CG103" s="17">
        <f t="shared" si="61"/>
        <v>54.364583333333329</v>
      </c>
      <c r="CH103" s="17">
        <f t="shared" si="62"/>
        <v>0.29375000000000018</v>
      </c>
      <c r="CI103" s="17">
        <f t="shared" si="63"/>
        <v>80.129166666666677</v>
      </c>
      <c r="CJ103" s="17">
        <f t="shared" si="44"/>
        <v>0</v>
      </c>
      <c r="CK103" s="17">
        <f t="shared" si="45"/>
        <v>109.83541666666666</v>
      </c>
    </row>
    <row r="104" spans="1:89" x14ac:dyDescent="0.35">
      <c r="A104" s="1">
        <v>44743</v>
      </c>
      <c r="B104">
        <v>2022</v>
      </c>
      <c r="C104">
        <f t="shared" si="46"/>
        <v>7</v>
      </c>
      <c r="D104" s="4">
        <v>2680167.2815426686</v>
      </c>
      <c r="E104" s="4">
        <f>IFERROR(VLOOKUP($B104-1,CDM!$K$5:$N$19,2,FALSE)/12,0)+IFERROR(VLOOKUP($B104,CDM!$K$35:$N$47,2,FALSE)/24,0)+IFERROR(VLOOKUP($B104,CDM!$K$35:$N$47,2,FALSE)/2*$C104/78,0)</f>
        <v>146656.64263904016</v>
      </c>
      <c r="F104" s="4">
        <f t="shared" si="47"/>
        <v>2826823.9241817086</v>
      </c>
      <c r="G104" s="4">
        <v>1239601.1713440709</v>
      </c>
      <c r="H104" s="4">
        <f>IFERROR(VLOOKUP($B104-1,CDM!$K$5:$N$19,3,FALSE)/12,0)+IFERROR(VLOOKUP($B104,CDM!$K$35:$N$47,3,FALSE)/24,0)+IFERROR(VLOOKUP($B104,CDM!$K$35:$N$47,3,FALSE)/2*$C104/78,0)</f>
        <v>173421.16048332935</v>
      </c>
      <c r="I104" s="4">
        <f t="shared" si="48"/>
        <v>1413022.3318274003</v>
      </c>
      <c r="J104" s="4">
        <v>4355420.726775459</v>
      </c>
      <c r="K104" s="4">
        <f>IFERROR(VLOOKUP($B104-1,CDM!$K$5:$N$19,4,FALSE)/12,0)+IFERROR(VLOOKUP($B104,CDM!$K$35:$N$47,4,FALSE)/24,0)+IFERROR(VLOOKUP($B104,CDM!$K$35:$N$47,4,FALSE)/2*$C104/78,0)</f>
        <v>227425.08089649302</v>
      </c>
      <c r="L104" s="4">
        <f t="shared" si="49"/>
        <v>4582845.8076719521</v>
      </c>
      <c r="M104" s="4">
        <v>25267.907532765057</v>
      </c>
      <c r="N104" s="4">
        <v>13662.75</v>
      </c>
      <c r="O104" s="4">
        <v>12225.9</v>
      </c>
      <c r="P104" s="4">
        <v>126.42</v>
      </c>
      <c r="Q104" s="4">
        <v>5167</v>
      </c>
      <c r="R104" s="4">
        <v>715</v>
      </c>
      <c r="S104" s="4">
        <v>70</v>
      </c>
      <c r="T104" s="4">
        <v>1710</v>
      </c>
      <c r="U104" s="4">
        <v>22</v>
      </c>
      <c r="V104" s="4">
        <f>Weather!D224</f>
        <v>102.94120813333726</v>
      </c>
      <c r="W104" s="4">
        <f>Weather!E224</f>
        <v>4.9333333333333336</v>
      </c>
      <c r="X104" s="4">
        <f>Weather!F224</f>
        <v>55.062041466670522</v>
      </c>
      <c r="Y104" s="4">
        <f>Weather!G224</f>
        <v>19.05416666666666</v>
      </c>
      <c r="Z104" s="4">
        <f>Weather!H224</f>
        <v>24.778708133337197</v>
      </c>
      <c r="AA104" s="4">
        <f>Weather!I224</f>
        <v>50.770833333333336</v>
      </c>
      <c r="AB104" s="4">
        <f>Weather!J224</f>
        <v>6.3162081333372093</v>
      </c>
      <c r="AC104" s="4">
        <f>Weather!K224</f>
        <v>94.308333333333309</v>
      </c>
      <c r="AD104" s="4">
        <f>Weather!L224</f>
        <v>2.7662081333372104</v>
      </c>
      <c r="AE104" s="4">
        <f>Weather!M224</f>
        <v>152.75833333333333</v>
      </c>
      <c r="AF104" s="4">
        <f>Weather!N224</f>
        <v>0.76620813333721038</v>
      </c>
      <c r="AG104" s="4">
        <f>Weather!O224</f>
        <v>212.75833333333333</v>
      </c>
      <c r="AH104" s="4">
        <f>Weather!P224</f>
        <v>0</v>
      </c>
      <c r="AI104" s="4">
        <f>Weather!Q224</f>
        <v>273.99212519999611</v>
      </c>
      <c r="AJ104" s="4">
        <f>Weather!R224</f>
        <v>16.838455651612776</v>
      </c>
      <c r="AK104" s="4">
        <f>'Economic Data'!F106</f>
        <v>839497.4</v>
      </c>
      <c r="AL104" s="4">
        <f>'Economic Data'!G106</f>
        <v>8788.9</v>
      </c>
      <c r="AM104" s="4">
        <f>'Economic Data'!H106</f>
        <v>6860.3</v>
      </c>
      <c r="AN104" s="4">
        <f>'Economic Data'!I106</f>
        <v>109.5</v>
      </c>
      <c r="AO104" s="4">
        <f>'Economic Data'!J106</f>
        <v>119.5</v>
      </c>
      <c r="AP104" s="4">
        <f>'Economic Data'!K106</f>
        <v>388.2</v>
      </c>
      <c r="AQ104" s="4">
        <f>'Economic Data'!L106</f>
        <v>261.39999999999998</v>
      </c>
      <c r="AR104" s="4">
        <f>'Economic Data'!M106</f>
        <v>2672.2</v>
      </c>
      <c r="AS104" s="4">
        <f>'Economic Data'!N106</f>
        <v>2064.1</v>
      </c>
      <c r="AT104" s="4">
        <f>'Economic Data'!O106</f>
        <v>842100</v>
      </c>
      <c r="AU104" s="4">
        <f>'Economic Data'!P106</f>
        <v>8779</v>
      </c>
      <c r="AV104" s="4">
        <f>'Economic Data'!Q106</f>
        <v>5076</v>
      </c>
      <c r="AW104" s="4">
        <f>'Economic Data'!R106</f>
        <v>3324</v>
      </c>
      <c r="AX104" s="4">
        <f>'Economic Data'!E106</f>
        <v>7843.6</v>
      </c>
      <c r="AY104" s="4">
        <f>'Economic Data'!D106</f>
        <v>7754.8</v>
      </c>
      <c r="AZ104">
        <v>103</v>
      </c>
      <c r="BA104" s="14">
        <f t="shared" si="50"/>
        <v>4.7184988712950942</v>
      </c>
      <c r="BB104">
        <f t="shared" si="51"/>
        <v>10609</v>
      </c>
      <c r="BC104">
        <v>0</v>
      </c>
      <c r="BD104">
        <v>0</v>
      </c>
      <c r="BE104">
        <v>0</v>
      </c>
      <c r="BF104">
        <v>0</v>
      </c>
      <c r="BG104">
        <v>0</v>
      </c>
      <c r="BH104">
        <v>0</v>
      </c>
      <c r="BI104">
        <v>1</v>
      </c>
      <c r="BJ104">
        <v>0</v>
      </c>
      <c r="BK104">
        <v>0</v>
      </c>
      <c r="BL104">
        <v>0</v>
      </c>
      <c r="BM104">
        <v>0</v>
      </c>
      <c r="BN104">
        <v>0</v>
      </c>
      <c r="BO104">
        <v>0</v>
      </c>
      <c r="BP104">
        <v>0</v>
      </c>
      <c r="BQ104">
        <v>0</v>
      </c>
      <c r="BR104">
        <v>31</v>
      </c>
      <c r="BS104">
        <v>20</v>
      </c>
      <c r="BT104">
        <v>0.5</v>
      </c>
      <c r="BU104">
        <v>0.25</v>
      </c>
      <c r="BV104">
        <v>0.5</v>
      </c>
      <c r="BW104">
        <v>0</v>
      </c>
      <c r="BX104" s="17">
        <f t="shared" si="52"/>
        <v>51.470604066668628</v>
      </c>
      <c r="BY104" s="17">
        <f t="shared" si="53"/>
        <v>2.4666666666666668</v>
      </c>
      <c r="BZ104" s="17">
        <f t="shared" si="54"/>
        <v>27.531020733335261</v>
      </c>
      <c r="CA104" s="17">
        <f t="shared" si="55"/>
        <v>9.52708333333333</v>
      </c>
      <c r="CB104" s="17">
        <f t="shared" si="56"/>
        <v>12.389354066668599</v>
      </c>
      <c r="CC104" s="17">
        <f t="shared" si="57"/>
        <v>25.385416666666668</v>
      </c>
      <c r="CD104" s="17">
        <f t="shared" si="58"/>
        <v>3.1581040666686047</v>
      </c>
      <c r="CE104" s="17">
        <f t="shared" si="59"/>
        <v>47.154166666666654</v>
      </c>
      <c r="CF104" s="17">
        <f t="shared" si="60"/>
        <v>1.3831040666686052</v>
      </c>
      <c r="CG104" s="17">
        <f t="shared" si="61"/>
        <v>76.379166666666663</v>
      </c>
      <c r="CH104" s="17">
        <f t="shared" si="62"/>
        <v>0.38310406666860519</v>
      </c>
      <c r="CI104" s="17">
        <f t="shared" si="63"/>
        <v>106.37916666666666</v>
      </c>
      <c r="CJ104" s="17">
        <f t="shared" si="44"/>
        <v>0</v>
      </c>
      <c r="CK104" s="17">
        <f t="shared" si="45"/>
        <v>136.99606259999806</v>
      </c>
    </row>
    <row r="105" spans="1:89" x14ac:dyDescent="0.35">
      <c r="A105" s="1">
        <v>44774</v>
      </c>
      <c r="B105">
        <v>2022</v>
      </c>
      <c r="C105">
        <f t="shared" si="46"/>
        <v>8</v>
      </c>
      <c r="D105" s="4">
        <v>2838097.5678947899</v>
      </c>
      <c r="E105" s="4">
        <f>IFERROR(VLOOKUP($B105-1,CDM!$K$5:$N$19,2,FALSE)/12,0)+IFERROR(VLOOKUP($B105,CDM!$K$35:$N$47,2,FALSE)/24,0)+IFERROR(VLOOKUP($B105,CDM!$K$35:$N$47,2,FALSE)/2*$C105/78,0)</f>
        <v>146712.59139768526</v>
      </c>
      <c r="F105" s="4">
        <f t="shared" si="47"/>
        <v>2984810.1592924753</v>
      </c>
      <c r="G105" s="4">
        <v>1271316.0777770218</v>
      </c>
      <c r="H105" s="4">
        <f>IFERROR(VLOOKUP($B105-1,CDM!$K$5:$N$19,3,FALSE)/12,0)+IFERROR(VLOOKUP($B105,CDM!$K$35:$N$47,3,FALSE)/24,0)+IFERROR(VLOOKUP($B105,CDM!$K$35:$N$47,3,FALSE)/2*$C105/78,0)</f>
        <v>172707.70687557023</v>
      </c>
      <c r="I105" s="4">
        <f t="shared" si="48"/>
        <v>1444023.7846525921</v>
      </c>
      <c r="J105" s="4">
        <v>4155932.8289476088</v>
      </c>
      <c r="K105" s="4">
        <f>IFERROR(VLOOKUP($B105-1,CDM!$K$5:$N$19,4,FALSE)/12,0)+IFERROR(VLOOKUP($B105,CDM!$K$35:$N$47,4,FALSE)/24,0)+IFERROR(VLOOKUP($B105,CDM!$K$35:$N$47,4,FALSE)/2*$C105/78,0)</f>
        <v>227705.0201853558</v>
      </c>
      <c r="L105" s="4">
        <f t="shared" si="49"/>
        <v>4383637.8491329644</v>
      </c>
      <c r="M105" s="4">
        <v>27961.201952194388</v>
      </c>
      <c r="N105" s="4">
        <v>13662.75</v>
      </c>
      <c r="O105" s="4">
        <v>11665.93</v>
      </c>
      <c r="P105" s="4">
        <v>126.42</v>
      </c>
      <c r="Q105" s="4">
        <v>5158</v>
      </c>
      <c r="R105" s="4">
        <v>715</v>
      </c>
      <c r="S105" s="4">
        <v>68</v>
      </c>
      <c r="T105" s="4">
        <v>1710</v>
      </c>
      <c r="U105" s="4">
        <v>22</v>
      </c>
      <c r="V105" s="4">
        <f>Weather!D225</f>
        <v>113.175</v>
      </c>
      <c r="W105" s="4">
        <f>Weather!E225</f>
        <v>2.4083333333333279</v>
      </c>
      <c r="X105" s="4">
        <f>Weather!F225</f>
        <v>63.124999999999993</v>
      </c>
      <c r="Y105" s="4">
        <f>Weather!G225</f>
        <v>14.35833333333332</v>
      </c>
      <c r="Z105" s="4">
        <f>Weather!H225</f>
        <v>28.729166666666671</v>
      </c>
      <c r="AA105" s="4">
        <f>Weather!I225</f>
        <v>41.962499999999991</v>
      </c>
      <c r="AB105" s="4">
        <f>Weather!J225</f>
        <v>12.033333333333337</v>
      </c>
      <c r="AC105" s="4">
        <f>Weather!K225</f>
        <v>87.266666666666666</v>
      </c>
      <c r="AD105" s="4">
        <f>Weather!L225</f>
        <v>4.0625000000000018</v>
      </c>
      <c r="AE105" s="4">
        <f>Weather!M225</f>
        <v>141.29583333333332</v>
      </c>
      <c r="AF105" s="4">
        <f>Weather!N225</f>
        <v>1.0791666666666657</v>
      </c>
      <c r="AG105" s="4">
        <f>Weather!O225</f>
        <v>200.3125</v>
      </c>
      <c r="AH105" s="4">
        <f>Weather!P225</f>
        <v>0</v>
      </c>
      <c r="AI105" s="4">
        <f>Weather!Q225</f>
        <v>261.23333333333335</v>
      </c>
      <c r="AJ105" s="4">
        <f>Weather!R225</f>
        <v>16.426881720430107</v>
      </c>
      <c r="AK105" s="4">
        <f>'Economic Data'!F107</f>
        <v>839497.4</v>
      </c>
      <c r="AL105" s="4">
        <f>'Economic Data'!G107</f>
        <v>8788.9</v>
      </c>
      <c r="AM105" s="4">
        <f>'Economic Data'!H107</f>
        <v>6860.3</v>
      </c>
      <c r="AN105" s="4">
        <f>'Economic Data'!I107</f>
        <v>109.5</v>
      </c>
      <c r="AO105" s="4">
        <f>'Economic Data'!J107</f>
        <v>119.5</v>
      </c>
      <c r="AP105" s="4">
        <f>'Economic Data'!K107</f>
        <v>388.2</v>
      </c>
      <c r="AQ105" s="4">
        <f>'Economic Data'!L107</f>
        <v>261.39999999999998</v>
      </c>
      <c r="AR105" s="4">
        <f>'Economic Data'!M107</f>
        <v>2672.2</v>
      </c>
      <c r="AS105" s="4">
        <f>'Economic Data'!N107</f>
        <v>2064.1</v>
      </c>
      <c r="AT105" s="4">
        <f>'Economic Data'!O107</f>
        <v>842100</v>
      </c>
      <c r="AU105" s="4">
        <f>'Economic Data'!P107</f>
        <v>8779</v>
      </c>
      <c r="AV105" s="4">
        <f>'Economic Data'!Q107</f>
        <v>5076</v>
      </c>
      <c r="AW105" s="4">
        <f>'Economic Data'!R107</f>
        <v>3324</v>
      </c>
      <c r="AX105" s="4">
        <f>'Economic Data'!E107</f>
        <v>7825.4</v>
      </c>
      <c r="AY105" s="4">
        <f>'Economic Data'!D107</f>
        <v>7747.4</v>
      </c>
      <c r="AZ105">
        <v>104</v>
      </c>
      <c r="BA105" s="14">
        <f t="shared" si="50"/>
        <v>4.7273878187123408</v>
      </c>
      <c r="BB105">
        <f t="shared" si="51"/>
        <v>10816</v>
      </c>
      <c r="BC105">
        <v>0</v>
      </c>
      <c r="BD105">
        <v>0</v>
      </c>
      <c r="BE105">
        <v>0</v>
      </c>
      <c r="BF105">
        <v>0</v>
      </c>
      <c r="BG105">
        <v>0</v>
      </c>
      <c r="BH105">
        <v>0</v>
      </c>
      <c r="BI105">
        <v>0</v>
      </c>
      <c r="BJ105">
        <v>1</v>
      </c>
      <c r="BK105">
        <v>0</v>
      </c>
      <c r="BL105">
        <v>0</v>
      </c>
      <c r="BM105">
        <v>0</v>
      </c>
      <c r="BN105">
        <v>0</v>
      </c>
      <c r="BO105">
        <v>0</v>
      </c>
      <c r="BP105">
        <v>0</v>
      </c>
      <c r="BQ105">
        <v>0</v>
      </c>
      <c r="BR105">
        <v>31</v>
      </c>
      <c r="BS105">
        <v>22</v>
      </c>
      <c r="BT105">
        <v>0.5</v>
      </c>
      <c r="BU105">
        <v>0.25</v>
      </c>
      <c r="BV105">
        <v>0.5</v>
      </c>
      <c r="BW105">
        <v>0</v>
      </c>
      <c r="BX105" s="17">
        <f t="shared" si="52"/>
        <v>56.587499999999999</v>
      </c>
      <c r="BY105" s="17">
        <f t="shared" si="53"/>
        <v>1.2041666666666639</v>
      </c>
      <c r="BZ105" s="17">
        <f t="shared" si="54"/>
        <v>31.562499999999996</v>
      </c>
      <c r="CA105" s="17">
        <f t="shared" si="55"/>
        <v>7.17916666666666</v>
      </c>
      <c r="CB105" s="17">
        <f t="shared" si="56"/>
        <v>14.364583333333336</v>
      </c>
      <c r="CC105" s="17">
        <f t="shared" si="57"/>
        <v>20.981249999999996</v>
      </c>
      <c r="CD105" s="17">
        <f t="shared" si="58"/>
        <v>6.0166666666666684</v>
      </c>
      <c r="CE105" s="17">
        <f t="shared" si="59"/>
        <v>43.633333333333333</v>
      </c>
      <c r="CF105" s="17">
        <f t="shared" si="60"/>
        <v>2.0312500000000009</v>
      </c>
      <c r="CG105" s="17">
        <f t="shared" si="61"/>
        <v>70.64791666666666</v>
      </c>
      <c r="CH105" s="17">
        <f t="shared" si="62"/>
        <v>0.53958333333333286</v>
      </c>
      <c r="CI105" s="17">
        <f t="shared" si="63"/>
        <v>100.15625</v>
      </c>
      <c r="CJ105" s="17">
        <f t="shared" si="44"/>
        <v>0</v>
      </c>
      <c r="CK105" s="17">
        <f t="shared" si="45"/>
        <v>130.61666666666667</v>
      </c>
    </row>
    <row r="106" spans="1:89" x14ac:dyDescent="0.35">
      <c r="A106" s="1">
        <v>44805</v>
      </c>
      <c r="B106">
        <v>2022</v>
      </c>
      <c r="C106">
        <f t="shared" si="46"/>
        <v>9</v>
      </c>
      <c r="D106" s="4">
        <v>2816962.3049838585</v>
      </c>
      <c r="E106" s="4">
        <f>IFERROR(VLOOKUP($B106-1,CDM!$K$5:$N$19,2,FALSE)/12,0)+IFERROR(VLOOKUP($B106,CDM!$K$35:$N$47,2,FALSE)/24,0)+IFERROR(VLOOKUP($B106,CDM!$K$35:$N$47,2,FALSE)/2*$C106/78,0)</f>
        <v>146768.54015633039</v>
      </c>
      <c r="F106" s="4">
        <f t="shared" si="47"/>
        <v>2963730.8451401889</v>
      </c>
      <c r="G106" s="4">
        <v>1287458.0122142991</v>
      </c>
      <c r="H106" s="4">
        <f>IFERROR(VLOOKUP($B106-1,CDM!$K$5:$N$19,3,FALSE)/12,0)+IFERROR(VLOOKUP($B106,CDM!$K$35:$N$47,3,FALSE)/24,0)+IFERROR(VLOOKUP($B106,CDM!$K$35:$N$47,3,FALSE)/2*$C106/78,0)</f>
        <v>171994.25326781112</v>
      </c>
      <c r="I106" s="4">
        <f t="shared" si="48"/>
        <v>1459452.2654821102</v>
      </c>
      <c r="J106" s="4">
        <v>4170564.3971399232</v>
      </c>
      <c r="K106" s="4">
        <f>IFERROR(VLOOKUP($B106-1,CDM!$K$5:$N$19,4,FALSE)/12,0)+IFERROR(VLOOKUP($B106,CDM!$K$35:$N$47,4,FALSE)/24,0)+IFERROR(VLOOKUP($B106,CDM!$K$35:$N$47,4,FALSE)/2*$C106/78,0)</f>
        <v>227984.95947421857</v>
      </c>
      <c r="L106" s="4">
        <f t="shared" si="49"/>
        <v>4398549.3566141417</v>
      </c>
      <c r="M106" s="4">
        <v>33620.123907069697</v>
      </c>
      <c r="N106" s="4">
        <v>13662.75</v>
      </c>
      <c r="O106" s="4">
        <v>11815.88</v>
      </c>
      <c r="P106" s="4">
        <v>126.42</v>
      </c>
      <c r="Q106" s="4">
        <v>5149</v>
      </c>
      <c r="R106" s="4">
        <v>715</v>
      </c>
      <c r="S106" s="4">
        <v>68</v>
      </c>
      <c r="T106" s="4">
        <v>1710</v>
      </c>
      <c r="U106" s="4">
        <v>22</v>
      </c>
      <c r="V106" s="4">
        <f>Weather!D226</f>
        <v>245.7166666666667</v>
      </c>
      <c r="W106" s="4">
        <f>Weather!E226</f>
        <v>0.10833333333333428</v>
      </c>
      <c r="X106" s="4">
        <f>Weather!F226</f>
        <v>187.99583333333334</v>
      </c>
      <c r="Y106" s="4">
        <f>Weather!G226</f>
        <v>2.3875000000000028</v>
      </c>
      <c r="Z106" s="4">
        <f>Weather!H226</f>
        <v>134.60000000000002</v>
      </c>
      <c r="AA106" s="4">
        <f>Weather!I226</f>
        <v>8.9916666666666707</v>
      </c>
      <c r="AB106" s="4">
        <f>Weather!J226</f>
        <v>87.166666666666657</v>
      </c>
      <c r="AC106" s="4">
        <f>Weather!K226</f>
        <v>21.558333333333341</v>
      </c>
      <c r="AD106" s="4">
        <f>Weather!L226</f>
        <v>49.329166666666666</v>
      </c>
      <c r="AE106" s="4">
        <f>Weather!M226</f>
        <v>43.720833333333346</v>
      </c>
      <c r="AF106" s="4">
        <f>Weather!N226</f>
        <v>23.4375</v>
      </c>
      <c r="AG106" s="4">
        <f>Weather!O226</f>
        <v>77.829166666666666</v>
      </c>
      <c r="AH106" s="4">
        <f>Weather!P226</f>
        <v>12.216666666666665</v>
      </c>
      <c r="AI106" s="4">
        <f>Weather!Q226</f>
        <v>126.60833333333332</v>
      </c>
      <c r="AJ106" s="4">
        <f>Weather!R226</f>
        <v>11.813055555555556</v>
      </c>
      <c r="AK106" s="4">
        <f>'Economic Data'!F108</f>
        <v>839497.4</v>
      </c>
      <c r="AL106" s="4">
        <f>'Economic Data'!G108</f>
        <v>8788.9</v>
      </c>
      <c r="AM106" s="4">
        <f>'Economic Data'!H108</f>
        <v>6860.3</v>
      </c>
      <c r="AN106" s="4">
        <f>'Economic Data'!I108</f>
        <v>109.5</v>
      </c>
      <c r="AO106" s="4">
        <f>'Economic Data'!J108</f>
        <v>119.5</v>
      </c>
      <c r="AP106" s="4">
        <f>'Economic Data'!K108</f>
        <v>388.2</v>
      </c>
      <c r="AQ106" s="4">
        <f>'Economic Data'!L108</f>
        <v>261.39999999999998</v>
      </c>
      <c r="AR106" s="4">
        <f>'Economic Data'!M108</f>
        <v>2672.2</v>
      </c>
      <c r="AS106" s="4">
        <f>'Economic Data'!N108</f>
        <v>2064.1</v>
      </c>
      <c r="AT106" s="4">
        <f>'Economic Data'!O108</f>
        <v>842100</v>
      </c>
      <c r="AU106" s="4">
        <f>'Economic Data'!P108</f>
        <v>8779</v>
      </c>
      <c r="AV106" s="4">
        <f>'Economic Data'!Q108</f>
        <v>5076</v>
      </c>
      <c r="AW106" s="4">
        <f>'Economic Data'!R108</f>
        <v>3324</v>
      </c>
      <c r="AX106" s="4">
        <f>'Economic Data'!E108</f>
        <v>7766.7</v>
      </c>
      <c r="AY106" s="4">
        <f>'Economic Data'!D108</f>
        <v>7740.7</v>
      </c>
      <c r="AZ106">
        <v>105</v>
      </c>
      <c r="BA106" s="14">
        <f t="shared" si="50"/>
        <v>4.7361984483944957</v>
      </c>
      <c r="BB106">
        <f t="shared" si="51"/>
        <v>11025</v>
      </c>
      <c r="BC106">
        <v>0</v>
      </c>
      <c r="BD106">
        <v>0</v>
      </c>
      <c r="BE106">
        <v>0</v>
      </c>
      <c r="BF106">
        <v>0</v>
      </c>
      <c r="BG106">
        <v>0</v>
      </c>
      <c r="BH106">
        <v>0</v>
      </c>
      <c r="BI106">
        <v>0</v>
      </c>
      <c r="BJ106">
        <v>0</v>
      </c>
      <c r="BK106">
        <v>1</v>
      </c>
      <c r="BL106">
        <v>0</v>
      </c>
      <c r="BM106">
        <v>0</v>
      </c>
      <c r="BN106">
        <v>0</v>
      </c>
      <c r="BO106">
        <v>0</v>
      </c>
      <c r="BP106">
        <v>0</v>
      </c>
      <c r="BQ106">
        <v>0</v>
      </c>
      <c r="BR106">
        <v>30</v>
      </c>
      <c r="BS106">
        <v>20</v>
      </c>
      <c r="BT106">
        <v>0.5</v>
      </c>
      <c r="BU106">
        <v>0.25</v>
      </c>
      <c r="BV106">
        <v>0.5</v>
      </c>
      <c r="BW106">
        <v>0</v>
      </c>
      <c r="BX106" s="17">
        <f t="shared" si="52"/>
        <v>122.85833333333335</v>
      </c>
      <c r="BY106" s="17">
        <f t="shared" si="53"/>
        <v>5.416666666666714E-2</v>
      </c>
      <c r="BZ106" s="17">
        <f t="shared" si="54"/>
        <v>93.997916666666669</v>
      </c>
      <c r="CA106" s="17">
        <f t="shared" si="55"/>
        <v>1.1937500000000014</v>
      </c>
      <c r="CB106" s="17">
        <f t="shared" si="56"/>
        <v>67.300000000000011</v>
      </c>
      <c r="CC106" s="17">
        <f t="shared" si="57"/>
        <v>4.4958333333333353</v>
      </c>
      <c r="CD106" s="17">
        <f t="shared" si="58"/>
        <v>43.583333333333329</v>
      </c>
      <c r="CE106" s="17">
        <f t="shared" si="59"/>
        <v>10.77916666666667</v>
      </c>
      <c r="CF106" s="17">
        <f t="shared" si="60"/>
        <v>24.664583333333333</v>
      </c>
      <c r="CG106" s="17">
        <f t="shared" si="61"/>
        <v>21.860416666666673</v>
      </c>
      <c r="CH106" s="17">
        <f t="shared" si="62"/>
        <v>11.71875</v>
      </c>
      <c r="CI106" s="17">
        <f t="shared" si="63"/>
        <v>38.914583333333333</v>
      </c>
      <c r="CJ106" s="17">
        <f t="shared" si="44"/>
        <v>6.1083333333333325</v>
      </c>
      <c r="CK106" s="17">
        <f t="shared" si="45"/>
        <v>63.30416666666666</v>
      </c>
    </row>
    <row r="107" spans="1:89" x14ac:dyDescent="0.35">
      <c r="A107" s="1">
        <v>44835</v>
      </c>
      <c r="B107">
        <v>2022</v>
      </c>
      <c r="C107">
        <f t="shared" si="46"/>
        <v>10</v>
      </c>
      <c r="D107" s="4">
        <v>2580862.7223412897</v>
      </c>
      <c r="E107" s="4">
        <f>IFERROR(VLOOKUP($B107-1,CDM!$K$5:$N$19,2,FALSE)/12,0)+IFERROR(VLOOKUP($B107,CDM!$K$35:$N$47,2,FALSE)/24,0)+IFERROR(VLOOKUP($B107,CDM!$K$35:$N$47,2,FALSE)/2*$C107/78,0)</f>
        <v>146824.48891497549</v>
      </c>
      <c r="F107" s="4">
        <f t="shared" si="47"/>
        <v>2727687.2112562652</v>
      </c>
      <c r="G107" s="4">
        <v>1214202.8479403141</v>
      </c>
      <c r="H107" s="4">
        <f>IFERROR(VLOOKUP($B107-1,CDM!$K$5:$N$19,3,FALSE)/12,0)+IFERROR(VLOOKUP($B107,CDM!$K$35:$N$47,3,FALSE)/24,0)+IFERROR(VLOOKUP($B107,CDM!$K$35:$N$47,3,FALSE)/2*$C107/78,0)</f>
        <v>171280.799660052</v>
      </c>
      <c r="I107" s="4">
        <f t="shared" si="48"/>
        <v>1385483.647600366</v>
      </c>
      <c r="J107" s="4">
        <v>4144470.0898738997</v>
      </c>
      <c r="K107" s="4">
        <f>IFERROR(VLOOKUP($B107-1,CDM!$K$5:$N$19,4,FALSE)/12,0)+IFERROR(VLOOKUP($B107,CDM!$K$35:$N$47,4,FALSE)/24,0)+IFERROR(VLOOKUP($B107,CDM!$K$35:$N$47,4,FALSE)/2*$C107/78,0)</f>
        <v>228264.89876308135</v>
      </c>
      <c r="L107" s="4">
        <f t="shared" si="49"/>
        <v>4372734.9886369808</v>
      </c>
      <c r="M107" s="4">
        <v>39311.085052064605</v>
      </c>
      <c r="N107" s="4">
        <v>13662.75</v>
      </c>
      <c r="O107" s="4">
        <v>12501.87</v>
      </c>
      <c r="P107" s="4">
        <v>126.42</v>
      </c>
      <c r="Q107" s="4">
        <v>5147</v>
      </c>
      <c r="R107" s="4">
        <v>714</v>
      </c>
      <c r="S107" s="4">
        <v>68</v>
      </c>
      <c r="T107" s="4">
        <v>1710</v>
      </c>
      <c r="U107" s="4">
        <v>22</v>
      </c>
      <c r="V107" s="4">
        <f>Weather!D227</f>
        <v>415.68333333333339</v>
      </c>
      <c r="W107" s="4">
        <f>Weather!E227</f>
        <v>0</v>
      </c>
      <c r="X107" s="4">
        <f>Weather!F227</f>
        <v>353.68333333333339</v>
      </c>
      <c r="Y107" s="4">
        <f>Weather!G227</f>
        <v>0</v>
      </c>
      <c r="Z107" s="4">
        <f>Weather!H227</f>
        <v>291.68333333333334</v>
      </c>
      <c r="AA107" s="4">
        <f>Weather!I227</f>
        <v>0</v>
      </c>
      <c r="AB107" s="4">
        <f>Weather!J227</f>
        <v>232.70416666666665</v>
      </c>
      <c r="AC107" s="4">
        <f>Weather!K227</f>
        <v>3.0208333333333304</v>
      </c>
      <c r="AD107" s="4">
        <f>Weather!L227</f>
        <v>180.46250000000001</v>
      </c>
      <c r="AE107" s="4">
        <f>Weather!M227</f>
        <v>12.779166666666661</v>
      </c>
      <c r="AF107" s="4">
        <f>Weather!N227</f>
        <v>133.35833333333338</v>
      </c>
      <c r="AG107" s="4">
        <f>Weather!O227</f>
        <v>27.674999999999997</v>
      </c>
      <c r="AH107" s="4">
        <f>Weather!P227</f>
        <v>90.466666666666669</v>
      </c>
      <c r="AI107" s="4">
        <f>Weather!Q227</f>
        <v>46.783333333333331</v>
      </c>
      <c r="AJ107" s="4">
        <f>Weather!R227</f>
        <v>6.5908602150537643</v>
      </c>
      <c r="AK107" s="4">
        <f>'Economic Data'!F109</f>
        <v>839497.4</v>
      </c>
      <c r="AL107" s="4">
        <f>'Economic Data'!G109</f>
        <v>8788.9</v>
      </c>
      <c r="AM107" s="4">
        <f>'Economic Data'!H109</f>
        <v>6860.3</v>
      </c>
      <c r="AN107" s="4">
        <f>'Economic Data'!I109</f>
        <v>109.5</v>
      </c>
      <c r="AO107" s="4">
        <f>'Economic Data'!J109</f>
        <v>119.5</v>
      </c>
      <c r="AP107" s="4">
        <f>'Economic Data'!K109</f>
        <v>388.2</v>
      </c>
      <c r="AQ107" s="4">
        <f>'Economic Data'!L109</f>
        <v>261.39999999999998</v>
      </c>
      <c r="AR107" s="4">
        <f>'Economic Data'!M109</f>
        <v>2672.2</v>
      </c>
      <c r="AS107" s="4">
        <f>'Economic Data'!N109</f>
        <v>2064.1</v>
      </c>
      <c r="AT107" s="4">
        <f>'Economic Data'!O109</f>
        <v>841987</v>
      </c>
      <c r="AU107" s="4">
        <f>'Economic Data'!P109</f>
        <v>8741</v>
      </c>
      <c r="AV107" s="4">
        <f>'Economic Data'!Q109</f>
        <v>5200</v>
      </c>
      <c r="AW107" s="4">
        <f>'Economic Data'!R109</f>
        <v>3126</v>
      </c>
      <c r="AX107" s="4">
        <f>'Economic Data'!E109</f>
        <v>7743.5</v>
      </c>
      <c r="AY107" s="4">
        <f>'Economic Data'!D109</f>
        <v>7740.3</v>
      </c>
      <c r="AZ107">
        <v>106</v>
      </c>
      <c r="BA107" s="14">
        <f t="shared" si="50"/>
        <v>4.7449321283632502</v>
      </c>
      <c r="BB107">
        <f t="shared" si="51"/>
        <v>11236</v>
      </c>
      <c r="BC107">
        <v>0</v>
      </c>
      <c r="BD107">
        <v>0</v>
      </c>
      <c r="BE107">
        <v>0</v>
      </c>
      <c r="BF107">
        <v>0</v>
      </c>
      <c r="BG107">
        <v>0</v>
      </c>
      <c r="BH107">
        <v>0</v>
      </c>
      <c r="BI107">
        <v>0</v>
      </c>
      <c r="BJ107">
        <v>0</v>
      </c>
      <c r="BK107">
        <v>0</v>
      </c>
      <c r="BL107">
        <v>1</v>
      </c>
      <c r="BM107">
        <v>0</v>
      </c>
      <c r="BN107">
        <v>0</v>
      </c>
      <c r="BO107">
        <v>0</v>
      </c>
      <c r="BP107">
        <v>1</v>
      </c>
      <c r="BQ107">
        <v>1</v>
      </c>
      <c r="BR107">
        <v>31</v>
      </c>
      <c r="BS107">
        <v>20</v>
      </c>
      <c r="BT107">
        <v>0.5</v>
      </c>
      <c r="BU107">
        <v>0.25</v>
      </c>
      <c r="BV107">
        <v>0.5</v>
      </c>
      <c r="BW107">
        <v>0</v>
      </c>
      <c r="BX107" s="17">
        <f t="shared" si="52"/>
        <v>207.8416666666667</v>
      </c>
      <c r="BY107" s="17">
        <f t="shared" si="53"/>
        <v>0</v>
      </c>
      <c r="BZ107" s="17">
        <f t="shared" si="54"/>
        <v>176.8416666666667</v>
      </c>
      <c r="CA107" s="17">
        <f t="shared" si="55"/>
        <v>0</v>
      </c>
      <c r="CB107" s="17">
        <f t="shared" si="56"/>
        <v>145.84166666666667</v>
      </c>
      <c r="CC107" s="17">
        <f t="shared" si="57"/>
        <v>0</v>
      </c>
      <c r="CD107" s="17">
        <f t="shared" si="58"/>
        <v>116.35208333333333</v>
      </c>
      <c r="CE107" s="17">
        <f t="shared" si="59"/>
        <v>1.5104166666666652</v>
      </c>
      <c r="CF107" s="17">
        <f t="shared" si="60"/>
        <v>90.231250000000003</v>
      </c>
      <c r="CG107" s="17">
        <f t="shared" si="61"/>
        <v>6.3895833333333307</v>
      </c>
      <c r="CH107" s="17">
        <f t="shared" si="62"/>
        <v>66.679166666666688</v>
      </c>
      <c r="CI107" s="17">
        <f t="shared" si="63"/>
        <v>13.837499999999999</v>
      </c>
      <c r="CJ107" s="17">
        <f t="shared" si="44"/>
        <v>45.233333333333334</v>
      </c>
      <c r="CK107" s="17">
        <f t="shared" si="45"/>
        <v>23.391666666666666</v>
      </c>
    </row>
    <row r="108" spans="1:89" x14ac:dyDescent="0.35">
      <c r="A108" s="1">
        <v>44866</v>
      </c>
      <c r="B108">
        <v>2022</v>
      </c>
      <c r="C108">
        <f t="shared" si="46"/>
        <v>11</v>
      </c>
      <c r="D108" s="4">
        <v>2878495.5128093269</v>
      </c>
      <c r="E108" s="4">
        <f>IFERROR(VLOOKUP($B108-1,CDM!$K$5:$N$19,2,FALSE)/12,0)+IFERROR(VLOOKUP($B108,CDM!$K$35:$N$47,2,FALSE)/24,0)+IFERROR(VLOOKUP($B108,CDM!$K$35:$N$47,2,FALSE)/2*$C108/78,0)</f>
        <v>146880.43767362062</v>
      </c>
      <c r="F108" s="4">
        <f t="shared" si="47"/>
        <v>3025375.9504829473</v>
      </c>
      <c r="G108" s="4">
        <v>1323658.6225365908</v>
      </c>
      <c r="H108" s="4">
        <f>IFERROR(VLOOKUP($B108-1,CDM!$K$5:$N$19,3,FALSE)/12,0)+IFERROR(VLOOKUP($B108,CDM!$K$35:$N$47,3,FALSE)/24,0)+IFERROR(VLOOKUP($B108,CDM!$K$35:$N$47,3,FALSE)/2*$C108/78,0)</f>
        <v>170567.34605229288</v>
      </c>
      <c r="I108" s="4">
        <f t="shared" si="48"/>
        <v>1494225.9685888838</v>
      </c>
      <c r="J108" s="4">
        <v>4420578.3444265965</v>
      </c>
      <c r="K108" s="4">
        <f>IFERROR(VLOOKUP($B108-1,CDM!$K$5:$N$19,4,FALSE)/12,0)+IFERROR(VLOOKUP($B108,CDM!$K$35:$N$47,4,FALSE)/24,0)+IFERROR(VLOOKUP($B108,CDM!$K$35:$N$47,4,FALSE)/2*$C108/78,0)</f>
        <v>228544.83805194413</v>
      </c>
      <c r="L108" s="4">
        <f t="shared" si="49"/>
        <v>4649123.1824785406</v>
      </c>
      <c r="M108" s="4">
        <v>47853.534117704403</v>
      </c>
      <c r="N108" s="4">
        <v>13662.75</v>
      </c>
      <c r="O108" s="4">
        <v>12085.32</v>
      </c>
      <c r="P108" s="4">
        <v>126.42</v>
      </c>
      <c r="Q108" s="4">
        <v>5168</v>
      </c>
      <c r="R108" s="4">
        <v>713</v>
      </c>
      <c r="S108" s="4">
        <v>67</v>
      </c>
      <c r="T108" s="4">
        <v>1710</v>
      </c>
      <c r="U108" s="4">
        <v>22</v>
      </c>
      <c r="V108" s="4">
        <f>Weather!D228</f>
        <v>651.92499999999995</v>
      </c>
      <c r="W108" s="4">
        <f>Weather!E228</f>
        <v>0</v>
      </c>
      <c r="X108" s="4">
        <f>Weather!F228</f>
        <v>591.92500000000007</v>
      </c>
      <c r="Y108" s="4">
        <f>Weather!G228</f>
        <v>0</v>
      </c>
      <c r="Z108" s="4">
        <f>Weather!H228</f>
        <v>531.92500000000007</v>
      </c>
      <c r="AA108" s="4">
        <f>Weather!I228</f>
        <v>0</v>
      </c>
      <c r="AB108" s="4">
        <f>Weather!J228</f>
        <v>471.92500000000007</v>
      </c>
      <c r="AC108" s="4">
        <f>Weather!K228</f>
        <v>0</v>
      </c>
      <c r="AD108" s="4">
        <f>Weather!L228</f>
        <v>413.58750000000003</v>
      </c>
      <c r="AE108" s="4">
        <f>Weather!M228</f>
        <v>1.6625000000000014</v>
      </c>
      <c r="AF108" s="4">
        <f>Weather!N228</f>
        <v>355.58750000000009</v>
      </c>
      <c r="AG108" s="4">
        <f>Weather!O228</f>
        <v>3.6625000000000014</v>
      </c>
      <c r="AH108" s="4">
        <f>Weather!P228</f>
        <v>298.625</v>
      </c>
      <c r="AI108" s="4">
        <f>Weather!Q228</f>
        <v>6.7000000000000011</v>
      </c>
      <c r="AJ108" s="4">
        <f>Weather!R228</f>
        <v>-1.7308333333333332</v>
      </c>
      <c r="AK108" s="4">
        <f>'Economic Data'!F110</f>
        <v>839497.4</v>
      </c>
      <c r="AL108" s="4">
        <f>'Economic Data'!G110</f>
        <v>8788.9</v>
      </c>
      <c r="AM108" s="4">
        <f>'Economic Data'!H110</f>
        <v>6860.3</v>
      </c>
      <c r="AN108" s="4">
        <f>'Economic Data'!I110</f>
        <v>109.5</v>
      </c>
      <c r="AO108" s="4">
        <f>'Economic Data'!J110</f>
        <v>119.5</v>
      </c>
      <c r="AP108" s="4">
        <f>'Economic Data'!K110</f>
        <v>388.2</v>
      </c>
      <c r="AQ108" s="4">
        <f>'Economic Data'!L110</f>
        <v>261.39999999999998</v>
      </c>
      <c r="AR108" s="4">
        <f>'Economic Data'!M110</f>
        <v>2672.2</v>
      </c>
      <c r="AS108" s="4">
        <f>'Economic Data'!N110</f>
        <v>2064.1</v>
      </c>
      <c r="AT108" s="4">
        <f>'Economic Data'!O110</f>
        <v>841987</v>
      </c>
      <c r="AU108" s="4">
        <f>'Economic Data'!P110</f>
        <v>8741</v>
      </c>
      <c r="AV108" s="4">
        <f>'Economic Data'!Q110</f>
        <v>5200</v>
      </c>
      <c r="AW108" s="4">
        <f>'Economic Data'!R110</f>
        <v>3126</v>
      </c>
      <c r="AX108" s="4">
        <f>'Economic Data'!E110</f>
        <v>7738.9</v>
      </c>
      <c r="AY108" s="4">
        <f>'Economic Data'!D110</f>
        <v>7747.2</v>
      </c>
      <c r="AZ108">
        <v>107</v>
      </c>
      <c r="BA108" s="14">
        <f t="shared" si="50"/>
        <v>4.7535901911063645</v>
      </c>
      <c r="BB108">
        <f t="shared" si="51"/>
        <v>11449</v>
      </c>
      <c r="BC108">
        <v>0</v>
      </c>
      <c r="BD108">
        <v>0</v>
      </c>
      <c r="BE108">
        <v>0</v>
      </c>
      <c r="BF108">
        <v>0</v>
      </c>
      <c r="BG108">
        <v>0</v>
      </c>
      <c r="BH108">
        <v>0</v>
      </c>
      <c r="BI108">
        <v>0</v>
      </c>
      <c r="BJ108">
        <v>0</v>
      </c>
      <c r="BK108">
        <v>0</v>
      </c>
      <c r="BL108">
        <v>0</v>
      </c>
      <c r="BM108">
        <v>1</v>
      </c>
      <c r="BN108">
        <v>0</v>
      </c>
      <c r="BO108">
        <v>0</v>
      </c>
      <c r="BP108">
        <v>1</v>
      </c>
      <c r="BQ108">
        <v>1</v>
      </c>
      <c r="BR108">
        <v>30</v>
      </c>
      <c r="BS108">
        <v>22</v>
      </c>
      <c r="BT108">
        <v>0.5</v>
      </c>
      <c r="BU108">
        <v>0.25</v>
      </c>
      <c r="BV108">
        <v>0.5</v>
      </c>
      <c r="BW108">
        <v>0</v>
      </c>
      <c r="BX108" s="17">
        <f t="shared" si="52"/>
        <v>325.96249999999998</v>
      </c>
      <c r="BY108" s="17">
        <f t="shared" si="53"/>
        <v>0</v>
      </c>
      <c r="BZ108" s="17">
        <f t="shared" si="54"/>
        <v>295.96250000000003</v>
      </c>
      <c r="CA108" s="17">
        <f t="shared" si="55"/>
        <v>0</v>
      </c>
      <c r="CB108" s="17">
        <f t="shared" si="56"/>
        <v>265.96250000000003</v>
      </c>
      <c r="CC108" s="17">
        <f t="shared" si="57"/>
        <v>0</v>
      </c>
      <c r="CD108" s="17">
        <f t="shared" si="58"/>
        <v>235.96250000000003</v>
      </c>
      <c r="CE108" s="17">
        <f t="shared" si="59"/>
        <v>0</v>
      </c>
      <c r="CF108" s="17">
        <f t="shared" si="60"/>
        <v>206.79375000000002</v>
      </c>
      <c r="CG108" s="17">
        <f t="shared" si="61"/>
        <v>0.83125000000000071</v>
      </c>
      <c r="CH108" s="17">
        <f t="shared" si="62"/>
        <v>177.79375000000005</v>
      </c>
      <c r="CI108" s="17">
        <f t="shared" si="63"/>
        <v>1.8312500000000007</v>
      </c>
      <c r="CJ108" s="17">
        <f t="shared" si="44"/>
        <v>149.3125</v>
      </c>
      <c r="CK108" s="17">
        <f t="shared" si="45"/>
        <v>3.3500000000000005</v>
      </c>
    </row>
    <row r="109" spans="1:89" x14ac:dyDescent="0.35">
      <c r="A109" s="1">
        <v>44896</v>
      </c>
      <c r="B109">
        <v>2022</v>
      </c>
      <c r="C109">
        <f t="shared" si="46"/>
        <v>12</v>
      </c>
      <c r="D109" s="4">
        <v>3303942.9067927818</v>
      </c>
      <c r="E109" s="4">
        <f>IFERROR(VLOOKUP($B109-1,CDM!$K$5:$N$19,2,FALSE)/12,0)+IFERROR(VLOOKUP($B109,CDM!$K$35:$N$47,2,FALSE)/24,0)+IFERROR(VLOOKUP($B109,CDM!$K$35:$N$47,2,FALSE)/2*$C109/78,0)</f>
        <v>146936.38643226572</v>
      </c>
      <c r="F109" s="4">
        <f t="shared" si="47"/>
        <v>3450879.2932250476</v>
      </c>
      <c r="G109" s="4">
        <v>1510595.282458202</v>
      </c>
      <c r="H109" s="4">
        <f>IFERROR(VLOOKUP($B109-1,CDM!$K$5:$N$19,3,FALSE)/12,0)+IFERROR(VLOOKUP($B109,CDM!$K$35:$N$47,3,FALSE)/24,0)+IFERROR(VLOOKUP($B109,CDM!$K$35:$N$47,3,FALSE)/2*$C109/78,0)</f>
        <v>169853.89244453379</v>
      </c>
      <c r="I109" s="4">
        <f t="shared" si="48"/>
        <v>1680449.1749027357</v>
      </c>
      <c r="J109" s="4">
        <v>4592254.6147780577</v>
      </c>
      <c r="K109" s="4">
        <f>IFERROR(VLOOKUP($B109-1,CDM!$K$5:$N$19,4,FALSE)/12,0)+IFERROR(VLOOKUP($B109,CDM!$K$35:$N$47,4,FALSE)/24,0)+IFERROR(VLOOKUP($B109,CDM!$K$35:$N$47,4,FALSE)/2*$C109/78,0)</f>
        <v>228824.7773408069</v>
      </c>
      <c r="L109" s="4">
        <f t="shared" si="49"/>
        <v>4821079.3921188647</v>
      </c>
      <c r="M109" s="4">
        <v>52491.206887517284</v>
      </c>
      <c r="N109" s="4">
        <v>13662.75</v>
      </c>
      <c r="O109" s="4">
        <v>13018.77</v>
      </c>
      <c r="P109" s="4">
        <v>126.42</v>
      </c>
      <c r="Q109" s="4">
        <v>5159</v>
      </c>
      <c r="R109" s="4">
        <v>715</v>
      </c>
      <c r="S109" s="4">
        <v>67</v>
      </c>
      <c r="T109" s="4">
        <v>1710</v>
      </c>
      <c r="U109" s="4">
        <v>22</v>
      </c>
      <c r="V109" s="4">
        <f>Weather!D229</f>
        <v>938.47916666666686</v>
      </c>
      <c r="W109" s="4">
        <f>Weather!E229</f>
        <v>0</v>
      </c>
      <c r="X109" s="4">
        <f>Weather!F229</f>
        <v>876.47916666666674</v>
      </c>
      <c r="Y109" s="4">
        <f>Weather!G229</f>
        <v>0</v>
      </c>
      <c r="Z109" s="4">
        <f>Weather!H229</f>
        <v>814.47916666666663</v>
      </c>
      <c r="AA109" s="4">
        <f>Weather!I229</f>
        <v>0</v>
      </c>
      <c r="AB109" s="4">
        <f>Weather!J229</f>
        <v>752.47916666666674</v>
      </c>
      <c r="AC109" s="4">
        <f>Weather!K229</f>
        <v>0</v>
      </c>
      <c r="AD109" s="4">
        <f>Weather!L229</f>
        <v>690.47916666666674</v>
      </c>
      <c r="AE109" s="4">
        <f>Weather!M229</f>
        <v>0</v>
      </c>
      <c r="AF109" s="4">
        <f>Weather!N229</f>
        <v>628.47916666666674</v>
      </c>
      <c r="AG109" s="4">
        <f>Weather!O229</f>
        <v>0</v>
      </c>
      <c r="AH109" s="4">
        <f>Weather!P229</f>
        <v>566.47916666666674</v>
      </c>
      <c r="AI109" s="4">
        <f>Weather!Q229</f>
        <v>0</v>
      </c>
      <c r="AJ109" s="4">
        <f>Weather!R229</f>
        <v>-10.273521505376342</v>
      </c>
      <c r="AK109" s="4">
        <f>'Economic Data'!F111</f>
        <v>839497.4</v>
      </c>
      <c r="AL109" s="4">
        <f>'Economic Data'!G111</f>
        <v>8788.9</v>
      </c>
      <c r="AM109" s="4">
        <f>'Economic Data'!H111</f>
        <v>6860.3</v>
      </c>
      <c r="AN109" s="4">
        <f>'Economic Data'!I111</f>
        <v>109.5</v>
      </c>
      <c r="AO109" s="4">
        <f>'Economic Data'!J111</f>
        <v>119.5</v>
      </c>
      <c r="AP109" s="4">
        <f>'Economic Data'!K111</f>
        <v>388.2</v>
      </c>
      <c r="AQ109" s="4">
        <f>'Economic Data'!L111</f>
        <v>261.39999999999998</v>
      </c>
      <c r="AR109" s="4">
        <f>'Economic Data'!M111</f>
        <v>2672.2</v>
      </c>
      <c r="AS109" s="4">
        <f>'Economic Data'!N111</f>
        <v>2064.1</v>
      </c>
      <c r="AT109" s="4">
        <f>'Economic Data'!O111</f>
        <v>841987</v>
      </c>
      <c r="AU109" s="4">
        <f>'Economic Data'!P111</f>
        <v>8741</v>
      </c>
      <c r="AV109" s="4">
        <f>'Economic Data'!Q111</f>
        <v>5200</v>
      </c>
      <c r="AW109" s="4">
        <f>'Economic Data'!R111</f>
        <v>3126</v>
      </c>
      <c r="AX109" s="4">
        <f>'Economic Data'!E111</f>
        <v>7777.2</v>
      </c>
      <c r="AY109" s="4">
        <f>'Economic Data'!D111</f>
        <v>7776.1</v>
      </c>
      <c r="AZ109">
        <v>108</v>
      </c>
      <c r="BA109" s="14">
        <f t="shared" si="50"/>
        <v>4.7621739347977563</v>
      </c>
      <c r="BB109">
        <f t="shared" si="51"/>
        <v>11664</v>
      </c>
      <c r="BC109">
        <v>0</v>
      </c>
      <c r="BD109">
        <v>0</v>
      </c>
      <c r="BE109">
        <v>0</v>
      </c>
      <c r="BF109">
        <v>0</v>
      </c>
      <c r="BG109">
        <v>0</v>
      </c>
      <c r="BH109">
        <v>0</v>
      </c>
      <c r="BI109">
        <v>0</v>
      </c>
      <c r="BJ109">
        <v>0</v>
      </c>
      <c r="BK109">
        <v>0</v>
      </c>
      <c r="BL109">
        <v>0</v>
      </c>
      <c r="BM109">
        <v>0</v>
      </c>
      <c r="BN109">
        <v>1</v>
      </c>
      <c r="BO109">
        <v>0</v>
      </c>
      <c r="BP109">
        <v>0</v>
      </c>
      <c r="BQ109">
        <v>0</v>
      </c>
      <c r="BR109">
        <v>31</v>
      </c>
      <c r="BS109">
        <v>20</v>
      </c>
      <c r="BT109">
        <v>0.5</v>
      </c>
      <c r="BU109">
        <v>0.25</v>
      </c>
      <c r="BV109">
        <v>0.5</v>
      </c>
      <c r="BW109">
        <v>0</v>
      </c>
      <c r="BX109" s="17">
        <f t="shared" si="52"/>
        <v>469.23958333333343</v>
      </c>
      <c r="BY109" s="17">
        <f t="shared" si="53"/>
        <v>0</v>
      </c>
      <c r="BZ109" s="17">
        <f t="shared" si="54"/>
        <v>438.23958333333337</v>
      </c>
      <c r="CA109" s="17">
        <f t="shared" si="55"/>
        <v>0</v>
      </c>
      <c r="CB109" s="17">
        <f t="shared" si="56"/>
        <v>407.23958333333331</v>
      </c>
      <c r="CC109" s="17">
        <f t="shared" si="57"/>
        <v>0</v>
      </c>
      <c r="CD109" s="17">
        <f t="shared" si="58"/>
        <v>376.23958333333337</v>
      </c>
      <c r="CE109" s="17">
        <f t="shared" si="59"/>
        <v>0</v>
      </c>
      <c r="CF109" s="17">
        <f t="shared" si="60"/>
        <v>345.23958333333337</v>
      </c>
      <c r="CG109" s="17">
        <f t="shared" si="61"/>
        <v>0</v>
      </c>
      <c r="CH109" s="17">
        <f t="shared" si="62"/>
        <v>314.23958333333337</v>
      </c>
      <c r="CI109" s="17">
        <f t="shared" si="63"/>
        <v>0</v>
      </c>
      <c r="CJ109" s="17">
        <f t="shared" si="44"/>
        <v>283.23958333333337</v>
      </c>
      <c r="CK109" s="17">
        <f t="shared" si="45"/>
        <v>0</v>
      </c>
    </row>
    <row r="110" spans="1:89" x14ac:dyDescent="0.35">
      <c r="A110" s="1">
        <v>44927</v>
      </c>
      <c r="B110">
        <v>2023</v>
      </c>
      <c r="C110">
        <f t="shared" si="46"/>
        <v>1</v>
      </c>
      <c r="D110" s="4">
        <v>4059908.9791020118</v>
      </c>
      <c r="E110" s="4">
        <f>IFERROR(VLOOKUP($B110-1,CDM!$K$5:$N$19,2,FALSE)/12,0)+IFERROR(VLOOKUP($B110,CDM!$K$35:$N$47,2,FALSE)/24,0)+IFERROR(VLOOKUP($B110,CDM!$K$35:$N$47,2,FALSE)/2*$C110/78,0)</f>
        <v>147268.03188475204</v>
      </c>
      <c r="F110" s="4">
        <f t="shared" si="47"/>
        <v>4207177.010986764</v>
      </c>
      <c r="G110" s="4">
        <v>1735140.2528232834</v>
      </c>
      <c r="H110" s="4">
        <f>IFERROR(VLOOKUP($B110-1,CDM!$K$5:$N$19,3,FALSE)/12,0)+IFERROR(VLOOKUP($B110,CDM!$K$35:$N$47,3,FALSE)/24,0)+IFERROR(VLOOKUP($B110,CDM!$K$35:$N$47,3,FALSE)/2*$C110/78,0)</f>
        <v>170123.96915253997</v>
      </c>
      <c r="I110" s="4">
        <f t="shared" si="48"/>
        <v>1905264.2219758234</v>
      </c>
      <c r="J110" s="4">
        <v>4836258.2356999423</v>
      </c>
      <c r="K110" s="4">
        <f>IFERROR(VLOOKUP($B110-1,CDM!$K$5:$N$19,4,FALSE)/12,0)+IFERROR(VLOOKUP($B110,CDM!$K$35:$N$47,4,FALSE)/24,0)+IFERROR(VLOOKUP($B110,CDM!$K$35:$N$47,4,FALSE)/2*$C110/78,0)</f>
        <v>247145.77721373126</v>
      </c>
      <c r="L110" s="4">
        <f t="shared" si="49"/>
        <v>5083404.0129136732</v>
      </c>
      <c r="M110" s="4">
        <v>57524.046857003217</v>
      </c>
      <c r="N110" s="4">
        <v>13662.75</v>
      </c>
      <c r="O110" s="4">
        <v>12817.97</v>
      </c>
      <c r="P110" s="4">
        <v>118.73</v>
      </c>
      <c r="Q110" s="4">
        <v>5187</v>
      </c>
      <c r="R110" s="4">
        <v>718</v>
      </c>
      <c r="S110" s="4">
        <v>67</v>
      </c>
      <c r="T110" s="4">
        <v>1710</v>
      </c>
      <c r="U110" s="4">
        <v>22</v>
      </c>
      <c r="V110" s="4">
        <f>Weather!D230</f>
        <v>1004.5458333333333</v>
      </c>
      <c r="W110" s="4">
        <f>Weather!E230</f>
        <v>0</v>
      </c>
      <c r="X110" s="4">
        <f>Weather!F230</f>
        <v>942.54583333333335</v>
      </c>
      <c r="Y110" s="4">
        <f>Weather!G230</f>
        <v>0</v>
      </c>
      <c r="Z110" s="4">
        <f>Weather!H230</f>
        <v>880.54583333333335</v>
      </c>
      <c r="AA110" s="4">
        <f>Weather!I230</f>
        <v>0</v>
      </c>
      <c r="AB110" s="4">
        <f>Weather!J230</f>
        <v>818.54583333333335</v>
      </c>
      <c r="AC110" s="4">
        <f>Weather!K230</f>
        <v>0</v>
      </c>
      <c r="AD110" s="4">
        <f>Weather!L230</f>
        <v>756.54583333333312</v>
      </c>
      <c r="AE110" s="4">
        <f>Weather!M230</f>
        <v>0</v>
      </c>
      <c r="AF110" s="4">
        <f>Weather!N230</f>
        <v>694.54583333333335</v>
      </c>
      <c r="AG110" s="4">
        <f>Weather!O230</f>
        <v>0</v>
      </c>
      <c r="AH110" s="4">
        <f>Weather!P230</f>
        <v>632.54583333333335</v>
      </c>
      <c r="AI110" s="4">
        <f>Weather!Q230</f>
        <v>0</v>
      </c>
      <c r="AJ110" s="4">
        <f>Weather!R230</f>
        <v>-12.404704301075272</v>
      </c>
      <c r="AK110" s="4">
        <f>'Economic Data'!F112</f>
        <v>852729.2</v>
      </c>
      <c r="AL110" s="4">
        <f>'Economic Data'!G112</f>
        <v>8941.4</v>
      </c>
      <c r="AM110" s="4">
        <f>'Economic Data'!H112</f>
        <v>6918.4</v>
      </c>
      <c r="AN110" s="4">
        <f>'Economic Data'!I112</f>
        <v>112.6</v>
      </c>
      <c r="AO110" s="4">
        <f>'Economic Data'!J112</f>
        <v>144.1</v>
      </c>
      <c r="AP110" s="4">
        <f>'Economic Data'!K112</f>
        <v>406.2</v>
      </c>
      <c r="AQ110" s="4">
        <f>'Economic Data'!L112</f>
        <v>295.39999999999998</v>
      </c>
      <c r="AR110" s="4">
        <f>'Economic Data'!M112</f>
        <v>2666.2</v>
      </c>
      <c r="AS110" s="4">
        <f>'Economic Data'!N112</f>
        <v>1862.8</v>
      </c>
      <c r="AT110" s="4">
        <f>'Economic Data'!O112</f>
        <v>849404</v>
      </c>
      <c r="AU110" s="4">
        <f>'Economic Data'!P112</f>
        <v>8785</v>
      </c>
      <c r="AV110" s="4">
        <f>'Economic Data'!Q112</f>
        <v>5060</v>
      </c>
      <c r="AW110" s="4">
        <f>'Economic Data'!R112</f>
        <v>3196</v>
      </c>
      <c r="AX110" s="4">
        <f>'Economic Data'!E112</f>
        <v>7776.6</v>
      </c>
      <c r="AY110" s="4">
        <f>'Economic Data'!D112</f>
        <v>7807</v>
      </c>
      <c r="AZ110">
        <v>109</v>
      </c>
      <c r="BA110" s="14">
        <f t="shared" si="50"/>
        <v>4.7706846244656651</v>
      </c>
      <c r="BB110">
        <f t="shared" si="51"/>
        <v>11881</v>
      </c>
      <c r="BC110">
        <v>1</v>
      </c>
      <c r="BD110">
        <v>0</v>
      </c>
      <c r="BE110">
        <v>0</v>
      </c>
      <c r="BF110">
        <v>0</v>
      </c>
      <c r="BG110">
        <v>0</v>
      </c>
      <c r="BH110">
        <v>0</v>
      </c>
      <c r="BI110">
        <v>0</v>
      </c>
      <c r="BJ110">
        <v>0</v>
      </c>
      <c r="BK110">
        <v>0</v>
      </c>
      <c r="BL110">
        <v>0</v>
      </c>
      <c r="BM110">
        <v>0</v>
      </c>
      <c r="BN110">
        <v>0</v>
      </c>
      <c r="BO110">
        <v>0</v>
      </c>
      <c r="BP110">
        <v>0</v>
      </c>
      <c r="BQ110">
        <v>0</v>
      </c>
      <c r="BR110">
        <v>31</v>
      </c>
      <c r="BS110">
        <v>21</v>
      </c>
      <c r="BT110">
        <v>0</v>
      </c>
      <c r="BU110">
        <v>0</v>
      </c>
      <c r="BV110">
        <v>0.25</v>
      </c>
      <c r="BW110">
        <v>0</v>
      </c>
      <c r="BX110" s="17">
        <f t="shared" si="52"/>
        <v>0</v>
      </c>
      <c r="BY110" s="17">
        <f t="shared" si="53"/>
        <v>0</v>
      </c>
      <c r="BZ110" s="17">
        <f t="shared" si="54"/>
        <v>0</v>
      </c>
      <c r="CA110" s="17">
        <f t="shared" si="55"/>
        <v>0</v>
      </c>
      <c r="CB110" s="17">
        <f t="shared" si="56"/>
        <v>0</v>
      </c>
      <c r="CC110" s="17">
        <f t="shared" si="57"/>
        <v>0</v>
      </c>
      <c r="CD110" s="17">
        <f t="shared" si="58"/>
        <v>0</v>
      </c>
      <c r="CE110" s="17">
        <f t="shared" si="59"/>
        <v>0</v>
      </c>
      <c r="CF110" s="17">
        <f t="shared" si="60"/>
        <v>0</v>
      </c>
      <c r="CG110" s="17">
        <f t="shared" si="61"/>
        <v>0</v>
      </c>
      <c r="CH110" s="17">
        <f t="shared" si="62"/>
        <v>0</v>
      </c>
      <c r="CI110" s="17">
        <f t="shared" si="63"/>
        <v>0</v>
      </c>
      <c r="CJ110" s="17">
        <f t="shared" si="44"/>
        <v>0</v>
      </c>
      <c r="CK110" s="17">
        <f t="shared" si="45"/>
        <v>0</v>
      </c>
    </row>
    <row r="111" spans="1:89" x14ac:dyDescent="0.35">
      <c r="A111" s="1">
        <v>44958</v>
      </c>
      <c r="B111">
        <v>2023</v>
      </c>
      <c r="C111">
        <f t="shared" si="46"/>
        <v>2</v>
      </c>
      <c r="D111" s="4">
        <v>4085994.1820743498</v>
      </c>
      <c r="E111" s="4">
        <f>IFERROR(VLOOKUP($B111-1,CDM!$K$5:$N$19,2,FALSE)/12,0)+IFERROR(VLOOKUP($B111,CDM!$K$35:$N$47,2,FALSE)/24,0)+IFERROR(VLOOKUP($B111,CDM!$K$35:$N$47,2,FALSE)/2*$C111/78,0)</f>
        <v>147353.28036808997</v>
      </c>
      <c r="F111" s="4">
        <f t="shared" si="47"/>
        <v>4233347.46244244</v>
      </c>
      <c r="G111" s="4">
        <v>1804702.4435837439</v>
      </c>
      <c r="H111" s="4">
        <f>IFERROR(VLOOKUP($B111-1,CDM!$K$5:$N$19,3,FALSE)/12,0)+IFERROR(VLOOKUP($B111,CDM!$K$35:$N$47,3,FALSE)/24,0)+IFERROR(VLOOKUP($B111,CDM!$K$35:$N$47,3,FALSE)/2*$C111/78,0)</f>
        <v>169636.78006791743</v>
      </c>
      <c r="I111" s="4">
        <f t="shared" si="48"/>
        <v>1974339.2236516613</v>
      </c>
      <c r="J111" s="4">
        <v>5553117.2151645962</v>
      </c>
      <c r="K111" s="4">
        <f>IFERROR(VLOOKUP($B111-1,CDM!$K$5:$N$19,4,FALSE)/12,0)+IFERROR(VLOOKUP($B111,CDM!$K$35:$N$47,4,FALSE)/24,0)+IFERROR(VLOOKUP($B111,CDM!$K$35:$N$47,4,FALSE)/2*$C111/78,0)</f>
        <v>249793.86600862053</v>
      </c>
      <c r="L111" s="4">
        <f t="shared" si="49"/>
        <v>5802911.0811732169</v>
      </c>
      <c r="M111" s="4">
        <v>55633.045316661919</v>
      </c>
      <c r="N111" s="4">
        <v>13662.75</v>
      </c>
      <c r="O111" s="4">
        <v>13246.9</v>
      </c>
      <c r="P111" s="4">
        <v>118.73</v>
      </c>
      <c r="Q111" s="4">
        <v>5189</v>
      </c>
      <c r="R111" s="4">
        <v>716</v>
      </c>
      <c r="S111" s="4">
        <v>67</v>
      </c>
      <c r="T111" s="4">
        <v>1710</v>
      </c>
      <c r="U111" s="4">
        <v>22</v>
      </c>
      <c r="V111" s="4">
        <f>Weather!D231</f>
        <v>951.62499999999977</v>
      </c>
      <c r="W111" s="4">
        <f>Weather!E231</f>
        <v>0</v>
      </c>
      <c r="X111" s="4">
        <f>Weather!F231</f>
        <v>895.62499999999977</v>
      </c>
      <c r="Y111" s="4">
        <f>Weather!G231</f>
        <v>0</v>
      </c>
      <c r="Z111" s="4">
        <f>Weather!H231</f>
        <v>839.625</v>
      </c>
      <c r="AA111" s="4">
        <f>Weather!I231</f>
        <v>0</v>
      </c>
      <c r="AB111" s="4">
        <f>Weather!J231</f>
        <v>783.625</v>
      </c>
      <c r="AC111" s="4">
        <f>Weather!K231</f>
        <v>0</v>
      </c>
      <c r="AD111" s="4">
        <f>Weather!L231</f>
        <v>727.625</v>
      </c>
      <c r="AE111" s="4">
        <f>Weather!M231</f>
        <v>0</v>
      </c>
      <c r="AF111" s="4">
        <f>Weather!N231</f>
        <v>671.62500000000023</v>
      </c>
      <c r="AG111" s="4">
        <f>Weather!O231</f>
        <v>0</v>
      </c>
      <c r="AH111" s="4">
        <f>Weather!P231</f>
        <v>615.62500000000011</v>
      </c>
      <c r="AI111" s="4">
        <f>Weather!Q231</f>
        <v>0</v>
      </c>
      <c r="AJ111" s="4">
        <f>Weather!R231</f>
        <v>-13.986607142857142</v>
      </c>
      <c r="AK111" s="4">
        <f>'Economic Data'!F113</f>
        <v>852729.2</v>
      </c>
      <c r="AL111" s="4">
        <f>'Economic Data'!G113</f>
        <v>8941.4</v>
      </c>
      <c r="AM111" s="4">
        <f>'Economic Data'!H113</f>
        <v>6918.4</v>
      </c>
      <c r="AN111" s="4">
        <f>'Economic Data'!I113</f>
        <v>112.6</v>
      </c>
      <c r="AO111" s="4">
        <f>'Economic Data'!J113</f>
        <v>144.1</v>
      </c>
      <c r="AP111" s="4">
        <f>'Economic Data'!K113</f>
        <v>406.2</v>
      </c>
      <c r="AQ111" s="4">
        <f>'Economic Data'!L113</f>
        <v>295.39999999999998</v>
      </c>
      <c r="AR111" s="4">
        <f>'Economic Data'!M113</f>
        <v>2666.2</v>
      </c>
      <c r="AS111" s="4">
        <f>'Economic Data'!N113</f>
        <v>1862.8</v>
      </c>
      <c r="AT111" s="4">
        <f>'Economic Data'!O113</f>
        <v>849404</v>
      </c>
      <c r="AU111" s="4">
        <f>'Economic Data'!P113</f>
        <v>8785</v>
      </c>
      <c r="AV111" s="4">
        <f>'Economic Data'!Q113</f>
        <v>5060</v>
      </c>
      <c r="AW111" s="4">
        <f>'Economic Data'!R113</f>
        <v>3196</v>
      </c>
      <c r="AX111" s="4">
        <f>'Economic Data'!E113</f>
        <v>7780.5</v>
      </c>
      <c r="AY111" s="4">
        <f>'Economic Data'!D113</f>
        <v>7840.7</v>
      </c>
      <c r="AZ111">
        <v>110</v>
      </c>
      <c r="BA111" s="14">
        <f t="shared" si="50"/>
        <v>4.7791234931115296</v>
      </c>
      <c r="BB111">
        <f t="shared" si="51"/>
        <v>12100</v>
      </c>
      <c r="BC111">
        <v>0</v>
      </c>
      <c r="BD111">
        <v>1</v>
      </c>
      <c r="BE111">
        <v>0</v>
      </c>
      <c r="BF111">
        <v>0</v>
      </c>
      <c r="BG111">
        <v>0</v>
      </c>
      <c r="BH111">
        <v>0</v>
      </c>
      <c r="BI111">
        <v>0</v>
      </c>
      <c r="BJ111">
        <v>0</v>
      </c>
      <c r="BK111">
        <v>0</v>
      </c>
      <c r="BL111">
        <v>0</v>
      </c>
      <c r="BM111">
        <v>0</v>
      </c>
      <c r="BN111">
        <v>0</v>
      </c>
      <c r="BO111">
        <v>0</v>
      </c>
      <c r="BP111">
        <v>0</v>
      </c>
      <c r="BQ111">
        <v>0</v>
      </c>
      <c r="BR111">
        <v>28</v>
      </c>
      <c r="BS111">
        <v>19</v>
      </c>
      <c r="BT111">
        <v>0</v>
      </c>
      <c r="BU111">
        <v>0</v>
      </c>
      <c r="BV111">
        <v>0.25</v>
      </c>
      <c r="BW111">
        <v>0</v>
      </c>
      <c r="BX111" s="17">
        <f t="shared" si="52"/>
        <v>0</v>
      </c>
      <c r="BY111" s="17">
        <f t="shared" si="53"/>
        <v>0</v>
      </c>
      <c r="BZ111" s="17">
        <f t="shared" si="54"/>
        <v>0</v>
      </c>
      <c r="CA111" s="17">
        <f t="shared" si="55"/>
        <v>0</v>
      </c>
      <c r="CB111" s="17">
        <f t="shared" si="56"/>
        <v>0</v>
      </c>
      <c r="CC111" s="17">
        <f t="shared" si="57"/>
        <v>0</v>
      </c>
      <c r="CD111" s="17">
        <f t="shared" si="58"/>
        <v>0</v>
      </c>
      <c r="CE111" s="17">
        <f t="shared" si="59"/>
        <v>0</v>
      </c>
      <c r="CF111" s="17">
        <f t="shared" si="60"/>
        <v>0</v>
      </c>
      <c r="CG111" s="17">
        <f t="shared" si="61"/>
        <v>0</v>
      </c>
      <c r="CH111" s="17">
        <f t="shared" si="62"/>
        <v>0</v>
      </c>
      <c r="CI111" s="17">
        <f t="shared" si="63"/>
        <v>0</v>
      </c>
      <c r="CJ111" s="17">
        <f t="shared" si="44"/>
        <v>0</v>
      </c>
      <c r="CK111" s="17">
        <f t="shared" si="45"/>
        <v>0</v>
      </c>
    </row>
    <row r="112" spans="1:89" x14ac:dyDescent="0.35">
      <c r="A112" s="1">
        <v>44986</v>
      </c>
      <c r="B112">
        <v>2023</v>
      </c>
      <c r="C112">
        <f t="shared" si="46"/>
        <v>3</v>
      </c>
      <c r="D112" s="4">
        <v>3811274.4195026159</v>
      </c>
      <c r="E112" s="4">
        <f>IFERROR(VLOOKUP($B112-1,CDM!$K$5:$N$19,2,FALSE)/12,0)+IFERROR(VLOOKUP($B112,CDM!$K$35:$N$47,2,FALSE)/24,0)+IFERROR(VLOOKUP($B112,CDM!$K$35:$N$47,2,FALSE)/2*$C112/78,0)</f>
        <v>147438.52885142789</v>
      </c>
      <c r="F112" s="4">
        <f t="shared" si="47"/>
        <v>3958712.948354044</v>
      </c>
      <c r="G112" s="4">
        <v>1713497.6453525017</v>
      </c>
      <c r="H112" s="4">
        <f>IFERROR(VLOOKUP($B112-1,CDM!$K$5:$N$19,3,FALSE)/12,0)+IFERROR(VLOOKUP($B112,CDM!$K$35:$N$47,3,FALSE)/24,0)+IFERROR(VLOOKUP($B112,CDM!$K$35:$N$47,3,FALSE)/2*$C112/78,0)</f>
        <v>169149.59098329491</v>
      </c>
      <c r="I112" s="4">
        <f t="shared" si="48"/>
        <v>1882647.2363357965</v>
      </c>
      <c r="J112" s="4">
        <v>4909773.568310746</v>
      </c>
      <c r="K112" s="4">
        <f>IFERROR(VLOOKUP($B112-1,CDM!$K$5:$N$19,4,FALSE)/12,0)+IFERROR(VLOOKUP($B112,CDM!$K$35:$N$47,4,FALSE)/24,0)+IFERROR(VLOOKUP($B112,CDM!$K$35:$N$47,4,FALSE)/2*$C112/78,0)</f>
        <v>252441.95480350981</v>
      </c>
      <c r="L112" s="4">
        <f t="shared" si="49"/>
        <v>5162215.5231142556</v>
      </c>
      <c r="M112" s="4">
        <v>45179.036801205555</v>
      </c>
      <c r="N112" s="4">
        <v>13662.75</v>
      </c>
      <c r="O112" s="4">
        <v>13107.32</v>
      </c>
      <c r="P112" s="4">
        <v>118.73</v>
      </c>
      <c r="Q112" s="4">
        <v>5186</v>
      </c>
      <c r="R112" s="4">
        <v>719</v>
      </c>
      <c r="S112" s="4">
        <v>67</v>
      </c>
      <c r="T112" s="4">
        <v>1710</v>
      </c>
      <c r="U112" s="4">
        <v>22</v>
      </c>
      <c r="V112" s="4">
        <f>Weather!D232</f>
        <v>908.18749999999989</v>
      </c>
      <c r="W112" s="4">
        <f>Weather!E232</f>
        <v>0</v>
      </c>
      <c r="X112" s="4">
        <f>Weather!F232</f>
        <v>846.1875</v>
      </c>
      <c r="Y112" s="4">
        <f>Weather!G232</f>
        <v>0</v>
      </c>
      <c r="Z112" s="4">
        <f>Weather!H232</f>
        <v>784.18749999999989</v>
      </c>
      <c r="AA112" s="4">
        <f>Weather!I232</f>
        <v>0</v>
      </c>
      <c r="AB112" s="4">
        <f>Weather!J232</f>
        <v>722.18749999999989</v>
      </c>
      <c r="AC112" s="4">
        <f>Weather!K232</f>
        <v>0</v>
      </c>
      <c r="AD112" s="4">
        <f>Weather!L232</f>
        <v>660.18749999999989</v>
      </c>
      <c r="AE112" s="4">
        <f>Weather!M232</f>
        <v>0</v>
      </c>
      <c r="AF112" s="4">
        <f>Weather!N232</f>
        <v>598.18749999999989</v>
      </c>
      <c r="AG112" s="4">
        <f>Weather!O232</f>
        <v>0</v>
      </c>
      <c r="AH112" s="4">
        <f>Weather!P232</f>
        <v>536.18749999999989</v>
      </c>
      <c r="AI112" s="4">
        <f>Weather!Q232</f>
        <v>0</v>
      </c>
      <c r="AJ112" s="4">
        <f>Weather!R232</f>
        <v>-9.2963709677419377</v>
      </c>
      <c r="AK112" s="4">
        <f>'Economic Data'!F114</f>
        <v>852729.2</v>
      </c>
      <c r="AL112" s="4">
        <f>'Economic Data'!G114</f>
        <v>8941.4</v>
      </c>
      <c r="AM112" s="4">
        <f>'Economic Data'!H114</f>
        <v>6918.4</v>
      </c>
      <c r="AN112" s="4">
        <f>'Economic Data'!I114</f>
        <v>112.6</v>
      </c>
      <c r="AO112" s="4">
        <f>'Economic Data'!J114</f>
        <v>144.1</v>
      </c>
      <c r="AP112" s="4">
        <f>'Economic Data'!K114</f>
        <v>406.2</v>
      </c>
      <c r="AQ112" s="4">
        <f>'Economic Data'!L114</f>
        <v>295.39999999999998</v>
      </c>
      <c r="AR112" s="4">
        <f>'Economic Data'!M114</f>
        <v>2666.2</v>
      </c>
      <c r="AS112" s="4">
        <f>'Economic Data'!N114</f>
        <v>1862.8</v>
      </c>
      <c r="AT112" s="4">
        <f>'Economic Data'!O114</f>
        <v>849404</v>
      </c>
      <c r="AU112" s="4">
        <f>'Economic Data'!P114</f>
        <v>8785</v>
      </c>
      <c r="AV112" s="4">
        <f>'Economic Data'!Q114</f>
        <v>5060</v>
      </c>
      <c r="AW112" s="4">
        <f>'Economic Data'!R114</f>
        <v>3196</v>
      </c>
      <c r="AX112" s="4">
        <f>'Economic Data'!E114</f>
        <v>7781.3</v>
      </c>
      <c r="AY112" s="4">
        <f>'Economic Data'!D114</f>
        <v>7866.6</v>
      </c>
      <c r="AZ112">
        <v>111</v>
      </c>
      <c r="BA112" s="14">
        <f t="shared" si="50"/>
        <v>4.7874917427820458</v>
      </c>
      <c r="BB112">
        <f t="shared" si="51"/>
        <v>12321</v>
      </c>
      <c r="BC112">
        <v>0</v>
      </c>
      <c r="BD112">
        <v>0</v>
      </c>
      <c r="BE112">
        <v>1</v>
      </c>
      <c r="BF112">
        <v>0</v>
      </c>
      <c r="BG112">
        <v>0</v>
      </c>
      <c r="BH112">
        <v>0</v>
      </c>
      <c r="BI112">
        <v>0</v>
      </c>
      <c r="BJ112">
        <v>0</v>
      </c>
      <c r="BK112">
        <v>0</v>
      </c>
      <c r="BL112">
        <v>0</v>
      </c>
      <c r="BM112">
        <v>0</v>
      </c>
      <c r="BN112">
        <v>0</v>
      </c>
      <c r="BO112">
        <v>1</v>
      </c>
      <c r="BP112">
        <v>0</v>
      </c>
      <c r="BQ112">
        <v>1</v>
      </c>
      <c r="BR112">
        <v>31</v>
      </c>
      <c r="BS112">
        <v>23</v>
      </c>
      <c r="BT112">
        <v>0</v>
      </c>
      <c r="BU112">
        <v>0</v>
      </c>
      <c r="BV112">
        <v>0.25</v>
      </c>
      <c r="BW112">
        <v>0</v>
      </c>
      <c r="BX112" s="17">
        <f t="shared" si="52"/>
        <v>0</v>
      </c>
      <c r="BY112" s="17">
        <f t="shared" si="53"/>
        <v>0</v>
      </c>
      <c r="BZ112" s="17">
        <f t="shared" si="54"/>
        <v>0</v>
      </c>
      <c r="CA112" s="17">
        <f t="shared" si="55"/>
        <v>0</v>
      </c>
      <c r="CB112" s="17">
        <f t="shared" si="56"/>
        <v>0</v>
      </c>
      <c r="CC112" s="17">
        <f t="shared" si="57"/>
        <v>0</v>
      </c>
      <c r="CD112" s="17">
        <f t="shared" si="58"/>
        <v>0</v>
      </c>
      <c r="CE112" s="17">
        <f t="shared" si="59"/>
        <v>0</v>
      </c>
      <c r="CF112" s="17">
        <f t="shared" si="60"/>
        <v>0</v>
      </c>
      <c r="CG112" s="17">
        <f t="shared" si="61"/>
        <v>0</v>
      </c>
      <c r="CH112" s="17">
        <f t="shared" si="62"/>
        <v>0</v>
      </c>
      <c r="CI112" s="17">
        <f t="shared" si="63"/>
        <v>0</v>
      </c>
      <c r="CJ112" s="17">
        <f t="shared" si="44"/>
        <v>0</v>
      </c>
      <c r="CK112" s="17">
        <f t="shared" si="45"/>
        <v>0</v>
      </c>
    </row>
    <row r="113" spans="1:89" x14ac:dyDescent="0.35">
      <c r="A113" s="1">
        <v>45017</v>
      </c>
      <c r="B113">
        <v>2023</v>
      </c>
      <c r="C113">
        <f t="shared" si="46"/>
        <v>4</v>
      </c>
      <c r="D113" s="4">
        <v>3636981.867632573</v>
      </c>
      <c r="E113" s="4">
        <f>IFERROR(VLOOKUP($B113-1,CDM!$K$5:$N$19,2,FALSE)/12,0)+IFERROR(VLOOKUP($B113,CDM!$K$35:$N$47,2,FALSE)/24,0)+IFERROR(VLOOKUP($B113,CDM!$K$35:$N$47,2,FALSE)/2*$C113/78,0)</f>
        <v>147523.77733476582</v>
      </c>
      <c r="F113" s="4">
        <f t="shared" si="47"/>
        <v>3784505.644967339</v>
      </c>
      <c r="G113" s="4">
        <v>1698956.0997633836</v>
      </c>
      <c r="H113" s="4">
        <f>IFERROR(VLOOKUP($B113-1,CDM!$K$5:$N$19,3,FALSE)/12,0)+IFERROR(VLOOKUP($B113,CDM!$K$35:$N$47,3,FALSE)/24,0)+IFERROR(VLOOKUP($B113,CDM!$K$35:$N$47,3,FALSE)/2*$C113/78,0)</f>
        <v>168662.40189867237</v>
      </c>
      <c r="I113" s="4">
        <f t="shared" si="48"/>
        <v>1867618.501662056</v>
      </c>
      <c r="J113" s="4">
        <v>5336572.257023613</v>
      </c>
      <c r="K113" s="4">
        <f>IFERROR(VLOOKUP($B113-1,CDM!$K$5:$N$19,4,FALSE)/12,0)+IFERROR(VLOOKUP($B113,CDM!$K$35:$N$47,4,FALSE)/24,0)+IFERROR(VLOOKUP($B113,CDM!$K$35:$N$47,4,FALSE)/2*$C113/78,0)</f>
        <v>255090.04359839909</v>
      </c>
      <c r="L113" s="4">
        <f t="shared" si="49"/>
        <v>5591662.3006220125</v>
      </c>
      <c r="M113" s="4">
        <v>42951.034986356048</v>
      </c>
      <c r="N113" s="4">
        <v>13662.75</v>
      </c>
      <c r="O113" s="4">
        <v>13429.01</v>
      </c>
      <c r="P113" s="4">
        <v>118.73</v>
      </c>
      <c r="Q113" s="4">
        <v>5182</v>
      </c>
      <c r="R113" s="4">
        <v>714</v>
      </c>
      <c r="S113" s="4">
        <v>68</v>
      </c>
      <c r="T113" s="4">
        <v>1710</v>
      </c>
      <c r="U113" s="4">
        <v>22</v>
      </c>
      <c r="V113" s="4">
        <f>Weather!D233</f>
        <v>588.91250000000014</v>
      </c>
      <c r="W113" s="4">
        <f>Weather!E233</f>
        <v>0</v>
      </c>
      <c r="X113" s="4">
        <f>Weather!F233</f>
        <v>528.91250000000014</v>
      </c>
      <c r="Y113" s="4">
        <f>Weather!G233</f>
        <v>0</v>
      </c>
      <c r="Z113" s="4">
        <f>Weather!H233</f>
        <v>468.91250000000008</v>
      </c>
      <c r="AA113" s="4">
        <f>Weather!I233</f>
        <v>0</v>
      </c>
      <c r="AB113" s="4">
        <f>Weather!J233</f>
        <v>408.91250000000014</v>
      </c>
      <c r="AC113" s="4">
        <f>Weather!K233</f>
        <v>0</v>
      </c>
      <c r="AD113" s="4">
        <f>Weather!L233</f>
        <v>348.91250000000014</v>
      </c>
      <c r="AE113" s="4">
        <f>Weather!M233</f>
        <v>0</v>
      </c>
      <c r="AF113" s="4">
        <f>Weather!N233</f>
        <v>288.91250000000008</v>
      </c>
      <c r="AG113" s="4">
        <f>Weather!O233</f>
        <v>0</v>
      </c>
      <c r="AH113" s="4">
        <f>Weather!P233</f>
        <v>231.31666666666666</v>
      </c>
      <c r="AI113" s="4">
        <f>Weather!Q233</f>
        <v>2.4041666666666668</v>
      </c>
      <c r="AJ113" s="4">
        <f>Weather!R233</f>
        <v>0.36958333333333332</v>
      </c>
      <c r="AK113" s="4">
        <f>'Economic Data'!F115</f>
        <v>852729.2</v>
      </c>
      <c r="AL113" s="4">
        <f>'Economic Data'!G115</f>
        <v>8941.4</v>
      </c>
      <c r="AM113" s="4">
        <f>'Economic Data'!H115</f>
        <v>6918.4</v>
      </c>
      <c r="AN113" s="4">
        <f>'Economic Data'!I115</f>
        <v>112.6</v>
      </c>
      <c r="AO113" s="4">
        <f>'Economic Data'!J115</f>
        <v>144.1</v>
      </c>
      <c r="AP113" s="4">
        <f>'Economic Data'!K115</f>
        <v>406.2</v>
      </c>
      <c r="AQ113" s="4">
        <f>'Economic Data'!L115</f>
        <v>295.39999999999998</v>
      </c>
      <c r="AR113" s="4">
        <f>'Economic Data'!M115</f>
        <v>2666.2</v>
      </c>
      <c r="AS113" s="4">
        <f>'Economic Data'!N115</f>
        <v>1862.8</v>
      </c>
      <c r="AT113" s="4">
        <f>'Economic Data'!O115</f>
        <v>852990</v>
      </c>
      <c r="AU113" s="4">
        <f>'Economic Data'!P115</f>
        <v>8856</v>
      </c>
      <c r="AV113" s="4">
        <f>'Economic Data'!Q115</f>
        <v>5149</v>
      </c>
      <c r="AW113" s="4">
        <f>'Economic Data'!R115</f>
        <v>3208</v>
      </c>
      <c r="AX113" s="4">
        <f>'Economic Data'!E115</f>
        <v>7819.6</v>
      </c>
      <c r="AY113" s="4">
        <f>'Economic Data'!D115</f>
        <v>7884.3</v>
      </c>
      <c r="AZ113">
        <v>112</v>
      </c>
      <c r="BA113" s="14">
        <f t="shared" si="50"/>
        <v>4.7957905455967413</v>
      </c>
      <c r="BB113">
        <f t="shared" si="51"/>
        <v>12544</v>
      </c>
      <c r="BC113">
        <v>0</v>
      </c>
      <c r="BD113">
        <v>0</v>
      </c>
      <c r="BE113">
        <v>0</v>
      </c>
      <c r="BF113">
        <v>1</v>
      </c>
      <c r="BG113">
        <v>0</v>
      </c>
      <c r="BH113">
        <v>0</v>
      </c>
      <c r="BI113">
        <v>0</v>
      </c>
      <c r="BJ113">
        <v>0</v>
      </c>
      <c r="BK113">
        <v>0</v>
      </c>
      <c r="BL113">
        <v>0</v>
      </c>
      <c r="BM113">
        <v>0</v>
      </c>
      <c r="BN113">
        <v>0</v>
      </c>
      <c r="BO113">
        <v>1</v>
      </c>
      <c r="BP113">
        <v>0</v>
      </c>
      <c r="BQ113">
        <v>1</v>
      </c>
      <c r="BR113">
        <v>30</v>
      </c>
      <c r="BS113">
        <v>19</v>
      </c>
      <c r="BT113">
        <v>0</v>
      </c>
      <c r="BU113">
        <v>0</v>
      </c>
      <c r="BV113">
        <v>0.25</v>
      </c>
      <c r="BW113">
        <v>0</v>
      </c>
      <c r="BX113" s="17">
        <f t="shared" si="52"/>
        <v>0</v>
      </c>
      <c r="BY113" s="17">
        <f t="shared" si="53"/>
        <v>0</v>
      </c>
      <c r="BZ113" s="17">
        <f t="shared" si="54"/>
        <v>0</v>
      </c>
      <c r="CA113" s="17">
        <f t="shared" si="55"/>
        <v>0</v>
      </c>
      <c r="CB113" s="17">
        <f t="shared" si="56"/>
        <v>0</v>
      </c>
      <c r="CC113" s="17">
        <f t="shared" si="57"/>
        <v>0</v>
      </c>
      <c r="CD113" s="17">
        <f t="shared" si="58"/>
        <v>0</v>
      </c>
      <c r="CE113" s="17">
        <f t="shared" si="59"/>
        <v>0</v>
      </c>
      <c r="CF113" s="17">
        <f t="shared" si="60"/>
        <v>0</v>
      </c>
      <c r="CG113" s="17">
        <f t="shared" si="61"/>
        <v>0</v>
      </c>
      <c r="CH113" s="17">
        <f t="shared" si="62"/>
        <v>0</v>
      </c>
      <c r="CI113" s="17">
        <f t="shared" si="63"/>
        <v>0</v>
      </c>
      <c r="CJ113" s="17">
        <f t="shared" si="44"/>
        <v>0</v>
      </c>
      <c r="CK113" s="17">
        <f t="shared" si="45"/>
        <v>0</v>
      </c>
    </row>
    <row r="114" spans="1:89" x14ac:dyDescent="0.35">
      <c r="A114" s="1">
        <v>45047</v>
      </c>
      <c r="B114">
        <v>2023</v>
      </c>
      <c r="C114">
        <f t="shared" si="46"/>
        <v>5</v>
      </c>
      <c r="D114" s="4">
        <v>3076768.6621013135</v>
      </c>
      <c r="E114" s="4">
        <f>IFERROR(VLOOKUP($B114-1,CDM!$K$5:$N$19,2,FALSE)/12,0)+IFERROR(VLOOKUP($B114,CDM!$K$35:$N$47,2,FALSE)/24,0)+IFERROR(VLOOKUP($B114,CDM!$K$35:$N$47,2,FALSE)/2*$C114/78,0)</f>
        <v>147609.02581810375</v>
      </c>
      <c r="F114" s="4">
        <f t="shared" si="47"/>
        <v>3224377.6879194174</v>
      </c>
      <c r="G114" s="4">
        <v>1409970.1738703339</v>
      </c>
      <c r="H114" s="4">
        <f>IFERROR(VLOOKUP($B114-1,CDM!$K$5:$N$19,3,FALSE)/12,0)+IFERROR(VLOOKUP($B114,CDM!$K$35:$N$47,3,FALSE)/24,0)+IFERROR(VLOOKUP($B114,CDM!$K$35:$N$47,3,FALSE)/2*$C114/78,0)</f>
        <v>168175.21281404985</v>
      </c>
      <c r="I114" s="4">
        <f t="shared" si="48"/>
        <v>1578145.3866843837</v>
      </c>
      <c r="J114" s="4">
        <v>4526490.4608572014</v>
      </c>
      <c r="K114" s="4">
        <f>IFERROR(VLOOKUP($B114-1,CDM!$K$5:$N$19,4,FALSE)/12,0)+IFERROR(VLOOKUP($B114,CDM!$K$35:$N$47,4,FALSE)/24,0)+IFERROR(VLOOKUP($B114,CDM!$K$35:$N$47,4,FALSE)/2*$C114/78,0)</f>
        <v>257738.13239328837</v>
      </c>
      <c r="L114" s="4">
        <f t="shared" si="49"/>
        <v>4784228.5932504898</v>
      </c>
      <c r="M114" s="4">
        <v>34315.027951777789</v>
      </c>
      <c r="N114" s="4">
        <v>13662.75</v>
      </c>
      <c r="O114" s="4">
        <v>12910.84</v>
      </c>
      <c r="P114" s="4">
        <v>118.73</v>
      </c>
      <c r="Q114" s="4">
        <v>5201</v>
      </c>
      <c r="R114" s="4">
        <v>714</v>
      </c>
      <c r="S114" s="4">
        <v>68</v>
      </c>
      <c r="T114" s="4">
        <v>1710</v>
      </c>
      <c r="U114" s="4">
        <v>22</v>
      </c>
      <c r="V114" s="4">
        <f>Weather!D234</f>
        <v>286.91666666666657</v>
      </c>
      <c r="W114" s="4">
        <f>Weather!E234</f>
        <v>13.062499999999993</v>
      </c>
      <c r="X114" s="4">
        <f>Weather!F234</f>
        <v>232.91666666666663</v>
      </c>
      <c r="Y114" s="4">
        <f>Weather!G234</f>
        <v>21.062499999999993</v>
      </c>
      <c r="Z114" s="4">
        <f>Weather!H234</f>
        <v>182.42916666666667</v>
      </c>
      <c r="AA114" s="4">
        <f>Weather!I234</f>
        <v>32.574999999999989</v>
      </c>
      <c r="AB114" s="4">
        <f>Weather!J234</f>
        <v>132.56666666666666</v>
      </c>
      <c r="AC114" s="4">
        <f>Weather!K234</f>
        <v>44.712499999999991</v>
      </c>
      <c r="AD114" s="4">
        <f>Weather!L234</f>
        <v>89.120833333333323</v>
      </c>
      <c r="AE114" s="4">
        <f>Weather!M234</f>
        <v>63.266666666666666</v>
      </c>
      <c r="AF114" s="4">
        <f>Weather!N234</f>
        <v>53.558333333333323</v>
      </c>
      <c r="AG114" s="4">
        <f>Weather!O234</f>
        <v>89.704166666666652</v>
      </c>
      <c r="AH114" s="4">
        <f>Weather!P234</f>
        <v>30.920833333333331</v>
      </c>
      <c r="AI114" s="4">
        <f>Weather!Q234</f>
        <v>129.06666666666666</v>
      </c>
      <c r="AJ114" s="4">
        <f>Weather!R234</f>
        <v>11.165994623655916</v>
      </c>
      <c r="AK114" s="4">
        <f>'Economic Data'!F116</f>
        <v>852729.2</v>
      </c>
      <c r="AL114" s="4">
        <f>'Economic Data'!G116</f>
        <v>8941.4</v>
      </c>
      <c r="AM114" s="4">
        <f>'Economic Data'!H116</f>
        <v>6918.4</v>
      </c>
      <c r="AN114" s="4">
        <f>'Economic Data'!I116</f>
        <v>112.6</v>
      </c>
      <c r="AO114" s="4">
        <f>'Economic Data'!J116</f>
        <v>144.1</v>
      </c>
      <c r="AP114" s="4">
        <f>'Economic Data'!K116</f>
        <v>406.2</v>
      </c>
      <c r="AQ114" s="4">
        <f>'Economic Data'!L116</f>
        <v>295.39999999999998</v>
      </c>
      <c r="AR114" s="4">
        <f>'Economic Data'!M116</f>
        <v>2666.2</v>
      </c>
      <c r="AS114" s="4">
        <f>'Economic Data'!N116</f>
        <v>1862.8</v>
      </c>
      <c r="AT114" s="4">
        <f>'Economic Data'!O116</f>
        <v>852990</v>
      </c>
      <c r="AU114" s="4">
        <f>'Economic Data'!P116</f>
        <v>8856</v>
      </c>
      <c r="AV114" s="4">
        <f>'Economic Data'!Q116</f>
        <v>5149</v>
      </c>
      <c r="AW114" s="4">
        <f>'Economic Data'!R116</f>
        <v>3208</v>
      </c>
      <c r="AX114" s="4">
        <f>'Economic Data'!E116</f>
        <v>7882.6</v>
      </c>
      <c r="AY114" s="4">
        <f>'Economic Data'!D116</f>
        <v>7895.3</v>
      </c>
      <c r="AZ114">
        <v>113</v>
      </c>
      <c r="BA114" s="14">
        <f t="shared" si="50"/>
        <v>4.8040210447332568</v>
      </c>
      <c r="BB114">
        <f t="shared" si="51"/>
        <v>12769</v>
      </c>
      <c r="BC114">
        <v>0</v>
      </c>
      <c r="BD114">
        <v>0</v>
      </c>
      <c r="BE114">
        <v>0</v>
      </c>
      <c r="BF114">
        <v>0</v>
      </c>
      <c r="BG114">
        <v>1</v>
      </c>
      <c r="BH114">
        <v>0</v>
      </c>
      <c r="BI114">
        <v>0</v>
      </c>
      <c r="BJ114">
        <v>0</v>
      </c>
      <c r="BK114">
        <v>0</v>
      </c>
      <c r="BL114">
        <v>0</v>
      </c>
      <c r="BM114">
        <v>0</v>
      </c>
      <c r="BN114">
        <v>0</v>
      </c>
      <c r="BO114">
        <v>1</v>
      </c>
      <c r="BP114">
        <v>0</v>
      </c>
      <c r="BQ114">
        <v>1</v>
      </c>
      <c r="BR114">
        <v>31</v>
      </c>
      <c r="BS114">
        <v>22</v>
      </c>
      <c r="BT114">
        <v>0</v>
      </c>
      <c r="BU114">
        <v>0</v>
      </c>
      <c r="BV114">
        <v>0.25</v>
      </c>
      <c r="BW114">
        <v>0</v>
      </c>
      <c r="BX114" s="17">
        <f t="shared" si="52"/>
        <v>0</v>
      </c>
      <c r="BY114" s="17">
        <f t="shared" si="53"/>
        <v>0</v>
      </c>
      <c r="BZ114" s="17">
        <f t="shared" si="54"/>
        <v>0</v>
      </c>
      <c r="CA114" s="17">
        <f t="shared" si="55"/>
        <v>0</v>
      </c>
      <c r="CB114" s="17">
        <f t="shared" si="56"/>
        <v>0</v>
      </c>
      <c r="CC114" s="17">
        <f t="shared" si="57"/>
        <v>0</v>
      </c>
      <c r="CD114" s="17">
        <f t="shared" si="58"/>
        <v>0</v>
      </c>
      <c r="CE114" s="17">
        <f t="shared" si="59"/>
        <v>0</v>
      </c>
      <c r="CF114" s="17">
        <f t="shared" si="60"/>
        <v>0</v>
      </c>
      <c r="CG114" s="17">
        <f t="shared" si="61"/>
        <v>0</v>
      </c>
      <c r="CH114" s="17">
        <f t="shared" si="62"/>
        <v>0</v>
      </c>
      <c r="CI114" s="17">
        <f t="shared" si="63"/>
        <v>0</v>
      </c>
      <c r="CJ114" s="17">
        <f t="shared" si="44"/>
        <v>0</v>
      </c>
      <c r="CK114" s="17">
        <f t="shared" si="45"/>
        <v>0</v>
      </c>
    </row>
    <row r="115" spans="1:89" x14ac:dyDescent="0.35">
      <c r="A115" s="1">
        <v>45078</v>
      </c>
      <c r="B115">
        <v>2023</v>
      </c>
      <c r="C115">
        <f t="shared" si="46"/>
        <v>6</v>
      </c>
      <c r="D115" s="4">
        <v>2780973.5125211207</v>
      </c>
      <c r="E115" s="4">
        <f>IFERROR(VLOOKUP($B115-1,CDM!$K$5:$N$19,2,FALSE)/12,0)+IFERROR(VLOOKUP($B115,CDM!$K$35:$N$47,2,FALSE)/24,0)+IFERROR(VLOOKUP($B115,CDM!$K$35:$N$47,2,FALSE)/2*$C115/78,0)</f>
        <v>147694.27430144168</v>
      </c>
      <c r="F115" s="4">
        <f t="shared" si="47"/>
        <v>2928667.7868225626</v>
      </c>
      <c r="G115" s="4">
        <v>1324969.818046856</v>
      </c>
      <c r="H115" s="4">
        <f>IFERROR(VLOOKUP($B115-1,CDM!$K$5:$N$19,3,FALSE)/12,0)+IFERROR(VLOOKUP($B115,CDM!$K$35:$N$47,3,FALSE)/24,0)+IFERROR(VLOOKUP($B115,CDM!$K$35:$N$47,3,FALSE)/2*$C115/78,0)</f>
        <v>167688.02372942734</v>
      </c>
      <c r="I115" s="4">
        <f t="shared" si="48"/>
        <v>1492657.8417762832</v>
      </c>
      <c r="J115" s="4">
        <v>4576333.4781896174</v>
      </c>
      <c r="K115" s="4">
        <f>IFERROR(VLOOKUP($B115-1,CDM!$K$5:$N$19,4,FALSE)/12,0)+IFERROR(VLOOKUP($B115,CDM!$K$35:$N$47,4,FALSE)/24,0)+IFERROR(VLOOKUP($B115,CDM!$K$35:$N$47,4,FALSE)/2*$C115/78,0)</f>
        <v>260386.22118817767</v>
      </c>
      <c r="L115" s="4">
        <f t="shared" si="49"/>
        <v>4836719.6993777948</v>
      </c>
      <c r="M115" s="4">
        <v>29229.023808903188</v>
      </c>
      <c r="N115" s="4">
        <v>13662.75</v>
      </c>
      <c r="O115" s="4">
        <v>12883.71</v>
      </c>
      <c r="P115" s="4">
        <v>118.73</v>
      </c>
      <c r="Q115" s="4">
        <v>5191</v>
      </c>
      <c r="R115" s="4">
        <v>720</v>
      </c>
      <c r="S115" s="4">
        <v>69</v>
      </c>
      <c r="T115" s="4">
        <v>1710</v>
      </c>
      <c r="U115" s="4">
        <v>22</v>
      </c>
      <c r="V115" s="4">
        <f>Weather!D235</f>
        <v>109.80416666666666</v>
      </c>
      <c r="W115" s="4">
        <f>Weather!E235</f>
        <v>21.108333333333341</v>
      </c>
      <c r="X115" s="4">
        <f>Weather!F235</f>
        <v>70.174999999999997</v>
      </c>
      <c r="Y115" s="4">
        <f>Weather!G235</f>
        <v>41.479166666666671</v>
      </c>
      <c r="Z115" s="4">
        <f>Weather!H235</f>
        <v>38.679166666666653</v>
      </c>
      <c r="AA115" s="4">
        <f>Weather!I235</f>
        <v>69.983333333333334</v>
      </c>
      <c r="AB115" s="4">
        <f>Weather!J235</f>
        <v>16.779166666666661</v>
      </c>
      <c r="AC115" s="4">
        <f>Weather!K235</f>
        <v>108.08333333333336</v>
      </c>
      <c r="AD115" s="4">
        <f>Weather!L235</f>
        <v>5.9208333333333325</v>
      </c>
      <c r="AE115" s="4">
        <f>Weather!M235</f>
        <v>157.22499999999999</v>
      </c>
      <c r="AF115" s="4">
        <f>Weather!N235</f>
        <v>1.0041666666666664</v>
      </c>
      <c r="AG115" s="4">
        <f>Weather!O235</f>
        <v>212.30833333333337</v>
      </c>
      <c r="AH115" s="4">
        <f>Weather!P235</f>
        <v>0</v>
      </c>
      <c r="AI115" s="4">
        <f>Weather!Q235</f>
        <v>271.30416666666667</v>
      </c>
      <c r="AJ115" s="4">
        <f>Weather!R235</f>
        <v>17.043472222222224</v>
      </c>
      <c r="AK115" s="4">
        <f>'Economic Data'!F117</f>
        <v>852729.2</v>
      </c>
      <c r="AL115" s="4">
        <f>'Economic Data'!G117</f>
        <v>8941.4</v>
      </c>
      <c r="AM115" s="4">
        <f>'Economic Data'!H117</f>
        <v>6918.4</v>
      </c>
      <c r="AN115" s="4">
        <f>'Economic Data'!I117</f>
        <v>112.6</v>
      </c>
      <c r="AO115" s="4">
        <f>'Economic Data'!J117</f>
        <v>144.1</v>
      </c>
      <c r="AP115" s="4">
        <f>'Economic Data'!K117</f>
        <v>406.2</v>
      </c>
      <c r="AQ115" s="4">
        <f>'Economic Data'!L117</f>
        <v>295.39999999999998</v>
      </c>
      <c r="AR115" s="4">
        <f>'Economic Data'!M117</f>
        <v>2666.2</v>
      </c>
      <c r="AS115" s="4">
        <f>'Economic Data'!N117</f>
        <v>1862.8</v>
      </c>
      <c r="AT115" s="4">
        <f>'Economic Data'!O117</f>
        <v>852990</v>
      </c>
      <c r="AU115" s="4">
        <f>'Economic Data'!P117</f>
        <v>8856</v>
      </c>
      <c r="AV115" s="4">
        <f>'Economic Data'!Q117</f>
        <v>5149</v>
      </c>
      <c r="AW115" s="4">
        <f>'Economic Data'!R117</f>
        <v>3208</v>
      </c>
      <c r="AX115" s="4">
        <f>'Economic Data'!E117</f>
        <v>7971.2</v>
      </c>
      <c r="AY115" s="4">
        <f>'Economic Data'!D117</f>
        <v>7916.1</v>
      </c>
      <c r="AZ115">
        <v>114</v>
      </c>
      <c r="BA115" s="14">
        <f t="shared" si="50"/>
        <v>4.8121843553724171</v>
      </c>
      <c r="BB115">
        <f t="shared" si="51"/>
        <v>12996</v>
      </c>
      <c r="BC115">
        <v>0</v>
      </c>
      <c r="BD115">
        <v>0</v>
      </c>
      <c r="BE115">
        <v>0</v>
      </c>
      <c r="BF115">
        <v>0</v>
      </c>
      <c r="BG115">
        <v>0</v>
      </c>
      <c r="BH115">
        <v>1</v>
      </c>
      <c r="BI115">
        <v>0</v>
      </c>
      <c r="BJ115">
        <v>0</v>
      </c>
      <c r="BK115">
        <v>0</v>
      </c>
      <c r="BL115">
        <v>0</v>
      </c>
      <c r="BM115">
        <v>0</v>
      </c>
      <c r="BN115">
        <v>0</v>
      </c>
      <c r="BO115">
        <v>0</v>
      </c>
      <c r="BP115">
        <v>0</v>
      </c>
      <c r="BQ115">
        <v>0</v>
      </c>
      <c r="BR115">
        <v>30</v>
      </c>
      <c r="BS115">
        <v>22</v>
      </c>
      <c r="BT115">
        <v>0</v>
      </c>
      <c r="BU115">
        <v>0</v>
      </c>
      <c r="BV115">
        <v>0.25</v>
      </c>
      <c r="BW115">
        <v>0</v>
      </c>
      <c r="BX115" s="17">
        <f t="shared" si="52"/>
        <v>0</v>
      </c>
      <c r="BY115" s="17">
        <f t="shared" si="53"/>
        <v>0</v>
      </c>
      <c r="BZ115" s="17">
        <f t="shared" si="54"/>
        <v>0</v>
      </c>
      <c r="CA115" s="17">
        <f t="shared" si="55"/>
        <v>0</v>
      </c>
      <c r="CB115" s="17">
        <f t="shared" si="56"/>
        <v>0</v>
      </c>
      <c r="CC115" s="17">
        <f t="shared" si="57"/>
        <v>0</v>
      </c>
      <c r="CD115" s="17">
        <f t="shared" si="58"/>
        <v>0</v>
      </c>
      <c r="CE115" s="17">
        <f t="shared" si="59"/>
        <v>0</v>
      </c>
      <c r="CF115" s="17">
        <f t="shared" si="60"/>
        <v>0</v>
      </c>
      <c r="CG115" s="17">
        <f t="shared" si="61"/>
        <v>0</v>
      </c>
      <c r="CH115" s="17">
        <f t="shared" si="62"/>
        <v>0</v>
      </c>
      <c r="CI115" s="17">
        <f t="shared" si="63"/>
        <v>0</v>
      </c>
      <c r="CJ115" s="17">
        <f t="shared" si="44"/>
        <v>0</v>
      </c>
      <c r="CK115" s="17">
        <f t="shared" si="45"/>
        <v>0</v>
      </c>
    </row>
    <row r="116" spans="1:89" x14ac:dyDescent="0.35">
      <c r="A116" s="1">
        <v>45108</v>
      </c>
      <c r="B116">
        <v>2023</v>
      </c>
      <c r="C116">
        <f t="shared" si="46"/>
        <v>7</v>
      </c>
      <c r="D116" s="4">
        <v>2902160.9374222322</v>
      </c>
      <c r="E116" s="4">
        <f>IFERROR(VLOOKUP($B116-1,CDM!$K$5:$N$19,2,FALSE)/12,0)+IFERROR(VLOOKUP($B116,CDM!$K$35:$N$47,2,FALSE)/24,0)+IFERROR(VLOOKUP($B116,CDM!$K$35:$N$47,2,FALSE)/2*$C116/78,0)</f>
        <v>147779.5227847796</v>
      </c>
      <c r="F116" s="4">
        <f t="shared" si="47"/>
        <v>3049940.460207012</v>
      </c>
      <c r="G116" s="4">
        <v>1302322.8395594084</v>
      </c>
      <c r="H116" s="4">
        <f>IFERROR(VLOOKUP($B116-1,CDM!$K$5:$N$19,3,FALSE)/12,0)+IFERROR(VLOOKUP($B116,CDM!$K$35:$N$47,3,FALSE)/24,0)+IFERROR(VLOOKUP($B116,CDM!$K$35:$N$47,3,FALSE)/2*$C116/78,0)</f>
        <v>167200.8346448048</v>
      </c>
      <c r="I116" s="4">
        <f t="shared" si="48"/>
        <v>1469523.6742042131</v>
      </c>
      <c r="J116" s="4">
        <v>4219571.0883287182</v>
      </c>
      <c r="K116" s="4">
        <f>IFERROR(VLOOKUP($B116-1,CDM!$K$5:$N$19,4,FALSE)/12,0)+IFERROR(VLOOKUP($B116,CDM!$K$35:$N$47,4,FALSE)/24,0)+IFERROR(VLOOKUP($B116,CDM!$K$35:$N$47,4,FALSE)/2*$C116/78,0)</f>
        <v>263034.30998306692</v>
      </c>
      <c r="L116" s="4">
        <f t="shared" si="49"/>
        <v>4482605.3983117854</v>
      </c>
      <c r="M116" s="4">
        <v>25237.020557162057</v>
      </c>
      <c r="N116" s="4">
        <v>13662.75</v>
      </c>
      <c r="O116" s="4">
        <v>12111.09</v>
      </c>
      <c r="P116" s="4">
        <v>118.73</v>
      </c>
      <c r="Q116" s="4">
        <v>5202</v>
      </c>
      <c r="R116" s="4">
        <v>720</v>
      </c>
      <c r="S116" s="4">
        <v>70</v>
      </c>
      <c r="T116" s="4">
        <v>1710</v>
      </c>
      <c r="U116" s="4">
        <v>22</v>
      </c>
      <c r="V116" s="4">
        <f>Weather!D236</f>
        <v>96.268966510669557</v>
      </c>
      <c r="W116" s="4">
        <f>Weather!E236</f>
        <v>10.320833333333336</v>
      </c>
      <c r="X116" s="4">
        <f>Weather!F236</f>
        <v>46.773133177336241</v>
      </c>
      <c r="Y116" s="4">
        <f>Weather!G236</f>
        <v>22.82500000000001</v>
      </c>
      <c r="Z116" s="4">
        <f>Weather!H236</f>
        <v>16.823133177336238</v>
      </c>
      <c r="AA116" s="4">
        <f>Weather!I236</f>
        <v>54.875000000000014</v>
      </c>
      <c r="AB116" s="4">
        <f>Weather!J236</f>
        <v>3.614799844002901</v>
      </c>
      <c r="AC116" s="4">
        <f>Weather!K236</f>
        <v>103.66666666666666</v>
      </c>
      <c r="AD116" s="4">
        <f>Weather!L236</f>
        <v>0</v>
      </c>
      <c r="AE116" s="4">
        <f>Weather!M236</f>
        <v>162.05186682266375</v>
      </c>
      <c r="AF116" s="4">
        <f>Weather!N236</f>
        <v>0</v>
      </c>
      <c r="AG116" s="4">
        <f>Weather!O236</f>
        <v>224.05186682266375</v>
      </c>
      <c r="AH116" s="4">
        <f>Weather!P236</f>
        <v>0</v>
      </c>
      <c r="AI116" s="4">
        <f>Weather!Q236</f>
        <v>286.05186682266384</v>
      </c>
      <c r="AJ116" s="4">
        <f>Weather!R236</f>
        <v>17.227479574924633</v>
      </c>
      <c r="AK116" s="4">
        <f>'Economic Data'!F118</f>
        <v>852729.2</v>
      </c>
      <c r="AL116" s="4">
        <f>'Economic Data'!G118</f>
        <v>8941.4</v>
      </c>
      <c r="AM116" s="4">
        <f>'Economic Data'!H118</f>
        <v>6918.4</v>
      </c>
      <c r="AN116" s="4">
        <f>'Economic Data'!I118</f>
        <v>112.6</v>
      </c>
      <c r="AO116" s="4">
        <f>'Economic Data'!J118</f>
        <v>144.1</v>
      </c>
      <c r="AP116" s="4">
        <f>'Economic Data'!K118</f>
        <v>406.2</v>
      </c>
      <c r="AQ116" s="4">
        <f>'Economic Data'!L118</f>
        <v>295.39999999999998</v>
      </c>
      <c r="AR116" s="4">
        <f>'Economic Data'!M118</f>
        <v>2666.2</v>
      </c>
      <c r="AS116" s="4">
        <f>'Economic Data'!N118</f>
        <v>1862.8</v>
      </c>
      <c r="AT116" s="4">
        <f>'Economic Data'!O118</f>
        <v>853993</v>
      </c>
      <c r="AU116" s="4">
        <f>'Economic Data'!P118</f>
        <v>8877</v>
      </c>
      <c r="AV116" s="4">
        <f>'Economic Data'!Q118</f>
        <v>5064</v>
      </c>
      <c r="AW116" s="4">
        <f>'Economic Data'!R118</f>
        <v>3115</v>
      </c>
      <c r="AX116" s="4">
        <f>'Economic Data'!E118</f>
        <v>8016.9</v>
      </c>
      <c r="AY116" s="4">
        <f>'Economic Data'!D118</f>
        <v>7926.1</v>
      </c>
      <c r="AZ116">
        <v>115</v>
      </c>
      <c r="BA116" s="14">
        <f t="shared" si="50"/>
        <v>4.8202815656050371</v>
      </c>
      <c r="BB116">
        <f t="shared" si="51"/>
        <v>13225</v>
      </c>
      <c r="BC116">
        <v>0</v>
      </c>
      <c r="BD116">
        <v>0</v>
      </c>
      <c r="BE116">
        <v>0</v>
      </c>
      <c r="BF116">
        <v>0</v>
      </c>
      <c r="BG116">
        <v>0</v>
      </c>
      <c r="BH116">
        <v>0</v>
      </c>
      <c r="BI116">
        <v>1</v>
      </c>
      <c r="BJ116">
        <v>0</v>
      </c>
      <c r="BK116">
        <v>0</v>
      </c>
      <c r="BL116">
        <v>0</v>
      </c>
      <c r="BM116">
        <v>0</v>
      </c>
      <c r="BN116">
        <v>0</v>
      </c>
      <c r="BO116">
        <v>0</v>
      </c>
      <c r="BP116">
        <v>0</v>
      </c>
      <c r="BQ116">
        <v>0</v>
      </c>
      <c r="BR116">
        <v>31</v>
      </c>
      <c r="BS116">
        <v>20</v>
      </c>
      <c r="BT116">
        <v>0</v>
      </c>
      <c r="BU116">
        <v>0</v>
      </c>
      <c r="BV116">
        <v>0.25</v>
      </c>
      <c r="BW116">
        <v>0</v>
      </c>
      <c r="BX116" s="17">
        <f t="shared" si="52"/>
        <v>0</v>
      </c>
      <c r="BY116" s="17">
        <f t="shared" si="53"/>
        <v>0</v>
      </c>
      <c r="BZ116" s="17">
        <f t="shared" si="54"/>
        <v>0</v>
      </c>
      <c r="CA116" s="17">
        <f t="shared" si="55"/>
        <v>0</v>
      </c>
      <c r="CB116" s="17">
        <f t="shared" si="56"/>
        <v>0</v>
      </c>
      <c r="CC116" s="17">
        <f t="shared" si="57"/>
        <v>0</v>
      </c>
      <c r="CD116" s="17">
        <f t="shared" si="58"/>
        <v>0</v>
      </c>
      <c r="CE116" s="17">
        <f t="shared" si="59"/>
        <v>0</v>
      </c>
      <c r="CF116" s="17">
        <f t="shared" si="60"/>
        <v>0</v>
      </c>
      <c r="CG116" s="17">
        <f t="shared" si="61"/>
        <v>0</v>
      </c>
      <c r="CH116" s="17">
        <f t="shared" si="62"/>
        <v>0</v>
      </c>
      <c r="CI116" s="17">
        <f t="shared" si="63"/>
        <v>0</v>
      </c>
      <c r="CJ116" s="17">
        <f t="shared" si="44"/>
        <v>0</v>
      </c>
      <c r="CK116" s="17">
        <f t="shared" si="45"/>
        <v>0</v>
      </c>
    </row>
    <row r="117" spans="1:89" x14ac:dyDescent="0.35">
      <c r="A117" s="1">
        <v>45139</v>
      </c>
      <c r="B117">
        <v>2023</v>
      </c>
      <c r="C117">
        <f t="shared" si="46"/>
        <v>8</v>
      </c>
      <c r="D117" s="4">
        <v>2996588.5006348263</v>
      </c>
      <c r="E117" s="4">
        <f>IFERROR(VLOOKUP($B117-1,CDM!$K$5:$N$19,2,FALSE)/12,0)+IFERROR(VLOOKUP($B117,CDM!$K$35:$N$47,2,FALSE)/24,0)+IFERROR(VLOOKUP($B117,CDM!$K$35:$N$47,2,FALSE)/2*$C117/78,0)</f>
        <v>147864.77126811753</v>
      </c>
      <c r="F117" s="4">
        <f t="shared" si="47"/>
        <v>3144453.271902944</v>
      </c>
      <c r="G117" s="4">
        <v>1302354.5983267338</v>
      </c>
      <c r="H117" s="4">
        <f>IFERROR(VLOOKUP($B117-1,CDM!$K$5:$N$19,3,FALSE)/12,0)+IFERROR(VLOOKUP($B117,CDM!$K$35:$N$47,3,FALSE)/24,0)+IFERROR(VLOOKUP($B117,CDM!$K$35:$N$47,3,FALSE)/2*$C117/78,0)</f>
        <v>166713.64556018228</v>
      </c>
      <c r="I117" s="4">
        <f t="shared" si="48"/>
        <v>1469068.243886916</v>
      </c>
      <c r="J117" s="4">
        <v>3946484.5396162788</v>
      </c>
      <c r="K117" s="4">
        <f>IFERROR(VLOOKUP($B117-1,CDM!$K$5:$N$19,4,FALSE)/12,0)+IFERROR(VLOOKUP($B117,CDM!$K$35:$N$47,4,FALSE)/24,0)+IFERROR(VLOOKUP($B117,CDM!$K$35:$N$47,4,FALSE)/2*$C117/78,0)</f>
        <v>265682.3987779562</v>
      </c>
      <c r="L117" s="4">
        <f t="shared" si="49"/>
        <v>4212166.9383942354</v>
      </c>
      <c r="M117" s="4">
        <v>27927.022748340325</v>
      </c>
      <c r="N117" s="4">
        <v>13662.75</v>
      </c>
      <c r="O117" s="4">
        <v>11565.41</v>
      </c>
      <c r="P117" s="4">
        <v>118.73</v>
      </c>
      <c r="Q117" s="4">
        <v>5197</v>
      </c>
      <c r="R117" s="4">
        <v>714</v>
      </c>
      <c r="S117" s="4">
        <v>69</v>
      </c>
      <c r="T117" s="4">
        <v>1710</v>
      </c>
      <c r="U117" s="4">
        <v>22</v>
      </c>
      <c r="V117" s="4">
        <f>Weather!D237</f>
        <v>142.70416666666671</v>
      </c>
      <c r="W117" s="4">
        <f>Weather!E237</f>
        <v>0</v>
      </c>
      <c r="X117" s="4">
        <f>Weather!F237</f>
        <v>84.345833333333346</v>
      </c>
      <c r="Y117" s="4">
        <f>Weather!G237</f>
        <v>3.6416666666666551</v>
      </c>
      <c r="Z117" s="4">
        <f>Weather!H237</f>
        <v>39.037500000000001</v>
      </c>
      <c r="AA117" s="4">
        <f>Weather!I237</f>
        <v>20.333333333333318</v>
      </c>
      <c r="AB117" s="4">
        <f>Weather!J237</f>
        <v>15.599999999999998</v>
      </c>
      <c r="AC117" s="4">
        <f>Weather!K237</f>
        <v>58.895833333333314</v>
      </c>
      <c r="AD117" s="4">
        <f>Weather!L237</f>
        <v>7.3791666666666682</v>
      </c>
      <c r="AE117" s="4">
        <f>Weather!M237</f>
        <v>112.67499999999995</v>
      </c>
      <c r="AF117" s="4">
        <f>Weather!N237</f>
        <v>2.44166666666667</v>
      </c>
      <c r="AG117" s="4">
        <f>Weather!O237</f>
        <v>169.73749999999998</v>
      </c>
      <c r="AH117" s="4">
        <f>Weather!P237</f>
        <v>0</v>
      </c>
      <c r="AI117" s="4">
        <f>Weather!Q237</f>
        <v>229.29583333333335</v>
      </c>
      <c r="AJ117" s="4">
        <f>Weather!R237</f>
        <v>15.396639784946235</v>
      </c>
      <c r="AK117" s="4">
        <f>'Economic Data'!F119</f>
        <v>852729.2</v>
      </c>
      <c r="AL117" s="4">
        <f>'Economic Data'!G119</f>
        <v>8941.4</v>
      </c>
      <c r="AM117" s="4">
        <f>'Economic Data'!H119</f>
        <v>6918.4</v>
      </c>
      <c r="AN117" s="4">
        <f>'Economic Data'!I119</f>
        <v>112.6</v>
      </c>
      <c r="AO117" s="4">
        <f>'Economic Data'!J119</f>
        <v>144.1</v>
      </c>
      <c r="AP117" s="4">
        <f>'Economic Data'!K119</f>
        <v>406.2</v>
      </c>
      <c r="AQ117" s="4">
        <f>'Economic Data'!L119</f>
        <v>295.39999999999998</v>
      </c>
      <c r="AR117" s="4">
        <f>'Economic Data'!M119</f>
        <v>2666.2</v>
      </c>
      <c r="AS117" s="4">
        <f>'Economic Data'!N119</f>
        <v>1862.8</v>
      </c>
      <c r="AT117" s="4">
        <f>'Economic Data'!O119</f>
        <v>853993</v>
      </c>
      <c r="AU117" s="4">
        <f>'Economic Data'!P119</f>
        <v>8877</v>
      </c>
      <c r="AV117" s="4">
        <f>'Economic Data'!Q119</f>
        <v>5064</v>
      </c>
      <c r="AW117" s="4">
        <f>'Economic Data'!R119</f>
        <v>3115</v>
      </c>
      <c r="AX117" s="4">
        <f>'Economic Data'!E119</f>
        <v>8020.3</v>
      </c>
      <c r="AY117" s="4">
        <f>'Economic Data'!D119</f>
        <v>7940.5</v>
      </c>
      <c r="AZ117">
        <v>116</v>
      </c>
      <c r="BA117" s="14">
        <f t="shared" si="50"/>
        <v>4.8283137373023015</v>
      </c>
      <c r="BB117">
        <f t="shared" si="51"/>
        <v>13456</v>
      </c>
      <c r="BC117">
        <v>0</v>
      </c>
      <c r="BD117">
        <v>0</v>
      </c>
      <c r="BE117">
        <v>0</v>
      </c>
      <c r="BF117">
        <v>0</v>
      </c>
      <c r="BG117">
        <v>0</v>
      </c>
      <c r="BH117">
        <v>0</v>
      </c>
      <c r="BI117">
        <v>0</v>
      </c>
      <c r="BJ117">
        <v>1</v>
      </c>
      <c r="BK117">
        <v>0</v>
      </c>
      <c r="BL117">
        <v>0</v>
      </c>
      <c r="BM117">
        <v>0</v>
      </c>
      <c r="BN117">
        <v>0</v>
      </c>
      <c r="BO117">
        <v>0</v>
      </c>
      <c r="BP117">
        <v>0</v>
      </c>
      <c r="BQ117">
        <v>0</v>
      </c>
      <c r="BR117">
        <v>31</v>
      </c>
      <c r="BS117">
        <v>22</v>
      </c>
      <c r="BT117">
        <v>0</v>
      </c>
      <c r="BU117">
        <v>0</v>
      </c>
      <c r="BV117">
        <v>0.25</v>
      </c>
      <c r="BW117">
        <v>0</v>
      </c>
      <c r="BX117" s="17">
        <f t="shared" si="52"/>
        <v>0</v>
      </c>
      <c r="BY117" s="17">
        <f t="shared" si="53"/>
        <v>0</v>
      </c>
      <c r="BZ117" s="17">
        <f t="shared" si="54"/>
        <v>0</v>
      </c>
      <c r="CA117" s="17">
        <f t="shared" si="55"/>
        <v>0</v>
      </c>
      <c r="CB117" s="17">
        <f t="shared" si="56"/>
        <v>0</v>
      </c>
      <c r="CC117" s="17">
        <f t="shared" si="57"/>
        <v>0</v>
      </c>
      <c r="CD117" s="17">
        <f t="shared" si="58"/>
        <v>0</v>
      </c>
      <c r="CE117" s="17">
        <f t="shared" si="59"/>
        <v>0</v>
      </c>
      <c r="CF117" s="17">
        <f t="shared" si="60"/>
        <v>0</v>
      </c>
      <c r="CG117" s="17">
        <f t="shared" si="61"/>
        <v>0</v>
      </c>
      <c r="CH117" s="17">
        <f t="shared" si="62"/>
        <v>0</v>
      </c>
      <c r="CI117" s="17">
        <f t="shared" si="63"/>
        <v>0</v>
      </c>
      <c r="CJ117" s="17">
        <f t="shared" si="44"/>
        <v>0</v>
      </c>
      <c r="CK117" s="17">
        <f t="shared" si="45"/>
        <v>0</v>
      </c>
    </row>
    <row r="118" spans="1:89" x14ac:dyDescent="0.35">
      <c r="A118" s="1">
        <v>45170</v>
      </c>
      <c r="B118">
        <v>2023</v>
      </c>
      <c r="C118">
        <f t="shared" si="46"/>
        <v>9</v>
      </c>
      <c r="D118" s="4">
        <v>2717937.9564775131</v>
      </c>
      <c r="E118" s="4">
        <f>IFERROR(VLOOKUP($B118-1,CDM!$K$5:$N$19,2,FALSE)/12,0)+IFERROR(VLOOKUP($B118,CDM!$K$35:$N$47,2,FALSE)/24,0)+IFERROR(VLOOKUP($B118,CDM!$K$35:$N$47,2,FALSE)/2*$C118/78,0)</f>
        <v>147950.01975145546</v>
      </c>
      <c r="F118" s="4">
        <f t="shared" si="47"/>
        <v>2865887.9762289687</v>
      </c>
      <c r="G118" s="4">
        <v>1231103.8038321966</v>
      </c>
      <c r="H118" s="4">
        <f>IFERROR(VLOOKUP($B118-1,CDM!$K$5:$N$19,3,FALSE)/12,0)+IFERROR(VLOOKUP($B118,CDM!$K$35:$N$47,3,FALSE)/24,0)+IFERROR(VLOOKUP($B118,CDM!$K$35:$N$47,3,FALSE)/2*$C118/78,0)</f>
        <v>166226.45647555977</v>
      </c>
      <c r="I118" s="4">
        <f t="shared" si="48"/>
        <v>1397330.2603077565</v>
      </c>
      <c r="J118" s="4">
        <v>4317681.0472779991</v>
      </c>
      <c r="K118" s="4">
        <f>IFERROR(VLOOKUP($B118-1,CDM!$K$5:$N$19,4,FALSE)/12,0)+IFERROR(VLOOKUP($B118,CDM!$K$35:$N$47,4,FALSE)/24,0)+IFERROR(VLOOKUP($B118,CDM!$K$35:$N$47,4,FALSE)/2*$C118/78,0)</f>
        <v>268330.48757284548</v>
      </c>
      <c r="L118" s="4">
        <f t="shared" si="49"/>
        <v>4586011.5348508442</v>
      </c>
      <c r="M118" s="4">
        <v>33579.027352258381</v>
      </c>
      <c r="N118" s="4">
        <v>13662.75</v>
      </c>
      <c r="O118" s="4">
        <v>11545.13</v>
      </c>
      <c r="P118" s="4">
        <v>118.73</v>
      </c>
      <c r="Q118" s="4">
        <v>5192</v>
      </c>
      <c r="R118" s="4">
        <v>714</v>
      </c>
      <c r="S118" s="4">
        <v>69</v>
      </c>
      <c r="T118" s="4">
        <v>1710</v>
      </c>
      <c r="U118" s="4">
        <v>22</v>
      </c>
      <c r="V118" s="4">
        <f>Weather!D238</f>
        <v>204.76249999999999</v>
      </c>
      <c r="W118" s="4">
        <f>Weather!E238</f>
        <v>11.42916666666666</v>
      </c>
      <c r="X118" s="4">
        <f>Weather!F238</f>
        <v>152.76249999999999</v>
      </c>
      <c r="Y118" s="4">
        <f>Weather!G238</f>
        <v>19.42916666666666</v>
      </c>
      <c r="Z118" s="4">
        <f>Weather!H238</f>
        <v>103.3875</v>
      </c>
      <c r="AA118" s="4">
        <f>Weather!I238</f>
        <v>30.054166666666656</v>
      </c>
      <c r="AB118" s="4">
        <f>Weather!J238</f>
        <v>62.845833333333331</v>
      </c>
      <c r="AC118" s="4">
        <f>Weather!K238</f>
        <v>49.512499999999989</v>
      </c>
      <c r="AD118" s="4">
        <f>Weather!L238</f>
        <v>33.549999999999997</v>
      </c>
      <c r="AE118" s="4">
        <f>Weather!M238</f>
        <v>80.216666666666669</v>
      </c>
      <c r="AF118" s="4">
        <f>Weather!N238</f>
        <v>13.108333333333334</v>
      </c>
      <c r="AG118" s="4">
        <f>Weather!O238</f>
        <v>119.77500000000001</v>
      </c>
      <c r="AH118" s="4">
        <f>Weather!P238</f>
        <v>2.4124999999999988</v>
      </c>
      <c r="AI118" s="4">
        <f>Weather!Q238</f>
        <v>169.07916666666668</v>
      </c>
      <c r="AJ118" s="4">
        <f>Weather!R238</f>
        <v>13.555555555555555</v>
      </c>
      <c r="AK118" s="4">
        <f>'Economic Data'!F120</f>
        <v>852729.2</v>
      </c>
      <c r="AL118" s="4">
        <f>'Economic Data'!G120</f>
        <v>8941.4</v>
      </c>
      <c r="AM118" s="4">
        <f>'Economic Data'!H120</f>
        <v>6918.4</v>
      </c>
      <c r="AN118" s="4">
        <f>'Economic Data'!I120</f>
        <v>112.6</v>
      </c>
      <c r="AO118" s="4">
        <f>'Economic Data'!J120</f>
        <v>144.1</v>
      </c>
      <c r="AP118" s="4">
        <f>'Economic Data'!K120</f>
        <v>406.2</v>
      </c>
      <c r="AQ118" s="4">
        <f>'Economic Data'!L120</f>
        <v>295.39999999999998</v>
      </c>
      <c r="AR118" s="4">
        <f>'Economic Data'!M120</f>
        <v>2666.2</v>
      </c>
      <c r="AS118" s="4">
        <f>'Economic Data'!N120</f>
        <v>1862.8</v>
      </c>
      <c r="AT118" s="4">
        <f>'Economic Data'!O120</f>
        <v>853993</v>
      </c>
      <c r="AU118" s="4">
        <f>'Economic Data'!P120</f>
        <v>8877</v>
      </c>
      <c r="AV118" s="4">
        <f>'Economic Data'!Q120</f>
        <v>5064</v>
      </c>
      <c r="AW118" s="4">
        <f>'Economic Data'!R120</f>
        <v>3115</v>
      </c>
      <c r="AX118" s="4">
        <f>'Economic Data'!E120</f>
        <v>7968.4</v>
      </c>
      <c r="AY118" s="4">
        <f>'Economic Data'!D120</f>
        <v>7945</v>
      </c>
      <c r="AZ118">
        <v>117</v>
      </c>
      <c r="BA118" s="14">
        <f t="shared" si="50"/>
        <v>4.836281906951478</v>
      </c>
      <c r="BB118">
        <f t="shared" si="51"/>
        <v>13689</v>
      </c>
      <c r="BC118">
        <v>0</v>
      </c>
      <c r="BD118">
        <v>0</v>
      </c>
      <c r="BE118">
        <v>0</v>
      </c>
      <c r="BF118">
        <v>0</v>
      </c>
      <c r="BG118">
        <v>0</v>
      </c>
      <c r="BH118">
        <v>0</v>
      </c>
      <c r="BI118">
        <v>0</v>
      </c>
      <c r="BJ118">
        <v>0</v>
      </c>
      <c r="BK118">
        <v>1</v>
      </c>
      <c r="BL118">
        <v>0</v>
      </c>
      <c r="BM118">
        <v>0</v>
      </c>
      <c r="BN118">
        <v>0</v>
      </c>
      <c r="BO118">
        <v>0</v>
      </c>
      <c r="BP118">
        <v>0</v>
      </c>
      <c r="BQ118">
        <v>0</v>
      </c>
      <c r="BR118">
        <v>30</v>
      </c>
      <c r="BS118">
        <v>20</v>
      </c>
      <c r="BT118">
        <v>0</v>
      </c>
      <c r="BU118">
        <v>0</v>
      </c>
      <c r="BV118">
        <v>0.25</v>
      </c>
      <c r="BW118">
        <v>0</v>
      </c>
      <c r="BX118" s="17">
        <f t="shared" si="52"/>
        <v>0</v>
      </c>
      <c r="BY118" s="17">
        <f t="shared" si="53"/>
        <v>0</v>
      </c>
      <c r="BZ118" s="17">
        <f t="shared" si="54"/>
        <v>0</v>
      </c>
      <c r="CA118" s="17">
        <f t="shared" si="55"/>
        <v>0</v>
      </c>
      <c r="CB118" s="17">
        <f t="shared" si="56"/>
        <v>0</v>
      </c>
      <c r="CC118" s="17">
        <f t="shared" si="57"/>
        <v>0</v>
      </c>
      <c r="CD118" s="17">
        <f t="shared" si="58"/>
        <v>0</v>
      </c>
      <c r="CE118" s="17">
        <f t="shared" si="59"/>
        <v>0</v>
      </c>
      <c r="CF118" s="17">
        <f t="shared" si="60"/>
        <v>0</v>
      </c>
      <c r="CG118" s="17">
        <f t="shared" si="61"/>
        <v>0</v>
      </c>
      <c r="CH118" s="17">
        <f t="shared" si="62"/>
        <v>0</v>
      </c>
      <c r="CI118" s="17">
        <f t="shared" si="63"/>
        <v>0</v>
      </c>
      <c r="CJ118" s="17">
        <f t="shared" si="44"/>
        <v>0</v>
      </c>
      <c r="CK118" s="17">
        <f t="shared" si="45"/>
        <v>0</v>
      </c>
    </row>
    <row r="119" spans="1:89" x14ac:dyDescent="0.35">
      <c r="A119" s="1">
        <v>45200</v>
      </c>
      <c r="B119">
        <v>2023</v>
      </c>
      <c r="C119">
        <f t="shared" si="46"/>
        <v>10</v>
      </c>
      <c r="D119" s="4">
        <v>2647520.198203281</v>
      </c>
      <c r="E119" s="4">
        <f>IFERROR(VLOOKUP($B119-1,CDM!$K$5:$N$19,2,FALSE)/12,0)+IFERROR(VLOOKUP($B119,CDM!$K$35:$N$47,2,FALSE)/24,0)+IFERROR(VLOOKUP($B119,CDM!$K$35:$N$47,2,FALSE)/2*$C119/78,0)</f>
        <v>148035.26823479336</v>
      </c>
      <c r="F119" s="4">
        <f t="shared" si="47"/>
        <v>2795555.4664380746</v>
      </c>
      <c r="G119" s="4">
        <v>1169819.307508962</v>
      </c>
      <c r="H119" s="4">
        <f>IFERROR(VLOOKUP($B119-1,CDM!$K$5:$N$19,3,FALSE)/12,0)+IFERROR(VLOOKUP($B119,CDM!$K$35:$N$48,3,FALSE)/24,0)+IFERROR(VLOOKUP($B119,CDM!$K$35:$N$48,3,FALSE)/2*$C119/78,0)</f>
        <v>165739.26739093722</v>
      </c>
      <c r="I119" s="4">
        <f t="shared" si="48"/>
        <v>1335558.5748998993</v>
      </c>
      <c r="J119" s="4">
        <v>4172918.4425149565</v>
      </c>
      <c r="K119" s="4">
        <f>IFERROR(VLOOKUP($B119-1,CDM!$K$5:$N$19,4,FALSE)/12,0)+IFERROR(VLOOKUP($B119,CDM!$K$35:$N$47,4,FALSE)/24,0)+IFERROR(VLOOKUP($B119,CDM!$K$35:$N$47,4,FALSE)/2*$C119/78,0)</f>
        <v>270978.57636773481</v>
      </c>
      <c r="L119" s="4">
        <f t="shared" si="49"/>
        <v>4443897.0188826909</v>
      </c>
      <c r="M119" s="4">
        <v>39263.031982242494</v>
      </c>
      <c r="N119" s="4">
        <v>13662.75</v>
      </c>
      <c r="O119" s="4">
        <v>11885.42</v>
      </c>
      <c r="P119" s="4">
        <v>118.73</v>
      </c>
      <c r="Q119" s="4">
        <v>5197</v>
      </c>
      <c r="R119" s="4">
        <v>712</v>
      </c>
      <c r="S119" s="4">
        <v>70</v>
      </c>
      <c r="T119" s="4">
        <v>1710</v>
      </c>
      <c r="U119" s="4">
        <v>22</v>
      </c>
      <c r="V119" s="4">
        <f>Weather!D239</f>
        <v>434.83750000000003</v>
      </c>
      <c r="W119" s="4">
        <f>Weather!E239</f>
        <v>4.1666666666666643</v>
      </c>
      <c r="X119" s="4">
        <f>Weather!F239</f>
        <v>378.83750000000003</v>
      </c>
      <c r="Y119" s="4">
        <f>Weather!G239</f>
        <v>10.166666666666664</v>
      </c>
      <c r="Z119" s="4">
        <f>Weather!H239</f>
        <v>323.7791666666667</v>
      </c>
      <c r="AA119" s="4">
        <f>Weather!I239</f>
        <v>17.108333333333331</v>
      </c>
      <c r="AB119" s="4">
        <f>Weather!J239</f>
        <v>270.49166666666673</v>
      </c>
      <c r="AC119" s="4">
        <f>Weather!K239</f>
        <v>25.820833333333329</v>
      </c>
      <c r="AD119" s="4">
        <f>Weather!L239</f>
        <v>218.4916666666667</v>
      </c>
      <c r="AE119" s="4">
        <f>Weather!M239</f>
        <v>35.820833333333333</v>
      </c>
      <c r="AF119" s="4">
        <f>Weather!N239</f>
        <v>167.78333333333333</v>
      </c>
      <c r="AG119" s="4">
        <f>Weather!O239</f>
        <v>47.11249999999999</v>
      </c>
      <c r="AH119" s="4">
        <f>Weather!P239</f>
        <v>118.31249999999999</v>
      </c>
      <c r="AI119" s="4">
        <f>Weather!Q239</f>
        <v>59.641666666666659</v>
      </c>
      <c r="AJ119" s="4">
        <f>Weather!R239</f>
        <v>6.107392473118276</v>
      </c>
      <c r="AK119" s="4">
        <f>'Economic Data'!F121</f>
        <v>852729.2</v>
      </c>
      <c r="AL119" s="4">
        <f>'Economic Data'!G121</f>
        <v>8941.4</v>
      </c>
      <c r="AM119" s="4">
        <f>'Economic Data'!H121</f>
        <v>6918.4</v>
      </c>
      <c r="AN119" s="4">
        <f>'Economic Data'!I121</f>
        <v>112.6</v>
      </c>
      <c r="AO119" s="4">
        <f>'Economic Data'!J121</f>
        <v>144.1</v>
      </c>
      <c r="AP119" s="4">
        <f>'Economic Data'!K121</f>
        <v>406.2</v>
      </c>
      <c r="AQ119" s="4">
        <f>'Economic Data'!L121</f>
        <v>295.39999999999998</v>
      </c>
      <c r="AR119" s="4">
        <f>'Economic Data'!M121</f>
        <v>2666.2</v>
      </c>
      <c r="AS119" s="4">
        <f>'Economic Data'!N121</f>
        <v>1862.8</v>
      </c>
      <c r="AT119" s="4">
        <f>'Economic Data'!O121</f>
        <v>854530</v>
      </c>
      <c r="AU119" s="4">
        <f>'Economic Data'!P121</f>
        <v>9248</v>
      </c>
      <c r="AV119" s="4">
        <f>'Economic Data'!Q121</f>
        <v>4831</v>
      </c>
      <c r="AW119" s="4">
        <f>'Economic Data'!R121</f>
        <v>3112</v>
      </c>
      <c r="AX119" s="4">
        <f>'Economic Data'!E121</f>
        <v>7947.2</v>
      </c>
      <c r="AY119" s="4">
        <f>'Economic Data'!D121</f>
        <v>7949.8</v>
      </c>
      <c r="AZ119">
        <v>118</v>
      </c>
      <c r="BA119" s="14">
        <f t="shared" si="50"/>
        <v>4.8441870864585912</v>
      </c>
      <c r="BB119">
        <f t="shared" si="51"/>
        <v>13924</v>
      </c>
      <c r="BC119">
        <v>0</v>
      </c>
      <c r="BD119">
        <v>0</v>
      </c>
      <c r="BE119">
        <v>0</v>
      </c>
      <c r="BF119">
        <v>0</v>
      </c>
      <c r="BG119">
        <v>0</v>
      </c>
      <c r="BH119">
        <v>0</v>
      </c>
      <c r="BI119">
        <v>0</v>
      </c>
      <c r="BJ119">
        <v>0</v>
      </c>
      <c r="BK119">
        <v>0</v>
      </c>
      <c r="BL119">
        <v>1</v>
      </c>
      <c r="BM119">
        <v>0</v>
      </c>
      <c r="BN119">
        <v>0</v>
      </c>
      <c r="BO119">
        <v>0</v>
      </c>
      <c r="BP119">
        <v>1</v>
      </c>
      <c r="BQ119">
        <v>1</v>
      </c>
      <c r="BR119">
        <v>31</v>
      </c>
      <c r="BS119">
        <v>21</v>
      </c>
      <c r="BT119">
        <v>0</v>
      </c>
      <c r="BU119">
        <v>0</v>
      </c>
      <c r="BV119">
        <v>0.25</v>
      </c>
      <c r="BW119">
        <v>0</v>
      </c>
      <c r="BX119" s="17">
        <f t="shared" si="52"/>
        <v>0</v>
      </c>
      <c r="BY119" s="17">
        <f t="shared" si="53"/>
        <v>0</v>
      </c>
      <c r="BZ119" s="17">
        <f t="shared" si="54"/>
        <v>0</v>
      </c>
      <c r="CA119" s="17">
        <f t="shared" si="55"/>
        <v>0</v>
      </c>
      <c r="CB119" s="17">
        <f t="shared" si="56"/>
        <v>0</v>
      </c>
      <c r="CC119" s="17">
        <f t="shared" si="57"/>
        <v>0</v>
      </c>
      <c r="CD119" s="17">
        <f t="shared" si="58"/>
        <v>0</v>
      </c>
      <c r="CE119" s="17">
        <f t="shared" si="59"/>
        <v>0</v>
      </c>
      <c r="CF119" s="17">
        <f t="shared" si="60"/>
        <v>0</v>
      </c>
      <c r="CG119" s="17">
        <f t="shared" si="61"/>
        <v>0</v>
      </c>
      <c r="CH119" s="17">
        <f t="shared" si="62"/>
        <v>0</v>
      </c>
      <c r="CI119" s="17">
        <f t="shared" si="63"/>
        <v>0</v>
      </c>
      <c r="CJ119" s="17">
        <f t="shared" si="44"/>
        <v>0</v>
      </c>
      <c r="CK119" s="17">
        <f t="shared" si="45"/>
        <v>0</v>
      </c>
    </row>
    <row r="120" spans="1:89" x14ac:dyDescent="0.35">
      <c r="A120" s="1">
        <v>45231</v>
      </c>
      <c r="B120">
        <v>2023</v>
      </c>
      <c r="C120">
        <f t="shared" si="46"/>
        <v>11</v>
      </c>
      <c r="D120" s="4">
        <v>2988653.5031933975</v>
      </c>
      <c r="E120" s="4">
        <f>IFERROR(VLOOKUP($B120-1,CDM!$K$5:$N$19,2,FALSE)/12,0)+IFERROR(VLOOKUP($B120,CDM!$K$35:$N$47,2,FALSE)/24,0)+IFERROR(VLOOKUP($B120,CDM!$K$35:$N$47,2,FALSE)/2*$C120/78,0)</f>
        <v>148120.51671813129</v>
      </c>
      <c r="F120" s="4">
        <f t="shared" si="47"/>
        <v>3136774.019911529</v>
      </c>
      <c r="G120" s="4">
        <v>1306061.4419504954</v>
      </c>
      <c r="H120" s="4">
        <f>IFERROR(VLOOKUP($B120-1,CDM!$K$5:$N$19,3,FALSE)/12,0)+IFERROR(VLOOKUP($B120,CDM!$K$35:$N$48,3,FALSE)/24,0)+IFERROR(VLOOKUP($B120,CDM!$K$35:$N$48,3,FALSE)/2*$C120/78,0)</f>
        <v>165252.07830631471</v>
      </c>
      <c r="I120" s="4">
        <f t="shared" si="48"/>
        <v>1471313.5202568101</v>
      </c>
      <c r="J120" s="4">
        <v>4566596.4079903457</v>
      </c>
      <c r="K120" s="4">
        <f>IFERROR(VLOOKUP($B120-1,CDM!$K$5:$N$19,4,FALSE)/12,0)+IFERROR(VLOOKUP($B120,CDM!$K$35:$N$47,4,FALSE)/24,0)+IFERROR(VLOOKUP($B120,CDM!$K$35:$N$47,4,FALSE)/2*$C120/78,0)</f>
        <v>273626.66516262409</v>
      </c>
      <c r="L120" s="4">
        <f t="shared" si="49"/>
        <v>4840223.0731529696</v>
      </c>
      <c r="M120" s="4">
        <v>47795.038932106057</v>
      </c>
      <c r="N120" s="4">
        <v>13662.75</v>
      </c>
      <c r="O120" s="4">
        <v>13006.7</v>
      </c>
      <c r="P120" s="4">
        <v>118.73</v>
      </c>
      <c r="Q120" s="4">
        <v>5219</v>
      </c>
      <c r="R120" s="4">
        <v>716</v>
      </c>
      <c r="S120" s="4">
        <v>72</v>
      </c>
      <c r="T120" s="4">
        <v>1710</v>
      </c>
      <c r="U120" s="4">
        <v>22</v>
      </c>
      <c r="V120" s="4">
        <f>Weather!D240</f>
        <v>706.07916666666677</v>
      </c>
      <c r="W120" s="4">
        <f>Weather!E240</f>
        <v>0</v>
      </c>
      <c r="X120" s="4">
        <f>Weather!F240</f>
        <v>646.07916666666677</v>
      </c>
      <c r="Y120" s="4">
        <f>Weather!G240</f>
        <v>0</v>
      </c>
      <c r="Z120" s="4">
        <f>Weather!H240</f>
        <v>586.07916666666677</v>
      </c>
      <c r="AA120" s="4">
        <f>Weather!I240</f>
        <v>0</v>
      </c>
      <c r="AB120" s="4">
        <f>Weather!J240</f>
        <v>526.07916666666677</v>
      </c>
      <c r="AC120" s="4">
        <f>Weather!K240</f>
        <v>0</v>
      </c>
      <c r="AD120" s="4">
        <f>Weather!L240</f>
        <v>466.07916666666671</v>
      </c>
      <c r="AE120" s="4">
        <f>Weather!M240</f>
        <v>0</v>
      </c>
      <c r="AF120" s="4">
        <f>Weather!N240</f>
        <v>406.07916666666671</v>
      </c>
      <c r="AG120" s="4">
        <f>Weather!O240</f>
        <v>0</v>
      </c>
      <c r="AH120" s="4">
        <f>Weather!P240</f>
        <v>346.07916666666671</v>
      </c>
      <c r="AI120" s="4">
        <f>Weather!Q240</f>
        <v>0</v>
      </c>
      <c r="AJ120" s="4">
        <f>Weather!R240</f>
        <v>-3.5359722222222221</v>
      </c>
      <c r="AK120" s="4">
        <f>'Economic Data'!F122</f>
        <v>852729.2</v>
      </c>
      <c r="AL120" s="4">
        <f>'Economic Data'!G122</f>
        <v>8941.4</v>
      </c>
      <c r="AM120" s="4">
        <f>'Economic Data'!H122</f>
        <v>6918.4</v>
      </c>
      <c r="AN120" s="4">
        <f>'Economic Data'!I122</f>
        <v>112.6</v>
      </c>
      <c r="AO120" s="4">
        <f>'Economic Data'!J122</f>
        <v>144.1</v>
      </c>
      <c r="AP120" s="4">
        <f>'Economic Data'!K122</f>
        <v>406.2</v>
      </c>
      <c r="AQ120" s="4">
        <f>'Economic Data'!L122</f>
        <v>295.39999999999998</v>
      </c>
      <c r="AR120" s="4">
        <f>'Economic Data'!M122</f>
        <v>2666.2</v>
      </c>
      <c r="AS120" s="4">
        <f>'Economic Data'!N122</f>
        <v>1862.8</v>
      </c>
      <c r="AT120" s="4">
        <f>'Economic Data'!O122</f>
        <v>854530</v>
      </c>
      <c r="AU120" s="4">
        <f>'Economic Data'!P122</f>
        <v>9248</v>
      </c>
      <c r="AV120" s="4">
        <f>'Economic Data'!Q122</f>
        <v>4831</v>
      </c>
      <c r="AW120" s="4">
        <f>'Economic Data'!R122</f>
        <v>3112</v>
      </c>
      <c r="AX120" s="4">
        <f>'Economic Data'!E122</f>
        <v>7939.3</v>
      </c>
      <c r="AY120" s="4">
        <f>'Economic Data'!D122</f>
        <v>7953.4</v>
      </c>
      <c r="AZ120">
        <v>119</v>
      </c>
      <c r="BA120" s="14">
        <f t="shared" si="50"/>
        <v>4.8520302639196169</v>
      </c>
      <c r="BB120">
        <f t="shared" si="51"/>
        <v>14161</v>
      </c>
      <c r="BC120">
        <v>0</v>
      </c>
      <c r="BD120">
        <v>0</v>
      </c>
      <c r="BE120">
        <v>0</v>
      </c>
      <c r="BF120">
        <v>0</v>
      </c>
      <c r="BG120">
        <v>0</v>
      </c>
      <c r="BH120">
        <v>0</v>
      </c>
      <c r="BI120">
        <v>0</v>
      </c>
      <c r="BJ120">
        <v>0</v>
      </c>
      <c r="BK120">
        <v>0</v>
      </c>
      <c r="BL120">
        <v>0</v>
      </c>
      <c r="BM120">
        <v>1</v>
      </c>
      <c r="BN120">
        <v>0</v>
      </c>
      <c r="BO120">
        <v>0</v>
      </c>
      <c r="BP120">
        <v>1</v>
      </c>
      <c r="BQ120">
        <v>1</v>
      </c>
      <c r="BR120">
        <v>30</v>
      </c>
      <c r="BS120">
        <v>22</v>
      </c>
      <c r="BT120">
        <v>0</v>
      </c>
      <c r="BU120">
        <v>0</v>
      </c>
      <c r="BV120">
        <v>0.25</v>
      </c>
      <c r="BW120">
        <v>0</v>
      </c>
      <c r="BX120" s="17">
        <f t="shared" si="52"/>
        <v>0</v>
      </c>
      <c r="BY120" s="17">
        <f t="shared" si="53"/>
        <v>0</v>
      </c>
      <c r="BZ120" s="17">
        <f t="shared" si="54"/>
        <v>0</v>
      </c>
      <c r="CA120" s="17">
        <f t="shared" si="55"/>
        <v>0</v>
      </c>
      <c r="CB120" s="17">
        <f t="shared" si="56"/>
        <v>0</v>
      </c>
      <c r="CC120" s="17">
        <f t="shared" si="57"/>
        <v>0</v>
      </c>
      <c r="CD120" s="17">
        <f t="shared" si="58"/>
        <v>0</v>
      </c>
      <c r="CE120" s="17">
        <f t="shared" si="59"/>
        <v>0</v>
      </c>
      <c r="CF120" s="17">
        <f t="shared" si="60"/>
        <v>0</v>
      </c>
      <c r="CG120" s="17">
        <f t="shared" si="61"/>
        <v>0</v>
      </c>
      <c r="CH120" s="17">
        <f t="shared" si="62"/>
        <v>0</v>
      </c>
      <c r="CI120" s="17">
        <f t="shared" si="63"/>
        <v>0</v>
      </c>
      <c r="CJ120" s="17">
        <f t="shared" si="44"/>
        <v>0</v>
      </c>
      <c r="CK120" s="17">
        <f t="shared" si="45"/>
        <v>0</v>
      </c>
    </row>
    <row r="121" spans="1:89" x14ac:dyDescent="0.35">
      <c r="A121" s="1">
        <v>45261</v>
      </c>
      <c r="B121">
        <v>2023</v>
      </c>
      <c r="C121">
        <f t="shared" si="46"/>
        <v>12</v>
      </c>
      <c r="D121" s="4">
        <v>3423505.4811347695</v>
      </c>
      <c r="E121" s="4">
        <f>IFERROR(VLOOKUP($B121-1,CDM!$K$5:$N$19,2,FALSE)/12,0)+IFERROR(VLOOKUP($B121,CDM!$K$35:$N$47,2,FALSE)/24,0)+IFERROR(VLOOKUP($B121,CDM!$K$35:$N$47,2,FALSE)/2*$C121/78,0)</f>
        <v>148205.76520146921</v>
      </c>
      <c r="F121" s="4">
        <f t="shared" si="47"/>
        <v>3571711.2463362389</v>
      </c>
      <c r="G121" s="4">
        <v>1512987.6753821035</v>
      </c>
      <c r="H121" s="4">
        <f>IFERROR(VLOOKUP($B121-1,CDM!$K$5:$N$19,3,FALSE)/12,0)+IFERROR(VLOOKUP($B121,CDM!$K$35:$N$48,3,FALSE)/24,0)+IFERROR(VLOOKUP($B121,CDM!$K$35:$N$48,3,FALSE)/2*$C121/78,0)</f>
        <v>164764.88922169217</v>
      </c>
      <c r="I121" s="4">
        <f t="shared" si="48"/>
        <v>1677752.5646037958</v>
      </c>
      <c r="J121" s="4">
        <v>5045416.6590259839</v>
      </c>
      <c r="K121" s="4">
        <f>IFERROR(VLOOKUP($B121-1,CDM!$K$5:$N$19,4,FALSE)/12,0)+IFERROR(VLOOKUP($B121,CDM!$K$35:$N$47,4,FALSE)/24,0)+IFERROR(VLOOKUP($B121,CDM!$K$35:$N$47,4,FALSE)/2*$C121/78,0)</f>
        <v>276274.75395751337</v>
      </c>
      <c r="L121" s="4">
        <f t="shared" si="49"/>
        <v>5321691.4129834976</v>
      </c>
      <c r="M121" s="4">
        <v>52428.042705982974</v>
      </c>
      <c r="N121" s="4">
        <v>13662.75</v>
      </c>
      <c r="O121" s="4">
        <v>12750.29</v>
      </c>
      <c r="P121" s="4">
        <v>118.73</v>
      </c>
      <c r="Q121" s="4">
        <v>5187</v>
      </c>
      <c r="R121" s="4">
        <v>714</v>
      </c>
      <c r="S121" s="4">
        <v>70</v>
      </c>
      <c r="T121" s="4">
        <v>1710</v>
      </c>
      <c r="U121" s="4">
        <v>22</v>
      </c>
      <c r="V121" s="4">
        <f>Weather!D241</f>
        <v>781.83333333333337</v>
      </c>
      <c r="W121" s="4">
        <f>Weather!E241</f>
        <v>0</v>
      </c>
      <c r="X121" s="4">
        <f>Weather!F241</f>
        <v>719.83333333333337</v>
      </c>
      <c r="Y121" s="4">
        <f>Weather!G241</f>
        <v>0</v>
      </c>
      <c r="Z121" s="4">
        <f>Weather!H241</f>
        <v>657.83333333333326</v>
      </c>
      <c r="AA121" s="4">
        <f>Weather!I241</f>
        <v>0</v>
      </c>
      <c r="AB121" s="4">
        <f>Weather!J241</f>
        <v>595.83333333333337</v>
      </c>
      <c r="AC121" s="4">
        <f>Weather!K241</f>
        <v>0</v>
      </c>
      <c r="AD121" s="4">
        <f>Weather!L241</f>
        <v>533.83333333333348</v>
      </c>
      <c r="AE121" s="4">
        <f>Weather!M241</f>
        <v>0</v>
      </c>
      <c r="AF121" s="4">
        <f>Weather!N241</f>
        <v>471.83333333333337</v>
      </c>
      <c r="AG121" s="4">
        <f>Weather!O241</f>
        <v>0</v>
      </c>
      <c r="AH121" s="4">
        <f>Weather!P241</f>
        <v>409.83333333333337</v>
      </c>
      <c r="AI121" s="4">
        <f>Weather!Q241</f>
        <v>0</v>
      </c>
      <c r="AJ121" s="4">
        <f>Weather!R241</f>
        <v>-5.2204301075268811</v>
      </c>
      <c r="AK121" s="4">
        <f>'Economic Data'!F123</f>
        <v>852729.2</v>
      </c>
      <c r="AL121" s="4">
        <f>'Economic Data'!G123</f>
        <v>8941.4</v>
      </c>
      <c r="AM121" s="4">
        <f>'Economic Data'!H123</f>
        <v>6918.4</v>
      </c>
      <c r="AN121" s="4">
        <f>'Economic Data'!I123</f>
        <v>112.6</v>
      </c>
      <c r="AO121" s="4">
        <f>'Economic Data'!J123</f>
        <v>144.1</v>
      </c>
      <c r="AP121" s="4">
        <f>'Economic Data'!K123</f>
        <v>406.2</v>
      </c>
      <c r="AQ121" s="4">
        <f>'Economic Data'!L123</f>
        <v>295.39999999999998</v>
      </c>
      <c r="AR121" s="4">
        <f>'Economic Data'!M123</f>
        <v>2666.2</v>
      </c>
      <c r="AS121" s="4">
        <f>'Economic Data'!N123</f>
        <v>1862.8</v>
      </c>
      <c r="AT121" s="4">
        <f>'Economic Data'!O123</f>
        <v>854530</v>
      </c>
      <c r="AU121" s="4">
        <f>'Economic Data'!P123</f>
        <v>9248</v>
      </c>
      <c r="AV121" s="4">
        <f>'Economic Data'!Q123</f>
        <v>4831</v>
      </c>
      <c r="AW121" s="4">
        <f>'Economic Data'!R123</f>
        <v>3112</v>
      </c>
      <c r="AX121" s="4">
        <f>'Economic Data'!E123</f>
        <v>7938.2</v>
      </c>
      <c r="AY121" s="4">
        <f>'Economic Data'!D123</f>
        <v>7938</v>
      </c>
      <c r="AZ121">
        <v>120</v>
      </c>
      <c r="BA121" s="14">
        <f t="shared" si="50"/>
        <v>4.8598124043616719</v>
      </c>
      <c r="BB121">
        <f t="shared" si="51"/>
        <v>14400</v>
      </c>
      <c r="BC121">
        <v>0</v>
      </c>
      <c r="BD121">
        <v>0</v>
      </c>
      <c r="BE121">
        <v>0</v>
      </c>
      <c r="BF121">
        <v>0</v>
      </c>
      <c r="BG121">
        <v>0</v>
      </c>
      <c r="BH121">
        <v>0</v>
      </c>
      <c r="BI121">
        <v>0</v>
      </c>
      <c r="BJ121">
        <v>0</v>
      </c>
      <c r="BK121">
        <v>0</v>
      </c>
      <c r="BL121">
        <v>0</v>
      </c>
      <c r="BM121">
        <v>0</v>
      </c>
      <c r="BN121">
        <v>1</v>
      </c>
      <c r="BO121">
        <v>0</v>
      </c>
      <c r="BP121">
        <v>0</v>
      </c>
      <c r="BQ121">
        <v>0</v>
      </c>
      <c r="BR121">
        <v>31</v>
      </c>
      <c r="BS121">
        <v>19</v>
      </c>
      <c r="BT121">
        <v>0</v>
      </c>
      <c r="BU121">
        <v>0</v>
      </c>
      <c r="BV121">
        <v>0.25</v>
      </c>
      <c r="BW121">
        <v>0</v>
      </c>
      <c r="BX121" s="17">
        <f t="shared" si="52"/>
        <v>0</v>
      </c>
      <c r="BY121" s="17">
        <f t="shared" si="53"/>
        <v>0</v>
      </c>
      <c r="BZ121" s="17">
        <f t="shared" si="54"/>
        <v>0</v>
      </c>
      <c r="CA121" s="17">
        <f t="shared" si="55"/>
        <v>0</v>
      </c>
      <c r="CB121" s="17">
        <f t="shared" si="56"/>
        <v>0</v>
      </c>
      <c r="CC121" s="17">
        <f t="shared" si="57"/>
        <v>0</v>
      </c>
      <c r="CD121" s="17">
        <f t="shared" si="58"/>
        <v>0</v>
      </c>
      <c r="CE121" s="17">
        <f t="shared" si="59"/>
        <v>0</v>
      </c>
      <c r="CF121" s="17">
        <f t="shared" si="60"/>
        <v>0</v>
      </c>
      <c r="CG121" s="17">
        <f t="shared" si="61"/>
        <v>0</v>
      </c>
      <c r="CH121" s="17">
        <f t="shared" si="62"/>
        <v>0</v>
      </c>
      <c r="CI121" s="17">
        <f t="shared" si="63"/>
        <v>0</v>
      </c>
      <c r="CJ121" s="17">
        <f t="shared" si="44"/>
        <v>0</v>
      </c>
      <c r="CK121" s="17">
        <f t="shared" si="45"/>
        <v>0</v>
      </c>
    </row>
    <row r="122" spans="1:89" x14ac:dyDescent="0.35">
      <c r="A122" s="1">
        <v>45292</v>
      </c>
      <c r="B122">
        <f>YEAR(A122)</f>
        <v>2024</v>
      </c>
      <c r="C122">
        <f t="shared" si="46"/>
        <v>1</v>
      </c>
      <c r="D122" s="17">
        <v>3854873</v>
      </c>
      <c r="E122" s="4">
        <f>IFERROR(VLOOKUP($B122-1,CDM!$K$5:$N$19,2,FALSE)/12,0)+IFERROR(VLOOKUP($B122,CDM!$K$35:$N$48,2,FALSE)/24,0)+IFERROR(VLOOKUP($B122,CDM!$K$35:$N$48,2,FALSE)/2*$C122/78,0)</f>
        <v>151022.29531506076</v>
      </c>
      <c r="F122" s="4">
        <f t="shared" ref="F122:F131" si="64">D122+E122</f>
        <v>4005895.2953150608</v>
      </c>
      <c r="G122" s="17">
        <v>1617030</v>
      </c>
      <c r="H122" s="4">
        <f>IFERROR(VLOOKUP($B122-1,CDM!$K$5:$N$19,3,FALSE)/12,0)+IFERROR(VLOOKUP($B122,CDM!$K$35:$N$48,3,FALSE)/24,0)+IFERROR(VLOOKUP($B122,CDM!$K$35:$N$48,3,FALSE)/2*$C122/78,0)</f>
        <v>159436.29837203343</v>
      </c>
      <c r="I122" s="4">
        <f t="shared" ref="I122:I131" si="65">G122+H122</f>
        <v>1776466.2983720335</v>
      </c>
      <c r="J122" s="17">
        <v>4903547</v>
      </c>
      <c r="K122" s="4">
        <f>IFERROR(VLOOKUP($B122-1,CDM!$K$5:$N$19,4,FALSE)/12,0)+IFERROR(VLOOKUP($B122,CDM!$K$35:$N$48,4,FALSE)/24,0)+IFERROR(VLOOKUP($B122,CDM!$K$35:$N$48,4,FALSE)/2*$C122/78,0)</f>
        <v>287705.9068947839</v>
      </c>
      <c r="L122" s="4">
        <f t="shared" si="49"/>
        <v>5191252.9068947835</v>
      </c>
      <c r="M122" s="4">
        <v>57524</v>
      </c>
      <c r="N122" s="4">
        <v>13662</v>
      </c>
      <c r="O122" s="4">
        <v>12927.53</v>
      </c>
      <c r="P122" s="4">
        <v>118.73</v>
      </c>
      <c r="Q122" s="4">
        <v>5196</v>
      </c>
      <c r="R122" s="4">
        <v>710</v>
      </c>
      <c r="S122" s="4">
        <v>69</v>
      </c>
      <c r="T122" s="4">
        <v>1710</v>
      </c>
      <c r="U122" s="4">
        <v>22</v>
      </c>
      <c r="V122" s="4">
        <f>Weather!D242</f>
        <v>994.4</v>
      </c>
      <c r="W122" s="4">
        <f>Weather!E242</f>
        <v>0</v>
      </c>
      <c r="X122" s="4">
        <f>Weather!F242</f>
        <v>932.4</v>
      </c>
      <c r="Y122" s="4">
        <f>Weather!G242</f>
        <v>0</v>
      </c>
      <c r="Z122" s="4">
        <f>Weather!H242</f>
        <v>870.4</v>
      </c>
      <c r="AA122" s="4">
        <f>Weather!I242</f>
        <v>0</v>
      </c>
      <c r="AB122" s="4">
        <f>Weather!J242</f>
        <v>808.4</v>
      </c>
      <c r="AC122" s="4">
        <f>Weather!K242</f>
        <v>0</v>
      </c>
      <c r="AD122" s="4">
        <f>Weather!L242</f>
        <v>746.4</v>
      </c>
      <c r="AE122" s="4">
        <f>Weather!M242</f>
        <v>0</v>
      </c>
      <c r="AF122" s="4">
        <f>Weather!N242</f>
        <v>684.4</v>
      </c>
      <c r="AG122" s="4">
        <f>Weather!O242</f>
        <v>0</v>
      </c>
      <c r="AH122" s="4">
        <f>Weather!P242</f>
        <v>622.4</v>
      </c>
      <c r="AI122" s="4">
        <f>Weather!Q242</f>
        <v>0</v>
      </c>
      <c r="AJ122" s="4">
        <f>Weather!R242</f>
        <v>-12.07741935483871</v>
      </c>
      <c r="AK122" s="4">
        <f>'Economic Data'!F124</f>
        <v>860616.9450999999</v>
      </c>
      <c r="AL122" s="4">
        <f>'Economic Data'!G124</f>
        <v>9024.1079499999996</v>
      </c>
      <c r="AM122" s="4">
        <f>'Economic Data'!H124</f>
        <v>6982.3951999999999</v>
      </c>
      <c r="AN122" s="4">
        <f>'Economic Data'!I124</f>
        <v>113.64155</v>
      </c>
      <c r="AO122" s="4">
        <f>'Economic Data'!J124</f>
        <v>145.43292499999998</v>
      </c>
      <c r="AP122" s="4">
        <f>'Economic Data'!K124</f>
        <v>409.95734999999996</v>
      </c>
      <c r="AQ122" s="4">
        <f>'Economic Data'!L124</f>
        <v>298.13244999999995</v>
      </c>
      <c r="AR122" s="4">
        <f>'Economic Data'!M124</f>
        <v>2690.8623499999999</v>
      </c>
      <c r="AS122" s="4">
        <f>'Economic Data'!N124</f>
        <v>1880.0309</v>
      </c>
      <c r="AT122" s="4">
        <f>'Economic Data'!O124</f>
        <v>861193</v>
      </c>
      <c r="AU122" s="4">
        <f>'Economic Data'!P124</f>
        <v>9492</v>
      </c>
      <c r="AV122" s="4">
        <f>'Economic Data'!Q124</f>
        <v>4805</v>
      </c>
      <c r="AW122" s="4">
        <f>'Economic Data'!R124</f>
        <v>3032</v>
      </c>
      <c r="AX122" s="4">
        <f>'Economic Data'!E124</f>
        <v>7904.9</v>
      </c>
      <c r="AY122" s="4">
        <f>'Economic Data'!D124</f>
        <v>7934.2</v>
      </c>
      <c r="AZ122">
        <v>121</v>
      </c>
      <c r="BA122" s="14">
        <f t="shared" ref="BA122:BA131" si="66">LN(AZ122+9)</f>
        <v>4.8675344504555822</v>
      </c>
      <c r="BB122">
        <f t="shared" ref="BB122:BB131" si="67">AZ122^2</f>
        <v>14641</v>
      </c>
      <c r="BC122">
        <f>BC110</f>
        <v>1</v>
      </c>
      <c r="BD122">
        <f t="shared" ref="BD122:BN122" si="68">BD110</f>
        <v>0</v>
      </c>
      <c r="BE122">
        <f t="shared" si="68"/>
        <v>0</v>
      </c>
      <c r="BF122">
        <f t="shared" si="68"/>
        <v>0</v>
      </c>
      <c r="BG122">
        <f t="shared" si="68"/>
        <v>0</v>
      </c>
      <c r="BH122">
        <f t="shared" si="68"/>
        <v>0</v>
      </c>
      <c r="BI122">
        <f t="shared" si="68"/>
        <v>0</v>
      </c>
      <c r="BJ122">
        <f t="shared" si="68"/>
        <v>0</v>
      </c>
      <c r="BK122">
        <f t="shared" si="68"/>
        <v>0</v>
      </c>
      <c r="BL122">
        <f t="shared" si="68"/>
        <v>0</v>
      </c>
      <c r="BM122">
        <f t="shared" si="68"/>
        <v>0</v>
      </c>
      <c r="BN122">
        <f t="shared" si="68"/>
        <v>0</v>
      </c>
      <c r="BO122">
        <f>BO110</f>
        <v>0</v>
      </c>
      <c r="BP122">
        <f t="shared" ref="BP122:BQ122" si="69">BP110</f>
        <v>0</v>
      </c>
      <c r="BQ122">
        <f t="shared" si="69"/>
        <v>0</v>
      </c>
      <c r="BR122">
        <f>BR74</f>
        <v>31</v>
      </c>
      <c r="BS122">
        <v>22</v>
      </c>
      <c r="BT122">
        <v>0</v>
      </c>
      <c r="BU122">
        <v>0</v>
      </c>
      <c r="BV122">
        <v>0.25</v>
      </c>
      <c r="BW122">
        <v>0</v>
      </c>
      <c r="BX122" s="17">
        <f t="shared" ref="BX122:BX131" si="70">$BT122*V122</f>
        <v>0</v>
      </c>
      <c r="BY122" s="17">
        <f t="shared" ref="BY122:BY131" si="71">$BT122*W122</f>
        <v>0</v>
      </c>
      <c r="BZ122" s="17">
        <f t="shared" ref="BZ122:BZ131" si="72">$BT122*X122</f>
        <v>0</v>
      </c>
      <c r="CA122" s="17">
        <f t="shared" ref="CA122:CA131" si="73">$BT122*Y122</f>
        <v>0</v>
      </c>
      <c r="CB122" s="17">
        <f t="shared" ref="CB122:CB131" si="74">$BT122*Z122</f>
        <v>0</v>
      </c>
      <c r="CC122" s="17">
        <f t="shared" ref="CC122:CC131" si="75">$BT122*AA122</f>
        <v>0</v>
      </c>
      <c r="CD122" s="17">
        <f t="shared" ref="CD122:CD131" si="76">$BT122*AB122</f>
        <v>0</v>
      </c>
      <c r="CE122" s="17">
        <f t="shared" ref="CE122:CE131" si="77">$BT122*AC122</f>
        <v>0</v>
      </c>
      <c r="CF122" s="17">
        <f t="shared" ref="CF122:CF131" si="78">$BT122*AD122</f>
        <v>0</v>
      </c>
      <c r="CG122" s="17">
        <f t="shared" ref="CG122:CG131" si="79">$BT122*AE122</f>
        <v>0</v>
      </c>
      <c r="CH122" s="17">
        <f t="shared" ref="CH122:CH131" si="80">$BT122*AF122</f>
        <v>0</v>
      </c>
      <c r="CI122" s="17">
        <f t="shared" ref="CI122:CI131" si="81">$BT122*AG122</f>
        <v>0</v>
      </c>
      <c r="CJ122" s="17">
        <f t="shared" ref="CJ122:CJ131" si="82">$BT122*AH122</f>
        <v>0</v>
      </c>
      <c r="CK122" s="17">
        <f t="shared" ref="CK122:CK131" si="83">$BT122*AI122</f>
        <v>0</v>
      </c>
    </row>
    <row r="123" spans="1:89" x14ac:dyDescent="0.35">
      <c r="A123" s="1">
        <v>45323</v>
      </c>
      <c r="B123">
        <f t="shared" ref="B123:B131" si="84">YEAR(A123)</f>
        <v>2024</v>
      </c>
      <c r="C123">
        <f t="shared" si="46"/>
        <v>2</v>
      </c>
      <c r="D123" s="17">
        <v>4151270</v>
      </c>
      <c r="E123" s="4">
        <f>IFERROR(VLOOKUP($B123-1,CDM!$K$5:$N$19,2,FALSE)/12,0)+IFERROR(VLOOKUP($B123,CDM!$K$35:$N$48,2,FALSE)/24,0)+IFERROR(VLOOKUP($B123,CDM!$K$35:$N$48,2,FALSE)/2*$C123/78,0)</f>
        <v>151460.34821798746</v>
      </c>
      <c r="F123" s="4">
        <f t="shared" si="64"/>
        <v>4302730.3482179875</v>
      </c>
      <c r="G123" s="17">
        <v>1775006</v>
      </c>
      <c r="H123" s="4">
        <f>IFERROR(VLOOKUP($B123-1,CDM!$K$5:$N$19,3,FALSE)/12,0)+IFERROR(VLOOKUP($B123,CDM!$K$35:$N$48,3,FALSE)/24,0)+IFERROR(VLOOKUP($B123,CDM!$K$35:$N$48,3,FALSE)/2*$C123/78,0)</f>
        <v>158368.54759668908</v>
      </c>
      <c r="I123" s="4">
        <f t="shared" si="65"/>
        <v>1933374.5475966891</v>
      </c>
      <c r="J123" s="17">
        <v>5430328</v>
      </c>
      <c r="K123" s="4">
        <f>IFERROR(VLOOKUP($B123-1,CDM!$K$5:$N$19,4,FALSE)/12,0)+IFERROR(VLOOKUP($B123,CDM!$K$35:$N$48,4,FALSE)/24,0)+IFERROR(VLOOKUP($B123,CDM!$K$35:$N$48,4,FALSE)/2*$C123/78,0)</f>
        <v>291171.99240267207</v>
      </c>
      <c r="L123" s="4">
        <f t="shared" si="49"/>
        <v>5721499.9924026718</v>
      </c>
      <c r="M123" s="4">
        <v>55633</v>
      </c>
      <c r="N123" s="4">
        <v>13662</v>
      </c>
      <c r="O123" s="4">
        <v>13151.45</v>
      </c>
      <c r="P123" s="4">
        <v>118.73</v>
      </c>
      <c r="Q123" s="4">
        <v>5188</v>
      </c>
      <c r="R123" s="4">
        <v>711</v>
      </c>
      <c r="S123" s="4">
        <v>69</v>
      </c>
      <c r="T123" s="4">
        <v>1710</v>
      </c>
      <c r="U123" s="4">
        <v>22</v>
      </c>
      <c r="V123" s="4">
        <f>Weather!D243</f>
        <v>882.9</v>
      </c>
      <c r="W123" s="4">
        <f>Weather!E243</f>
        <v>0</v>
      </c>
      <c r="X123" s="4">
        <f>Weather!F243</f>
        <v>824.9</v>
      </c>
      <c r="Y123" s="4">
        <f>Weather!G243</f>
        <v>0</v>
      </c>
      <c r="Z123" s="4">
        <f>Weather!H243</f>
        <v>766.9</v>
      </c>
      <c r="AA123" s="4">
        <f>Weather!I243</f>
        <v>0</v>
      </c>
      <c r="AB123" s="4">
        <f>Weather!J243</f>
        <v>708.89999999999986</v>
      </c>
      <c r="AC123" s="4">
        <f>Weather!K243</f>
        <v>0</v>
      </c>
      <c r="AD123" s="4">
        <f>Weather!L243</f>
        <v>650.89999999999986</v>
      </c>
      <c r="AE123" s="4">
        <f>Weather!M243</f>
        <v>0</v>
      </c>
      <c r="AF123" s="4">
        <f>Weather!N243</f>
        <v>592.89999999999986</v>
      </c>
      <c r="AG123" s="4">
        <f>Weather!O243</f>
        <v>0</v>
      </c>
      <c r="AH123" s="4">
        <f>Weather!P243</f>
        <v>534.89999999999986</v>
      </c>
      <c r="AI123" s="4">
        <f>Weather!Q243</f>
        <v>0</v>
      </c>
      <c r="AJ123" s="4">
        <f>Weather!R243</f>
        <v>-10.444827586206896</v>
      </c>
      <c r="AK123" s="4">
        <f>'Economic Data'!F125</f>
        <v>860616.9450999999</v>
      </c>
      <c r="AL123" s="4">
        <f>'Economic Data'!G125</f>
        <v>9024.1079499999996</v>
      </c>
      <c r="AM123" s="4">
        <f>'Economic Data'!H125</f>
        <v>6982.3951999999999</v>
      </c>
      <c r="AN123" s="4">
        <f>'Economic Data'!I125</f>
        <v>113.64155</v>
      </c>
      <c r="AO123" s="4">
        <f>'Economic Data'!J125</f>
        <v>145.43292499999998</v>
      </c>
      <c r="AP123" s="4">
        <f>'Economic Data'!K125</f>
        <v>409.95734999999996</v>
      </c>
      <c r="AQ123" s="4">
        <f>'Economic Data'!L125</f>
        <v>298.13244999999995</v>
      </c>
      <c r="AR123" s="4">
        <f>'Economic Data'!M125</f>
        <v>2690.8623499999999</v>
      </c>
      <c r="AS123" s="4">
        <f>'Economic Data'!N125</f>
        <v>1880.0309</v>
      </c>
      <c r="AT123" s="4">
        <f>'Economic Data'!O125</f>
        <v>861193</v>
      </c>
      <c r="AU123" s="4">
        <f>'Economic Data'!P125</f>
        <v>9492</v>
      </c>
      <c r="AV123" s="4">
        <f>'Economic Data'!Q125</f>
        <v>4805</v>
      </c>
      <c r="AW123" s="4">
        <f>'Economic Data'!R125</f>
        <v>3032</v>
      </c>
      <c r="AX123" s="4">
        <f>'Economic Data'!E125</f>
        <v>7874.1</v>
      </c>
      <c r="AY123" s="4">
        <f>'Economic Data'!D125</f>
        <v>7932</v>
      </c>
      <c r="AZ123">
        <v>122</v>
      </c>
      <c r="BA123" s="14">
        <f t="shared" si="66"/>
        <v>4.8751973232011512</v>
      </c>
      <c r="BB123">
        <f t="shared" si="67"/>
        <v>14884</v>
      </c>
      <c r="BC123">
        <f t="shared" ref="BC123:BN131" si="85">BC111</f>
        <v>0</v>
      </c>
      <c r="BD123">
        <f t="shared" si="85"/>
        <v>1</v>
      </c>
      <c r="BE123">
        <f t="shared" si="85"/>
        <v>0</v>
      </c>
      <c r="BF123">
        <f t="shared" si="85"/>
        <v>0</v>
      </c>
      <c r="BG123">
        <f t="shared" si="85"/>
        <v>0</v>
      </c>
      <c r="BH123">
        <f t="shared" si="85"/>
        <v>0</v>
      </c>
      <c r="BI123">
        <f t="shared" si="85"/>
        <v>0</v>
      </c>
      <c r="BJ123">
        <f t="shared" si="85"/>
        <v>0</v>
      </c>
      <c r="BK123">
        <f t="shared" si="85"/>
        <v>0</v>
      </c>
      <c r="BL123">
        <f t="shared" si="85"/>
        <v>0</v>
      </c>
      <c r="BM123">
        <f t="shared" si="85"/>
        <v>0</v>
      </c>
      <c r="BN123">
        <f t="shared" si="85"/>
        <v>0</v>
      </c>
      <c r="BO123">
        <f t="shared" ref="BO123:BQ123" si="86">BO111</f>
        <v>0</v>
      </c>
      <c r="BP123">
        <f t="shared" si="86"/>
        <v>0</v>
      </c>
      <c r="BQ123">
        <f t="shared" si="86"/>
        <v>0</v>
      </c>
      <c r="BR123">
        <f t="shared" ref="BR123:BR131" si="87">BR75</f>
        <v>29</v>
      </c>
      <c r="BS123">
        <v>20</v>
      </c>
      <c r="BT123">
        <v>0</v>
      </c>
      <c r="BU123">
        <v>0</v>
      </c>
      <c r="BV123">
        <v>0.25</v>
      </c>
      <c r="BW123">
        <v>0</v>
      </c>
      <c r="BX123" s="17">
        <f t="shared" si="70"/>
        <v>0</v>
      </c>
      <c r="BY123" s="17">
        <f t="shared" si="71"/>
        <v>0</v>
      </c>
      <c r="BZ123" s="17">
        <f t="shared" si="72"/>
        <v>0</v>
      </c>
      <c r="CA123" s="17">
        <f t="shared" si="73"/>
        <v>0</v>
      </c>
      <c r="CB123" s="17">
        <f t="shared" si="74"/>
        <v>0</v>
      </c>
      <c r="CC123" s="17">
        <f t="shared" si="75"/>
        <v>0</v>
      </c>
      <c r="CD123" s="17">
        <f t="shared" si="76"/>
        <v>0</v>
      </c>
      <c r="CE123" s="17">
        <f t="shared" si="77"/>
        <v>0</v>
      </c>
      <c r="CF123" s="17">
        <f t="shared" si="78"/>
        <v>0</v>
      </c>
      <c r="CG123" s="17">
        <f t="shared" si="79"/>
        <v>0</v>
      </c>
      <c r="CH123" s="17">
        <f t="shared" si="80"/>
        <v>0</v>
      </c>
      <c r="CI123" s="17">
        <f t="shared" si="81"/>
        <v>0</v>
      </c>
      <c r="CJ123" s="17">
        <f t="shared" si="82"/>
        <v>0</v>
      </c>
      <c r="CK123" s="17">
        <f t="shared" si="83"/>
        <v>0</v>
      </c>
    </row>
    <row r="124" spans="1:89" x14ac:dyDescent="0.35">
      <c r="A124" s="1">
        <v>45352</v>
      </c>
      <c r="B124">
        <f t="shared" si="84"/>
        <v>2024</v>
      </c>
      <c r="C124">
        <f t="shared" si="46"/>
        <v>3</v>
      </c>
      <c r="D124" s="17">
        <v>3616214</v>
      </c>
      <c r="E124" s="4">
        <f>IFERROR(VLOOKUP($B124-1,CDM!$K$5:$N$19,2,FALSE)/12,0)+IFERROR(VLOOKUP($B124,CDM!$K$35:$N$48,2,FALSE)/24,0)+IFERROR(VLOOKUP($B124,CDM!$K$35:$N$48,2,FALSE)/2*$C124/78,0)</f>
        <v>151898.40112091412</v>
      </c>
      <c r="F124" s="4">
        <f t="shared" si="64"/>
        <v>3768112.4011209141</v>
      </c>
      <c r="G124" s="17">
        <v>1598328</v>
      </c>
      <c r="H124" s="4">
        <f>IFERROR(VLOOKUP($B124-1,CDM!$K$5:$N$19,3,FALSE)/12,0)+IFERROR(VLOOKUP($B124,CDM!$K$35:$N$48,3,FALSE)/24,0)+IFERROR(VLOOKUP($B124,CDM!$K$35:$N$48,3,FALSE)/2*$C124/78,0)</f>
        <v>157300.79682134473</v>
      </c>
      <c r="I124" s="4">
        <f t="shared" si="65"/>
        <v>1755628.7968213446</v>
      </c>
      <c r="J124" s="17">
        <v>5411696</v>
      </c>
      <c r="K124" s="4">
        <f>IFERROR(VLOOKUP($B124-1,CDM!$K$5:$N$19,4,FALSE)/12,0)+IFERROR(VLOOKUP($B124,CDM!$K$35:$N$48,4,FALSE)/24,0)+IFERROR(VLOOKUP($B124,CDM!$K$35:$N$48,4,FALSE)/2*$C124/78,0)</f>
        <v>294638.0779105603</v>
      </c>
      <c r="L124" s="4">
        <f t="shared" si="49"/>
        <v>5706334.0779105602</v>
      </c>
      <c r="M124" s="4">
        <v>46692</v>
      </c>
      <c r="N124" s="4">
        <v>13662</v>
      </c>
      <c r="O124" s="4">
        <v>13312.44</v>
      </c>
      <c r="P124" s="4">
        <v>118.73</v>
      </c>
      <c r="Q124" s="4">
        <v>5185</v>
      </c>
      <c r="R124" s="4">
        <v>714</v>
      </c>
      <c r="S124" s="4">
        <v>70</v>
      </c>
      <c r="T124" s="4">
        <v>1710</v>
      </c>
      <c r="U124" s="4">
        <v>22</v>
      </c>
      <c r="V124" s="4">
        <f>Weather!D244</f>
        <v>771.4</v>
      </c>
      <c r="W124" s="4">
        <f>Weather!E244</f>
        <v>0</v>
      </c>
      <c r="X124" s="4">
        <f>Weather!F244</f>
        <v>709.39999999999986</v>
      </c>
      <c r="Y124" s="4">
        <f>Weather!G244</f>
        <v>0</v>
      </c>
      <c r="Z124" s="4">
        <f>Weather!H244</f>
        <v>647.4</v>
      </c>
      <c r="AA124" s="4">
        <f>Weather!I244</f>
        <v>0</v>
      </c>
      <c r="AB124" s="4">
        <f>Weather!J244</f>
        <v>585.39999999999986</v>
      </c>
      <c r="AC124" s="4">
        <f>Weather!K244</f>
        <v>0</v>
      </c>
      <c r="AD124" s="4">
        <f>Weather!L244</f>
        <v>523.4</v>
      </c>
      <c r="AE124" s="4">
        <f>Weather!M244</f>
        <v>0</v>
      </c>
      <c r="AF124" s="4">
        <f>Weather!N244</f>
        <v>461.4</v>
      </c>
      <c r="AG124" s="4">
        <f>Weather!O244</f>
        <v>0</v>
      </c>
      <c r="AH124" s="4">
        <f>Weather!P244</f>
        <v>399.4</v>
      </c>
      <c r="AI124" s="4">
        <f>Weather!Q244</f>
        <v>0</v>
      </c>
      <c r="AJ124" s="4">
        <f>Weather!R244</f>
        <v>-4.8838709677419363</v>
      </c>
      <c r="AK124" s="4">
        <f>'Economic Data'!F126</f>
        <v>860616.9450999999</v>
      </c>
      <c r="AL124" s="4">
        <f>'Economic Data'!G126</f>
        <v>9024.1079499999996</v>
      </c>
      <c r="AM124" s="4">
        <f>'Economic Data'!H126</f>
        <v>6982.3951999999999</v>
      </c>
      <c r="AN124" s="4">
        <f>'Economic Data'!I126</f>
        <v>113.64155</v>
      </c>
      <c r="AO124" s="4">
        <f>'Economic Data'!J126</f>
        <v>145.43292499999998</v>
      </c>
      <c r="AP124" s="4">
        <f>'Economic Data'!K126</f>
        <v>409.95734999999996</v>
      </c>
      <c r="AQ124" s="4">
        <f>'Economic Data'!L126</f>
        <v>298.13244999999995</v>
      </c>
      <c r="AR124" s="4">
        <f>'Economic Data'!M126</f>
        <v>2690.8623499999999</v>
      </c>
      <c r="AS124" s="4">
        <f>'Economic Data'!N126</f>
        <v>1880.0309</v>
      </c>
      <c r="AT124" s="4">
        <f>'Economic Data'!O126</f>
        <v>861193</v>
      </c>
      <c r="AU124" s="4">
        <f>'Economic Data'!P126</f>
        <v>9492</v>
      </c>
      <c r="AV124" s="4">
        <f>'Economic Data'!Q126</f>
        <v>4805</v>
      </c>
      <c r="AW124" s="4">
        <f>'Economic Data'!R126</f>
        <v>3032</v>
      </c>
      <c r="AX124" s="4">
        <f>'Economic Data'!E126</f>
        <v>7870.9</v>
      </c>
      <c r="AY124" s="4">
        <f>'Economic Data'!D126</f>
        <v>7950.9</v>
      </c>
      <c r="AZ124">
        <v>123</v>
      </c>
      <c r="BA124" s="14">
        <f t="shared" si="66"/>
        <v>4.8828019225863706</v>
      </c>
      <c r="BB124">
        <f t="shared" si="67"/>
        <v>15129</v>
      </c>
      <c r="BC124">
        <f t="shared" si="85"/>
        <v>0</v>
      </c>
      <c r="BD124">
        <f t="shared" si="85"/>
        <v>0</v>
      </c>
      <c r="BE124">
        <f t="shared" si="85"/>
        <v>1</v>
      </c>
      <c r="BF124">
        <f t="shared" si="85"/>
        <v>0</v>
      </c>
      <c r="BG124">
        <f t="shared" si="85"/>
        <v>0</v>
      </c>
      <c r="BH124">
        <f t="shared" si="85"/>
        <v>0</v>
      </c>
      <c r="BI124">
        <f t="shared" si="85"/>
        <v>0</v>
      </c>
      <c r="BJ124">
        <f t="shared" si="85"/>
        <v>0</v>
      </c>
      <c r="BK124">
        <f t="shared" si="85"/>
        <v>0</v>
      </c>
      <c r="BL124">
        <f t="shared" si="85"/>
        <v>0</v>
      </c>
      <c r="BM124">
        <f t="shared" si="85"/>
        <v>0</v>
      </c>
      <c r="BN124">
        <f t="shared" si="85"/>
        <v>0</v>
      </c>
      <c r="BO124">
        <f t="shared" ref="BO124:BQ124" si="88">BO112</f>
        <v>1</v>
      </c>
      <c r="BP124">
        <f t="shared" si="88"/>
        <v>0</v>
      </c>
      <c r="BQ124">
        <f t="shared" si="88"/>
        <v>1</v>
      </c>
      <c r="BR124">
        <f t="shared" si="87"/>
        <v>31</v>
      </c>
      <c r="BS124">
        <v>20</v>
      </c>
      <c r="BT124">
        <v>0</v>
      </c>
      <c r="BU124">
        <v>0</v>
      </c>
      <c r="BV124">
        <v>0.25</v>
      </c>
      <c r="BW124">
        <v>0</v>
      </c>
      <c r="BX124" s="17">
        <f t="shared" si="70"/>
        <v>0</v>
      </c>
      <c r="BY124" s="17">
        <f t="shared" si="71"/>
        <v>0</v>
      </c>
      <c r="BZ124" s="17">
        <f t="shared" si="72"/>
        <v>0</v>
      </c>
      <c r="CA124" s="17">
        <f t="shared" si="73"/>
        <v>0</v>
      </c>
      <c r="CB124" s="17">
        <f t="shared" si="74"/>
        <v>0</v>
      </c>
      <c r="CC124" s="17">
        <f t="shared" si="75"/>
        <v>0</v>
      </c>
      <c r="CD124" s="17">
        <f t="shared" si="76"/>
        <v>0</v>
      </c>
      <c r="CE124" s="17">
        <f t="shared" si="77"/>
        <v>0</v>
      </c>
      <c r="CF124" s="17">
        <f t="shared" si="78"/>
        <v>0</v>
      </c>
      <c r="CG124" s="17">
        <f t="shared" si="79"/>
        <v>0</v>
      </c>
      <c r="CH124" s="17">
        <f t="shared" si="80"/>
        <v>0</v>
      </c>
      <c r="CI124" s="17">
        <f t="shared" si="81"/>
        <v>0</v>
      </c>
      <c r="CJ124" s="17">
        <f t="shared" si="82"/>
        <v>0</v>
      </c>
      <c r="CK124" s="17">
        <f t="shared" si="83"/>
        <v>0</v>
      </c>
    </row>
    <row r="125" spans="1:89" x14ac:dyDescent="0.35">
      <c r="A125" s="1">
        <v>45383</v>
      </c>
      <c r="B125">
        <f t="shared" si="84"/>
        <v>2024</v>
      </c>
      <c r="C125">
        <f t="shared" si="46"/>
        <v>4</v>
      </c>
      <c r="D125" s="17">
        <v>3530207</v>
      </c>
      <c r="E125" s="4">
        <f>IFERROR(VLOOKUP($B125-1,CDM!$K$5:$N$19,2,FALSE)/12,0)+IFERROR(VLOOKUP($B125,CDM!$K$35:$N$48,2,FALSE)/24,0)+IFERROR(VLOOKUP($B125,CDM!$K$35:$N$48,2,FALSE)/2*$C125/78,0)</f>
        <v>152336.45402384081</v>
      </c>
      <c r="F125" s="4">
        <f t="shared" si="64"/>
        <v>3682543.4540238408</v>
      </c>
      <c r="G125" s="17">
        <v>1572924</v>
      </c>
      <c r="H125" s="4">
        <f>IFERROR(VLOOKUP($B125-1,CDM!$K$5:$N$19,3,FALSE)/12,0)+IFERROR(VLOOKUP($B125,CDM!$K$35:$N$48,3,FALSE)/24,0)+IFERROR(VLOOKUP($B125,CDM!$K$35:$N$48,3,FALSE)/2*$C125/78,0)</f>
        <v>156233.04604600038</v>
      </c>
      <c r="I125" s="4">
        <f t="shared" si="65"/>
        <v>1729157.0460460004</v>
      </c>
      <c r="J125" s="17">
        <v>5411415</v>
      </c>
      <c r="K125" s="4">
        <f>IFERROR(VLOOKUP($B125-1,CDM!$K$5:$N$19,4,FALSE)/12,0)+IFERROR(VLOOKUP($B125,CDM!$K$35:$N$48,4,FALSE)/24,0)+IFERROR(VLOOKUP($B125,CDM!$K$35:$N$48,4,FALSE)/2*$C125/78,0)</f>
        <v>298104.16341844853</v>
      </c>
      <c r="L125" s="4">
        <f t="shared" si="49"/>
        <v>5709519.1634184485</v>
      </c>
      <c r="M125" s="4">
        <v>42699</v>
      </c>
      <c r="N125" s="4">
        <v>13662</v>
      </c>
      <c r="O125" s="4">
        <v>13133.41</v>
      </c>
      <c r="P125" s="4">
        <v>118.73</v>
      </c>
      <c r="Q125" s="4">
        <v>5187</v>
      </c>
      <c r="R125" s="4">
        <v>713</v>
      </c>
      <c r="S125" s="4">
        <v>69</v>
      </c>
      <c r="T125" s="4">
        <v>1710</v>
      </c>
      <c r="U125" s="4">
        <v>22</v>
      </c>
      <c r="V125" s="4">
        <f>Weather!D245</f>
        <v>521.39999999999986</v>
      </c>
      <c r="W125" s="4">
        <f>Weather!E245</f>
        <v>0</v>
      </c>
      <c r="X125" s="4">
        <f>Weather!F245</f>
        <v>461.39999999999992</v>
      </c>
      <c r="Y125" s="4">
        <f>Weather!G245</f>
        <v>0</v>
      </c>
      <c r="Z125" s="4">
        <f>Weather!H245</f>
        <v>401.4</v>
      </c>
      <c r="AA125" s="4">
        <f>Weather!I245</f>
        <v>0</v>
      </c>
      <c r="AB125" s="4">
        <f>Weather!J245</f>
        <v>341.40000000000003</v>
      </c>
      <c r="AC125" s="4">
        <f>Weather!K245</f>
        <v>0</v>
      </c>
      <c r="AD125" s="4">
        <f>Weather!L245</f>
        <v>281.40000000000003</v>
      </c>
      <c r="AE125" s="4">
        <f>Weather!M245</f>
        <v>0</v>
      </c>
      <c r="AF125" s="4">
        <f>Weather!N245</f>
        <v>221.40000000000003</v>
      </c>
      <c r="AG125" s="4">
        <f>Weather!O245</f>
        <v>0</v>
      </c>
      <c r="AH125" s="4">
        <f>Weather!P245</f>
        <v>163.80000000000001</v>
      </c>
      <c r="AI125" s="4">
        <f>Weather!Q245</f>
        <v>2.4000000000000004</v>
      </c>
      <c r="AJ125" s="4">
        <f>Weather!R245</f>
        <v>2.62</v>
      </c>
      <c r="AK125" s="4">
        <f>'Economic Data'!F127</f>
        <v>860616.9450999999</v>
      </c>
      <c r="AL125" s="4">
        <f>'Economic Data'!G127</f>
        <v>9024.1079499999996</v>
      </c>
      <c r="AM125" s="4">
        <f>'Economic Data'!H127</f>
        <v>6982.3951999999999</v>
      </c>
      <c r="AN125" s="4">
        <f>'Economic Data'!I127</f>
        <v>113.64155</v>
      </c>
      <c r="AO125" s="4">
        <f>'Economic Data'!J127</f>
        <v>145.43292499999998</v>
      </c>
      <c r="AP125" s="4">
        <f>'Economic Data'!K127</f>
        <v>409.95734999999996</v>
      </c>
      <c r="AQ125" s="4">
        <f>'Economic Data'!L127</f>
        <v>298.13244999999995</v>
      </c>
      <c r="AR125" s="4">
        <f>'Economic Data'!M127</f>
        <v>2690.8623499999999</v>
      </c>
      <c r="AS125" s="4">
        <f>'Economic Data'!N127</f>
        <v>1880.0309</v>
      </c>
      <c r="AT125" s="4">
        <f>'Economic Data'!O127</f>
        <v>860880.15749999997</v>
      </c>
      <c r="AU125" s="4">
        <f>'Economic Data'!P127</f>
        <v>8937.9179999999997</v>
      </c>
      <c r="AV125" s="4">
        <f>'Economic Data'!Q127</f>
        <v>5196.6282499999998</v>
      </c>
      <c r="AW125" s="4">
        <f>'Economic Data'!R127</f>
        <v>3237.674</v>
      </c>
      <c r="AX125" s="4">
        <f>'Economic Data'!E127</f>
        <v>7915</v>
      </c>
      <c r="AY125" s="4">
        <f>'Economic Data'!D127</f>
        <v>7970.1</v>
      </c>
      <c r="AZ125">
        <v>124</v>
      </c>
      <c r="BA125" s="14">
        <f t="shared" si="66"/>
        <v>4.8903491282217537</v>
      </c>
      <c r="BB125">
        <f t="shared" si="67"/>
        <v>15376</v>
      </c>
      <c r="BC125">
        <f t="shared" si="85"/>
        <v>0</v>
      </c>
      <c r="BD125">
        <f t="shared" si="85"/>
        <v>0</v>
      </c>
      <c r="BE125">
        <f t="shared" si="85"/>
        <v>0</v>
      </c>
      <c r="BF125">
        <f t="shared" si="85"/>
        <v>1</v>
      </c>
      <c r="BG125">
        <f t="shared" si="85"/>
        <v>0</v>
      </c>
      <c r="BH125">
        <f t="shared" si="85"/>
        <v>0</v>
      </c>
      <c r="BI125">
        <f t="shared" si="85"/>
        <v>0</v>
      </c>
      <c r="BJ125">
        <f t="shared" si="85"/>
        <v>0</v>
      </c>
      <c r="BK125">
        <f t="shared" si="85"/>
        <v>0</v>
      </c>
      <c r="BL125">
        <f t="shared" si="85"/>
        <v>0</v>
      </c>
      <c r="BM125">
        <f t="shared" si="85"/>
        <v>0</v>
      </c>
      <c r="BN125">
        <f t="shared" si="85"/>
        <v>0</v>
      </c>
      <c r="BO125">
        <f t="shared" ref="BO125:BQ125" si="89">BO113</f>
        <v>1</v>
      </c>
      <c r="BP125">
        <f t="shared" si="89"/>
        <v>0</v>
      </c>
      <c r="BQ125">
        <f t="shared" si="89"/>
        <v>1</v>
      </c>
      <c r="BR125">
        <f t="shared" si="87"/>
        <v>30</v>
      </c>
      <c r="BS125">
        <v>22</v>
      </c>
      <c r="BT125">
        <v>0</v>
      </c>
      <c r="BU125">
        <v>0</v>
      </c>
      <c r="BV125">
        <v>0.25</v>
      </c>
      <c r="BW125">
        <v>0</v>
      </c>
      <c r="BX125" s="17">
        <f t="shared" si="70"/>
        <v>0</v>
      </c>
      <c r="BY125" s="17">
        <f t="shared" si="71"/>
        <v>0</v>
      </c>
      <c r="BZ125" s="17">
        <f t="shared" si="72"/>
        <v>0</v>
      </c>
      <c r="CA125" s="17">
        <f t="shared" si="73"/>
        <v>0</v>
      </c>
      <c r="CB125" s="17">
        <f t="shared" si="74"/>
        <v>0</v>
      </c>
      <c r="CC125" s="17">
        <f t="shared" si="75"/>
        <v>0</v>
      </c>
      <c r="CD125" s="17">
        <f t="shared" si="76"/>
        <v>0</v>
      </c>
      <c r="CE125" s="17">
        <f t="shared" si="77"/>
        <v>0</v>
      </c>
      <c r="CF125" s="17">
        <f t="shared" si="78"/>
        <v>0</v>
      </c>
      <c r="CG125" s="17">
        <f t="shared" si="79"/>
        <v>0</v>
      </c>
      <c r="CH125" s="17">
        <f t="shared" si="80"/>
        <v>0</v>
      </c>
      <c r="CI125" s="17">
        <f t="shared" si="81"/>
        <v>0</v>
      </c>
      <c r="CJ125" s="17">
        <f t="shared" si="82"/>
        <v>0</v>
      </c>
      <c r="CK125" s="17">
        <f t="shared" si="83"/>
        <v>0</v>
      </c>
    </row>
    <row r="126" spans="1:89" x14ac:dyDescent="0.35">
      <c r="A126" s="1">
        <v>45413</v>
      </c>
      <c r="B126">
        <f t="shared" si="84"/>
        <v>2024</v>
      </c>
      <c r="C126">
        <f t="shared" si="46"/>
        <v>5</v>
      </c>
      <c r="D126" s="17">
        <v>3002089</v>
      </c>
      <c r="E126" s="4">
        <f>IFERROR(VLOOKUP($B126-1,CDM!$K$5:$N$19,2,FALSE)/12,0)+IFERROR(VLOOKUP($B126,CDM!$K$35:$N$48,2,FALSE)/24,0)+IFERROR(VLOOKUP($B126,CDM!$K$35:$N$48,2,FALSE)/2*$C126/78,0)</f>
        <v>152774.5069267675</v>
      </c>
      <c r="F126" s="4">
        <f t="shared" si="64"/>
        <v>3154863.5069267675</v>
      </c>
      <c r="G126" s="17">
        <v>1387238</v>
      </c>
      <c r="H126" s="4">
        <f>IFERROR(VLOOKUP($B126-1,CDM!$K$5:$N$19,3,FALSE)/12,0)+IFERROR(VLOOKUP($B126,CDM!$K$35:$N$48,3,FALSE)/24,0)+IFERROR(VLOOKUP($B126,CDM!$K$35:$N$48,3,FALSE)/2*$C126/78,0)</f>
        <v>155165.29527065603</v>
      </c>
      <c r="I126" s="4">
        <f t="shared" si="65"/>
        <v>1542403.295270656</v>
      </c>
      <c r="J126" s="17">
        <v>5129128</v>
      </c>
      <c r="K126" s="4">
        <f>IFERROR(VLOOKUP($B126-1,CDM!$K$5:$N$19,4,FALSE)/12,0)+IFERROR(VLOOKUP($B126,CDM!$K$35:$N$48,4,FALSE)/24,0)+IFERROR(VLOOKUP($B126,CDM!$K$35:$N$48,4,FALSE)/2*$C126/78,0)</f>
        <v>301570.24892633676</v>
      </c>
      <c r="L126" s="4">
        <f t="shared" si="49"/>
        <v>5430698.2489263369</v>
      </c>
      <c r="M126" s="4">
        <v>34315</v>
      </c>
      <c r="N126" s="4">
        <v>13662</v>
      </c>
      <c r="O126" s="4">
        <v>12222.72</v>
      </c>
      <c r="P126" s="4">
        <v>118.73</v>
      </c>
      <c r="Q126" s="4">
        <v>5196</v>
      </c>
      <c r="R126" s="4">
        <v>717</v>
      </c>
      <c r="S126" s="4">
        <v>69</v>
      </c>
      <c r="T126" s="4">
        <v>1710</v>
      </c>
      <c r="U126" s="4">
        <v>22</v>
      </c>
      <c r="V126" s="4">
        <f>Weather!D246</f>
        <v>281.5</v>
      </c>
      <c r="W126" s="4">
        <f>Weather!E246</f>
        <v>0</v>
      </c>
      <c r="X126" s="4">
        <f>Weather!F246</f>
        <v>220.00000000000003</v>
      </c>
      <c r="Y126" s="4">
        <f>Weather!G246</f>
        <v>0.5</v>
      </c>
      <c r="Z126" s="4">
        <f>Weather!H246</f>
        <v>163.89999999999998</v>
      </c>
      <c r="AA126" s="4">
        <f>Weather!I246</f>
        <v>6.3999999999999986</v>
      </c>
      <c r="AB126" s="4">
        <f>Weather!J246</f>
        <v>116.2</v>
      </c>
      <c r="AC126" s="4">
        <f>Weather!K246</f>
        <v>20.7</v>
      </c>
      <c r="AD126" s="4">
        <f>Weather!L246</f>
        <v>73.499999999999986</v>
      </c>
      <c r="AE126" s="4">
        <f>Weather!M246</f>
        <v>40</v>
      </c>
      <c r="AF126" s="4">
        <f>Weather!N246</f>
        <v>36.300000000000004</v>
      </c>
      <c r="AG126" s="4">
        <f>Weather!O246</f>
        <v>64.8</v>
      </c>
      <c r="AH126" s="4">
        <f>Weather!P246</f>
        <v>12.700000000000001</v>
      </c>
      <c r="AI126" s="4">
        <f>Weather!Q246</f>
        <v>103.20000000000002</v>
      </c>
      <c r="AJ126" s="4">
        <f>Weather!R246</f>
        <v>10.919354838709676</v>
      </c>
      <c r="AK126" s="4">
        <f>'Economic Data'!F128</f>
        <v>860616.9450999999</v>
      </c>
      <c r="AL126" s="4">
        <f>'Economic Data'!G128</f>
        <v>9024.1079499999996</v>
      </c>
      <c r="AM126" s="4">
        <f>'Economic Data'!H128</f>
        <v>6982.3951999999999</v>
      </c>
      <c r="AN126" s="4">
        <f>'Economic Data'!I128</f>
        <v>113.64155</v>
      </c>
      <c r="AO126" s="4">
        <f>'Economic Data'!J128</f>
        <v>145.43292499999998</v>
      </c>
      <c r="AP126" s="4">
        <f>'Economic Data'!K128</f>
        <v>409.95734999999996</v>
      </c>
      <c r="AQ126" s="4">
        <f>'Economic Data'!L128</f>
        <v>298.13244999999995</v>
      </c>
      <c r="AR126" s="4">
        <f>'Economic Data'!M128</f>
        <v>2690.8623499999999</v>
      </c>
      <c r="AS126" s="4">
        <f>'Economic Data'!N128</f>
        <v>1880.0309</v>
      </c>
      <c r="AT126" s="4">
        <f>'Economic Data'!O128</f>
        <v>860880.15749999997</v>
      </c>
      <c r="AU126" s="4">
        <f>'Economic Data'!P128</f>
        <v>8937.9179999999997</v>
      </c>
      <c r="AV126" s="4">
        <f>'Economic Data'!Q128</f>
        <v>5196.6282499999998</v>
      </c>
      <c r="AW126" s="4">
        <f>'Economic Data'!R128</f>
        <v>3237.674</v>
      </c>
      <c r="AX126" s="4">
        <f>'Economic Data'!E128</f>
        <v>7999.8</v>
      </c>
      <c r="AY126" s="4">
        <f>'Economic Data'!D128</f>
        <v>8003.7</v>
      </c>
      <c r="AZ126">
        <v>125</v>
      </c>
      <c r="BA126" s="14">
        <f t="shared" si="66"/>
        <v>4.8978397999509111</v>
      </c>
      <c r="BB126">
        <f t="shared" si="67"/>
        <v>15625</v>
      </c>
      <c r="BC126">
        <f t="shared" si="85"/>
        <v>0</v>
      </c>
      <c r="BD126">
        <f t="shared" si="85"/>
        <v>0</v>
      </c>
      <c r="BE126">
        <f t="shared" si="85"/>
        <v>0</v>
      </c>
      <c r="BF126">
        <f t="shared" si="85"/>
        <v>0</v>
      </c>
      <c r="BG126">
        <f t="shared" si="85"/>
        <v>1</v>
      </c>
      <c r="BH126">
        <f t="shared" si="85"/>
        <v>0</v>
      </c>
      <c r="BI126">
        <f t="shared" si="85"/>
        <v>0</v>
      </c>
      <c r="BJ126">
        <f t="shared" si="85"/>
        <v>0</v>
      </c>
      <c r="BK126">
        <f t="shared" si="85"/>
        <v>0</v>
      </c>
      <c r="BL126">
        <f t="shared" si="85"/>
        <v>0</v>
      </c>
      <c r="BM126">
        <f t="shared" si="85"/>
        <v>0</v>
      </c>
      <c r="BN126">
        <f t="shared" si="85"/>
        <v>0</v>
      </c>
      <c r="BO126">
        <f t="shared" ref="BO126:BQ126" si="90">BO114</f>
        <v>1</v>
      </c>
      <c r="BP126">
        <f t="shared" si="90"/>
        <v>0</v>
      </c>
      <c r="BQ126">
        <f t="shared" si="90"/>
        <v>1</v>
      </c>
      <c r="BR126">
        <f t="shared" si="87"/>
        <v>31</v>
      </c>
      <c r="BS126">
        <v>22</v>
      </c>
      <c r="BT126">
        <v>0</v>
      </c>
      <c r="BU126">
        <v>0</v>
      </c>
      <c r="BV126">
        <v>0.25</v>
      </c>
      <c r="BW126">
        <v>0</v>
      </c>
      <c r="BX126" s="17">
        <f t="shared" si="70"/>
        <v>0</v>
      </c>
      <c r="BY126" s="17">
        <f t="shared" si="71"/>
        <v>0</v>
      </c>
      <c r="BZ126" s="17">
        <f t="shared" si="72"/>
        <v>0</v>
      </c>
      <c r="CA126" s="17">
        <f t="shared" si="73"/>
        <v>0</v>
      </c>
      <c r="CB126" s="17">
        <f t="shared" si="74"/>
        <v>0</v>
      </c>
      <c r="CC126" s="17">
        <f t="shared" si="75"/>
        <v>0</v>
      </c>
      <c r="CD126" s="17">
        <f t="shared" si="76"/>
        <v>0</v>
      </c>
      <c r="CE126" s="17">
        <f t="shared" si="77"/>
        <v>0</v>
      </c>
      <c r="CF126" s="17">
        <f t="shared" si="78"/>
        <v>0</v>
      </c>
      <c r="CG126" s="17">
        <f t="shared" si="79"/>
        <v>0</v>
      </c>
      <c r="CH126" s="17">
        <f t="shared" si="80"/>
        <v>0</v>
      </c>
      <c r="CI126" s="17">
        <f t="shared" si="81"/>
        <v>0</v>
      </c>
      <c r="CJ126" s="17">
        <f t="shared" si="82"/>
        <v>0</v>
      </c>
      <c r="CK126" s="17">
        <f t="shared" si="83"/>
        <v>0</v>
      </c>
    </row>
    <row r="127" spans="1:89" x14ac:dyDescent="0.35">
      <c r="A127" s="1">
        <v>45444</v>
      </c>
      <c r="B127">
        <f t="shared" si="84"/>
        <v>2024</v>
      </c>
      <c r="C127">
        <f t="shared" si="46"/>
        <v>6</v>
      </c>
      <c r="D127" s="17">
        <v>2680675</v>
      </c>
      <c r="E127" s="4">
        <f>IFERROR(VLOOKUP($B127-1,CDM!$K$5:$N$19,2,FALSE)/12,0)+IFERROR(VLOOKUP($B127,CDM!$K$35:$N$48,2,FALSE)/24,0)+IFERROR(VLOOKUP($B127,CDM!$K$35:$N$48,2,FALSE)/2*$C127/78,0)</f>
        <v>153212.55982969419</v>
      </c>
      <c r="F127" s="4">
        <f t="shared" si="64"/>
        <v>2833887.5598296942</v>
      </c>
      <c r="G127" s="17">
        <v>1254044</v>
      </c>
      <c r="H127" s="4">
        <f>IFERROR(VLOOKUP($B127-1,CDM!$K$5:$N$19,3,FALSE)/12,0)+IFERROR(VLOOKUP($B127,CDM!$K$35:$N$48,3,FALSE)/24,0)+IFERROR(VLOOKUP($B127,CDM!$K$35:$N$48,3,FALSE)/2*$C127/78,0)</f>
        <v>154097.54449531168</v>
      </c>
      <c r="I127" s="4">
        <f t="shared" si="65"/>
        <v>1408141.5444953116</v>
      </c>
      <c r="J127" s="17">
        <v>4803788</v>
      </c>
      <c r="K127" s="4">
        <f>IFERROR(VLOOKUP($B127-1,CDM!$K$5:$N$19,4,FALSE)/12,0)+IFERROR(VLOOKUP($B127,CDM!$K$35:$N$48,4,FALSE)/24,0)+IFERROR(VLOOKUP($B127,CDM!$K$35:$N$48,4,FALSE)/2*$C127/78,0)</f>
        <v>305036.33443422493</v>
      </c>
      <c r="L127" s="4">
        <f t="shared" si="49"/>
        <v>5108824.3344342252</v>
      </c>
      <c r="M127" s="4">
        <v>29229</v>
      </c>
      <c r="N127" s="4">
        <v>13662</v>
      </c>
      <c r="O127" s="4">
        <v>11889.41</v>
      </c>
      <c r="P127" s="4">
        <v>118.73</v>
      </c>
      <c r="Q127" s="4">
        <v>5177</v>
      </c>
      <c r="R127" s="4">
        <v>718</v>
      </c>
      <c r="S127" s="4">
        <v>69</v>
      </c>
      <c r="T127" s="4">
        <v>1710</v>
      </c>
      <c r="U127" s="4">
        <v>22</v>
      </c>
      <c r="V127" s="4">
        <f>Weather!D247</f>
        <v>127.7</v>
      </c>
      <c r="W127" s="4">
        <f>Weather!E247</f>
        <v>15.299999999999997</v>
      </c>
      <c r="X127" s="4">
        <f>Weather!F247</f>
        <v>86.1</v>
      </c>
      <c r="Y127" s="4">
        <f>Weather!G247</f>
        <v>33.700000000000003</v>
      </c>
      <c r="Z127" s="4">
        <f>Weather!H247</f>
        <v>52.899999999999991</v>
      </c>
      <c r="AA127" s="4">
        <f>Weather!I247</f>
        <v>60.500000000000007</v>
      </c>
      <c r="AB127" s="4">
        <f>Weather!J247</f>
        <v>29.699999999999996</v>
      </c>
      <c r="AC127" s="4">
        <f>Weather!K247</f>
        <v>97.300000000000011</v>
      </c>
      <c r="AD127" s="4">
        <f>Weather!L247</f>
        <v>12.899999999999999</v>
      </c>
      <c r="AE127" s="4">
        <f>Weather!M247</f>
        <v>140.5</v>
      </c>
      <c r="AF127" s="4">
        <f>Weather!N247</f>
        <v>4</v>
      </c>
      <c r="AG127" s="4">
        <f>Weather!O247</f>
        <v>191.6</v>
      </c>
      <c r="AH127" s="4">
        <f>Weather!P247</f>
        <v>0.5</v>
      </c>
      <c r="AI127" s="4">
        <f>Weather!Q247</f>
        <v>248.10000000000002</v>
      </c>
      <c r="AJ127" s="4">
        <f>Weather!R247</f>
        <v>16.253333333333334</v>
      </c>
      <c r="AK127" s="4">
        <f>'Economic Data'!F129</f>
        <v>860616.9450999999</v>
      </c>
      <c r="AL127" s="4">
        <f>'Economic Data'!G129</f>
        <v>9024.1079499999996</v>
      </c>
      <c r="AM127" s="4">
        <f>'Economic Data'!H129</f>
        <v>6982.3951999999999</v>
      </c>
      <c r="AN127" s="4">
        <f>'Economic Data'!I129</f>
        <v>113.64155</v>
      </c>
      <c r="AO127" s="4">
        <f>'Economic Data'!J129</f>
        <v>145.43292499999998</v>
      </c>
      <c r="AP127" s="4">
        <f>'Economic Data'!K129</f>
        <v>409.95734999999996</v>
      </c>
      <c r="AQ127" s="4">
        <f>'Economic Data'!L129</f>
        <v>298.13244999999995</v>
      </c>
      <c r="AR127" s="4">
        <f>'Economic Data'!M129</f>
        <v>2690.8623499999999</v>
      </c>
      <c r="AS127" s="4">
        <f>'Economic Data'!N129</f>
        <v>1880.0309</v>
      </c>
      <c r="AT127" s="4">
        <f>'Economic Data'!O129</f>
        <v>860880.15749999997</v>
      </c>
      <c r="AU127" s="4">
        <f>'Economic Data'!P129</f>
        <v>8937.9179999999997</v>
      </c>
      <c r="AV127" s="4">
        <f>'Economic Data'!Q129</f>
        <v>5196.6282499999998</v>
      </c>
      <c r="AW127" s="4">
        <f>'Economic Data'!R129</f>
        <v>3237.674</v>
      </c>
      <c r="AX127" s="4">
        <f>'Economic Data'!E129</f>
        <v>8092.5</v>
      </c>
      <c r="AY127" s="4">
        <f>'Economic Data'!D129</f>
        <v>8031.8</v>
      </c>
      <c r="AZ127">
        <v>126</v>
      </c>
      <c r="BA127" s="14">
        <f t="shared" si="66"/>
        <v>4.9052747784384296</v>
      </c>
      <c r="BB127">
        <f t="shared" si="67"/>
        <v>15876</v>
      </c>
      <c r="BC127">
        <f t="shared" si="85"/>
        <v>0</v>
      </c>
      <c r="BD127">
        <f t="shared" si="85"/>
        <v>0</v>
      </c>
      <c r="BE127">
        <f t="shared" si="85"/>
        <v>0</v>
      </c>
      <c r="BF127">
        <f t="shared" si="85"/>
        <v>0</v>
      </c>
      <c r="BG127">
        <f t="shared" si="85"/>
        <v>0</v>
      </c>
      <c r="BH127">
        <f t="shared" si="85"/>
        <v>1</v>
      </c>
      <c r="BI127">
        <f t="shared" si="85"/>
        <v>0</v>
      </c>
      <c r="BJ127">
        <f t="shared" si="85"/>
        <v>0</v>
      </c>
      <c r="BK127">
        <f t="shared" si="85"/>
        <v>0</v>
      </c>
      <c r="BL127">
        <f t="shared" si="85"/>
        <v>0</v>
      </c>
      <c r="BM127">
        <f t="shared" si="85"/>
        <v>0</v>
      </c>
      <c r="BN127">
        <f t="shared" si="85"/>
        <v>0</v>
      </c>
      <c r="BO127">
        <f t="shared" ref="BO127:BQ127" si="91">BO115</f>
        <v>0</v>
      </c>
      <c r="BP127">
        <f t="shared" si="91"/>
        <v>0</v>
      </c>
      <c r="BQ127">
        <f t="shared" si="91"/>
        <v>0</v>
      </c>
      <c r="BR127">
        <f t="shared" si="87"/>
        <v>30</v>
      </c>
      <c r="BS127">
        <v>20</v>
      </c>
      <c r="BT127">
        <v>0</v>
      </c>
      <c r="BU127">
        <v>0</v>
      </c>
      <c r="BV127">
        <v>0.25</v>
      </c>
      <c r="BW127">
        <v>0</v>
      </c>
      <c r="BX127" s="17">
        <f t="shared" si="70"/>
        <v>0</v>
      </c>
      <c r="BY127" s="17">
        <f t="shared" si="71"/>
        <v>0</v>
      </c>
      <c r="BZ127" s="17">
        <f t="shared" si="72"/>
        <v>0</v>
      </c>
      <c r="CA127" s="17">
        <f t="shared" si="73"/>
        <v>0</v>
      </c>
      <c r="CB127" s="17">
        <f t="shared" si="74"/>
        <v>0</v>
      </c>
      <c r="CC127" s="17">
        <f t="shared" si="75"/>
        <v>0</v>
      </c>
      <c r="CD127" s="17">
        <f t="shared" si="76"/>
        <v>0</v>
      </c>
      <c r="CE127" s="17">
        <f t="shared" si="77"/>
        <v>0</v>
      </c>
      <c r="CF127" s="17">
        <f t="shared" si="78"/>
        <v>0</v>
      </c>
      <c r="CG127" s="17">
        <f t="shared" si="79"/>
        <v>0</v>
      </c>
      <c r="CH127" s="17">
        <f t="shared" si="80"/>
        <v>0</v>
      </c>
      <c r="CI127" s="17">
        <f t="shared" si="81"/>
        <v>0</v>
      </c>
      <c r="CJ127" s="17">
        <f t="shared" si="82"/>
        <v>0</v>
      </c>
      <c r="CK127" s="17">
        <f t="shared" si="83"/>
        <v>0</v>
      </c>
    </row>
    <row r="128" spans="1:89" x14ac:dyDescent="0.35">
      <c r="A128" s="1">
        <v>45474</v>
      </c>
      <c r="B128">
        <f t="shared" si="84"/>
        <v>2024</v>
      </c>
      <c r="C128">
        <f t="shared" si="46"/>
        <v>7</v>
      </c>
      <c r="D128" s="17">
        <v>2936332</v>
      </c>
      <c r="E128" s="4">
        <f>IFERROR(VLOOKUP($B128-1,CDM!$K$5:$N$19,2,FALSE)/12,0)+IFERROR(VLOOKUP($B128,CDM!$K$35:$N$48,2,FALSE)/24,0)+IFERROR(VLOOKUP($B128,CDM!$K$35:$N$48,2,FALSE)/2*$C128/78,0)</f>
        <v>153650.61273262088</v>
      </c>
      <c r="F128" s="4">
        <f t="shared" si="64"/>
        <v>3089982.6127326209</v>
      </c>
      <c r="G128" s="17">
        <v>1240312</v>
      </c>
      <c r="H128" s="4">
        <f>IFERROR(VLOOKUP($B128-1,CDM!$K$5:$N$19,3,FALSE)/12,0)+IFERROR(VLOOKUP($B128,CDM!$K$35:$N$48,3,FALSE)/24,0)+IFERROR(VLOOKUP($B128,CDM!$K$35:$N$48,3,FALSE)/2*$C128/78,0)</f>
        <v>153029.79371996733</v>
      </c>
      <c r="I128" s="4">
        <f t="shared" si="65"/>
        <v>1393341.7937199674</v>
      </c>
      <c r="J128" s="17">
        <v>4443102</v>
      </c>
      <c r="K128" s="4">
        <f>IFERROR(VLOOKUP($B128-1,CDM!$K$5:$N$19,4,FALSE)/12,0)+IFERROR(VLOOKUP($B128,CDM!$K$35:$N$48,4,FALSE)/24,0)+IFERROR(VLOOKUP($B128,CDM!$K$35:$N$48,4,FALSE)/2*$C128/78,0)</f>
        <v>308502.41994211316</v>
      </c>
      <c r="L128" s="4">
        <f t="shared" si="49"/>
        <v>4751604.4199421136</v>
      </c>
      <c r="M128" s="4">
        <v>25237</v>
      </c>
      <c r="N128" s="4">
        <v>13662</v>
      </c>
      <c r="O128" s="4">
        <v>12034.82</v>
      </c>
      <c r="P128" s="4">
        <v>118.73</v>
      </c>
      <c r="Q128" s="4">
        <v>5167</v>
      </c>
      <c r="R128" s="4">
        <v>716</v>
      </c>
      <c r="S128" s="4">
        <v>69</v>
      </c>
      <c r="T128" s="4">
        <v>1710</v>
      </c>
      <c r="U128" s="4">
        <v>22</v>
      </c>
      <c r="V128" s="4">
        <f>Weather!D248</f>
        <v>64.7</v>
      </c>
      <c r="W128" s="4">
        <f>Weather!E248</f>
        <v>28.299999999999997</v>
      </c>
      <c r="X128" s="4">
        <f>Weather!F248</f>
        <v>34.400000000000006</v>
      </c>
      <c r="Y128" s="4">
        <f>Weather!G248</f>
        <v>59.999999999999986</v>
      </c>
      <c r="Z128" s="4">
        <f>Weather!H248</f>
        <v>13.3</v>
      </c>
      <c r="AA128" s="4">
        <f>Weather!I248</f>
        <v>100.89999999999999</v>
      </c>
      <c r="AB128" s="4">
        <f>Weather!J248</f>
        <v>2.6000000000000014</v>
      </c>
      <c r="AC128" s="4">
        <f>Weather!K248</f>
        <v>152.20000000000002</v>
      </c>
      <c r="AD128" s="4">
        <f>Weather!L248</f>
        <v>0</v>
      </c>
      <c r="AE128" s="4">
        <f>Weather!M248</f>
        <v>211.60000000000002</v>
      </c>
      <c r="AF128" s="4">
        <f>Weather!N248</f>
        <v>0</v>
      </c>
      <c r="AG128" s="4">
        <f>Weather!O248</f>
        <v>273.60000000000002</v>
      </c>
      <c r="AH128" s="4">
        <f>Weather!P248</f>
        <v>0</v>
      </c>
      <c r="AI128" s="4">
        <f>Weather!Q248</f>
        <v>335.6</v>
      </c>
      <c r="AJ128" s="4">
        <f>Weather!R248</f>
        <v>18.825806451612902</v>
      </c>
      <c r="AK128" s="4">
        <f>'Economic Data'!F130</f>
        <v>860616.9450999999</v>
      </c>
      <c r="AL128" s="4">
        <f>'Economic Data'!G130</f>
        <v>9024.1079499999996</v>
      </c>
      <c r="AM128" s="4">
        <f>'Economic Data'!H130</f>
        <v>6982.3951999999999</v>
      </c>
      <c r="AN128" s="4">
        <f>'Economic Data'!I130</f>
        <v>113.64155</v>
      </c>
      <c r="AO128" s="4">
        <f>'Economic Data'!J130</f>
        <v>145.43292499999998</v>
      </c>
      <c r="AP128" s="4">
        <f>'Economic Data'!K130</f>
        <v>409.95734999999996</v>
      </c>
      <c r="AQ128" s="4">
        <f>'Economic Data'!L130</f>
        <v>298.13244999999995</v>
      </c>
      <c r="AR128" s="4">
        <f>'Economic Data'!M130</f>
        <v>2690.8623499999999</v>
      </c>
      <c r="AS128" s="4">
        <f>'Economic Data'!N130</f>
        <v>1880.0309</v>
      </c>
      <c r="AT128" s="4">
        <f>'Economic Data'!O130</f>
        <v>861892.43524999998</v>
      </c>
      <c r="AU128" s="4">
        <f>'Economic Data'!P130</f>
        <v>8959.1122500000001</v>
      </c>
      <c r="AV128" s="4">
        <f>'Economic Data'!Q130</f>
        <v>5110.8419999999996</v>
      </c>
      <c r="AW128" s="4">
        <f>'Economic Data'!R130</f>
        <v>3143.8137499999998</v>
      </c>
      <c r="AX128" s="4">
        <f>'Economic Data'!E130</f>
        <v>8115.1070250000002</v>
      </c>
      <c r="AY128" s="4">
        <f>'Economic Data'!D130</f>
        <v>8023.1947250000012</v>
      </c>
      <c r="AZ128">
        <v>127</v>
      </c>
      <c r="BA128" s="14">
        <f t="shared" si="66"/>
        <v>4.9126548857360524</v>
      </c>
      <c r="BB128">
        <f t="shared" si="67"/>
        <v>16129</v>
      </c>
      <c r="BC128">
        <f t="shared" si="85"/>
        <v>0</v>
      </c>
      <c r="BD128">
        <f t="shared" si="85"/>
        <v>0</v>
      </c>
      <c r="BE128">
        <f t="shared" si="85"/>
        <v>0</v>
      </c>
      <c r="BF128">
        <f t="shared" si="85"/>
        <v>0</v>
      </c>
      <c r="BG128">
        <f t="shared" si="85"/>
        <v>0</v>
      </c>
      <c r="BH128">
        <f t="shared" si="85"/>
        <v>0</v>
      </c>
      <c r="BI128">
        <f t="shared" si="85"/>
        <v>1</v>
      </c>
      <c r="BJ128">
        <f t="shared" si="85"/>
        <v>0</v>
      </c>
      <c r="BK128">
        <f t="shared" si="85"/>
        <v>0</v>
      </c>
      <c r="BL128">
        <f t="shared" si="85"/>
        <v>0</v>
      </c>
      <c r="BM128">
        <f t="shared" si="85"/>
        <v>0</v>
      </c>
      <c r="BN128">
        <f t="shared" si="85"/>
        <v>0</v>
      </c>
      <c r="BO128">
        <f t="shared" ref="BO128:BQ128" si="92">BO116</f>
        <v>0</v>
      </c>
      <c r="BP128">
        <f t="shared" si="92"/>
        <v>0</v>
      </c>
      <c r="BQ128">
        <f t="shared" si="92"/>
        <v>0</v>
      </c>
      <c r="BR128">
        <f t="shared" si="87"/>
        <v>31</v>
      </c>
      <c r="BS128">
        <v>22</v>
      </c>
      <c r="BT128">
        <v>0</v>
      </c>
      <c r="BU128">
        <v>0</v>
      </c>
      <c r="BV128">
        <v>0.25</v>
      </c>
      <c r="BW128">
        <v>0</v>
      </c>
      <c r="BX128" s="17">
        <f t="shared" si="70"/>
        <v>0</v>
      </c>
      <c r="BY128" s="17">
        <f t="shared" si="71"/>
        <v>0</v>
      </c>
      <c r="BZ128" s="17">
        <f t="shared" si="72"/>
        <v>0</v>
      </c>
      <c r="CA128" s="17">
        <f t="shared" si="73"/>
        <v>0</v>
      </c>
      <c r="CB128" s="17">
        <f t="shared" si="74"/>
        <v>0</v>
      </c>
      <c r="CC128" s="17">
        <f t="shared" si="75"/>
        <v>0</v>
      </c>
      <c r="CD128" s="17">
        <f t="shared" si="76"/>
        <v>0</v>
      </c>
      <c r="CE128" s="17">
        <f t="shared" si="77"/>
        <v>0</v>
      </c>
      <c r="CF128" s="17">
        <f t="shared" si="78"/>
        <v>0</v>
      </c>
      <c r="CG128" s="17">
        <f t="shared" si="79"/>
        <v>0</v>
      </c>
      <c r="CH128" s="17">
        <f t="shared" si="80"/>
        <v>0</v>
      </c>
      <c r="CI128" s="17">
        <f t="shared" si="81"/>
        <v>0</v>
      </c>
      <c r="CJ128" s="17">
        <f t="shared" si="82"/>
        <v>0</v>
      </c>
      <c r="CK128" s="17">
        <f t="shared" si="83"/>
        <v>0</v>
      </c>
    </row>
    <row r="129" spans="1:89" x14ac:dyDescent="0.35">
      <c r="A129" s="1">
        <v>45505</v>
      </c>
      <c r="B129">
        <f t="shared" si="84"/>
        <v>2024</v>
      </c>
      <c r="C129">
        <f t="shared" si="46"/>
        <v>8</v>
      </c>
      <c r="D129" s="17">
        <v>3262040</v>
      </c>
      <c r="E129" s="4">
        <f>IFERROR(VLOOKUP($B129-1,CDM!$K$5:$N$19,2,FALSE)/12,0)+IFERROR(VLOOKUP($B129,CDM!$K$35:$N$48,2,FALSE)/24,0)+IFERROR(VLOOKUP($B129,CDM!$K$35:$N$48,2,FALSE)/2*$C129/78,0)</f>
        <v>154088.66563554754</v>
      </c>
      <c r="F129" s="4">
        <f t="shared" si="64"/>
        <v>3416128.6656355476</v>
      </c>
      <c r="G129" s="17">
        <v>1321981</v>
      </c>
      <c r="H129" s="4">
        <f>IFERROR(VLOOKUP($B129-1,CDM!$K$5:$N$19,3,FALSE)/12,0)+IFERROR(VLOOKUP($B129,CDM!$K$35:$N$48,3,FALSE)/24,0)+IFERROR(VLOOKUP($B129,CDM!$K$35:$N$48,3,FALSE)/2*$C129/78,0)</f>
        <v>151962.04294462298</v>
      </c>
      <c r="I129" s="4">
        <f t="shared" si="65"/>
        <v>1473943.0429446229</v>
      </c>
      <c r="J129" s="17">
        <v>4551211</v>
      </c>
      <c r="K129" s="4">
        <f>IFERROR(VLOOKUP($B129-1,CDM!$K$5:$N$19,4,FALSE)/12,0)+IFERROR(VLOOKUP($B129,CDM!$K$35:$N$48,4,FALSE)/24,0)+IFERROR(VLOOKUP($B129,CDM!$K$35:$N$48,4,FALSE)/2*$C129/78,0)</f>
        <v>311968.50545000139</v>
      </c>
      <c r="L129" s="4">
        <f t="shared" si="49"/>
        <v>4863179.505450001</v>
      </c>
      <c r="M129" s="4">
        <v>27927</v>
      </c>
      <c r="N129" s="4">
        <v>13662</v>
      </c>
      <c r="O129" s="4">
        <v>13741.08</v>
      </c>
      <c r="P129" s="4">
        <v>118.73</v>
      </c>
      <c r="Q129" s="4">
        <v>5177</v>
      </c>
      <c r="R129" s="4">
        <v>716</v>
      </c>
      <c r="S129" s="4">
        <v>70</v>
      </c>
      <c r="T129" s="4">
        <v>1710</v>
      </c>
      <c r="U129" s="4">
        <v>22</v>
      </c>
      <c r="V129" s="4">
        <f>Weather!D249</f>
        <v>99.600000000000009</v>
      </c>
      <c r="W129" s="4">
        <f>Weather!E249</f>
        <v>16.499999999999996</v>
      </c>
      <c r="X129" s="4">
        <f>Weather!F249</f>
        <v>59.899999999999991</v>
      </c>
      <c r="Y129" s="4">
        <f>Weather!G249</f>
        <v>38.799999999999997</v>
      </c>
      <c r="Z129" s="4">
        <f>Weather!H249</f>
        <v>28.300000000000004</v>
      </c>
      <c r="AA129" s="4">
        <f>Weather!I249</f>
        <v>69.2</v>
      </c>
      <c r="AB129" s="4">
        <f>Weather!J249</f>
        <v>11.7</v>
      </c>
      <c r="AC129" s="4">
        <f>Weather!K249</f>
        <v>114.59999999999998</v>
      </c>
      <c r="AD129" s="4">
        <f>Weather!L249</f>
        <v>3.1999999999999993</v>
      </c>
      <c r="AE129" s="4">
        <f>Weather!M249</f>
        <v>168.10000000000002</v>
      </c>
      <c r="AF129" s="4">
        <f>Weather!N249</f>
        <v>0</v>
      </c>
      <c r="AG129" s="4">
        <f>Weather!O249</f>
        <v>226.89999999999998</v>
      </c>
      <c r="AH129" s="4">
        <f>Weather!P249</f>
        <v>0</v>
      </c>
      <c r="AI129" s="4">
        <f>Weather!Q249</f>
        <v>288.90000000000003</v>
      </c>
      <c r="AJ129" s="4">
        <f>Weather!R249</f>
        <v>17.319354838709678</v>
      </c>
      <c r="AK129" s="4">
        <f>'Economic Data'!F131</f>
        <v>860616.9450999999</v>
      </c>
      <c r="AL129" s="4">
        <f>'Economic Data'!G131</f>
        <v>9024.1079499999996</v>
      </c>
      <c r="AM129" s="4">
        <f>'Economic Data'!H131</f>
        <v>6982.3951999999999</v>
      </c>
      <c r="AN129" s="4">
        <f>'Economic Data'!I131</f>
        <v>113.64155</v>
      </c>
      <c r="AO129" s="4">
        <f>'Economic Data'!J131</f>
        <v>145.43292499999998</v>
      </c>
      <c r="AP129" s="4">
        <f>'Economic Data'!K131</f>
        <v>409.95734999999996</v>
      </c>
      <c r="AQ129" s="4">
        <f>'Economic Data'!L131</f>
        <v>298.13244999999995</v>
      </c>
      <c r="AR129" s="4">
        <f>'Economic Data'!M131</f>
        <v>2690.8623499999999</v>
      </c>
      <c r="AS129" s="4">
        <f>'Economic Data'!N131</f>
        <v>1880.0309</v>
      </c>
      <c r="AT129" s="4">
        <f>'Economic Data'!O131</f>
        <v>861892.43524999998</v>
      </c>
      <c r="AU129" s="4">
        <f>'Economic Data'!P131</f>
        <v>8959.1122500000001</v>
      </c>
      <c r="AV129" s="4">
        <f>'Economic Data'!Q131</f>
        <v>5110.8419999999996</v>
      </c>
      <c r="AW129" s="4">
        <f>'Economic Data'!R131</f>
        <v>3143.8137499999998</v>
      </c>
      <c r="AX129" s="4">
        <f>'Economic Data'!E131</f>
        <v>8118.5486750000009</v>
      </c>
      <c r="AY129" s="4">
        <f>'Economic Data'!D131</f>
        <v>8037.7711250000011</v>
      </c>
      <c r="AZ129">
        <v>128</v>
      </c>
      <c r="BA129" s="14">
        <f t="shared" si="66"/>
        <v>4.9199809258281251</v>
      </c>
      <c r="BB129">
        <f t="shared" si="67"/>
        <v>16384</v>
      </c>
      <c r="BC129">
        <f t="shared" si="85"/>
        <v>0</v>
      </c>
      <c r="BD129">
        <f t="shared" si="85"/>
        <v>0</v>
      </c>
      <c r="BE129">
        <f t="shared" si="85"/>
        <v>0</v>
      </c>
      <c r="BF129">
        <f t="shared" si="85"/>
        <v>0</v>
      </c>
      <c r="BG129">
        <f t="shared" si="85"/>
        <v>0</v>
      </c>
      <c r="BH129">
        <f t="shared" si="85"/>
        <v>0</v>
      </c>
      <c r="BI129">
        <f t="shared" si="85"/>
        <v>0</v>
      </c>
      <c r="BJ129">
        <f t="shared" si="85"/>
        <v>1</v>
      </c>
      <c r="BK129">
        <f t="shared" si="85"/>
        <v>0</v>
      </c>
      <c r="BL129">
        <f t="shared" si="85"/>
        <v>0</v>
      </c>
      <c r="BM129">
        <f t="shared" si="85"/>
        <v>0</v>
      </c>
      <c r="BN129">
        <f t="shared" si="85"/>
        <v>0</v>
      </c>
      <c r="BO129">
        <f t="shared" ref="BO129:BQ129" si="93">BO117</f>
        <v>0</v>
      </c>
      <c r="BP129">
        <f t="shared" si="93"/>
        <v>0</v>
      </c>
      <c r="BQ129">
        <f t="shared" si="93"/>
        <v>0</v>
      </c>
      <c r="BR129">
        <f t="shared" si="87"/>
        <v>31</v>
      </c>
      <c r="BS129">
        <v>22</v>
      </c>
      <c r="BT129">
        <v>0</v>
      </c>
      <c r="BU129">
        <v>0</v>
      </c>
      <c r="BV129">
        <v>0.25</v>
      </c>
      <c r="BW129">
        <v>0</v>
      </c>
      <c r="BX129" s="17">
        <f t="shared" si="70"/>
        <v>0</v>
      </c>
      <c r="BY129" s="17">
        <f t="shared" si="71"/>
        <v>0</v>
      </c>
      <c r="BZ129" s="17">
        <f t="shared" si="72"/>
        <v>0</v>
      </c>
      <c r="CA129" s="17">
        <f t="shared" si="73"/>
        <v>0</v>
      </c>
      <c r="CB129" s="17">
        <f t="shared" si="74"/>
        <v>0</v>
      </c>
      <c r="CC129" s="17">
        <f t="shared" si="75"/>
        <v>0</v>
      </c>
      <c r="CD129" s="17">
        <f t="shared" si="76"/>
        <v>0</v>
      </c>
      <c r="CE129" s="17">
        <f t="shared" si="77"/>
        <v>0</v>
      </c>
      <c r="CF129" s="17">
        <f t="shared" si="78"/>
        <v>0</v>
      </c>
      <c r="CG129" s="17">
        <f t="shared" si="79"/>
        <v>0</v>
      </c>
      <c r="CH129" s="17">
        <f t="shared" si="80"/>
        <v>0</v>
      </c>
      <c r="CI129" s="17">
        <f t="shared" si="81"/>
        <v>0</v>
      </c>
      <c r="CJ129" s="17">
        <f t="shared" si="82"/>
        <v>0</v>
      </c>
      <c r="CK129" s="17">
        <f t="shared" si="83"/>
        <v>0</v>
      </c>
    </row>
    <row r="130" spans="1:89" x14ac:dyDescent="0.35">
      <c r="A130" s="1">
        <v>45536</v>
      </c>
      <c r="B130">
        <f t="shared" si="84"/>
        <v>2024</v>
      </c>
      <c r="C130">
        <f t="shared" si="46"/>
        <v>9</v>
      </c>
      <c r="D130" s="17">
        <v>3111035</v>
      </c>
      <c r="E130" s="4">
        <f>IFERROR(VLOOKUP($B130-1,CDM!$K$5:$N$19,2,FALSE)/12,0)+IFERROR(VLOOKUP($B130,CDM!$K$35:$N$48,2,FALSE)/24,0)+IFERROR(VLOOKUP($B130,CDM!$K$35:$N$48,2,FALSE)/2*$C130/78,0)</f>
        <v>154526.71853847423</v>
      </c>
      <c r="F130" s="4">
        <f t="shared" si="64"/>
        <v>3265561.7185384743</v>
      </c>
      <c r="G130" s="17">
        <v>1274854</v>
      </c>
      <c r="H130" s="4">
        <f>IFERROR(VLOOKUP($B130-1,CDM!$K$5:$N$19,3,FALSE)/12,0)+IFERROR(VLOOKUP($B130,CDM!$K$35:$N$48,3,FALSE)/24,0)+IFERROR(VLOOKUP($B130,CDM!$K$35:$N$48,3,FALSE)/2*$C130/78,0)</f>
        <v>150894.29216927863</v>
      </c>
      <c r="I130" s="4">
        <f t="shared" si="65"/>
        <v>1425748.2921692787</v>
      </c>
      <c r="J130" s="17">
        <v>3910506</v>
      </c>
      <c r="K130" s="4">
        <f>IFERROR(VLOOKUP($B130-1,CDM!$K$5:$N$19,4,FALSE)/12,0)+IFERROR(VLOOKUP($B130,CDM!$K$35:$N$48,4,FALSE)/24,0)+IFERROR(VLOOKUP($B130,CDM!$K$35:$N$48,4,FALSE)/2*$C130/78,0)</f>
        <v>315434.59095788962</v>
      </c>
      <c r="L130" s="4">
        <f t="shared" si="49"/>
        <v>4225940.5909578893</v>
      </c>
      <c r="M130" s="4">
        <v>33579</v>
      </c>
      <c r="N130" s="4">
        <v>13662</v>
      </c>
      <c r="O130" s="4">
        <v>16653.73</v>
      </c>
      <c r="P130" s="4">
        <v>118.73</v>
      </c>
      <c r="Q130" s="4">
        <v>5178</v>
      </c>
      <c r="R130" s="4">
        <v>717</v>
      </c>
      <c r="S130" s="4">
        <v>70</v>
      </c>
      <c r="T130" s="4">
        <v>1710</v>
      </c>
      <c r="U130" s="4">
        <v>22</v>
      </c>
      <c r="V130" s="4">
        <f>Weather!D250</f>
        <v>151.19999999999999</v>
      </c>
      <c r="W130" s="4">
        <f>Weather!E250</f>
        <v>10.199999999999999</v>
      </c>
      <c r="X130" s="4">
        <f>Weather!F250</f>
        <v>110.69999999999999</v>
      </c>
      <c r="Y130" s="4">
        <f>Weather!G250</f>
        <v>29.7</v>
      </c>
      <c r="Z130" s="4">
        <f>Weather!H250</f>
        <v>78.59999999999998</v>
      </c>
      <c r="AA130" s="4">
        <f>Weather!I250</f>
        <v>57.6</v>
      </c>
      <c r="AB130" s="4">
        <f>Weather!J250</f>
        <v>48.399999999999991</v>
      </c>
      <c r="AC130" s="4">
        <f>Weather!K250</f>
        <v>87.399999999999991</v>
      </c>
      <c r="AD130" s="4">
        <f>Weather!L250</f>
        <v>23.8</v>
      </c>
      <c r="AE130" s="4">
        <f>Weather!M250</f>
        <v>122.8</v>
      </c>
      <c r="AF130" s="4">
        <f>Weather!N250</f>
        <v>9.8999999999999986</v>
      </c>
      <c r="AG130" s="4">
        <f>Weather!O250</f>
        <v>168.9</v>
      </c>
      <c r="AH130" s="4">
        <f>Weather!P250</f>
        <v>2.1999999999999993</v>
      </c>
      <c r="AI130" s="4">
        <f>Weather!Q250</f>
        <v>221.20000000000002</v>
      </c>
      <c r="AJ130" s="4">
        <f>Weather!R250</f>
        <v>15.299999999999995</v>
      </c>
      <c r="AK130" s="4">
        <f>'Economic Data'!F132</f>
        <v>860616.9450999999</v>
      </c>
      <c r="AL130" s="4">
        <f>'Economic Data'!G132</f>
        <v>9024.1079499999996</v>
      </c>
      <c r="AM130" s="4">
        <f>'Economic Data'!H132</f>
        <v>6982.3951999999999</v>
      </c>
      <c r="AN130" s="4">
        <f>'Economic Data'!I132</f>
        <v>113.64155</v>
      </c>
      <c r="AO130" s="4">
        <f>'Economic Data'!J132</f>
        <v>145.43292499999998</v>
      </c>
      <c r="AP130" s="4">
        <f>'Economic Data'!K132</f>
        <v>409.95734999999996</v>
      </c>
      <c r="AQ130" s="4">
        <f>'Economic Data'!L132</f>
        <v>298.13244999999995</v>
      </c>
      <c r="AR130" s="4">
        <f>'Economic Data'!M132</f>
        <v>2690.8623499999999</v>
      </c>
      <c r="AS130" s="4">
        <f>'Economic Data'!N132</f>
        <v>1880.0309</v>
      </c>
      <c r="AT130" s="4">
        <f>'Economic Data'!O132</f>
        <v>861892.43524999998</v>
      </c>
      <c r="AU130" s="4">
        <f>'Economic Data'!P132</f>
        <v>8959.1122500000001</v>
      </c>
      <c r="AV130" s="4">
        <f>'Economic Data'!Q132</f>
        <v>5110.8419999999996</v>
      </c>
      <c r="AW130" s="4">
        <f>'Economic Data'!R132</f>
        <v>3143.8137499999998</v>
      </c>
      <c r="AX130" s="4">
        <f>'Economic Data'!E132</f>
        <v>8066.0129000000006</v>
      </c>
      <c r="AY130" s="4">
        <f>'Economic Data'!D132</f>
        <v>8042.326250000001</v>
      </c>
      <c r="AZ130">
        <v>129</v>
      </c>
      <c r="BA130" s="14">
        <f t="shared" si="66"/>
        <v>4.9272536851572051</v>
      </c>
      <c r="BB130">
        <f t="shared" si="67"/>
        <v>16641</v>
      </c>
      <c r="BC130">
        <f t="shared" si="85"/>
        <v>0</v>
      </c>
      <c r="BD130">
        <f t="shared" si="85"/>
        <v>0</v>
      </c>
      <c r="BE130">
        <f t="shared" si="85"/>
        <v>0</v>
      </c>
      <c r="BF130">
        <f t="shared" si="85"/>
        <v>0</v>
      </c>
      <c r="BG130">
        <f t="shared" si="85"/>
        <v>0</v>
      </c>
      <c r="BH130">
        <f t="shared" si="85"/>
        <v>0</v>
      </c>
      <c r="BI130">
        <f t="shared" si="85"/>
        <v>0</v>
      </c>
      <c r="BJ130">
        <f t="shared" si="85"/>
        <v>0</v>
      </c>
      <c r="BK130">
        <f t="shared" si="85"/>
        <v>1</v>
      </c>
      <c r="BL130">
        <f t="shared" si="85"/>
        <v>0</v>
      </c>
      <c r="BM130">
        <f t="shared" si="85"/>
        <v>0</v>
      </c>
      <c r="BN130">
        <f t="shared" si="85"/>
        <v>0</v>
      </c>
      <c r="BO130">
        <f t="shared" ref="BO130:BQ130" si="94">BO118</f>
        <v>0</v>
      </c>
      <c r="BP130">
        <f t="shared" si="94"/>
        <v>0</v>
      </c>
      <c r="BQ130">
        <f t="shared" si="94"/>
        <v>0</v>
      </c>
      <c r="BR130">
        <f t="shared" si="87"/>
        <v>30</v>
      </c>
      <c r="BS130">
        <v>20</v>
      </c>
      <c r="BT130">
        <v>0</v>
      </c>
      <c r="BU130">
        <v>0</v>
      </c>
      <c r="BV130">
        <v>0.25</v>
      </c>
      <c r="BW130">
        <v>0</v>
      </c>
      <c r="BX130" s="17">
        <f t="shared" si="70"/>
        <v>0</v>
      </c>
      <c r="BY130" s="17">
        <f t="shared" si="71"/>
        <v>0</v>
      </c>
      <c r="BZ130" s="17">
        <f t="shared" si="72"/>
        <v>0</v>
      </c>
      <c r="CA130" s="17">
        <f t="shared" si="73"/>
        <v>0</v>
      </c>
      <c r="CB130" s="17">
        <f t="shared" si="74"/>
        <v>0</v>
      </c>
      <c r="CC130" s="17">
        <f t="shared" si="75"/>
        <v>0</v>
      </c>
      <c r="CD130" s="17">
        <f t="shared" si="76"/>
        <v>0</v>
      </c>
      <c r="CE130" s="17">
        <f t="shared" si="77"/>
        <v>0</v>
      </c>
      <c r="CF130" s="17">
        <f t="shared" si="78"/>
        <v>0</v>
      </c>
      <c r="CG130" s="17">
        <f t="shared" si="79"/>
        <v>0</v>
      </c>
      <c r="CH130" s="17">
        <f t="shared" si="80"/>
        <v>0</v>
      </c>
      <c r="CI130" s="17">
        <f t="shared" si="81"/>
        <v>0</v>
      </c>
      <c r="CJ130" s="17">
        <f t="shared" si="82"/>
        <v>0</v>
      </c>
      <c r="CK130" s="17">
        <f t="shared" si="83"/>
        <v>0</v>
      </c>
    </row>
    <row r="131" spans="1:89" x14ac:dyDescent="0.35">
      <c r="A131" s="1">
        <v>45566</v>
      </c>
      <c r="B131">
        <f t="shared" si="84"/>
        <v>2024</v>
      </c>
      <c r="C131">
        <f t="shared" ref="C131" si="95">MONTH(A131)</f>
        <v>10</v>
      </c>
      <c r="D131" s="17">
        <v>2839083</v>
      </c>
      <c r="E131" s="4">
        <f>IFERROR(VLOOKUP($B131-1,CDM!$K$5:$N$19,2,FALSE)/12,0)+IFERROR(VLOOKUP($B131,CDM!$K$35:$N$48,2,FALSE)/24,0)+IFERROR(VLOOKUP($B131,CDM!$K$35:$N$48,2,FALSE)/2*$C131/78,0)</f>
        <v>154964.77144140092</v>
      </c>
      <c r="F131" s="4">
        <f t="shared" si="64"/>
        <v>2994047.771441401</v>
      </c>
      <c r="G131" s="17">
        <v>1199748</v>
      </c>
      <c r="H131" s="4">
        <f>IFERROR(VLOOKUP($B131-1,CDM!$K$5:$N$19,3,FALSE)/12,0)+IFERROR(VLOOKUP($B131,CDM!$K$35:$N$48,3,FALSE)/24,0)+IFERROR(VLOOKUP($B131,CDM!$K$35:$N$48,3,FALSE)/2*$C131/78,0)</f>
        <v>149826.54139393428</v>
      </c>
      <c r="I131" s="4">
        <f t="shared" si="65"/>
        <v>1349574.5413939343</v>
      </c>
      <c r="J131" s="17">
        <v>4041797</v>
      </c>
      <c r="K131" s="4">
        <f>IFERROR(VLOOKUP($B131-1,CDM!$K$5:$N$19,4,FALSE)/12,0)+IFERROR(VLOOKUP($B131,CDM!$K$35:$N$48,4,FALSE)/24,0)+IFERROR(VLOOKUP($B131,CDM!$K$35:$N$48,4,FALSE)/2*$C131/78,0)</f>
        <v>318900.6764657778</v>
      </c>
      <c r="L131" s="4">
        <f t="shared" ref="L131" si="96">J131+K131</f>
        <v>4360697.6764657777</v>
      </c>
      <c r="M131" s="4">
        <v>39263</v>
      </c>
      <c r="N131" s="4">
        <v>13662</v>
      </c>
      <c r="O131" s="4">
        <v>9829.77</v>
      </c>
      <c r="P131" s="4">
        <v>118.73</v>
      </c>
      <c r="Q131" s="4">
        <v>5177</v>
      </c>
      <c r="R131" s="4">
        <v>715</v>
      </c>
      <c r="S131" s="4">
        <v>70</v>
      </c>
      <c r="T131" s="4">
        <v>1710</v>
      </c>
      <c r="U131" s="4">
        <v>22</v>
      </c>
      <c r="V131" s="4">
        <f>Weather!D251</f>
        <v>431.89999999999992</v>
      </c>
      <c r="W131" s="4">
        <f>Weather!E251</f>
        <v>0</v>
      </c>
      <c r="X131" s="4">
        <f>Weather!F251</f>
        <v>369.89999999999992</v>
      </c>
      <c r="Y131" s="4">
        <f>Weather!G251</f>
        <v>0</v>
      </c>
      <c r="Z131" s="4">
        <f>Weather!H251</f>
        <v>307.89999999999992</v>
      </c>
      <c r="AA131" s="4">
        <f>Weather!I251</f>
        <v>0</v>
      </c>
      <c r="AB131" s="4">
        <f>Weather!J251</f>
        <v>246.29999999999998</v>
      </c>
      <c r="AC131" s="4">
        <f>Weather!K251</f>
        <v>0.40000000000000036</v>
      </c>
      <c r="AD131" s="4">
        <f>Weather!L251</f>
        <v>188</v>
      </c>
      <c r="AE131" s="4">
        <f>Weather!M251</f>
        <v>4.1000000000000014</v>
      </c>
      <c r="AF131" s="4">
        <f>Weather!N251</f>
        <v>132.70000000000005</v>
      </c>
      <c r="AG131" s="4">
        <f>Weather!O251</f>
        <v>10.8</v>
      </c>
      <c r="AH131" s="4">
        <f>Weather!P251</f>
        <v>84.300000000000011</v>
      </c>
      <c r="AI131" s="4">
        <f>Weather!Q251</f>
        <v>24.4</v>
      </c>
      <c r="AJ131" s="4">
        <f>Weather!R251</f>
        <v>6.0677419354838706</v>
      </c>
      <c r="AK131" s="4">
        <f>'Economic Data'!F133</f>
        <v>860616.9450999999</v>
      </c>
      <c r="AL131" s="4">
        <f>'Economic Data'!G133</f>
        <v>9024.1079499999996</v>
      </c>
      <c r="AM131" s="4">
        <f>'Economic Data'!H133</f>
        <v>6982.3951999999999</v>
      </c>
      <c r="AN131" s="4">
        <f>'Economic Data'!I133</f>
        <v>113.64155</v>
      </c>
      <c r="AO131" s="4">
        <f>'Economic Data'!J133</f>
        <v>145.43292499999998</v>
      </c>
      <c r="AP131" s="4">
        <f>'Economic Data'!K133</f>
        <v>409.95734999999996</v>
      </c>
      <c r="AQ131" s="4">
        <f>'Economic Data'!L133</f>
        <v>298.13244999999995</v>
      </c>
      <c r="AR131" s="4">
        <f>'Economic Data'!M133</f>
        <v>2690.8623499999999</v>
      </c>
      <c r="AS131" s="4">
        <f>'Economic Data'!N133</f>
        <v>1880.0309</v>
      </c>
      <c r="AT131" s="4">
        <f>'Economic Data'!O133</f>
        <v>862434.40249999997</v>
      </c>
      <c r="AU131" s="4">
        <f>'Economic Data'!P133</f>
        <v>9333.5439999999999</v>
      </c>
      <c r="AV131" s="4">
        <f>'Economic Data'!Q133</f>
        <v>4875.6867499999998</v>
      </c>
      <c r="AW131" s="4">
        <f>'Economic Data'!R133</f>
        <v>3140.7860000000001</v>
      </c>
      <c r="AX131" s="4">
        <f>'Economic Data'!E133</f>
        <v>8044.5532000000003</v>
      </c>
      <c r="AY131" s="4">
        <f>'Economic Data'!D133</f>
        <v>8047.185050000001</v>
      </c>
      <c r="AZ131">
        <v>130</v>
      </c>
      <c r="BA131" s="14">
        <f t="shared" si="66"/>
        <v>4.9344739331306915</v>
      </c>
      <c r="BB131">
        <f t="shared" si="67"/>
        <v>16900</v>
      </c>
      <c r="BC131">
        <f t="shared" si="85"/>
        <v>0</v>
      </c>
      <c r="BD131">
        <f t="shared" si="85"/>
        <v>0</v>
      </c>
      <c r="BE131">
        <f t="shared" si="85"/>
        <v>0</v>
      </c>
      <c r="BF131">
        <f t="shared" si="85"/>
        <v>0</v>
      </c>
      <c r="BG131">
        <f t="shared" si="85"/>
        <v>0</v>
      </c>
      <c r="BH131">
        <f t="shared" si="85"/>
        <v>0</v>
      </c>
      <c r="BI131">
        <f t="shared" si="85"/>
        <v>0</v>
      </c>
      <c r="BJ131">
        <f t="shared" si="85"/>
        <v>0</v>
      </c>
      <c r="BK131">
        <f t="shared" si="85"/>
        <v>0</v>
      </c>
      <c r="BL131">
        <f t="shared" si="85"/>
        <v>1</v>
      </c>
      <c r="BM131">
        <f t="shared" si="85"/>
        <v>0</v>
      </c>
      <c r="BN131">
        <f t="shared" si="85"/>
        <v>0</v>
      </c>
      <c r="BO131">
        <f t="shared" ref="BO131:BQ131" si="97">BO119</f>
        <v>0</v>
      </c>
      <c r="BP131">
        <f t="shared" si="97"/>
        <v>1</v>
      </c>
      <c r="BQ131">
        <f t="shared" si="97"/>
        <v>1</v>
      </c>
      <c r="BR131">
        <f t="shared" si="87"/>
        <v>31</v>
      </c>
      <c r="BS131">
        <v>22</v>
      </c>
      <c r="BT131">
        <v>0</v>
      </c>
      <c r="BU131">
        <v>0</v>
      </c>
      <c r="BV131">
        <v>0.25</v>
      </c>
      <c r="BW131">
        <v>0</v>
      </c>
      <c r="BX131" s="17">
        <f t="shared" si="70"/>
        <v>0</v>
      </c>
      <c r="BY131" s="17">
        <f t="shared" si="71"/>
        <v>0</v>
      </c>
      <c r="BZ131" s="17">
        <f t="shared" si="72"/>
        <v>0</v>
      </c>
      <c r="CA131" s="17">
        <f t="shared" si="73"/>
        <v>0</v>
      </c>
      <c r="CB131" s="17">
        <f t="shared" si="74"/>
        <v>0</v>
      </c>
      <c r="CC131" s="17">
        <f t="shared" si="75"/>
        <v>0</v>
      </c>
      <c r="CD131" s="17">
        <f t="shared" si="76"/>
        <v>0</v>
      </c>
      <c r="CE131" s="17">
        <f t="shared" si="77"/>
        <v>0</v>
      </c>
      <c r="CF131" s="17">
        <f t="shared" si="78"/>
        <v>0</v>
      </c>
      <c r="CG131" s="17">
        <f t="shared" si="79"/>
        <v>0</v>
      </c>
      <c r="CH131" s="17">
        <f t="shared" si="80"/>
        <v>0</v>
      </c>
      <c r="CI131" s="17">
        <f t="shared" si="81"/>
        <v>0</v>
      </c>
      <c r="CJ131" s="17">
        <f t="shared" si="82"/>
        <v>0</v>
      </c>
      <c r="CK131" s="17">
        <f t="shared" si="83"/>
        <v>0</v>
      </c>
    </row>
  </sheetData>
  <phoneticPr fontId="36"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D07A-6D8E-40FD-BC8A-E0978D521FE0}">
  <sheetPr codeName="Sheet19"/>
  <dimension ref="B1:T127"/>
  <sheetViews>
    <sheetView topLeftCell="A69" workbookViewId="0">
      <selection activeCell="H8" sqref="H8"/>
    </sheetView>
  </sheetViews>
  <sheetFormatPr defaultRowHeight="14" x14ac:dyDescent="0.3"/>
  <cols>
    <col min="1" max="1" width="8.7265625" style="38"/>
    <col min="2" max="2" width="26.08984375" style="38" bestFit="1" customWidth="1"/>
    <col min="3" max="3" width="16" style="38" customWidth="1"/>
    <col min="4" max="4" width="19.08984375" style="38" bestFit="1" customWidth="1"/>
    <col min="5" max="5" width="16.90625" style="38" bestFit="1" customWidth="1"/>
    <col min="6" max="7" width="16.08984375" style="38" bestFit="1" customWidth="1"/>
    <col min="8" max="8" width="16.26953125" style="38" bestFit="1" customWidth="1"/>
    <col min="9" max="9" width="15" style="38" customWidth="1"/>
    <col min="10" max="10" width="9.08984375" style="38" customWidth="1"/>
    <col min="11" max="11" width="17.7265625" style="38" bestFit="1" customWidth="1"/>
    <col min="12" max="12" width="15.1796875" style="38" bestFit="1" customWidth="1"/>
    <col min="13" max="13" width="26.08984375" style="38" bestFit="1" customWidth="1"/>
    <col min="14" max="14" width="12.81640625" style="38" customWidth="1"/>
    <col min="15" max="15" width="16.1796875" style="38" customWidth="1"/>
    <col min="16" max="16" width="13.08984375" style="38" bestFit="1" customWidth="1"/>
    <col min="17" max="17" width="13.08984375" style="38" customWidth="1"/>
    <col min="18" max="18" width="12.36328125" style="38" bestFit="1" customWidth="1"/>
    <col min="19" max="19" width="12" style="38" customWidth="1"/>
    <col min="20" max="16384" width="8.7265625" style="38"/>
  </cols>
  <sheetData>
    <row r="1" spans="2:18" ht="15.5" x14ac:dyDescent="0.35">
      <c r="P1" s="39"/>
    </row>
    <row r="2" spans="2:18" ht="15.5" x14ac:dyDescent="0.35">
      <c r="B2" s="40"/>
      <c r="C2" s="41" t="s">
        <v>122</v>
      </c>
      <c r="D2" s="41"/>
      <c r="E2" s="41"/>
      <c r="F2" s="41"/>
      <c r="G2" s="40"/>
      <c r="H2" s="40"/>
      <c r="N2" s="39" t="s">
        <v>123</v>
      </c>
      <c r="O2" s="39"/>
      <c r="P2" s="39"/>
      <c r="Q2" s="39"/>
    </row>
    <row r="3" spans="2:18" ht="15.5" x14ac:dyDescent="0.35">
      <c r="B3" s="40"/>
      <c r="C3" s="42">
        <v>2021</v>
      </c>
      <c r="D3" s="42">
        <v>2022</v>
      </c>
      <c r="E3" s="42">
        <v>2023</v>
      </c>
      <c r="F3" s="42">
        <v>2024</v>
      </c>
      <c r="G3" s="42">
        <v>2025</v>
      </c>
      <c r="H3" s="68" t="s">
        <v>176</v>
      </c>
      <c r="I3" s="40"/>
      <c r="N3" s="39">
        <v>2021</v>
      </c>
      <c r="O3" s="39">
        <v>2022</v>
      </c>
      <c r="P3" s="39">
        <v>2023</v>
      </c>
      <c r="Q3" s="39">
        <v>2024</v>
      </c>
      <c r="R3" s="39">
        <v>2025</v>
      </c>
    </row>
    <row r="4" spans="2:18" x14ac:dyDescent="0.3">
      <c r="B4" s="40" t="s">
        <v>124</v>
      </c>
      <c r="C4" s="43">
        <v>322</v>
      </c>
      <c r="D4" s="43">
        <v>570</v>
      </c>
      <c r="E4" s="43">
        <v>359</v>
      </c>
      <c r="F4" s="43">
        <v>560</v>
      </c>
      <c r="G4" s="44">
        <f>F4</f>
        <v>560</v>
      </c>
      <c r="H4" s="45">
        <f>$I$23</f>
        <v>8.8984839078864151E-4</v>
      </c>
      <c r="I4" s="46" t="s">
        <v>125</v>
      </c>
      <c r="L4" s="47"/>
      <c r="M4" s="40" t="s">
        <v>124</v>
      </c>
      <c r="N4" s="48">
        <f t="shared" ref="N4:N13" si="0">C4*$H4*1000000</f>
        <v>286531.18183394254</v>
      </c>
      <c r="O4" s="48">
        <f t="shared" ref="O4:O13" si="1">D4*$H4*1000000</f>
        <v>507213.58274952567</v>
      </c>
      <c r="P4" s="48">
        <f t="shared" ref="P4:P13" si="2">E4*$H4*1000000</f>
        <v>319455.5722931223</v>
      </c>
      <c r="Q4" s="48">
        <f t="shared" ref="Q4:Q13" si="3">F4*$H4*1000000</f>
        <v>498315.09884163929</v>
      </c>
      <c r="R4" s="48">
        <f t="shared" ref="R4:R13" si="4">G4*$H4*1000000</f>
        <v>498315.09884163929</v>
      </c>
    </row>
    <row r="5" spans="2:18" x14ac:dyDescent="0.3">
      <c r="B5" s="49" t="s">
        <v>126</v>
      </c>
      <c r="C5" s="50">
        <v>10</v>
      </c>
      <c r="D5" s="50">
        <v>4</v>
      </c>
      <c r="E5" s="50">
        <v>20</v>
      </c>
      <c r="F5" s="50">
        <v>65</v>
      </c>
      <c r="G5" s="44">
        <f>F5</f>
        <v>65</v>
      </c>
      <c r="H5" s="45">
        <f>$I$23</f>
        <v>8.8984839078864151E-4</v>
      </c>
      <c r="I5" s="46" t="str">
        <f>I4</f>
        <v>% of provincial kWh</v>
      </c>
      <c r="L5" s="46"/>
      <c r="M5" s="49" t="s">
        <v>126</v>
      </c>
      <c r="N5" s="48">
        <f t="shared" si="0"/>
        <v>8898.4839078864152</v>
      </c>
      <c r="O5" s="48">
        <f t="shared" si="1"/>
        <v>3559.393563154566</v>
      </c>
      <c r="P5" s="48">
        <f t="shared" si="2"/>
        <v>17796.96781577283</v>
      </c>
      <c r="Q5" s="48">
        <f t="shared" si="3"/>
        <v>57840.145401261703</v>
      </c>
      <c r="R5" s="48">
        <f t="shared" si="4"/>
        <v>57840.145401261703</v>
      </c>
    </row>
    <row r="6" spans="2:18" x14ac:dyDescent="0.3">
      <c r="B6" s="40" t="s">
        <v>127</v>
      </c>
      <c r="C6" s="43">
        <v>16</v>
      </c>
      <c r="D6" s="43">
        <v>20</v>
      </c>
      <c r="E6" s="43">
        <v>50</v>
      </c>
      <c r="F6" s="43">
        <v>54</v>
      </c>
      <c r="G6" s="44">
        <f t="shared" ref="G6:G13" si="5">F6</f>
        <v>54</v>
      </c>
      <c r="H6" s="45">
        <f>$I$23</f>
        <v>8.8984839078864151E-4</v>
      </c>
      <c r="I6" s="46" t="str">
        <f>I5</f>
        <v>% of provincial kWh</v>
      </c>
      <c r="L6" s="46"/>
      <c r="M6" s="40" t="s">
        <v>127</v>
      </c>
      <c r="N6" s="48">
        <f t="shared" si="0"/>
        <v>14237.574252618264</v>
      </c>
      <c r="O6" s="48">
        <f t="shared" si="1"/>
        <v>17796.96781577283</v>
      </c>
      <c r="P6" s="48">
        <f t="shared" si="2"/>
        <v>44492.41953943207</v>
      </c>
      <c r="Q6" s="48">
        <f t="shared" si="3"/>
        <v>48051.813102586639</v>
      </c>
      <c r="R6" s="48">
        <f t="shared" si="4"/>
        <v>48051.813102586639</v>
      </c>
    </row>
    <row r="7" spans="2:18" x14ac:dyDescent="0.3">
      <c r="B7" s="49" t="s">
        <v>128</v>
      </c>
      <c r="C7" s="50">
        <v>1</v>
      </c>
      <c r="D7" s="50">
        <v>15</v>
      </c>
      <c r="E7" s="50">
        <v>29</v>
      </c>
      <c r="F7" s="50">
        <v>96</v>
      </c>
      <c r="G7" s="44">
        <f t="shared" si="5"/>
        <v>96</v>
      </c>
      <c r="H7" s="45">
        <f>$I$23</f>
        <v>8.8984839078864151E-4</v>
      </c>
      <c r="I7" s="46" t="str">
        <f>I6</f>
        <v>% of provincial kWh</v>
      </c>
      <c r="L7" s="38" t="s">
        <v>129</v>
      </c>
      <c r="M7" s="49" t="s">
        <v>128</v>
      </c>
      <c r="N7" s="48">
        <f t="shared" si="0"/>
        <v>889.8483907886415</v>
      </c>
      <c r="O7" s="48">
        <f t="shared" si="1"/>
        <v>13347.725861829624</v>
      </c>
      <c r="P7" s="48">
        <f t="shared" si="2"/>
        <v>25805.603332870603</v>
      </c>
      <c r="Q7" s="48">
        <f t="shared" si="3"/>
        <v>85425.445515709594</v>
      </c>
      <c r="R7" s="48">
        <f t="shared" si="4"/>
        <v>85425.445515709594</v>
      </c>
    </row>
    <row r="8" spans="2:18" x14ac:dyDescent="0.3">
      <c r="B8" s="40" t="s">
        <v>130</v>
      </c>
      <c r="C8" s="43">
        <v>0</v>
      </c>
      <c r="D8" s="43">
        <v>0</v>
      </c>
      <c r="E8" s="43">
        <v>165</v>
      </c>
      <c r="F8" s="43">
        <v>165</v>
      </c>
      <c r="G8" s="44">
        <f t="shared" si="5"/>
        <v>165</v>
      </c>
      <c r="H8" s="45">
        <f>$I$23</f>
        <v>8.8984839078864151E-4</v>
      </c>
      <c r="I8" s="46" t="str">
        <f>I7</f>
        <v>% of provincial kWh</v>
      </c>
      <c r="L8" s="46"/>
      <c r="M8" s="40" t="s">
        <v>130</v>
      </c>
      <c r="N8" s="48">
        <f t="shared" si="0"/>
        <v>0</v>
      </c>
      <c r="O8" s="48">
        <f t="shared" si="1"/>
        <v>0</v>
      </c>
      <c r="P8" s="48">
        <f t="shared" si="2"/>
        <v>146824.98448012586</v>
      </c>
      <c r="Q8" s="48">
        <f t="shared" si="3"/>
        <v>146824.98448012586</v>
      </c>
      <c r="R8" s="48">
        <f t="shared" si="4"/>
        <v>146824.98448012586</v>
      </c>
    </row>
    <row r="9" spans="2:18" x14ac:dyDescent="0.3">
      <c r="B9" s="49" t="s">
        <v>131</v>
      </c>
      <c r="C9" s="50">
        <v>0</v>
      </c>
      <c r="D9" s="50">
        <v>0</v>
      </c>
      <c r="E9" s="50">
        <v>333</v>
      </c>
      <c r="F9" s="50">
        <v>333</v>
      </c>
      <c r="G9" s="44">
        <f t="shared" si="5"/>
        <v>333</v>
      </c>
      <c r="H9" s="45">
        <v>0</v>
      </c>
      <c r="I9" s="46"/>
      <c r="L9" s="46"/>
      <c r="M9" s="49" t="s">
        <v>131</v>
      </c>
      <c r="N9" s="48">
        <f t="shared" si="0"/>
        <v>0</v>
      </c>
      <c r="O9" s="48">
        <f t="shared" si="1"/>
        <v>0</v>
      </c>
      <c r="P9" s="48">
        <f t="shared" si="2"/>
        <v>0</v>
      </c>
      <c r="Q9" s="48">
        <f t="shared" si="3"/>
        <v>0</v>
      </c>
      <c r="R9" s="48">
        <f t="shared" si="4"/>
        <v>0</v>
      </c>
    </row>
    <row r="10" spans="2:18" x14ac:dyDescent="0.3">
      <c r="B10" s="40" t="s">
        <v>132</v>
      </c>
      <c r="C10" s="43">
        <v>0</v>
      </c>
      <c r="D10" s="43">
        <v>61</v>
      </c>
      <c r="E10" s="43">
        <v>161</v>
      </c>
      <c r="F10" s="43">
        <v>181</v>
      </c>
      <c r="G10" s="44">
        <f t="shared" si="5"/>
        <v>181</v>
      </c>
      <c r="H10" s="45">
        <v>0</v>
      </c>
      <c r="L10" s="47"/>
      <c r="M10" s="40" t="s">
        <v>132</v>
      </c>
      <c r="N10" s="48">
        <f t="shared" si="0"/>
        <v>0</v>
      </c>
      <c r="O10" s="48">
        <f t="shared" si="1"/>
        <v>0</v>
      </c>
      <c r="P10" s="48">
        <f t="shared" si="2"/>
        <v>0</v>
      </c>
      <c r="Q10" s="48">
        <f t="shared" si="3"/>
        <v>0</v>
      </c>
      <c r="R10" s="48">
        <f t="shared" si="4"/>
        <v>0</v>
      </c>
    </row>
    <row r="11" spans="2:18" x14ac:dyDescent="0.3">
      <c r="B11" s="49" t="s">
        <v>133</v>
      </c>
      <c r="C11" s="50">
        <v>0</v>
      </c>
      <c r="D11" s="50">
        <v>0</v>
      </c>
      <c r="E11" s="50">
        <v>3</v>
      </c>
      <c r="F11" s="50">
        <v>7</v>
      </c>
      <c r="G11" s="44">
        <f t="shared" si="5"/>
        <v>7</v>
      </c>
      <c r="H11" s="45">
        <v>0</v>
      </c>
      <c r="I11" s="46"/>
      <c r="L11" s="46"/>
      <c r="M11" s="49" t="s">
        <v>133</v>
      </c>
      <c r="N11" s="48">
        <f t="shared" si="0"/>
        <v>0</v>
      </c>
      <c r="O11" s="48">
        <f t="shared" si="1"/>
        <v>0</v>
      </c>
      <c r="P11" s="48">
        <f t="shared" si="2"/>
        <v>0</v>
      </c>
      <c r="Q11" s="48">
        <f t="shared" si="3"/>
        <v>0</v>
      </c>
      <c r="R11" s="48">
        <f t="shared" si="4"/>
        <v>0</v>
      </c>
    </row>
    <row r="12" spans="2:18" x14ac:dyDescent="0.3">
      <c r="B12" s="40" t="s">
        <v>134</v>
      </c>
      <c r="C12" s="43">
        <v>7</v>
      </c>
      <c r="D12" s="43">
        <v>14</v>
      </c>
      <c r="E12" s="43">
        <v>49</v>
      </c>
      <c r="F12" s="43">
        <v>97</v>
      </c>
      <c r="G12" s="44">
        <f t="shared" si="5"/>
        <v>97</v>
      </c>
      <c r="H12" s="45">
        <f>I37</f>
        <v>1.2559809369301421E-3</v>
      </c>
      <c r="I12" s="47" t="s">
        <v>135</v>
      </c>
      <c r="L12" s="46"/>
      <c r="M12" s="40" t="s">
        <v>134</v>
      </c>
      <c r="N12" s="48">
        <f t="shared" si="0"/>
        <v>8791.8665585109957</v>
      </c>
      <c r="O12" s="48">
        <f t="shared" si="1"/>
        <v>17583.733117021991</v>
      </c>
      <c r="P12" s="48">
        <f t="shared" si="2"/>
        <v>61543.065909576966</v>
      </c>
      <c r="Q12" s="48">
        <f t="shared" si="3"/>
        <v>121830.15088222378</v>
      </c>
      <c r="R12" s="48">
        <f t="shared" si="4"/>
        <v>121830.15088222378</v>
      </c>
    </row>
    <row r="13" spans="2:18" x14ac:dyDescent="0.3">
      <c r="B13" s="49" t="s">
        <v>136</v>
      </c>
      <c r="C13" s="50">
        <v>1</v>
      </c>
      <c r="D13" s="50">
        <v>0</v>
      </c>
      <c r="E13" s="50">
        <v>15</v>
      </c>
      <c r="F13" s="50">
        <v>16</v>
      </c>
      <c r="G13" s="44">
        <f t="shared" si="5"/>
        <v>16</v>
      </c>
      <c r="H13" s="45">
        <v>0</v>
      </c>
      <c r="L13" s="46"/>
      <c r="M13" s="49" t="s">
        <v>136</v>
      </c>
      <c r="N13" s="48">
        <f t="shared" si="0"/>
        <v>0</v>
      </c>
      <c r="O13" s="48">
        <f t="shared" si="1"/>
        <v>0</v>
      </c>
      <c r="P13" s="48">
        <f t="shared" si="2"/>
        <v>0</v>
      </c>
      <c r="Q13" s="48">
        <f t="shared" si="3"/>
        <v>0</v>
      </c>
      <c r="R13" s="48">
        <f t="shared" si="4"/>
        <v>0</v>
      </c>
    </row>
    <row r="14" spans="2:18" x14ac:dyDescent="0.3">
      <c r="B14" s="40"/>
      <c r="C14" s="51">
        <f>SUM(C4:C13)</f>
        <v>357</v>
      </c>
      <c r="D14" s="51">
        <f>SUM(D4:D13)</f>
        <v>684</v>
      </c>
      <c r="E14" s="51">
        <f>SUM(E4:E13)</f>
        <v>1184</v>
      </c>
      <c r="F14" s="51">
        <f>SUM(F4:F13)</f>
        <v>1574</v>
      </c>
      <c r="G14" s="52">
        <f>SUM(G4:G13)</f>
        <v>1574</v>
      </c>
      <c r="H14" s="52"/>
      <c r="I14" s="52"/>
      <c r="J14" s="46"/>
      <c r="M14" s="51"/>
      <c r="N14" s="53">
        <f>SUM(N4:N13)</f>
        <v>319348.95494374685</v>
      </c>
      <c r="O14" s="53">
        <f t="shared" ref="O14:R14" si="6">SUM(O4:O13)</f>
        <v>559501.40310730459</v>
      </c>
      <c r="P14" s="53">
        <f t="shared" si="6"/>
        <v>615918.61337090062</v>
      </c>
      <c r="Q14" s="53">
        <f t="shared" si="6"/>
        <v>958287.63822354679</v>
      </c>
      <c r="R14" s="53">
        <f t="shared" si="6"/>
        <v>958287.63822354679</v>
      </c>
    </row>
    <row r="15" spans="2:18" x14ac:dyDescent="0.3">
      <c r="B15" s="40"/>
      <c r="C15" s="51"/>
      <c r="D15" s="54">
        <f>D14/C14</f>
        <v>1.9159663865546219</v>
      </c>
      <c r="E15" s="54">
        <f>E14/D14</f>
        <v>1.7309941520467835</v>
      </c>
      <c r="F15" s="54">
        <f>F14/E14</f>
        <v>1.3293918918918919</v>
      </c>
      <c r="G15" s="40"/>
      <c r="H15" s="46"/>
      <c r="M15" s="51"/>
      <c r="N15" s="53"/>
      <c r="O15" s="53"/>
      <c r="P15" s="53"/>
      <c r="Q15" s="53"/>
      <c r="R15" s="53"/>
    </row>
    <row r="16" spans="2:18" x14ac:dyDescent="0.3">
      <c r="B16" s="40" t="s">
        <v>137</v>
      </c>
      <c r="C16" s="40" t="s">
        <v>138</v>
      </c>
      <c r="D16" s="40"/>
      <c r="E16" s="40"/>
      <c r="F16" s="40"/>
      <c r="G16" s="40" t="s">
        <v>139</v>
      </c>
      <c r="H16" s="46"/>
    </row>
    <row r="17" spans="2:18" x14ac:dyDescent="0.3">
      <c r="B17" s="40"/>
      <c r="C17" s="40"/>
      <c r="D17" s="40"/>
      <c r="E17" s="40"/>
      <c r="F17" s="40"/>
      <c r="G17" s="40" t="s">
        <v>140</v>
      </c>
      <c r="H17" s="40"/>
      <c r="I17" s="40"/>
    </row>
    <row r="18" spans="2:18" x14ac:dyDescent="0.3">
      <c r="B18" s="55"/>
      <c r="C18" s="56"/>
      <c r="D18" s="56"/>
      <c r="E18" s="56"/>
      <c r="F18" s="56"/>
      <c r="G18" s="56"/>
      <c r="H18" s="56"/>
      <c r="I18" s="57"/>
      <c r="L18" s="58"/>
      <c r="M18" s="59" t="str">
        <f t="shared" ref="M18:M27" si="7">M4</f>
        <v>Retrofit</v>
      </c>
      <c r="N18" s="60">
        <f t="shared" ref="N18:N27" si="8">N4/2</f>
        <v>143265.59091697127</v>
      </c>
      <c r="O18" s="60">
        <f t="shared" ref="O18:O27" si="9">O4/2+N4/2</f>
        <v>396872.3822917341</v>
      </c>
      <c r="P18" s="60">
        <f t="shared" ref="P18:P27" si="10">P4/2+O4+$N4/2</f>
        <v>810206.95981305814</v>
      </c>
      <c r="Q18" s="60">
        <f>Q4/2+SUM($O4:P4)+$N4/2</f>
        <v>1219092.2953804389</v>
      </c>
      <c r="R18" s="61">
        <f>R4/2+SUM($O4:Q4)+$N4/2</f>
        <v>1717407.3942220781</v>
      </c>
    </row>
    <row r="19" spans="2:18" x14ac:dyDescent="0.3">
      <c r="B19" s="55"/>
      <c r="C19" s="56"/>
      <c r="D19" s="56"/>
      <c r="E19" s="56"/>
      <c r="F19" s="56"/>
      <c r="G19" s="56"/>
      <c r="H19" s="56"/>
      <c r="I19" s="57"/>
      <c r="L19" s="62"/>
      <c r="M19" s="38" t="str">
        <f t="shared" si="7"/>
        <v>Small Business</v>
      </c>
      <c r="N19" s="63">
        <f t="shared" si="8"/>
        <v>4449.2419539432076</v>
      </c>
      <c r="O19" s="63">
        <f t="shared" si="9"/>
        <v>6228.9387355204908</v>
      </c>
      <c r="P19" s="63">
        <f t="shared" si="10"/>
        <v>16907.11942498419</v>
      </c>
      <c r="Q19" s="63">
        <f>Q5/2+SUM($O5:P5)+$N5/2</f>
        <v>54725.676033501455</v>
      </c>
      <c r="R19" s="64">
        <f>R5/2+SUM($O5:Q5)+$N5/2</f>
        <v>112565.82143476316</v>
      </c>
    </row>
    <row r="20" spans="2:18" x14ac:dyDescent="0.3">
      <c r="B20" s="65" t="s">
        <v>141</v>
      </c>
      <c r="C20" s="66">
        <v>2018</v>
      </c>
      <c r="D20" s="66">
        <v>2019</v>
      </c>
      <c r="E20" s="66">
        <v>2020</v>
      </c>
      <c r="F20" s="66">
        <v>2021</v>
      </c>
      <c r="G20" s="66">
        <v>2022</v>
      </c>
      <c r="H20" s="66"/>
      <c r="I20" s="67" t="s">
        <v>142</v>
      </c>
      <c r="J20" s="68"/>
      <c r="K20" s="68"/>
      <c r="L20" s="62"/>
      <c r="M20" s="38" t="str">
        <f t="shared" si="7"/>
        <v xml:space="preserve">Energy Performance </v>
      </c>
      <c r="N20" s="63">
        <f t="shared" si="8"/>
        <v>7118.787126309132</v>
      </c>
      <c r="O20" s="63">
        <f t="shared" si="9"/>
        <v>16017.271034195546</v>
      </c>
      <c r="P20" s="63">
        <f t="shared" si="10"/>
        <v>47161.964711797998</v>
      </c>
      <c r="Q20" s="63">
        <f>Q6/2+SUM($O6:P6)+$N6/2</f>
        <v>93434.081032807357</v>
      </c>
      <c r="R20" s="64">
        <f>R6/2+SUM($O6:Q6)+$N6/2</f>
        <v>141485.89413539399</v>
      </c>
    </row>
    <row r="21" spans="2:18" x14ac:dyDescent="0.3">
      <c r="B21" s="69" t="s">
        <v>143</v>
      </c>
      <c r="C21" s="70">
        <v>132430891803.83586</v>
      </c>
      <c r="D21" s="70">
        <v>129776205940.17464</v>
      </c>
      <c r="E21" s="70">
        <v>128180478159.40999</v>
      </c>
      <c r="F21" s="70">
        <v>129125642651.85997</v>
      </c>
      <c r="G21" s="70">
        <v>130831607586.52003</v>
      </c>
      <c r="H21" s="70"/>
      <c r="I21" s="71">
        <f>AVERAGE(C21:G21)</f>
        <v>130068965228.36011</v>
      </c>
      <c r="J21" s="53"/>
      <c r="K21" s="53"/>
      <c r="L21" s="72" t="s">
        <v>144</v>
      </c>
      <c r="M21" s="38" t="str">
        <f t="shared" si="7"/>
        <v>Energy Management</v>
      </c>
      <c r="N21" s="63">
        <f t="shared" si="8"/>
        <v>444.92419539432075</v>
      </c>
      <c r="O21" s="63">
        <f t="shared" si="9"/>
        <v>7118.7871263091329</v>
      </c>
      <c r="P21" s="63">
        <f t="shared" si="10"/>
        <v>26695.451723659244</v>
      </c>
      <c r="Q21" s="63">
        <f>Q7/2+SUM($O7:P7)+$N7/2</f>
        <v>82310.976147949346</v>
      </c>
      <c r="R21" s="64">
        <f>R7/2+SUM($O7:Q7)+$N7/2</f>
        <v>167736.42166365896</v>
      </c>
    </row>
    <row r="22" spans="2:18" x14ac:dyDescent="0.3">
      <c r="B22" s="69" t="s">
        <v>174</v>
      </c>
      <c r="C22" s="73">
        <v>117028006</v>
      </c>
      <c r="D22" s="73">
        <v>117455380</v>
      </c>
      <c r="E22" s="73">
        <v>115003539</v>
      </c>
      <c r="F22" s="73">
        <v>114189855</v>
      </c>
      <c r="G22" s="73">
        <v>115031517</v>
      </c>
      <c r="H22" s="73"/>
      <c r="I22" s="71">
        <f>AVERAGE(C22:G22)</f>
        <v>115741659.40000001</v>
      </c>
      <c r="J22" s="53"/>
      <c r="K22" s="53"/>
      <c r="L22" s="74" t="s">
        <v>145</v>
      </c>
      <c r="M22" s="38" t="str">
        <f t="shared" si="7"/>
        <v>Industrial Energy Efficiency</v>
      </c>
      <c r="N22" s="63">
        <f t="shared" si="8"/>
        <v>0</v>
      </c>
      <c r="O22" s="63">
        <f t="shared" si="9"/>
        <v>0</v>
      </c>
      <c r="P22" s="63">
        <f t="shared" si="10"/>
        <v>73412.492240062929</v>
      </c>
      <c r="Q22" s="63">
        <f>Q8/2+SUM($O8:P8)+$N8/2</f>
        <v>220237.4767201888</v>
      </c>
      <c r="R22" s="64">
        <f>R8/2+SUM($O8:Q8)+$N8/2</f>
        <v>367062.46120031463</v>
      </c>
    </row>
    <row r="23" spans="2:18" x14ac:dyDescent="0.3">
      <c r="B23" s="69" t="s">
        <v>175</v>
      </c>
      <c r="C23" s="75">
        <f>C22/C21</f>
        <v>8.836911418926976E-4</v>
      </c>
      <c r="D23" s="75">
        <f>D22/D21</f>
        <v>9.0506097900678033E-4</v>
      </c>
      <c r="E23" s="75">
        <f>E22/E21</f>
        <v>8.9720010918493639E-4</v>
      </c>
      <c r="F23" s="75">
        <f>F22/F21</f>
        <v>8.8433135862774482E-4</v>
      </c>
      <c r="G23" s="75">
        <f>G22/G21</f>
        <v>8.792333834461882E-4</v>
      </c>
      <c r="H23" s="75"/>
      <c r="I23" s="76">
        <f>I22/I21</f>
        <v>8.8984839078864151E-4</v>
      </c>
      <c r="J23" s="77"/>
      <c r="K23" s="77"/>
      <c r="L23" s="62"/>
      <c r="M23" s="38" t="str">
        <f t="shared" si="7"/>
        <v>Targeted Greenhouse</v>
      </c>
      <c r="N23" s="63">
        <f t="shared" si="8"/>
        <v>0</v>
      </c>
      <c r="O23" s="63">
        <f t="shared" si="9"/>
        <v>0</v>
      </c>
      <c r="P23" s="63">
        <f t="shared" si="10"/>
        <v>0</v>
      </c>
      <c r="Q23" s="63">
        <f>Q9/2+SUM($O9:P9)+$N9/2</f>
        <v>0</v>
      </c>
      <c r="R23" s="64">
        <f>R9/2+SUM($O9:Q9)+$N9/2</f>
        <v>0</v>
      </c>
    </row>
    <row r="24" spans="2:18" x14ac:dyDescent="0.3">
      <c r="B24" s="69"/>
      <c r="C24" s="40"/>
      <c r="D24" s="40"/>
      <c r="E24" s="40"/>
      <c r="F24" s="40"/>
      <c r="G24" s="40"/>
      <c r="H24" s="40"/>
      <c r="I24" s="78"/>
      <c r="J24" s="51"/>
      <c r="K24" s="51"/>
      <c r="L24" s="62"/>
      <c r="M24" s="38" t="str">
        <f t="shared" si="7"/>
        <v>Local Initiatives</v>
      </c>
      <c r="N24" s="63">
        <f t="shared" si="8"/>
        <v>0</v>
      </c>
      <c r="O24" s="63">
        <f t="shared" si="9"/>
        <v>0</v>
      </c>
      <c r="P24" s="63">
        <f t="shared" si="10"/>
        <v>0</v>
      </c>
      <c r="Q24" s="63">
        <f>Q10/2+SUM($O10:P10)+$N10/2</f>
        <v>0</v>
      </c>
      <c r="R24" s="64">
        <f>R10/2+SUM($O10:Q10)+$N10/2</f>
        <v>0</v>
      </c>
    </row>
    <row r="25" spans="2:18" x14ac:dyDescent="0.3">
      <c r="B25" s="69" t="s">
        <v>137</v>
      </c>
      <c r="C25" s="40" t="s">
        <v>146</v>
      </c>
      <c r="D25" s="40"/>
      <c r="E25" s="40"/>
      <c r="F25" s="40"/>
      <c r="G25" s="40"/>
      <c r="H25" s="40"/>
      <c r="I25" s="79"/>
      <c r="L25" s="80"/>
      <c r="M25" s="38" t="str">
        <f t="shared" si="7"/>
        <v>Residential Demand Response</v>
      </c>
      <c r="N25" s="63">
        <f t="shared" si="8"/>
        <v>0</v>
      </c>
      <c r="O25" s="63">
        <f t="shared" si="9"/>
        <v>0</v>
      </c>
      <c r="P25" s="63">
        <f t="shared" si="10"/>
        <v>0</v>
      </c>
      <c r="Q25" s="63">
        <f>Q11/2+SUM($O11:P11)+$N11/2</f>
        <v>0</v>
      </c>
      <c r="R25" s="64">
        <f>R11/2+SUM($O11:Q11)+$N11/2</f>
        <v>0</v>
      </c>
    </row>
    <row r="26" spans="2:18" x14ac:dyDescent="0.3">
      <c r="B26" s="62"/>
      <c r="I26" s="81"/>
      <c r="L26" s="62"/>
      <c r="M26" s="38" t="str">
        <f t="shared" si="7"/>
        <v>Energy Affordability Program</v>
      </c>
      <c r="N26" s="63">
        <f t="shared" si="8"/>
        <v>4395.9332792554978</v>
      </c>
      <c r="O26" s="63">
        <f t="shared" si="9"/>
        <v>13187.799837766494</v>
      </c>
      <c r="P26" s="63">
        <f t="shared" si="10"/>
        <v>52751.199351065974</v>
      </c>
      <c r="Q26" s="63">
        <f>Q12/2+SUM($O12:P12)+$N12/2</f>
        <v>144437.80774696634</v>
      </c>
      <c r="R26" s="64">
        <f>R12/2+SUM($O12:Q12)+$N12/2</f>
        <v>266267.95862919011</v>
      </c>
    </row>
    <row r="27" spans="2:18" x14ac:dyDescent="0.3">
      <c r="B27" s="69"/>
      <c r="C27" s="82"/>
      <c r="D27" s="82"/>
      <c r="E27" s="82"/>
      <c r="F27" s="82"/>
      <c r="G27" s="82"/>
      <c r="H27" s="82"/>
      <c r="I27" s="83"/>
      <c r="L27" s="62"/>
      <c r="M27" s="38" t="str">
        <f t="shared" si="7"/>
        <v>First Nations Program</v>
      </c>
      <c r="N27" s="63">
        <f t="shared" si="8"/>
        <v>0</v>
      </c>
      <c r="O27" s="63">
        <f t="shared" si="9"/>
        <v>0</v>
      </c>
      <c r="P27" s="63">
        <f t="shared" si="10"/>
        <v>0</v>
      </c>
      <c r="Q27" s="63">
        <f>Q13/2+SUM($O13:P13)+$N13/2</f>
        <v>0</v>
      </c>
      <c r="R27" s="64">
        <f>R13/2+SUM($O13:Q13)+$N13/2</f>
        <v>0</v>
      </c>
    </row>
    <row r="28" spans="2:18" x14ac:dyDescent="0.3">
      <c r="B28" s="69"/>
      <c r="C28" s="82"/>
      <c r="D28" s="82"/>
      <c r="E28" s="82"/>
      <c r="F28" s="82"/>
      <c r="G28" s="82"/>
      <c r="I28" s="83"/>
      <c r="J28" s="51"/>
      <c r="K28" s="51"/>
      <c r="L28" s="85"/>
      <c r="M28" s="51" t="s">
        <v>121</v>
      </c>
      <c r="N28" s="53">
        <f>SUM(N18:N27)</f>
        <v>159674.47747187343</v>
      </c>
      <c r="O28" s="53">
        <f t="shared" ref="O28:R28" si="11">SUM(O18:O27)</f>
        <v>439425.17902552575</v>
      </c>
      <c r="P28" s="53">
        <f t="shared" si="11"/>
        <v>1027135.1872646286</v>
      </c>
      <c r="Q28" s="53">
        <f t="shared" si="11"/>
        <v>1814238.313061852</v>
      </c>
      <c r="R28" s="71">
        <f t="shared" si="11"/>
        <v>2772525.951285399</v>
      </c>
    </row>
    <row r="29" spans="2:18" x14ac:dyDescent="0.3">
      <c r="B29" s="69"/>
      <c r="C29" s="40"/>
      <c r="D29" s="40"/>
      <c r="E29" s="40"/>
      <c r="F29" s="40"/>
      <c r="G29" s="40"/>
      <c r="H29" s="40"/>
      <c r="I29" s="79"/>
      <c r="J29" s="51"/>
      <c r="K29" s="51"/>
      <c r="L29" s="85"/>
      <c r="R29" s="81"/>
    </row>
    <row r="30" spans="2:18" x14ac:dyDescent="0.3">
      <c r="B30" s="55"/>
      <c r="C30" s="56"/>
      <c r="D30" s="56"/>
      <c r="E30" s="56"/>
      <c r="F30" s="56"/>
      <c r="G30" s="56"/>
      <c r="H30" s="56"/>
      <c r="I30" s="57"/>
      <c r="J30" s="51"/>
      <c r="K30" s="51"/>
      <c r="L30" s="86"/>
      <c r="M30" s="38" t="s">
        <v>100</v>
      </c>
      <c r="N30" s="87">
        <f>$M$47*N$18+$M$48*N$19+$M$49*N$20+$M$50*N$21+$M$51*N$22+$M$52*N$23+$M$53*N$24+$M$54*N$25+$M$55*N$26+$M$56*N$27</f>
        <v>4395.9332792554978</v>
      </c>
      <c r="O30" s="87">
        <f>$M$47*O$18+$M$48*O$19+$M$49*O$20+$M$50*O$21+$M$51*O$22+$M$52*O$23+$M$53*O$24+$M$54*O$25+$M$55*O$26+$M$56*O$27</f>
        <v>13187.799837766494</v>
      </c>
      <c r="P30" s="87">
        <f>$M$47*P$18+$M$48*P$19+$M$49*P$20+$M$50*P$21+$M$51*P$22+$M$52*P$23+$M$53*P$24+$M$54*P$25+$M$55*P$26+$M$56*P$27</f>
        <v>52751.199351065974</v>
      </c>
      <c r="Q30" s="87">
        <f>$M$47*Q$18+$M$48*Q$19+$M$49*Q$20+$M$50*Q$21+$M$51*Q$22+$M$52*Q$23+$M$53*Q$24+$M$54*Q$25+$M$55*Q$26+$M$56*Q$27</f>
        <v>144437.80774696634</v>
      </c>
      <c r="R30" s="88">
        <f>$M$47*R$18+$M$48*R$19+$M$49*R$20+$M$50*R$21+$M$51*R$22+$M$52*R$23+$M$53*R$24+$M$54*R$25+$M$55*R$26+$M$56*R$27</f>
        <v>266267.95862919011</v>
      </c>
    </row>
    <row r="31" spans="2:18" x14ac:dyDescent="0.3">
      <c r="B31" s="65" t="s">
        <v>147</v>
      </c>
      <c r="C31" s="51">
        <v>2016</v>
      </c>
      <c r="D31" s="51"/>
      <c r="E31" s="137"/>
      <c r="F31" s="51">
        <f>F20</f>
        <v>2021</v>
      </c>
      <c r="G31" s="40"/>
      <c r="H31" s="40"/>
      <c r="I31" s="78" t="s">
        <v>148</v>
      </c>
      <c r="J31" s="51"/>
      <c r="K31" s="51"/>
      <c r="L31" s="72" t="s">
        <v>144</v>
      </c>
      <c r="M31" s="38" t="s">
        <v>102</v>
      </c>
      <c r="N31" s="87">
        <f>$N$47*N$18+$N$48*N$19+$N$49*N$20+$N$50*N$21+$N$51*N$22+$N$52*N$23+$N$53*N$24+$N$54*N$25+$N$55*N$26+$N$56*N$27</f>
        <v>25566.590055104774</v>
      </c>
      <c r="O31" s="87">
        <f>$N$47*O$18+$N$48*O$19+$N$49*O$20+$N$50*O$21+$N$51*O$22+$N$52*O$23+$N$53*O$24+$N$54*O$25+$N$55*O$26+$N$56*O$27</f>
        <v>64727.927885322097</v>
      </c>
      <c r="P31" s="87">
        <f>$N$47*P$18+$N$48*P$19+$N$49*P$20+$N$50*P$21+$N$51*P$22+$N$52*P$23+$N$53*P$24+$N$54*P$25+$N$55*P$26+$N$56*P$27</f>
        <v>136331.62530142895</v>
      </c>
      <c r="Q31" s="87">
        <f>$N$47*Q$18+$N$48*Q$19+$N$49*Q$20+$N$50*Q$21+$N$51*Q$22+$N$52*Q$23+$N$53*Q$24+$N$54*Q$25+$N$55*Q$26+$N$56*Q$27</f>
        <v>234419.88037257816</v>
      </c>
      <c r="R31" s="88">
        <f>$N$47*R$18+$N$48*R$19+$N$49*R$20+$N$50*R$21+$N$51*R$22+$N$52*R$23+$N$53*R$24+$N$54*R$25+$N$55*R$26+$N$56*R$27</f>
        <v>365711.67134309746</v>
      </c>
    </row>
    <row r="32" spans="2:18" x14ac:dyDescent="0.3">
      <c r="B32" s="69" t="s">
        <v>143</v>
      </c>
      <c r="C32" s="138">
        <v>13448494</v>
      </c>
      <c r="D32" s="138"/>
      <c r="F32" s="138">
        <v>14223942</v>
      </c>
      <c r="G32" s="40"/>
      <c r="H32" s="40"/>
      <c r="I32" s="78"/>
      <c r="J32" s="51"/>
      <c r="K32" s="51"/>
      <c r="L32" s="74" t="s">
        <v>145</v>
      </c>
      <c r="M32" s="38" t="s">
        <v>103</v>
      </c>
      <c r="N32" s="87">
        <f>$O$47*N$18+$O$48*N$19+$O$49*N$20+$O$50*N$21+$O$51*N$22+$O$52*N$23+$O$53*N$24+$O$54*N$25+$O$55*N$26+$O$56*N$27</f>
        <v>129711.95413751317</v>
      </c>
      <c r="O32" s="87">
        <f>$O$47*O$18+$O$48*O$19+$O$49*O$20+$O$50*O$21+$O$51*O$22+$O$52*O$23+$O$53*O$24+$O$54*O$25+$O$55*O$26+$O$56*O$27</f>
        <v>361509.45130243717</v>
      </c>
      <c r="P32" s="87">
        <f>$O$47*P$18+$O$48*P$19+$O$49*P$20+$O$50*P$21+$O$51*P$22+$O$52*P$23+$O$53*P$24+$O$54*P$25+$O$55*P$26+$O$56*P$27</f>
        <v>838052.36261213361</v>
      </c>
      <c r="Q32" s="87">
        <f>$O$47*Q$18+$O$48*Q$19+$O$49*Q$20+$O$50*Q$21+$O$51*Q$22+$O$52*Q$23+$O$53*Q$24+$O$54*Q$25+$O$55*Q$26+$O$56*Q$27</f>
        <v>1435380.6249423078</v>
      </c>
      <c r="R32" s="88">
        <f>$O$47*R$18+$O$48*R$19+$O$49*R$20+$O$50*R$21+$O$51*R$22+$O$52*R$23+$O$53*R$24+$O$54*R$25+$O$55*R$26+$O$56*R$27</f>
        <v>2140546.3213131116</v>
      </c>
    </row>
    <row r="33" spans="2:19" x14ac:dyDescent="0.3">
      <c r="B33" s="65" t="s">
        <v>174</v>
      </c>
      <c r="C33" s="139">
        <f>SUM(C34:C36)</f>
        <v>18150</v>
      </c>
      <c r="D33" s="136"/>
      <c r="E33" s="137"/>
      <c r="F33" s="139">
        <f>SUM(F34:F36)</f>
        <v>17865</v>
      </c>
      <c r="G33" s="51"/>
      <c r="H33" s="51"/>
      <c r="I33" s="89"/>
      <c r="J33" s="51"/>
      <c r="K33" s="51"/>
      <c r="L33" s="62"/>
      <c r="N33" s="87"/>
      <c r="O33" s="87"/>
      <c r="P33" s="87"/>
      <c r="Q33" s="87"/>
      <c r="R33" s="88"/>
    </row>
    <row r="34" spans="2:19" x14ac:dyDescent="0.3">
      <c r="B34" s="141" t="s">
        <v>181</v>
      </c>
      <c r="C34" s="140">
        <v>5321</v>
      </c>
      <c r="D34" s="140"/>
      <c r="E34" s="140"/>
      <c r="F34" s="140">
        <v>5390</v>
      </c>
      <c r="I34" s="81"/>
      <c r="L34" s="62"/>
      <c r="M34" s="51" t="s">
        <v>121</v>
      </c>
      <c r="N34" s="53">
        <f>SUM(N30:N33)</f>
        <v>159674.47747187346</v>
      </c>
      <c r="O34" s="53">
        <f>SUM(O30:O33)</f>
        <v>439425.17902552575</v>
      </c>
      <c r="P34" s="53">
        <f>SUM(P30:P33)</f>
        <v>1027135.1872646285</v>
      </c>
      <c r="Q34" s="53">
        <f>SUM(Q30:Q33)</f>
        <v>1814238.3130618525</v>
      </c>
      <c r="R34" s="71">
        <f>SUM(R30:R33)</f>
        <v>2772525.951285399</v>
      </c>
    </row>
    <row r="35" spans="2:19" x14ac:dyDescent="0.3">
      <c r="B35" s="69" t="s">
        <v>182</v>
      </c>
      <c r="C35" s="140">
        <v>8292</v>
      </c>
      <c r="D35" s="135"/>
      <c r="E35" s="140"/>
      <c r="F35" s="140">
        <v>8057</v>
      </c>
      <c r="G35" s="40"/>
      <c r="H35" s="40"/>
      <c r="I35" s="78"/>
      <c r="L35" s="62"/>
      <c r="R35" s="81"/>
    </row>
    <row r="36" spans="2:19" x14ac:dyDescent="0.3">
      <c r="B36" s="69" t="s">
        <v>440</v>
      </c>
      <c r="C36" s="140">
        <v>4537</v>
      </c>
      <c r="D36" s="140"/>
      <c r="E36" s="140"/>
      <c r="F36" s="140">
        <v>4418</v>
      </c>
      <c r="I36" s="79"/>
      <c r="L36" s="62"/>
      <c r="M36" s="38" t="str">
        <f>M30</f>
        <v>Residential</v>
      </c>
      <c r="N36" s="87">
        <f>$M$47*N$4+$M$48*N$5+$M$49*N$6+$M$50*N$7+$M$51*N$8+$M$52*N$9+$M$53*N$10+$M$54*N$11+$M$55*N$12+$M$56*N$13</f>
        <v>8791.8665585109957</v>
      </c>
      <c r="O36" s="87">
        <f>$M$47*O$4+$M$48*O$5+$M$49*O$6+$M$50*O$7+$M$51*O$8+$M$52*O$9+$M$53*O$10+$M$54*O$11+$M$55*O$12+$M$56*O$13</f>
        <v>17583.733117021991</v>
      </c>
      <c r="P36" s="87">
        <f>$M$47*P$4+$M$48*P$5+$M$49*P$6+$M$50*P$7+$M$51*P$8+$M$52*P$9+$M$53*P$10+$M$54*P$11+$M$55*P$12+$M$56*P$13</f>
        <v>61543.065909576966</v>
      </c>
      <c r="Q36" s="87">
        <f>$M$47*Q$4+$M$48*Q$5+$M$49*Q$6+$M$50*Q$7+$M$51*Q$8+$M$52*Q$9+$M$53*Q$10+$M$54*Q$11+$M$55*Q$12+$M$56*Q$13</f>
        <v>121830.15088222378</v>
      </c>
      <c r="R36" s="88">
        <f>$M$47*R$4+$M$48*R$5+$M$49*R$6+$M$50*R$7+$M$51*R$8+$M$52*R$9+$M$53*R$10+$M$54*R$11+$M$55*R$12+$M$56*R$13</f>
        <v>121830.15088222378</v>
      </c>
    </row>
    <row r="37" spans="2:19" x14ac:dyDescent="0.3">
      <c r="B37" s="69" t="s">
        <v>177</v>
      </c>
      <c r="C37" s="90">
        <f>C33/C32</f>
        <v>1.3495934935168206E-3</v>
      </c>
      <c r="D37" s="139"/>
      <c r="E37" s="137"/>
      <c r="F37" s="90">
        <f>F33/F32</f>
        <v>1.2559809369301421E-3</v>
      </c>
      <c r="G37" s="40"/>
      <c r="H37" s="40"/>
      <c r="I37" s="76">
        <f>F37</f>
        <v>1.2559809369301421E-3</v>
      </c>
      <c r="L37" s="62"/>
      <c r="M37" s="38" t="str">
        <f>M31</f>
        <v>GS &lt; 50</v>
      </c>
      <c r="N37" s="87">
        <f>$N$47*N$4+$N$48*N$5+$N$49*N$6+$N$50*N$7+$N$51*N$8+$N$52*N$9+$N$53*N$10+$N$54*N$11+$N$55*N$12+$N$56*N$13</f>
        <v>51133.180110209549</v>
      </c>
      <c r="O37" s="87">
        <f>$N$47*O$4+$N$48*O$5+$N$49*O$6+$N$50*O$7+$N$51*O$8+$N$52*O$9+$N$53*O$10+$N$54*O$11+$N$55*O$12+$N$56*O$13</f>
        <v>78322.675660434645</v>
      </c>
      <c r="P37" s="87">
        <f>$N$47*P$4+$N$48*P$5+$N$49*P$6+$N$50*P$7+$N$51*P$8+$N$52*P$9+$N$53*P$10+$N$54*P$11+$N$55*P$12+$N$56*P$13</f>
        <v>64884.719171779056</v>
      </c>
      <c r="Q37" s="87">
        <f>$N$47*Q$4+$N$48*Q$5+$N$49*Q$6+$N$50*Q$7+$N$51*Q$8+$N$52*Q$9+$N$53*Q$10+$N$54*Q$11+$N$55*Q$12+$N$56*Q$13</f>
        <v>131291.79097051933</v>
      </c>
      <c r="R37" s="88">
        <f>$N$47*R$4+$N$48*R$5+$N$49*R$6+$N$50*R$7+$N$51*R$8+$N$52*R$9+$N$53*R$10+$N$54*R$11+$N$55*R$12+$N$56*R$13</f>
        <v>131291.79097051933</v>
      </c>
    </row>
    <row r="38" spans="2:19" x14ac:dyDescent="0.3">
      <c r="B38" s="69" t="s">
        <v>137</v>
      </c>
      <c r="C38" s="40" t="s">
        <v>149</v>
      </c>
      <c r="D38" s="40"/>
      <c r="E38" s="40"/>
      <c r="F38" s="40"/>
      <c r="G38" s="40"/>
      <c r="H38" s="40"/>
      <c r="I38" s="79"/>
      <c r="L38" s="62" t="s">
        <v>129</v>
      </c>
      <c r="M38" s="38" t="str">
        <f>M32</f>
        <v>GS &gt; 50</v>
      </c>
      <c r="N38" s="87">
        <f>$O$47*N$4+$O$48*N$5+$O$49*N$6+$O$50*N$7+$O$51*N$8+$O$52*N$9+$O$53*N$10+$O$54*N$11+$O$55*N$12+$O$56*N$13</f>
        <v>259423.90827502633</v>
      </c>
      <c r="O38" s="87">
        <f>$O$47*O$4+$O$48*O$5+$O$49*O$6+$O$50*O$7+$O$51*O$8+$O$52*O$9+$O$53*O$10+$O$54*O$11+$O$55*O$12+$O$56*O$13</f>
        <v>463594.99432984804</v>
      </c>
      <c r="P38" s="87">
        <f>$O$47*P$4+$O$48*P$5+$O$49*P$6+$O$50*P$7+$O$51*P$8+$O$52*P$9+$O$53*P$10+$O$54*P$11+$O$55*P$12+$O$56*P$13</f>
        <v>489490.82828954468</v>
      </c>
      <c r="Q38" s="87">
        <f>$O$47*Q$4+$O$48*Q$5+$O$49*Q$6+$O$50*Q$7+$O$51*Q$8+$O$52*Q$9+$O$53*Q$10+$O$54*Q$11+$O$55*Q$12+$O$56*Q$13</f>
        <v>705165.69637080375</v>
      </c>
      <c r="R38" s="88">
        <f>$O$47*R$4+$O$48*R$5+$O$49*R$6+$O$50*R$7+$O$51*R$8+$O$52*R$9+$O$53*R$10+$O$54*R$11+$O$55*R$12+$O$56*R$13</f>
        <v>705165.69637080375</v>
      </c>
    </row>
    <row r="39" spans="2:19" x14ac:dyDescent="0.3">
      <c r="B39" s="69"/>
      <c r="C39" s="40" t="s">
        <v>178</v>
      </c>
      <c r="D39" s="40"/>
      <c r="E39" s="40"/>
      <c r="F39" s="40"/>
      <c r="G39" s="40"/>
      <c r="H39" s="40"/>
      <c r="I39" s="79"/>
      <c r="L39" s="62"/>
      <c r="N39" s="87"/>
      <c r="O39" s="87"/>
      <c r="P39" s="87"/>
      <c r="Q39" s="87"/>
      <c r="R39" s="88"/>
    </row>
    <row r="40" spans="2:19" x14ac:dyDescent="0.3">
      <c r="B40" s="91"/>
      <c r="C40" s="92"/>
      <c r="D40" s="92"/>
      <c r="E40" s="92"/>
      <c r="F40" s="92"/>
      <c r="G40" s="92"/>
      <c r="H40" s="92"/>
      <c r="I40" s="93"/>
      <c r="L40" s="94"/>
      <c r="M40" s="95" t="s">
        <v>121</v>
      </c>
      <c r="N40" s="96">
        <f>SUM(N36:N39)</f>
        <v>319348.95494374691</v>
      </c>
      <c r="O40" s="96">
        <f>SUM(O36:O39)</f>
        <v>559501.40310730471</v>
      </c>
      <c r="P40" s="96">
        <f>SUM(P36:P39)</f>
        <v>615918.61337090074</v>
      </c>
      <c r="Q40" s="96">
        <f>SUM(Q36:Q39)</f>
        <v>958287.63822354679</v>
      </c>
      <c r="R40" s="97">
        <f>SUM(R36:R39)</f>
        <v>958287.63822354679</v>
      </c>
    </row>
    <row r="44" spans="2:19" x14ac:dyDescent="0.3">
      <c r="L44" s="58"/>
      <c r="M44" s="56" t="s">
        <v>100</v>
      </c>
      <c r="N44" s="56" t="s">
        <v>150</v>
      </c>
      <c r="O44" s="56" t="s">
        <v>103</v>
      </c>
      <c r="P44" s="56"/>
      <c r="Q44" s="56"/>
      <c r="R44" s="59"/>
      <c r="S44" s="98"/>
    </row>
    <row r="45" spans="2:19" x14ac:dyDescent="0.3">
      <c r="L45" s="62"/>
      <c r="S45" s="81"/>
    </row>
    <row r="46" spans="2:19" x14ac:dyDescent="0.3">
      <c r="B46" s="55"/>
      <c r="C46" s="99" t="s">
        <v>122</v>
      </c>
      <c r="D46" s="99"/>
      <c r="E46" s="99"/>
      <c r="F46" s="99"/>
      <c r="G46" s="98"/>
      <c r="L46" s="62"/>
      <c r="S46" s="81"/>
    </row>
    <row r="47" spans="2:19" x14ac:dyDescent="0.3">
      <c r="B47" s="69"/>
      <c r="C47" s="42">
        <v>2021</v>
      </c>
      <c r="D47" s="42">
        <v>2023</v>
      </c>
      <c r="E47" s="42">
        <v>2024</v>
      </c>
      <c r="F47" s="42">
        <v>2025</v>
      </c>
      <c r="G47" s="79" t="s">
        <v>151</v>
      </c>
      <c r="J47" s="38" t="str">
        <f>J61</f>
        <v>Retrofit</v>
      </c>
      <c r="L47" s="62"/>
      <c r="N47" s="100">
        <v>0.1474</v>
      </c>
      <c r="O47" s="100">
        <v>0.85260000000000002</v>
      </c>
      <c r="P47" s="100"/>
      <c r="Q47" s="100"/>
      <c r="S47" s="101">
        <f>SUM(M47:Q47)</f>
        <v>1</v>
      </c>
    </row>
    <row r="48" spans="2:19" x14ac:dyDescent="0.3">
      <c r="B48" s="69" t="s">
        <v>152</v>
      </c>
      <c r="C48" s="102">
        <v>0</v>
      </c>
      <c r="D48" s="102">
        <v>0.5</v>
      </c>
      <c r="E48" s="102">
        <v>1</v>
      </c>
      <c r="F48" s="102">
        <v>0.5</v>
      </c>
      <c r="G48" s="81"/>
      <c r="J48" s="38" t="str">
        <f t="shared" ref="J48:J56" si="12">J62</f>
        <v>Small Business</v>
      </c>
      <c r="L48" s="62"/>
      <c r="N48" s="100">
        <v>1</v>
      </c>
      <c r="O48" s="100">
        <v>0</v>
      </c>
      <c r="P48" s="100"/>
      <c r="Q48" s="100"/>
      <c r="S48" s="101">
        <f t="shared" ref="S48:S55" si="13">SUM(M48:Q48)</f>
        <v>1</v>
      </c>
    </row>
    <row r="49" spans="2:20" x14ac:dyDescent="0.3">
      <c r="B49" s="69"/>
      <c r="C49" s="41"/>
      <c r="D49" s="41"/>
      <c r="E49" s="41"/>
      <c r="F49" s="41"/>
      <c r="G49" s="81"/>
      <c r="J49" s="38" t="str">
        <f t="shared" si="12"/>
        <v xml:space="preserve">Energy Performance </v>
      </c>
      <c r="L49" s="62"/>
      <c r="N49" s="100">
        <v>0</v>
      </c>
      <c r="O49" s="100">
        <v>1</v>
      </c>
      <c r="P49" s="100"/>
      <c r="Q49" s="100"/>
      <c r="S49" s="101">
        <f t="shared" si="13"/>
        <v>1</v>
      </c>
    </row>
    <row r="50" spans="2:20" x14ac:dyDescent="0.3">
      <c r="B50" s="69" t="s">
        <v>124</v>
      </c>
      <c r="C50" s="103">
        <f t="shared" ref="C50:C57" si="14">C$48*N4</f>
        <v>0</v>
      </c>
      <c r="D50" s="103">
        <f t="shared" ref="D50:D59" si="15">D$48*P4</f>
        <v>159727.78614656115</v>
      </c>
      <c r="E50" s="103">
        <f t="shared" ref="E50:E59" si="16">E$48*Q4</f>
        <v>498315.09884163929</v>
      </c>
      <c r="F50" s="103">
        <f t="shared" ref="F50:F59" si="17">F$48*R4</f>
        <v>249157.54942081965</v>
      </c>
      <c r="G50" s="88">
        <f t="shared" ref="G50:G59" si="18">SUM(C50:F50)</f>
        <v>907200.43440902</v>
      </c>
      <c r="J50" s="38" t="str">
        <f t="shared" si="12"/>
        <v>Energy Management</v>
      </c>
      <c r="L50" s="62"/>
      <c r="N50" s="100">
        <v>0</v>
      </c>
      <c r="O50" s="100">
        <v>1</v>
      </c>
      <c r="P50" s="100"/>
      <c r="Q50" s="100"/>
      <c r="S50" s="101">
        <f t="shared" si="13"/>
        <v>1</v>
      </c>
      <c r="T50" s="38" t="s">
        <v>153</v>
      </c>
    </row>
    <row r="51" spans="2:20" x14ac:dyDescent="0.3">
      <c r="B51" s="104" t="s">
        <v>126</v>
      </c>
      <c r="C51" s="105">
        <f t="shared" si="14"/>
        <v>0</v>
      </c>
      <c r="D51" s="105">
        <f t="shared" si="15"/>
        <v>8898.4839078864152</v>
      </c>
      <c r="E51" s="105">
        <f t="shared" si="16"/>
        <v>57840.145401261703</v>
      </c>
      <c r="F51" s="105">
        <f t="shared" si="17"/>
        <v>28920.072700630852</v>
      </c>
      <c r="G51" s="88">
        <f t="shared" si="18"/>
        <v>95658.702009778965</v>
      </c>
      <c r="J51" s="38" t="str">
        <f t="shared" si="12"/>
        <v>Industrial Energy Efficiency</v>
      </c>
      <c r="L51" s="62"/>
      <c r="N51" s="100">
        <v>0</v>
      </c>
      <c r="O51" s="100">
        <v>1</v>
      </c>
      <c r="P51" s="100"/>
      <c r="Q51" s="100"/>
      <c r="S51" s="101">
        <f t="shared" si="13"/>
        <v>1</v>
      </c>
    </row>
    <row r="52" spans="2:20" x14ac:dyDescent="0.3">
      <c r="B52" s="69" t="s">
        <v>127</v>
      </c>
      <c r="C52" s="103">
        <f t="shared" si="14"/>
        <v>0</v>
      </c>
      <c r="D52" s="103">
        <f t="shared" si="15"/>
        <v>22246.209769716035</v>
      </c>
      <c r="E52" s="103">
        <f t="shared" si="16"/>
        <v>48051.813102586639</v>
      </c>
      <c r="F52" s="103">
        <f t="shared" si="17"/>
        <v>24025.906551293319</v>
      </c>
      <c r="G52" s="88">
        <f t="shared" si="18"/>
        <v>94323.929423595997</v>
      </c>
      <c r="J52" s="38" t="str">
        <f t="shared" si="12"/>
        <v>Targeted Greenhouse</v>
      </c>
      <c r="L52" s="62"/>
      <c r="N52" s="100"/>
      <c r="O52" s="100"/>
      <c r="S52" s="101"/>
    </row>
    <row r="53" spans="2:20" x14ac:dyDescent="0.3">
      <c r="B53" s="104" t="s">
        <v>128</v>
      </c>
      <c r="C53" s="105">
        <f t="shared" si="14"/>
        <v>0</v>
      </c>
      <c r="D53" s="105">
        <f t="shared" si="15"/>
        <v>12902.801666435302</v>
      </c>
      <c r="E53" s="105">
        <f t="shared" si="16"/>
        <v>85425.445515709594</v>
      </c>
      <c r="F53" s="105">
        <f t="shared" si="17"/>
        <v>42712.722757854797</v>
      </c>
      <c r="G53" s="88">
        <f t="shared" si="18"/>
        <v>141040.96993999969</v>
      </c>
      <c r="J53" s="38" t="str">
        <f t="shared" si="12"/>
        <v>Local Initiatives</v>
      </c>
      <c r="L53" s="62"/>
      <c r="S53" s="101"/>
    </row>
    <row r="54" spans="2:20" x14ac:dyDescent="0.3">
      <c r="B54" s="69" t="s">
        <v>130</v>
      </c>
      <c r="C54" s="103">
        <f t="shared" si="14"/>
        <v>0</v>
      </c>
      <c r="D54" s="103">
        <f t="shared" si="15"/>
        <v>73412.492240062929</v>
      </c>
      <c r="E54" s="103">
        <f t="shared" si="16"/>
        <v>146824.98448012586</v>
      </c>
      <c r="F54" s="103">
        <f t="shared" si="17"/>
        <v>73412.492240062929</v>
      </c>
      <c r="G54" s="88">
        <f t="shared" si="18"/>
        <v>293649.96896025172</v>
      </c>
      <c r="J54" s="38" t="str">
        <f t="shared" si="12"/>
        <v>Residential Demand Response</v>
      </c>
      <c r="L54" s="62"/>
      <c r="S54" s="101"/>
    </row>
    <row r="55" spans="2:20" x14ac:dyDescent="0.3">
      <c r="B55" s="104" t="s">
        <v>131</v>
      </c>
      <c r="C55" s="105">
        <f t="shared" si="14"/>
        <v>0</v>
      </c>
      <c r="D55" s="105">
        <f t="shared" si="15"/>
        <v>0</v>
      </c>
      <c r="E55" s="105">
        <f t="shared" si="16"/>
        <v>0</v>
      </c>
      <c r="F55" s="105">
        <f t="shared" si="17"/>
        <v>0</v>
      </c>
      <c r="G55" s="88">
        <f t="shared" si="18"/>
        <v>0</v>
      </c>
      <c r="J55" s="38" t="str">
        <f t="shared" si="12"/>
        <v>Energy Affordability Program</v>
      </c>
      <c r="L55" s="62"/>
      <c r="M55" s="106">
        <v>1</v>
      </c>
      <c r="S55" s="101">
        <f t="shared" si="13"/>
        <v>1</v>
      </c>
    </row>
    <row r="56" spans="2:20" x14ac:dyDescent="0.3">
      <c r="B56" s="69" t="s">
        <v>132</v>
      </c>
      <c r="C56" s="103">
        <f t="shared" si="14"/>
        <v>0</v>
      </c>
      <c r="D56" s="103">
        <f t="shared" si="15"/>
        <v>0</v>
      </c>
      <c r="E56" s="103">
        <f t="shared" si="16"/>
        <v>0</v>
      </c>
      <c r="F56" s="103">
        <f t="shared" si="17"/>
        <v>0</v>
      </c>
      <c r="G56" s="88">
        <f t="shared" si="18"/>
        <v>0</v>
      </c>
      <c r="J56" s="38" t="str">
        <f t="shared" si="12"/>
        <v>First Nations Program</v>
      </c>
      <c r="L56" s="62"/>
      <c r="S56" s="81"/>
    </row>
    <row r="57" spans="2:20" x14ac:dyDescent="0.3">
      <c r="B57" s="104" t="s">
        <v>133</v>
      </c>
      <c r="C57" s="105">
        <f t="shared" si="14"/>
        <v>0</v>
      </c>
      <c r="D57" s="105">
        <f t="shared" si="15"/>
        <v>0</v>
      </c>
      <c r="E57" s="105">
        <f t="shared" si="16"/>
        <v>0</v>
      </c>
      <c r="F57" s="105">
        <f t="shared" si="17"/>
        <v>0</v>
      </c>
      <c r="G57" s="88">
        <f t="shared" si="18"/>
        <v>0</v>
      </c>
      <c r="L57" s="94"/>
      <c r="M57" s="107"/>
      <c r="N57" s="107"/>
      <c r="O57" s="107"/>
      <c r="P57" s="107"/>
      <c r="Q57" s="107"/>
      <c r="R57" s="107"/>
      <c r="S57" s="108"/>
    </row>
    <row r="58" spans="2:20" x14ac:dyDescent="0.3">
      <c r="B58" s="69" t="s">
        <v>134</v>
      </c>
      <c r="C58" s="103"/>
      <c r="D58" s="103">
        <f t="shared" si="15"/>
        <v>30771.532954788483</v>
      </c>
      <c r="E58" s="103">
        <f t="shared" si="16"/>
        <v>121830.15088222378</v>
      </c>
      <c r="F58" s="103">
        <f t="shared" si="17"/>
        <v>60915.075441111891</v>
      </c>
      <c r="G58" s="88">
        <f t="shared" si="18"/>
        <v>213516.75927812417</v>
      </c>
      <c r="L58" s="58"/>
      <c r="M58" s="59"/>
      <c r="N58" s="59"/>
      <c r="O58" s="59"/>
      <c r="P58" s="59"/>
      <c r="Q58" s="59"/>
      <c r="R58" s="59"/>
      <c r="S58" s="98"/>
    </row>
    <row r="59" spans="2:20" x14ac:dyDescent="0.3">
      <c r="B59" s="104" t="s">
        <v>136</v>
      </c>
      <c r="C59" s="105"/>
      <c r="D59" s="105">
        <f t="shared" si="15"/>
        <v>0</v>
      </c>
      <c r="E59" s="105">
        <f t="shared" si="16"/>
        <v>0</v>
      </c>
      <c r="F59" s="105">
        <f t="shared" si="17"/>
        <v>0</v>
      </c>
      <c r="G59" s="88">
        <f t="shared" si="18"/>
        <v>0</v>
      </c>
      <c r="L59" s="62"/>
      <c r="S59" s="81"/>
    </row>
    <row r="60" spans="2:20" x14ac:dyDescent="0.3">
      <c r="B60" s="62"/>
      <c r="G60" s="81"/>
      <c r="L60" s="62"/>
      <c r="M60" s="38" t="str">
        <f>M44</f>
        <v>Residential</v>
      </c>
      <c r="N60" s="38" t="str">
        <f>N44</f>
        <v>GS&lt; 50</v>
      </c>
      <c r="O60" s="38" t="str">
        <f>O44</f>
        <v>GS &gt; 50</v>
      </c>
      <c r="S60" s="81"/>
    </row>
    <row r="61" spans="2:20" x14ac:dyDescent="0.3">
      <c r="B61" s="62"/>
      <c r="C61" s="87">
        <f>SUM(C50:C57)</f>
        <v>0</v>
      </c>
      <c r="D61" s="87">
        <f>SUM(D50:D59)</f>
        <v>307959.30668545031</v>
      </c>
      <c r="E61" s="87">
        <f>SUM(E50:E59)</f>
        <v>958287.63822354679</v>
      </c>
      <c r="F61" s="87">
        <f>SUM(F50:F59)</f>
        <v>479143.81911177339</v>
      </c>
      <c r="G61" s="88">
        <f>SUM(G50:G60)</f>
        <v>1745390.7640207706</v>
      </c>
      <c r="J61" s="38" t="str">
        <f t="shared" ref="J61:J70" si="19">B50</f>
        <v>Retrofit</v>
      </c>
      <c r="L61" s="62"/>
      <c r="M61" s="87">
        <f t="shared" ref="M61:O66" si="20">M47*$G50</f>
        <v>0</v>
      </c>
      <c r="N61" s="87">
        <f t="shared" si="20"/>
        <v>133721.34403188954</v>
      </c>
      <c r="O61" s="87">
        <f t="shared" si="20"/>
        <v>773479.09037713043</v>
      </c>
      <c r="P61" s="87"/>
      <c r="Q61" s="87"/>
      <c r="S61" s="88">
        <f>SUM(M61:Q61)</f>
        <v>907200.43440902</v>
      </c>
    </row>
    <row r="62" spans="2:20" x14ac:dyDescent="0.3">
      <c r="B62" s="94"/>
      <c r="C62" s="107"/>
      <c r="D62" s="107"/>
      <c r="E62" s="107"/>
      <c r="F62" s="107"/>
      <c r="G62" s="108"/>
      <c r="J62" s="38" t="str">
        <f t="shared" si="19"/>
        <v>Small Business</v>
      </c>
      <c r="L62" s="62"/>
      <c r="M62" s="87">
        <f t="shared" si="20"/>
        <v>0</v>
      </c>
      <c r="N62" s="87">
        <f t="shared" si="20"/>
        <v>95658.702009778965</v>
      </c>
      <c r="O62" s="87">
        <f t="shared" si="20"/>
        <v>0</v>
      </c>
      <c r="P62" s="87"/>
      <c r="Q62" s="87"/>
      <c r="S62" s="88">
        <f t="shared" ref="S62:S70" si="21">SUM(M62:Q62)</f>
        <v>95658.702009778965</v>
      </c>
    </row>
    <row r="63" spans="2:20" x14ac:dyDescent="0.3">
      <c r="J63" s="38" t="str">
        <f t="shared" si="19"/>
        <v xml:space="preserve">Energy Performance </v>
      </c>
      <c r="L63" s="62"/>
      <c r="M63" s="87">
        <f t="shared" si="20"/>
        <v>0</v>
      </c>
      <c r="N63" s="87">
        <f t="shared" si="20"/>
        <v>0</v>
      </c>
      <c r="O63" s="87">
        <f t="shared" si="20"/>
        <v>94323.929423595997</v>
      </c>
      <c r="P63" s="87"/>
      <c r="Q63" s="87"/>
      <c r="S63" s="88">
        <f t="shared" si="21"/>
        <v>94323.929423595997</v>
      </c>
    </row>
    <row r="64" spans="2:20" x14ac:dyDescent="0.3">
      <c r="J64" s="38" t="str">
        <f t="shared" si="19"/>
        <v>Energy Management</v>
      </c>
      <c r="L64" s="62"/>
      <c r="M64" s="87">
        <f t="shared" si="20"/>
        <v>0</v>
      </c>
      <c r="N64" s="87">
        <f t="shared" si="20"/>
        <v>0</v>
      </c>
      <c r="O64" s="87">
        <f t="shared" si="20"/>
        <v>141040.96993999969</v>
      </c>
      <c r="P64" s="87"/>
      <c r="Q64" s="87"/>
      <c r="S64" s="88">
        <f t="shared" si="21"/>
        <v>141040.96993999969</v>
      </c>
    </row>
    <row r="65" spans="3:19" x14ac:dyDescent="0.3">
      <c r="J65" s="38" t="str">
        <f t="shared" si="19"/>
        <v>Industrial Energy Efficiency</v>
      </c>
      <c r="L65" s="62"/>
      <c r="M65" s="87">
        <f t="shared" si="20"/>
        <v>0</v>
      </c>
      <c r="N65" s="87">
        <f t="shared" si="20"/>
        <v>0</v>
      </c>
      <c r="O65" s="87">
        <f t="shared" si="20"/>
        <v>293649.96896025172</v>
      </c>
      <c r="P65" s="87"/>
      <c r="Q65" s="87"/>
      <c r="S65" s="88">
        <f t="shared" si="21"/>
        <v>293649.96896025172</v>
      </c>
    </row>
    <row r="66" spans="3:19" x14ac:dyDescent="0.3">
      <c r="J66" s="38" t="str">
        <f t="shared" si="19"/>
        <v>Targeted Greenhouse</v>
      </c>
      <c r="L66" s="62"/>
      <c r="M66" s="87">
        <f t="shared" si="20"/>
        <v>0</v>
      </c>
      <c r="N66" s="87">
        <f t="shared" si="20"/>
        <v>0</v>
      </c>
      <c r="O66" s="87">
        <f t="shared" si="20"/>
        <v>0</v>
      </c>
      <c r="P66" s="87"/>
      <c r="Q66" s="87"/>
      <c r="S66" s="88">
        <f t="shared" si="21"/>
        <v>0</v>
      </c>
    </row>
    <row r="67" spans="3:19" x14ac:dyDescent="0.3">
      <c r="J67" s="38" t="str">
        <f t="shared" si="19"/>
        <v>Local Initiatives</v>
      </c>
      <c r="L67" s="62"/>
      <c r="M67" s="87">
        <f t="shared" ref="M67:O68" si="22">M55*$G56</f>
        <v>0</v>
      </c>
      <c r="N67" s="87">
        <f t="shared" si="22"/>
        <v>0</v>
      </c>
      <c r="O67" s="87">
        <f t="shared" si="22"/>
        <v>0</v>
      </c>
      <c r="P67" s="87"/>
      <c r="Q67" s="87"/>
      <c r="S67" s="88">
        <f t="shared" si="21"/>
        <v>0</v>
      </c>
    </row>
    <row r="68" spans="3:19" x14ac:dyDescent="0.3">
      <c r="C68" s="109"/>
      <c r="D68" s="109"/>
      <c r="E68" s="84"/>
      <c r="F68" s="84"/>
      <c r="J68" s="38" t="str">
        <f t="shared" si="19"/>
        <v>Residential Demand Response</v>
      </c>
      <c r="L68" s="62"/>
      <c r="M68" s="87">
        <f t="shared" si="22"/>
        <v>0</v>
      </c>
      <c r="N68" s="87">
        <f t="shared" si="22"/>
        <v>0</v>
      </c>
      <c r="O68" s="87">
        <f t="shared" si="22"/>
        <v>0</v>
      </c>
      <c r="P68" s="87"/>
      <c r="Q68" s="87"/>
      <c r="S68" s="88">
        <f t="shared" si="21"/>
        <v>0</v>
      </c>
    </row>
    <row r="69" spans="3:19" x14ac:dyDescent="0.3">
      <c r="C69" s="109"/>
      <c r="D69" s="109"/>
      <c r="E69" s="84"/>
      <c r="J69" s="38" t="str">
        <f t="shared" si="19"/>
        <v>Energy Affordability Program</v>
      </c>
      <c r="L69" s="62"/>
      <c r="M69" s="87">
        <f t="shared" ref="M69:O70" si="23">M55*$G58</f>
        <v>213516.75927812417</v>
      </c>
      <c r="N69" s="87">
        <f t="shared" si="23"/>
        <v>0</v>
      </c>
      <c r="O69" s="87">
        <f t="shared" si="23"/>
        <v>0</v>
      </c>
      <c r="P69" s="87"/>
      <c r="Q69" s="87"/>
      <c r="S69" s="88">
        <f t="shared" si="21"/>
        <v>213516.75927812417</v>
      </c>
    </row>
    <row r="70" spans="3:19" x14ac:dyDescent="0.3">
      <c r="C70" s="109"/>
      <c r="D70" s="109"/>
      <c r="E70" s="84"/>
      <c r="J70" s="38" t="str">
        <f t="shared" si="19"/>
        <v>First Nations Program</v>
      </c>
      <c r="L70" s="62"/>
      <c r="M70" s="87">
        <f t="shared" si="23"/>
        <v>0</v>
      </c>
      <c r="N70" s="87">
        <f t="shared" si="23"/>
        <v>0</v>
      </c>
      <c r="O70" s="87">
        <f t="shared" si="23"/>
        <v>0</v>
      </c>
      <c r="P70" s="87"/>
      <c r="Q70" s="87"/>
      <c r="S70" s="88">
        <f t="shared" si="21"/>
        <v>0</v>
      </c>
    </row>
    <row r="71" spans="3:19" x14ac:dyDescent="0.3">
      <c r="C71" s="109"/>
      <c r="D71" s="109"/>
      <c r="E71" s="84"/>
      <c r="L71" s="62"/>
      <c r="M71" s="87"/>
      <c r="N71" s="87"/>
      <c r="O71" s="87"/>
      <c r="S71" s="81"/>
    </row>
    <row r="72" spans="3:19" x14ac:dyDescent="0.3">
      <c r="C72" s="109"/>
      <c r="D72" s="109"/>
      <c r="E72" s="84"/>
      <c r="L72" s="62"/>
      <c r="M72" s="87">
        <f>SUM(M61:M70)</f>
        <v>213516.75927812417</v>
      </c>
      <c r="N72" s="87">
        <f>SUM(N61:N70)</f>
        <v>229380.04604166851</v>
      </c>
      <c r="O72" s="87">
        <f>SUM(O61:O70)</f>
        <v>1302493.9587009777</v>
      </c>
      <c r="P72" s="87"/>
      <c r="Q72" s="87"/>
      <c r="S72" s="88">
        <f>SUM(M72:Q72)</f>
        <v>1745390.7640207703</v>
      </c>
    </row>
    <row r="73" spans="3:19" x14ac:dyDescent="0.3">
      <c r="C73" s="109"/>
      <c r="D73" s="109"/>
      <c r="E73" s="84"/>
      <c r="F73" s="84"/>
      <c r="L73" s="94"/>
      <c r="M73" s="110"/>
      <c r="N73" s="110"/>
      <c r="O73" s="110"/>
      <c r="P73" s="107"/>
      <c r="Q73" s="107"/>
      <c r="R73" s="107"/>
      <c r="S73" s="108"/>
    </row>
    <row r="74" spans="3:19" x14ac:dyDescent="0.3">
      <c r="C74" s="109"/>
      <c r="D74" s="109"/>
      <c r="E74" s="111"/>
      <c r="M74" s="87"/>
      <c r="N74" s="87"/>
      <c r="O74" s="87"/>
    </row>
    <row r="75" spans="3:19" ht="14.5" x14ac:dyDescent="0.35">
      <c r="C75" s="112"/>
      <c r="D75" s="113"/>
      <c r="E75" s="84"/>
      <c r="M75" s="87"/>
      <c r="N75" s="87"/>
      <c r="O75" s="87"/>
    </row>
    <row r="76" spans="3:19" x14ac:dyDescent="0.3">
      <c r="C76" s="113"/>
      <c r="D76" s="113"/>
      <c r="E76" s="84"/>
      <c r="M76" s="87"/>
      <c r="N76" s="87"/>
      <c r="O76" s="87"/>
    </row>
    <row r="77" spans="3:19" x14ac:dyDescent="0.3">
      <c r="C77" s="113"/>
      <c r="D77" s="113"/>
      <c r="E77" s="84"/>
      <c r="M77" s="114"/>
      <c r="N77" s="114"/>
      <c r="O77" s="114"/>
      <c r="P77" s="114"/>
    </row>
    <row r="78" spans="3:19" x14ac:dyDescent="0.3">
      <c r="N78" s="113"/>
      <c r="O78" s="113"/>
      <c r="P78" s="113"/>
    </row>
    <row r="101" spans="4:6" x14ac:dyDescent="0.3">
      <c r="D101" s="113"/>
      <c r="E101" s="113"/>
      <c r="F101" s="84"/>
    </row>
    <row r="102" spans="4:6" x14ac:dyDescent="0.3">
      <c r="D102" s="113"/>
      <c r="E102" s="113"/>
      <c r="F102" s="84"/>
    </row>
    <row r="103" spans="4:6" x14ac:dyDescent="0.3">
      <c r="D103" s="113"/>
      <c r="E103" s="113"/>
      <c r="F103" s="84"/>
    </row>
    <row r="117" spans="13:16" x14ac:dyDescent="0.3">
      <c r="M117" s="87"/>
      <c r="N117" s="87"/>
      <c r="O117" s="87"/>
      <c r="P117" s="87"/>
    </row>
    <row r="118" spans="13:16" x14ac:dyDescent="0.3">
      <c r="M118" s="87"/>
      <c r="N118" s="87"/>
      <c r="O118" s="87"/>
      <c r="P118" s="87"/>
    </row>
    <row r="119" spans="13:16" x14ac:dyDescent="0.3">
      <c r="M119" s="87"/>
      <c r="N119" s="87"/>
      <c r="O119" s="87"/>
      <c r="P119" s="87"/>
    </row>
    <row r="120" spans="13:16" x14ac:dyDescent="0.3">
      <c r="M120" s="87"/>
      <c r="N120" s="87"/>
      <c r="O120" s="87"/>
      <c r="P120" s="87"/>
    </row>
    <row r="121" spans="13:16" x14ac:dyDescent="0.3">
      <c r="M121" s="87"/>
      <c r="N121" s="87"/>
      <c r="O121" s="87"/>
      <c r="P121" s="87"/>
    </row>
    <row r="122" spans="13:16" x14ac:dyDescent="0.3">
      <c r="M122" s="87"/>
      <c r="N122" s="87"/>
      <c r="O122" s="87"/>
      <c r="P122" s="87"/>
    </row>
    <row r="123" spans="13:16" x14ac:dyDescent="0.3">
      <c r="M123" s="87"/>
      <c r="N123" s="87"/>
      <c r="O123" s="87"/>
      <c r="P123" s="87"/>
    </row>
    <row r="124" spans="13:16" x14ac:dyDescent="0.3">
      <c r="M124" s="87"/>
      <c r="N124" s="87"/>
      <c r="O124" s="87"/>
    </row>
    <row r="125" spans="13:16" x14ac:dyDescent="0.3">
      <c r="M125" s="87"/>
      <c r="N125" s="87"/>
      <c r="O125" s="87"/>
      <c r="P125" s="87"/>
    </row>
    <row r="126" spans="13:16" x14ac:dyDescent="0.3">
      <c r="M126" s="87"/>
      <c r="N126" s="87"/>
      <c r="O126" s="87"/>
    </row>
    <row r="127" spans="13:16" x14ac:dyDescent="0.3">
      <c r="M127" s="87"/>
      <c r="N127" s="87"/>
      <c r="O127" s="8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2AF2-D973-48C5-9B02-977BD234555C}">
  <sheetPr codeName="Sheet20"/>
  <dimension ref="B1:X28"/>
  <sheetViews>
    <sheetView topLeftCell="F1" workbookViewId="0">
      <selection activeCell="G27" sqref="G27"/>
    </sheetView>
  </sheetViews>
  <sheetFormatPr defaultRowHeight="14.5" x14ac:dyDescent="0.35"/>
  <cols>
    <col min="1" max="1" width="8.7265625" style="115"/>
    <col min="2" max="2" width="13.54296875" style="115" bestFit="1" customWidth="1"/>
    <col min="3" max="3" width="14.7265625" style="115" bestFit="1" customWidth="1"/>
    <col min="4" max="4" width="11.54296875" style="115" bestFit="1" customWidth="1"/>
    <col min="5" max="6" width="14.7265625" style="115" bestFit="1" customWidth="1"/>
    <col min="7" max="8" width="14.7265625" style="115" customWidth="1"/>
    <col min="9" max="9" width="14.7265625" style="115" bestFit="1" customWidth="1"/>
    <col min="10" max="10" width="12.1796875" style="115" customWidth="1"/>
    <col min="11" max="11" width="14.7265625" style="115" bestFit="1" customWidth="1"/>
    <col min="12" max="12" width="14.7265625" style="115" customWidth="1"/>
    <col min="13" max="13" width="10.08984375" style="115" bestFit="1" customWidth="1"/>
    <col min="14" max="14" width="11.453125" style="115" customWidth="1"/>
    <col min="15" max="15" width="10.26953125" style="115" bestFit="1" customWidth="1"/>
    <col min="16" max="18" width="7.6328125" style="115" bestFit="1" customWidth="1"/>
    <col min="19" max="19" width="12.54296875" style="115" customWidth="1"/>
    <col min="20" max="22" width="12.7265625" style="115" bestFit="1" customWidth="1"/>
    <col min="23" max="24" width="13.81640625" style="115" bestFit="1" customWidth="1"/>
    <col min="25" max="16384" width="8.7265625" style="115"/>
  </cols>
  <sheetData>
    <row r="1" spans="2:24" ht="15" thickBot="1" x14ac:dyDescent="0.4"/>
    <row r="2" spans="2:24" x14ac:dyDescent="0.35">
      <c r="B2" s="464"/>
      <c r="C2" s="465"/>
      <c r="D2" s="465"/>
      <c r="E2" s="465"/>
      <c r="F2" s="465"/>
      <c r="G2" s="465"/>
      <c r="H2" s="465"/>
      <c r="I2" s="465"/>
      <c r="J2" s="465"/>
      <c r="K2" s="466"/>
    </row>
    <row r="3" spans="2:24" x14ac:dyDescent="0.35">
      <c r="B3" s="461" t="s">
        <v>172</v>
      </c>
      <c r="C3" s="462"/>
      <c r="D3" s="462"/>
      <c r="E3" s="462"/>
      <c r="F3" s="462"/>
      <c r="G3" s="462"/>
      <c r="H3" s="462"/>
      <c r="I3" s="462"/>
      <c r="J3" s="462"/>
      <c r="K3" s="463"/>
    </row>
    <row r="4" spans="2:24" x14ac:dyDescent="0.35">
      <c r="B4" s="469" t="s">
        <v>154</v>
      </c>
      <c r="C4" s="470">
        <v>2023</v>
      </c>
      <c r="D4" s="471"/>
      <c r="E4" s="472"/>
      <c r="F4" s="470">
        <v>2024</v>
      </c>
      <c r="G4" s="471"/>
      <c r="H4" s="472"/>
      <c r="I4" s="473">
        <v>2025</v>
      </c>
      <c r="J4" s="474"/>
      <c r="K4" s="475"/>
      <c r="M4" s="115">
        <v>2024</v>
      </c>
      <c r="N4" s="115">
        <v>2025</v>
      </c>
    </row>
    <row r="5" spans="2:24" ht="28" x14ac:dyDescent="0.35">
      <c r="B5" s="469"/>
      <c r="C5" s="384" t="s">
        <v>117</v>
      </c>
      <c r="D5" s="385" t="s">
        <v>155</v>
      </c>
      <c r="E5" s="384" t="s">
        <v>156</v>
      </c>
      <c r="F5" s="384" t="s">
        <v>117</v>
      </c>
      <c r="G5" s="385" t="s">
        <v>155</v>
      </c>
      <c r="H5" s="384" t="s">
        <v>156</v>
      </c>
      <c r="I5" s="384" t="s">
        <v>117</v>
      </c>
      <c r="J5" s="385" t="s">
        <v>155</v>
      </c>
      <c r="K5" s="386" t="s">
        <v>156</v>
      </c>
    </row>
    <row r="6" spans="2:24" x14ac:dyDescent="0.35">
      <c r="B6" s="383"/>
      <c r="C6" s="387" t="s">
        <v>113</v>
      </c>
      <c r="D6" s="387" t="s">
        <v>114</v>
      </c>
      <c r="E6" s="387" t="s">
        <v>157</v>
      </c>
      <c r="F6" s="387" t="s">
        <v>158</v>
      </c>
      <c r="G6" s="387" t="s">
        <v>159</v>
      </c>
      <c r="H6" s="387" t="s">
        <v>160</v>
      </c>
      <c r="I6" s="387" t="s">
        <v>161</v>
      </c>
      <c r="J6" s="387" t="s">
        <v>162</v>
      </c>
      <c r="K6" s="388" t="s">
        <v>163</v>
      </c>
    </row>
    <row r="7" spans="2:24" x14ac:dyDescent="0.35">
      <c r="B7" s="116" t="s">
        <v>100</v>
      </c>
      <c r="C7" s="117">
        <f>'CDM Framework'!P36</f>
        <v>61543.065909576966</v>
      </c>
      <c r="D7" s="118"/>
      <c r="E7" s="119">
        <f t="shared" ref="E7:E12" si="0">C7*D7</f>
        <v>0</v>
      </c>
      <c r="F7" s="117">
        <f>'CDM Framework'!Q36</f>
        <v>121830.15088222378</v>
      </c>
      <c r="G7" s="423">
        <f>(1-F28)</f>
        <v>0.64743589743589736</v>
      </c>
      <c r="H7" s="119">
        <f>F7*G7</f>
        <v>78877.213071183331</v>
      </c>
      <c r="I7" s="117">
        <f>'CDM Framework'!R36</f>
        <v>121830.15088222378</v>
      </c>
      <c r="J7" s="120">
        <v>0.5</v>
      </c>
      <c r="K7" s="121">
        <f t="shared" ref="K7:K12" si="1">I7*J7</f>
        <v>60915.075441111891</v>
      </c>
      <c r="M7" s="122">
        <f>E7+H7</f>
        <v>78877.213071183331</v>
      </c>
      <c r="N7" s="122">
        <f>E7+F7+K7</f>
        <v>182745.22632333566</v>
      </c>
      <c r="O7" s="122"/>
      <c r="W7" s="122"/>
      <c r="X7" s="122"/>
    </row>
    <row r="8" spans="2:24" x14ac:dyDescent="0.35">
      <c r="B8" s="123" t="s">
        <v>102</v>
      </c>
      <c r="C8" s="117">
        <f>'CDM Framework'!P37</f>
        <v>64884.719171779056</v>
      </c>
      <c r="D8" s="118"/>
      <c r="E8" s="119">
        <f t="shared" si="0"/>
        <v>0</v>
      </c>
      <c r="F8" s="117">
        <f>'CDM Framework'!Q37</f>
        <v>131291.79097051933</v>
      </c>
      <c r="G8" s="423">
        <f>G7</f>
        <v>0.64743589743589736</v>
      </c>
      <c r="H8" s="119">
        <f>F8*G8</f>
        <v>85003.018512964423</v>
      </c>
      <c r="I8" s="117">
        <f>'CDM Framework'!R37</f>
        <v>131291.79097051933</v>
      </c>
      <c r="J8" s="120">
        <v>0.5</v>
      </c>
      <c r="K8" s="121">
        <f t="shared" si="1"/>
        <v>65645.895485259665</v>
      </c>
      <c r="M8" s="122">
        <f>E8+H8</f>
        <v>85003.018512964423</v>
      </c>
      <c r="N8" s="122">
        <f>E8+F8+K8</f>
        <v>196937.68645577901</v>
      </c>
      <c r="O8" s="122"/>
      <c r="W8" s="122"/>
      <c r="X8" s="122"/>
    </row>
    <row r="9" spans="2:24" x14ac:dyDescent="0.35">
      <c r="B9" s="116" t="s">
        <v>103</v>
      </c>
      <c r="C9" s="117">
        <f>'CDM Framework'!P38</f>
        <v>489490.82828954468</v>
      </c>
      <c r="D9" s="118"/>
      <c r="E9" s="119">
        <f t="shared" si="0"/>
        <v>0</v>
      </c>
      <c r="F9" s="117">
        <f>'CDM Framework'!Q38</f>
        <v>705165.69637080375</v>
      </c>
      <c r="G9" s="423">
        <f>G8</f>
        <v>0.64743589743589736</v>
      </c>
      <c r="H9" s="119">
        <f>F9*G9</f>
        <v>456549.58547084086</v>
      </c>
      <c r="I9" s="117">
        <f>'CDM Framework'!R38</f>
        <v>705165.69637080375</v>
      </c>
      <c r="J9" s="120">
        <v>0.5</v>
      </c>
      <c r="K9" s="121">
        <f t="shared" si="1"/>
        <v>352582.84818540188</v>
      </c>
      <c r="M9" s="122">
        <f>E9+H9</f>
        <v>456549.58547084086</v>
      </c>
      <c r="N9" s="122">
        <f>E9+F9+K9</f>
        <v>1057748.5445562056</v>
      </c>
      <c r="O9" s="122"/>
      <c r="W9" s="122"/>
      <c r="X9" s="122"/>
    </row>
    <row r="10" spans="2:24" x14ac:dyDescent="0.35">
      <c r="B10" s="123" t="s">
        <v>108</v>
      </c>
      <c r="C10" s="117"/>
      <c r="D10" s="118"/>
      <c r="E10" s="119">
        <f t="shared" si="0"/>
        <v>0</v>
      </c>
      <c r="F10" s="117"/>
      <c r="G10" s="423">
        <f>G9</f>
        <v>0.64743589743589736</v>
      </c>
      <c r="H10" s="119">
        <f>F10*G10</f>
        <v>0</v>
      </c>
      <c r="I10" s="117"/>
      <c r="J10" s="120">
        <v>0.5</v>
      </c>
      <c r="K10" s="121">
        <f t="shared" si="1"/>
        <v>0</v>
      </c>
    </row>
    <row r="11" spans="2:24" x14ac:dyDescent="0.35">
      <c r="B11" s="123" t="s">
        <v>105</v>
      </c>
      <c r="C11" s="117"/>
      <c r="D11" s="118"/>
      <c r="E11" s="119">
        <f t="shared" si="0"/>
        <v>0</v>
      </c>
      <c r="F11" s="117"/>
      <c r="G11" s="423">
        <f>G10</f>
        <v>0.64743589743589736</v>
      </c>
      <c r="H11" s="119">
        <f>F11*G11</f>
        <v>0</v>
      </c>
      <c r="I11" s="117"/>
      <c r="J11" s="120">
        <v>0.5</v>
      </c>
      <c r="K11" s="121">
        <f t="shared" si="1"/>
        <v>0</v>
      </c>
    </row>
    <row r="12" spans="2:24" ht="15" thickBot="1" x14ac:dyDescent="0.4">
      <c r="B12" s="389" t="s">
        <v>165</v>
      </c>
      <c r="C12" s="390">
        <f>SUM(C7:C11)</f>
        <v>615918.61337090074</v>
      </c>
      <c r="D12" s="391">
        <v>0.5</v>
      </c>
      <c r="E12" s="392">
        <f t="shared" si="0"/>
        <v>307959.30668545037</v>
      </c>
      <c r="F12" s="392">
        <f>SUM(F7:F11)</f>
        <v>958287.63822354679</v>
      </c>
      <c r="G12" s="392"/>
      <c r="H12" s="392"/>
      <c r="I12" s="392">
        <f>SUM(I7:I11)</f>
        <v>958287.63822354679</v>
      </c>
      <c r="J12" s="393">
        <v>0.5</v>
      </c>
      <c r="K12" s="394">
        <f t="shared" si="1"/>
        <v>479143.81911177339</v>
      </c>
    </row>
    <row r="13" spans="2:24" x14ac:dyDescent="0.35">
      <c r="B13" s="20"/>
      <c r="C13" s="20"/>
      <c r="D13" s="20"/>
      <c r="E13" s="20"/>
      <c r="F13" s="20"/>
      <c r="G13" s="20"/>
      <c r="H13" s="20"/>
      <c r="I13" s="20"/>
      <c r="J13" s="20"/>
      <c r="K13" s="20"/>
      <c r="L13" s="20"/>
    </row>
    <row r="15" spans="2:24" ht="15" thickBot="1" x14ac:dyDescent="0.4"/>
    <row r="16" spans="2:24" ht="15" thickBot="1" x14ac:dyDescent="0.4">
      <c r="B16" s="467" t="s">
        <v>173</v>
      </c>
      <c r="C16" s="468"/>
      <c r="D16" s="468"/>
      <c r="E16" s="468"/>
      <c r="F16" s="468"/>
      <c r="G16" s="468"/>
      <c r="H16" s="468"/>
      <c r="I16" s="468"/>
      <c r="J16" s="468"/>
      <c r="K16" s="468"/>
      <c r="L16" s="468"/>
    </row>
    <row r="17" spans="2:18" ht="14.5" customHeight="1" x14ac:dyDescent="0.35">
      <c r="B17" s="395" t="s">
        <v>154</v>
      </c>
      <c r="C17" s="458" t="s">
        <v>166</v>
      </c>
      <c r="D17" s="459"/>
      <c r="E17" s="459"/>
      <c r="F17" s="459"/>
      <c r="G17" s="460"/>
      <c r="H17" s="458" t="s">
        <v>167</v>
      </c>
      <c r="I17" s="459"/>
      <c r="J17" s="459"/>
      <c r="K17" s="459"/>
      <c r="L17" s="460"/>
    </row>
    <row r="18" spans="2:18" ht="29" x14ac:dyDescent="0.35">
      <c r="B18" s="396"/>
      <c r="C18" s="397" t="s">
        <v>168</v>
      </c>
      <c r="D18" s="398" t="s">
        <v>152</v>
      </c>
      <c r="E18" s="398" t="s">
        <v>169</v>
      </c>
      <c r="F18" s="398" t="s">
        <v>118</v>
      </c>
      <c r="G18" s="399" t="s">
        <v>152</v>
      </c>
      <c r="H18" s="397" t="s">
        <v>168</v>
      </c>
      <c r="I18" s="398" t="s">
        <v>152</v>
      </c>
      <c r="J18" s="398" t="s">
        <v>169</v>
      </c>
      <c r="K18" s="398" t="s">
        <v>118</v>
      </c>
      <c r="L18" s="399" t="s">
        <v>152</v>
      </c>
      <c r="N18" s="115">
        <f>M4</f>
        <v>2024</v>
      </c>
      <c r="O18" s="115">
        <f>N4</f>
        <v>2025</v>
      </c>
    </row>
    <row r="19" spans="2:18" x14ac:dyDescent="0.35">
      <c r="B19" s="396"/>
      <c r="C19" s="397" t="s">
        <v>113</v>
      </c>
      <c r="D19" s="398" t="s">
        <v>114</v>
      </c>
      <c r="E19" s="398" t="s">
        <v>170</v>
      </c>
      <c r="F19" s="398"/>
      <c r="G19" s="399" t="s">
        <v>171</v>
      </c>
      <c r="H19" s="397" t="s">
        <v>113</v>
      </c>
      <c r="I19" s="398" t="s">
        <v>114</v>
      </c>
      <c r="J19" s="398" t="s">
        <v>170</v>
      </c>
      <c r="K19" s="398"/>
      <c r="L19" s="399" t="s">
        <v>171</v>
      </c>
    </row>
    <row r="20" spans="2:18" x14ac:dyDescent="0.35">
      <c r="B20" s="124" t="s">
        <v>103</v>
      </c>
      <c r="C20" s="125">
        <f ca="1">'Normalized Annual Summary'!AG15</f>
        <v>57474896.950161465</v>
      </c>
      <c r="D20" s="126">
        <f>M9</f>
        <v>456549.58547084086</v>
      </c>
      <c r="E20" s="127">
        <f ca="1">D20/C20</f>
        <v>7.9434607054055494E-3</v>
      </c>
      <c r="F20" s="128">
        <f ca="1">'kW Forecast'!G25</f>
        <v>158718.05867832049</v>
      </c>
      <c r="G20" s="129">
        <f ca="1">E20*F20</f>
        <v>1260.770662349491</v>
      </c>
      <c r="H20" s="125">
        <f ca="1">'Normalized Annual Summary'!AG16</f>
        <v>57702437.563970186</v>
      </c>
      <c r="I20" s="126">
        <f>N9</f>
        <v>1057748.5445562056</v>
      </c>
      <c r="J20" s="127">
        <f ca="1">I20/H20</f>
        <v>1.8331089451525551E-2</v>
      </c>
      <c r="K20" s="128">
        <f ca="1">'kW Forecast'!G26</f>
        <v>159550.47254757799</v>
      </c>
      <c r="L20" s="129">
        <f ca="1">J20*K20</f>
        <v>2924.733984302824</v>
      </c>
      <c r="N20" s="130">
        <f ca="1">G20</f>
        <v>1260.770662349491</v>
      </c>
      <c r="O20" s="130">
        <f ca="1">L20</f>
        <v>2924.733984302824</v>
      </c>
      <c r="R20" s="130"/>
    </row>
    <row r="21" spans="2:18" x14ac:dyDescent="0.35">
      <c r="B21" s="131" t="s">
        <v>108</v>
      </c>
      <c r="C21" s="132">
        <f>'Normalized Annual Summary'!AM15</f>
        <v>491060.4</v>
      </c>
      <c r="D21" s="126">
        <f>T10</f>
        <v>0</v>
      </c>
      <c r="E21" s="127">
        <f>D21/C21</f>
        <v>0</v>
      </c>
      <c r="F21" s="133"/>
      <c r="G21" s="134"/>
      <c r="H21" s="132">
        <f>'Normalized Annual Summary'!AM16</f>
        <v>491060.4</v>
      </c>
      <c r="I21" s="126">
        <f>Y10</f>
        <v>0</v>
      </c>
      <c r="J21" s="127">
        <f>I21/H21</f>
        <v>0</v>
      </c>
      <c r="K21" s="133"/>
      <c r="L21" s="134"/>
    </row>
    <row r="22" spans="2:18" ht="15" thickBot="1" x14ac:dyDescent="0.4">
      <c r="B22" s="400" t="s">
        <v>165</v>
      </c>
      <c r="C22" s="401">
        <f t="shared" ref="C22:L22" ca="1" si="2">SUM(C20:C21)</f>
        <v>57965957.350161463</v>
      </c>
      <c r="D22" s="402">
        <f t="shared" si="2"/>
        <v>456549.58547084086</v>
      </c>
      <c r="E22" s="403">
        <f t="shared" ca="1" si="2"/>
        <v>7.9434607054055494E-3</v>
      </c>
      <c r="F22" s="404">
        <f t="shared" ca="1" si="2"/>
        <v>158718.05867832049</v>
      </c>
      <c r="G22" s="404">
        <f t="shared" ca="1" si="2"/>
        <v>1260.770662349491</v>
      </c>
      <c r="H22" s="401">
        <f t="shared" ca="1" si="2"/>
        <v>58193497.963970184</v>
      </c>
      <c r="I22" s="402">
        <f t="shared" si="2"/>
        <v>1057748.5445562056</v>
      </c>
      <c r="J22" s="403">
        <f t="shared" ca="1" si="2"/>
        <v>1.8331089451525551E-2</v>
      </c>
      <c r="K22" s="404">
        <f t="shared" ca="1" si="2"/>
        <v>159550.47254757799</v>
      </c>
      <c r="L22" s="404">
        <f t="shared" ca="1" si="2"/>
        <v>2924.733984302824</v>
      </c>
    </row>
    <row r="27" spans="2:18" x14ac:dyDescent="0.35">
      <c r="E27" s="115" t="s">
        <v>486</v>
      </c>
      <c r="F27" s="422">
        <f>(1+2+3+4+5+6+7+8+9+10+11+12)/156</f>
        <v>0.5</v>
      </c>
    </row>
    <row r="28" spans="2:18" x14ac:dyDescent="0.35">
      <c r="E28" s="115" t="s">
        <v>487</v>
      </c>
      <c r="F28" s="422">
        <f>(1+2+3+4+5+6+7+8+9+10)/156</f>
        <v>0.35256410256410259</v>
      </c>
    </row>
  </sheetData>
  <mergeCells count="9">
    <mergeCell ref="C17:G17"/>
    <mergeCell ref="H17:L17"/>
    <mergeCell ref="B3:K3"/>
    <mergeCell ref="B2:K2"/>
    <mergeCell ref="B16:L16"/>
    <mergeCell ref="B4:B5"/>
    <mergeCell ref="C4:E4"/>
    <mergeCell ref="F4:H4"/>
    <mergeCell ref="I4:K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7B5D-7C53-49CF-95DE-404A642B8185}">
  <sheetPr codeName="Sheet21">
    <tabColor rgb="FFFF0000"/>
  </sheetPr>
  <dimension ref="B1:M47"/>
  <sheetViews>
    <sheetView tabSelected="1" workbookViewId="0">
      <selection activeCell="N19" sqref="N19"/>
    </sheetView>
  </sheetViews>
  <sheetFormatPr defaultRowHeight="14.5" x14ac:dyDescent="0.35"/>
  <cols>
    <col min="1" max="1" width="8.7265625" style="211"/>
    <col min="2" max="2" width="12.81640625" style="211" customWidth="1"/>
    <col min="3" max="3" width="12.453125" style="211" customWidth="1"/>
    <col min="4" max="4" width="11.1796875" style="211" customWidth="1"/>
    <col min="5" max="5" width="11.90625" style="211" customWidth="1"/>
    <col min="6" max="9" width="11.1796875" style="211" customWidth="1"/>
    <col min="10" max="10" width="13.08984375" style="211" customWidth="1"/>
    <col min="11" max="11" width="12.54296875" style="211" customWidth="1"/>
    <col min="12" max="12" width="12.7265625" style="211" customWidth="1"/>
    <col min="13" max="15" width="13" style="211" bestFit="1" customWidth="1"/>
    <col min="16" max="16384" width="8.7265625" style="211"/>
  </cols>
  <sheetData>
    <row r="1" spans="2:13" s="31" customFormat="1" ht="16" thickBot="1" x14ac:dyDescent="0.4">
      <c r="B1" s="201" t="s">
        <v>112</v>
      </c>
      <c r="C1" s="201"/>
    </row>
    <row r="2" spans="2:13" s="31" customFormat="1" ht="13" x14ac:dyDescent="0.3">
      <c r="B2" s="330" t="s">
        <v>117</v>
      </c>
      <c r="C2" s="331" t="s">
        <v>247</v>
      </c>
      <c r="D2" s="331" t="s">
        <v>248</v>
      </c>
      <c r="E2" s="331" t="s">
        <v>249</v>
      </c>
      <c r="F2" s="331" t="s">
        <v>250</v>
      </c>
      <c r="G2" s="331" t="s">
        <v>251</v>
      </c>
      <c r="H2" s="331" t="s">
        <v>252</v>
      </c>
      <c r="I2" s="331" t="s">
        <v>253</v>
      </c>
      <c r="J2" s="332" t="s">
        <v>254</v>
      </c>
      <c r="K2" s="331" t="s">
        <v>166</v>
      </c>
      <c r="L2" s="333" t="s">
        <v>167</v>
      </c>
    </row>
    <row r="3" spans="2:13" s="31" customFormat="1" ht="13" x14ac:dyDescent="0.3">
      <c r="B3" s="202" t="s">
        <v>100</v>
      </c>
      <c r="C3" s="32">
        <f ca="1">OFFSET('Normalized Annual Summary'!$C$8,COLUMN()-COLUMN($C$3),0)</f>
        <v>37483079.333000004</v>
      </c>
      <c r="D3" s="32">
        <f ca="1">OFFSET('Normalized Annual Summary'!$C$8,COLUMN()-COLUMN($C$3),0)</f>
        <v>38878731</v>
      </c>
      <c r="E3" s="32">
        <f ca="1">OFFSET('Normalized Annual Summary'!$C$8,COLUMN()-COLUMN($C$3),0)</f>
        <v>38802690</v>
      </c>
      <c r="F3" s="32">
        <f ca="1">OFFSET('Normalized Annual Summary'!$C$8,COLUMN()-COLUMN($C$3),0)</f>
        <v>40126980.999999993</v>
      </c>
      <c r="G3" s="32">
        <f ca="1">OFFSET('Normalized Annual Summary'!$C$8,COLUMN()-COLUMN($C$3),0)</f>
        <v>39104541</v>
      </c>
      <c r="H3" s="32">
        <f ca="1">OFFSET('Normalized Annual Summary'!$C$8,COLUMN()-COLUMN($C$3),0)</f>
        <v>39671263</v>
      </c>
      <c r="I3" s="32">
        <f ca="1">OFFSET('Normalized Annual Summary'!$C$8,COLUMN()-COLUMN($C$3),0)</f>
        <v>39128268.20000001</v>
      </c>
      <c r="J3" s="213">
        <f ca="1">'Normalized Annual Summary WN'!K14</f>
        <v>39876444.220132552</v>
      </c>
      <c r="K3" s="213">
        <f ca="1">OFFSET('Normalized Annual Summary'!$K$14,COLUMN()-COLUMN($J$3),0)</f>
        <v>39568614.187952287</v>
      </c>
      <c r="L3" s="205">
        <f ca="1">OFFSET('Normalized Annual Summary'!$K$14,COLUMN()-COLUMN($J$3),0)</f>
        <v>39768006.232786715</v>
      </c>
      <c r="M3" s="32"/>
    </row>
    <row r="4" spans="2:13" s="31" customFormat="1" ht="13" x14ac:dyDescent="0.3">
      <c r="B4" s="204" t="s">
        <v>102</v>
      </c>
      <c r="C4" s="32">
        <f ca="1">OFFSET('Normalized Annual Summary'!$N$8,COLUMN()-COLUMN($C$3),0)</f>
        <v>17706302.366</v>
      </c>
      <c r="D4" s="32">
        <f ca="1">OFFSET('Normalized Annual Summary'!$N$8,COLUMN()-COLUMN($C$3),0)</f>
        <v>17940823</v>
      </c>
      <c r="E4" s="32">
        <f ca="1">OFFSET('Normalized Annual Summary'!$N$8,COLUMN()-COLUMN($C$3),0)</f>
        <v>17709285.999999996</v>
      </c>
      <c r="F4" s="32">
        <f ca="1">OFFSET('Normalized Annual Summary'!$N$8,COLUMN()-COLUMN($C$3),0)</f>
        <v>16586732.999999998</v>
      </c>
      <c r="G4" s="32">
        <f ca="1">OFFSET('Normalized Annual Summary'!$N$8,COLUMN()-COLUMN($C$3),0)</f>
        <v>17080206</v>
      </c>
      <c r="H4" s="32">
        <f ca="1">OFFSET('Normalized Annual Summary'!$N$8,COLUMN()-COLUMN($C$3),0)</f>
        <v>17769474</v>
      </c>
      <c r="I4" s="32">
        <f ca="1">OFFSET('Normalized Annual Summary'!$N$8,COLUMN()-COLUMN($C$3),0)</f>
        <v>17511886.100000001</v>
      </c>
      <c r="J4" s="213">
        <f ca="1">'Normalized Annual Summary WN'!V14</f>
        <v>17767545.121249754</v>
      </c>
      <c r="K4" s="213">
        <f ca="1">OFFSET('Normalized Annual Summary'!$V$14,COLUMN()-COLUMN($J$3),0)</f>
        <v>17950594.765745975</v>
      </c>
      <c r="L4" s="205">
        <f ca="1">OFFSET('Normalized Annual Summary'!$V$14,COLUMN()-COLUMN($J$3),0)</f>
        <v>18400189.45355745</v>
      </c>
    </row>
    <row r="5" spans="2:13" s="31" customFormat="1" ht="13" x14ac:dyDescent="0.3">
      <c r="B5" s="204" t="s">
        <v>103</v>
      </c>
      <c r="C5" s="32">
        <f ca="1">OFFSET('Normalized Annual Summary'!$Y$8,COLUMN()-COLUMN($C$3),0)</f>
        <v>59958732.662860565</v>
      </c>
      <c r="D5" s="32">
        <f ca="1">OFFSET('Normalized Annual Summary'!$Y$8,COLUMN()-COLUMN($C$3),0)</f>
        <v>59526842.000000007</v>
      </c>
      <c r="E5" s="32">
        <f ca="1">OFFSET('Normalized Annual Summary'!$Y$8,COLUMN()-COLUMN($C$3),0)</f>
        <v>60254777</v>
      </c>
      <c r="F5" s="32">
        <f ca="1">OFFSET('Normalized Annual Summary'!$Y$8,COLUMN()-COLUMN($C$3),0)</f>
        <v>57599230</v>
      </c>
      <c r="G5" s="32">
        <f ca="1">OFFSET('Normalized Annual Summary'!$Y$8,COLUMN()-COLUMN($C$3),0)</f>
        <v>57309860.999999985</v>
      </c>
      <c r="H5" s="32">
        <f ca="1">OFFSET('Normalized Annual Summary'!$Y$8,COLUMN()-COLUMN($C$3),0)</f>
        <v>56933855</v>
      </c>
      <c r="I5" s="32">
        <f ca="1">OFFSET('Normalized Annual Summary'!$Y$8,COLUMN()-COLUMN($C$3),0)</f>
        <v>56007213.399999999</v>
      </c>
      <c r="J5" s="213">
        <f ca="1">'Normalized Annual Summary WN'!AG14</f>
        <v>56536592.634033322</v>
      </c>
      <c r="K5" s="213">
        <f ca="1">OFFSET('Normalized Annual Summary'!$AG$14,COLUMN()-COLUMN($J$3),0)</f>
        <v>57474896.950161465</v>
      </c>
      <c r="L5" s="205">
        <f ca="1">OFFSET('Normalized Annual Summary'!$AG$14,COLUMN()-COLUMN($J$3),0)</f>
        <v>57702437.563970186</v>
      </c>
    </row>
    <row r="6" spans="2:13" s="31" customFormat="1" ht="13" x14ac:dyDescent="0.3">
      <c r="B6" s="204" t="s">
        <v>108</v>
      </c>
      <c r="C6" s="32">
        <f ca="1">OFFSET('Normalized Annual Summary'!$AJ$8,COLUMN()-COLUMN($C$3),0)</f>
        <v>513973.00000000006</v>
      </c>
      <c r="D6" s="32">
        <f ca="1">OFFSET('Normalized Annual Summary'!$AJ$8,COLUMN()-COLUMN($C$3),0)</f>
        <v>517432.00000000006</v>
      </c>
      <c r="E6" s="32">
        <f ca="1">OFFSET('Normalized Annual Summary'!$AJ$8,COLUMN()-COLUMN($C$3),0)</f>
        <v>524449</v>
      </c>
      <c r="F6" s="32">
        <f ca="1">OFFSET('Normalized Annual Summary'!$AJ$8,COLUMN()-COLUMN($C$3),0)</f>
        <v>526417</v>
      </c>
      <c r="G6" s="32">
        <f ca="1">OFFSET('Normalized Annual Summary'!$AJ$8,COLUMN()-COLUMN($C$3),0)</f>
        <v>531088</v>
      </c>
      <c r="H6" s="32">
        <f ca="1">OFFSET('Normalized Annual Summary'!$AJ$8,COLUMN()-COLUMN($C$3),0)</f>
        <v>492971.99999999994</v>
      </c>
      <c r="I6" s="32">
        <f ca="1">OFFSET('Normalized Annual Summary'!$AJ$8,COLUMN()-COLUMN($C$3),0)</f>
        <v>491060.4</v>
      </c>
      <c r="J6" s="213">
        <f ca="1">OFFSET('Normalized Annual Summary'!$AM$14,COLUMN()-COLUMN($J$3),0)</f>
        <v>491060.4</v>
      </c>
      <c r="K6" s="213">
        <f ca="1">OFFSET('Normalized Annual Summary'!$AM$14,COLUMN()-COLUMN($J$3),0)</f>
        <v>491060.4</v>
      </c>
      <c r="L6" s="205">
        <f ca="1">OFFSET('Normalized Annual Summary'!$AM$14,COLUMN()-COLUMN($J$3),0)</f>
        <v>491060.4</v>
      </c>
    </row>
    <row r="7" spans="2:13" s="31" customFormat="1" ht="13" x14ac:dyDescent="0.3">
      <c r="B7" s="204" t="s">
        <v>105</v>
      </c>
      <c r="C7" s="32">
        <f ca="1">OFFSET('Normalized Annual Summary'!$AP$8,COLUMN()-COLUMN($C$3),0)</f>
        <v>164177.99999999997</v>
      </c>
      <c r="D7" s="32">
        <f ca="1">OFFSET('Normalized Annual Summary'!$AP$8,COLUMN()-COLUMN($C$3),0)</f>
        <v>164177.99999999997</v>
      </c>
      <c r="E7" s="32">
        <f ca="1">OFFSET('Normalized Annual Summary'!$AP$8,COLUMN()-COLUMN($C$3),0)</f>
        <v>164177.99999999997</v>
      </c>
      <c r="F7" s="32">
        <f ca="1">OFFSET('Normalized Annual Summary'!$AP$8,COLUMN()-COLUMN($C$3),0)</f>
        <v>164177.99999999997</v>
      </c>
      <c r="G7" s="32">
        <f ca="1">OFFSET('Normalized Annual Summary'!$AP$8,COLUMN()-COLUMN($C$3),0)</f>
        <v>164159</v>
      </c>
      <c r="H7" s="32">
        <f ca="1">OFFSET('Normalized Annual Summary'!$AP$8,COLUMN()-COLUMN($C$3),0)</f>
        <v>163953</v>
      </c>
      <c r="I7" s="32">
        <f ca="1">OFFSET('Normalized Annual Summary'!$AP$8,COLUMN()-COLUMN($C$3),0)</f>
        <v>163953</v>
      </c>
      <c r="J7" s="213">
        <f ca="1">OFFSET('Normalized Annual Summary'!$AS$14,COLUMN()-COLUMN($J$3),0)</f>
        <v>163953</v>
      </c>
      <c r="K7" s="213">
        <f ca="1">OFFSET('Normalized Annual Summary'!$AS$14,COLUMN()-COLUMN($J$3),0)</f>
        <v>163953</v>
      </c>
      <c r="L7" s="205">
        <f ca="1">OFFSET('Normalized Annual Summary'!$AS$14,COLUMN()-COLUMN($J$3),0)</f>
        <v>163953</v>
      </c>
    </row>
    <row r="8" spans="2:13" s="31" customFormat="1" ht="13.5" thickBot="1" x14ac:dyDescent="0.35">
      <c r="B8" s="334" t="s">
        <v>121</v>
      </c>
      <c r="C8" s="335">
        <f t="shared" ref="C8:L8" ca="1" si="0">SUM(C3:C7)</f>
        <v>115826265.36186057</v>
      </c>
      <c r="D8" s="335">
        <f t="shared" ca="1" si="0"/>
        <v>117028006</v>
      </c>
      <c r="E8" s="335">
        <f t="shared" ca="1" si="0"/>
        <v>117455380</v>
      </c>
      <c r="F8" s="335">
        <f t="shared" ca="1" si="0"/>
        <v>115003539</v>
      </c>
      <c r="G8" s="335">
        <f t="shared" ca="1" si="0"/>
        <v>114189854.99999999</v>
      </c>
      <c r="H8" s="335">
        <f t="shared" ca="1" si="0"/>
        <v>115031517</v>
      </c>
      <c r="I8" s="335">
        <f t="shared" ca="1" si="0"/>
        <v>113302381.10000002</v>
      </c>
      <c r="J8" s="336">
        <f t="shared" ca="1" si="0"/>
        <v>114835595.37541564</v>
      </c>
      <c r="K8" s="335">
        <f t="shared" ca="1" si="0"/>
        <v>115649119.30385974</v>
      </c>
      <c r="L8" s="337">
        <f t="shared" ca="1" si="0"/>
        <v>116525646.65031436</v>
      </c>
    </row>
    <row r="9" spans="2:13" s="31" customFormat="1" ht="12.5" x14ac:dyDescent="0.25"/>
    <row r="10" spans="2:13" s="31" customFormat="1" ht="16" thickBot="1" x14ac:dyDescent="0.4">
      <c r="B10" s="201" t="s">
        <v>255</v>
      </c>
      <c r="C10" s="201"/>
      <c r="G10" s="32"/>
      <c r="H10" s="32"/>
      <c r="I10" s="32"/>
      <c r="J10" s="32"/>
      <c r="K10" s="32"/>
      <c r="L10" s="32"/>
    </row>
    <row r="11" spans="2:13" s="31" customFormat="1" ht="55" customHeight="1" x14ac:dyDescent="0.25">
      <c r="B11" s="338" t="s">
        <v>117</v>
      </c>
      <c r="C11" s="339" t="s">
        <v>258</v>
      </c>
      <c r="D11" s="339" t="s">
        <v>256</v>
      </c>
      <c r="E11" s="340" t="s">
        <v>261</v>
      </c>
    </row>
    <row r="12" spans="2:13" s="31" customFormat="1" ht="13" x14ac:dyDescent="0.3">
      <c r="B12" s="202" t="str">
        <f>B3</f>
        <v>Residential</v>
      </c>
      <c r="C12" s="32">
        <f ca="1">L3</f>
        <v>39768006.232786715</v>
      </c>
      <c r="D12" s="32">
        <f>'CDM Adjustment'!N7</f>
        <v>182745.22632333566</v>
      </c>
      <c r="E12" s="203">
        <f ca="1">C12-D12</f>
        <v>39585261.006463379</v>
      </c>
      <c r="F12" s="206"/>
    </row>
    <row r="13" spans="2:13" s="31" customFormat="1" ht="13" x14ac:dyDescent="0.3">
      <c r="B13" s="204" t="str">
        <f>B4</f>
        <v>GS &lt; 50</v>
      </c>
      <c r="C13" s="32">
        <f ca="1">L4</f>
        <v>18400189.45355745</v>
      </c>
      <c r="D13" s="32">
        <f>'CDM Adjustment'!N8</f>
        <v>196937.68645577901</v>
      </c>
      <c r="E13" s="203">
        <f ca="1">C13-D13</f>
        <v>18203251.767101672</v>
      </c>
    </row>
    <row r="14" spans="2:13" s="31" customFormat="1" ht="13" x14ac:dyDescent="0.3">
      <c r="B14" s="204" t="str">
        <f>B5</f>
        <v>GS &gt; 50</v>
      </c>
      <c r="C14" s="32">
        <f ca="1">L5</f>
        <v>57702437.563970186</v>
      </c>
      <c r="D14" s="32">
        <f>'CDM Adjustment'!N9</f>
        <v>1057748.5445562056</v>
      </c>
      <c r="E14" s="203">
        <f ca="1">C14-D14</f>
        <v>56644689.019413978</v>
      </c>
    </row>
    <row r="15" spans="2:13" s="31" customFormat="1" ht="13" x14ac:dyDescent="0.3">
      <c r="B15" s="204" t="str">
        <f>B6</f>
        <v>Street Light</v>
      </c>
      <c r="C15" s="32">
        <f ca="1">L6</f>
        <v>491060.4</v>
      </c>
      <c r="D15" s="32"/>
      <c r="E15" s="203">
        <f t="shared" ref="E15:E16" ca="1" si="1">C15-D15</f>
        <v>491060.4</v>
      </c>
    </row>
    <row r="16" spans="2:13" s="31" customFormat="1" ht="13" x14ac:dyDescent="0.3">
      <c r="B16" s="204" t="str">
        <f>B7</f>
        <v>USL</v>
      </c>
      <c r="C16" s="32">
        <f ca="1">L7</f>
        <v>163953</v>
      </c>
      <c r="D16" s="32"/>
      <c r="E16" s="203">
        <f t="shared" ca="1" si="1"/>
        <v>163953</v>
      </c>
    </row>
    <row r="17" spans="2:12" s="31" customFormat="1" ht="13.5" thickBot="1" x14ac:dyDescent="0.35">
      <c r="B17" s="334" t="s">
        <v>121</v>
      </c>
      <c r="C17" s="335">
        <f ca="1">SUM(C12:C16)</f>
        <v>116525646.65031436</v>
      </c>
      <c r="D17" s="335">
        <f>SUM(D12:D16)</f>
        <v>1437431.4573353203</v>
      </c>
      <c r="E17" s="337">
        <f ca="1">SUM(E12:E16)</f>
        <v>115088215.19297904</v>
      </c>
      <c r="F17" s="209"/>
      <c r="G17" s="209"/>
      <c r="H17" s="323"/>
      <c r="I17" s="323"/>
      <c r="J17" s="323"/>
      <c r="K17" s="323"/>
    </row>
    <row r="18" spans="2:12" s="31" customFormat="1" ht="12.5" x14ac:dyDescent="0.25">
      <c r="G18" s="210"/>
    </row>
    <row r="19" spans="2:12" s="31" customFormat="1" ht="16" thickBot="1" x14ac:dyDescent="0.4">
      <c r="B19" s="201" t="s">
        <v>112</v>
      </c>
      <c r="C19" s="201"/>
    </row>
    <row r="20" spans="2:12" s="31" customFormat="1" ht="13" x14ac:dyDescent="0.3">
      <c r="B20" s="330" t="s">
        <v>118</v>
      </c>
      <c r="C20" s="331" t="s">
        <v>247</v>
      </c>
      <c r="D20" s="331" t="s">
        <v>248</v>
      </c>
      <c r="E20" s="331" t="s">
        <v>249</v>
      </c>
      <c r="F20" s="331" t="s">
        <v>250</v>
      </c>
      <c r="G20" s="331" t="s">
        <v>251</v>
      </c>
      <c r="H20" s="331" t="s">
        <v>252</v>
      </c>
      <c r="I20" s="331" t="s">
        <v>253</v>
      </c>
      <c r="J20" s="332" t="s">
        <v>254</v>
      </c>
      <c r="K20" s="331" t="s">
        <v>166</v>
      </c>
      <c r="L20" s="333" t="s">
        <v>167</v>
      </c>
    </row>
    <row r="21" spans="2:12" s="31" customFormat="1" ht="13" x14ac:dyDescent="0.3">
      <c r="B21" s="204" t="s">
        <v>103</v>
      </c>
      <c r="C21" s="32">
        <f ca="1">OFFSET('kW Forecast'!$D$9,COLUMN()-COLUMN($C$21),0)</f>
        <v>171235.85000000003</v>
      </c>
      <c r="D21" s="32">
        <f ca="1">OFFSET('kW Forecast'!$D$9,COLUMN()-COLUMN($C$21),0)</f>
        <v>183204.57</v>
      </c>
      <c r="E21" s="32">
        <f ca="1">OFFSET('kW Forecast'!$D$9,COLUMN()-COLUMN($C$21),0)</f>
        <v>171054.99999999997</v>
      </c>
      <c r="F21" s="32">
        <f ca="1">OFFSET('kW Forecast'!$D$9,COLUMN()-COLUMN($C$21),0)</f>
        <v>161087.01</v>
      </c>
      <c r="G21" s="32">
        <f ca="1">OFFSET('kW Forecast'!$D$9,COLUMN()-COLUMN($C$21),0)</f>
        <v>156226.97999999998</v>
      </c>
      <c r="H21" s="32">
        <f ca="1">OFFSET('kW Forecast'!$D$9,COLUMN()-COLUMN($C$21),0)</f>
        <v>155849</v>
      </c>
      <c r="I21" s="32">
        <f ca="1">OFFSET('kW Forecast'!$D$9,COLUMN()-COLUMN($C$21),0)</f>
        <v>151259.79</v>
      </c>
      <c r="J21" s="32">
        <f ca="1">OFFSET('kW Forecast'!$D$24,COLUMN()-COLUMN($J$21),0)</f>
        <v>156036.96420227061</v>
      </c>
      <c r="K21" s="32">
        <f ca="1">OFFSET('kW Forecast'!$D$24,COLUMN()-COLUMN($J$21),0)</f>
        <v>158626.61720690515</v>
      </c>
      <c r="L21" s="203">
        <f ca="1">OFFSET('kW Forecast'!$D$24,COLUMN()-COLUMN($J$21),0)</f>
        <v>159254.61307572696</v>
      </c>
    </row>
    <row r="22" spans="2:12" s="31" customFormat="1" ht="13" x14ac:dyDescent="0.3">
      <c r="B22" s="204" t="s">
        <v>108</v>
      </c>
      <c r="C22" s="32">
        <f ca="1">OFFSET('kW Forecast'!$K$9,COLUMN()-COLUMN($C$21),0)</f>
        <v>1392.24</v>
      </c>
      <c r="D22" s="32">
        <f ca="1">OFFSET('kW Forecast'!$K$9,COLUMN()-COLUMN($C$21),0)</f>
        <v>1421.0400000000002</v>
      </c>
      <c r="E22" s="32">
        <f ca="1">OFFSET('kW Forecast'!$K$9,COLUMN()-COLUMN($C$21),0)</f>
        <v>1463.0400000000002</v>
      </c>
      <c r="F22" s="32">
        <f ca="1">OFFSET('kW Forecast'!$K$9,COLUMN()-COLUMN($C$21),0)</f>
        <v>1500</v>
      </c>
      <c r="G22" s="32">
        <f ca="1">OFFSET('kW Forecast'!$K$9,COLUMN()-COLUMN($C$21),0)</f>
        <v>1532.0400000000002</v>
      </c>
      <c r="H22" s="32">
        <f ca="1">OFFSET('kW Forecast'!$K$9,COLUMN()-COLUMN($C$21),0)</f>
        <v>1517.0400000000002</v>
      </c>
      <c r="I22" s="32">
        <f ca="1">OFFSET('kW Forecast'!$K$9,COLUMN()-COLUMN($C$21),0)</f>
        <v>1424.76</v>
      </c>
      <c r="J22" s="32">
        <f ca="1">OFFSET('kW Forecast'!$K$24,COLUMN()-COLUMN($J$21),0)</f>
        <v>1463.8644806592338</v>
      </c>
      <c r="K22" s="32">
        <f ca="1">OFFSET('kW Forecast'!$K$24,COLUMN()-COLUMN($J$21),0)</f>
        <v>1467.9586831868749</v>
      </c>
      <c r="L22" s="203">
        <f ca="1">OFFSET('kW Forecast'!$K$24,COLUMN()-COLUMN($J$21),0)</f>
        <v>1467.9586831868749</v>
      </c>
    </row>
    <row r="23" spans="2:12" s="31" customFormat="1" ht="13.5" thickBot="1" x14ac:dyDescent="0.35">
      <c r="B23" s="334" t="s">
        <v>121</v>
      </c>
      <c r="C23" s="335">
        <f ca="1">SUM(C21:C22)</f>
        <v>172628.09000000003</v>
      </c>
      <c r="D23" s="335">
        <f t="shared" ref="D23:L23" ca="1" si="2">SUM(D21:D22)</f>
        <v>184625.61000000002</v>
      </c>
      <c r="E23" s="335">
        <f t="shared" ca="1" si="2"/>
        <v>172518.03999999998</v>
      </c>
      <c r="F23" s="335">
        <f t="shared" ca="1" si="2"/>
        <v>162587.01</v>
      </c>
      <c r="G23" s="335">
        <f t="shared" ca="1" si="2"/>
        <v>157759.01999999999</v>
      </c>
      <c r="H23" s="335">
        <f t="shared" ca="1" si="2"/>
        <v>157366.04</v>
      </c>
      <c r="I23" s="335">
        <f t="shared" ca="1" si="2"/>
        <v>152684.55000000002</v>
      </c>
      <c r="J23" s="335">
        <f t="shared" ca="1" si="2"/>
        <v>157500.82868292983</v>
      </c>
      <c r="K23" s="335">
        <f t="shared" ca="1" si="2"/>
        <v>160094.57589009203</v>
      </c>
      <c r="L23" s="337">
        <f t="shared" ca="1" si="2"/>
        <v>160722.57175891384</v>
      </c>
    </row>
    <row r="24" spans="2:12" s="31" customFormat="1" ht="12.5" x14ac:dyDescent="0.25"/>
    <row r="25" spans="2:12" s="31" customFormat="1" ht="16" thickBot="1" x14ac:dyDescent="0.4">
      <c r="B25" s="201" t="s">
        <v>255</v>
      </c>
      <c r="C25" s="201"/>
    </row>
    <row r="26" spans="2:12" s="31" customFormat="1" ht="52" x14ac:dyDescent="0.25">
      <c r="B26" s="338" t="s">
        <v>118</v>
      </c>
      <c r="C26" s="339" t="s">
        <v>258</v>
      </c>
      <c r="D26" s="339" t="s">
        <v>256</v>
      </c>
      <c r="E26" s="340" t="s">
        <v>261</v>
      </c>
    </row>
    <row r="27" spans="2:12" s="31" customFormat="1" ht="13" x14ac:dyDescent="0.3">
      <c r="B27" s="204" t="str">
        <f>B21</f>
        <v>GS &gt; 50</v>
      </c>
      <c r="C27" s="32">
        <f ca="1">L21</f>
        <v>159254.61307572696</v>
      </c>
      <c r="D27" s="32">
        <f ca="1">'CDM Adjustment'!O20</f>
        <v>2924.733984302824</v>
      </c>
      <c r="E27" s="203">
        <f ca="1">C27-D27</f>
        <v>156329.87909142414</v>
      </c>
    </row>
    <row r="28" spans="2:12" s="31" customFormat="1" ht="13" x14ac:dyDescent="0.3">
      <c r="B28" s="204" t="str">
        <f>B22</f>
        <v>Street Light</v>
      </c>
      <c r="C28" s="32">
        <f ca="1">L22</f>
        <v>1467.9586831868749</v>
      </c>
      <c r="D28" s="32"/>
      <c r="E28" s="203">
        <f ca="1">C28-D28</f>
        <v>1467.9586831868749</v>
      </c>
    </row>
    <row r="29" spans="2:12" s="31" customFormat="1" ht="13.5" thickBot="1" x14ac:dyDescent="0.35">
      <c r="B29" s="334" t="s">
        <v>121</v>
      </c>
      <c r="C29" s="335">
        <f ca="1">SUM(C27:C28)</f>
        <v>160722.57175891384</v>
      </c>
      <c r="D29" s="335">
        <f ca="1">SUM(D27:D28)</f>
        <v>2924.733984302824</v>
      </c>
      <c r="E29" s="337">
        <f ca="1">SUM(E27:E28)</f>
        <v>157797.83777461102</v>
      </c>
    </row>
    <row r="30" spans="2:12" s="31" customFormat="1" ht="12.5" x14ac:dyDescent="0.25"/>
    <row r="31" spans="2:12" s="31" customFormat="1" ht="16" thickBot="1" x14ac:dyDescent="0.4">
      <c r="B31" s="201" t="s">
        <v>257</v>
      </c>
      <c r="C31" s="201"/>
    </row>
    <row r="32" spans="2:12" s="31" customFormat="1" ht="13" x14ac:dyDescent="0.3">
      <c r="B32" s="330" t="s">
        <v>106</v>
      </c>
      <c r="C32" s="331" t="s">
        <v>247</v>
      </c>
      <c r="D32" s="331" t="s">
        <v>248</v>
      </c>
      <c r="E32" s="331" t="s">
        <v>249</v>
      </c>
      <c r="F32" s="331" t="s">
        <v>250</v>
      </c>
      <c r="G32" s="331" t="s">
        <v>251</v>
      </c>
      <c r="H32" s="331" t="s">
        <v>252</v>
      </c>
      <c r="I32" s="331" t="s">
        <v>253</v>
      </c>
      <c r="J32" s="332" t="s">
        <v>166</v>
      </c>
      <c r="K32" s="333" t="s">
        <v>167</v>
      </c>
    </row>
    <row r="33" spans="2:12" s="31" customFormat="1" ht="13" x14ac:dyDescent="0.3">
      <c r="B33" s="202" t="str">
        <f>B3</f>
        <v>Residential</v>
      </c>
      <c r="C33" s="32">
        <f ca="1">OFFSET('Customer Count'!$C$7,COLUMN()-COLUMN($C$33),0)</f>
        <v>5201.75</v>
      </c>
      <c r="D33" s="32">
        <f ca="1">OFFSET('Customer Count'!$C$7,COLUMN()-COLUMN($C$33),0)</f>
        <v>5157.25</v>
      </c>
      <c r="E33" s="32">
        <f ca="1">OFFSET('Customer Count'!$C$7,COLUMN()-COLUMN($C$33),0)</f>
        <v>5106.833333333333</v>
      </c>
      <c r="F33" s="32">
        <f ca="1">OFFSET('Customer Count'!$C$7,COLUMN()-COLUMN($C$33),0)</f>
        <v>5154.5</v>
      </c>
      <c r="G33" s="32">
        <f ca="1">OFFSET('Customer Count'!$C$7,COLUMN()-COLUMN($C$33),0)</f>
        <v>5165.916666666667</v>
      </c>
      <c r="H33" s="32">
        <f ca="1">OFFSET('Customer Count'!$C$7,COLUMN()-COLUMN($C$33),0)</f>
        <v>5161.083333333333</v>
      </c>
      <c r="I33" s="32">
        <f ca="1">OFFSET('Customer Count'!$C$7,COLUMN()-COLUMN($C$33),0)</f>
        <v>5194.166666666667</v>
      </c>
      <c r="J33" s="32">
        <f ca="1">OFFSET('Customer Count'!$C$18,COLUMN()-COLUMN($J$33),0)</f>
        <v>5182.4538256744681</v>
      </c>
      <c r="K33" s="205">
        <f ca="1">OFFSET('Customer Count'!$C$18,COLUMN()-COLUMN($J$33),0)</f>
        <v>5181.9975292897507</v>
      </c>
      <c r="L33" s="32"/>
    </row>
    <row r="34" spans="2:12" s="31" customFormat="1" ht="13" x14ac:dyDescent="0.3">
      <c r="B34" s="204" t="str">
        <f>B4</f>
        <v>GS &lt; 50</v>
      </c>
      <c r="C34" s="32">
        <f ca="1">OFFSET('Customer Count'!$G$7,COLUMN()-COLUMN($C$33),0)</f>
        <v>747.08333333333337</v>
      </c>
      <c r="D34" s="32">
        <f ca="1">OFFSET('Customer Count'!$G$7,COLUMN()-COLUMN($C$33),0)</f>
        <v>713.16666666666663</v>
      </c>
      <c r="E34" s="32">
        <f ca="1">OFFSET('Customer Count'!$G$7,COLUMN()-COLUMN($C$33),0)</f>
        <v>742.5</v>
      </c>
      <c r="F34" s="32">
        <f ca="1">OFFSET('Customer Count'!$G$7,COLUMN()-COLUMN($C$33),0)</f>
        <v>717.33333333333337</v>
      </c>
      <c r="G34" s="32">
        <f ca="1">OFFSET('Customer Count'!$G$7,COLUMN()-COLUMN($C$33),0)</f>
        <v>705.83333333333337</v>
      </c>
      <c r="H34" s="32">
        <f ca="1">OFFSET('Customer Count'!$G$7,COLUMN()-COLUMN($C$33),0)</f>
        <v>712.16666666666663</v>
      </c>
      <c r="I34" s="32">
        <f ca="1">OFFSET('Customer Count'!$G$7,COLUMN()-COLUMN($C$33),0)</f>
        <v>715.91666666666663</v>
      </c>
      <c r="J34" s="32">
        <f ca="1">OFFSET('Customer Count'!$G$18,COLUMN()-COLUMN($J$34),0)</f>
        <v>714.87066563010728</v>
      </c>
      <c r="K34" s="205">
        <f ca="1">OFFSET('Customer Count'!$G$18,COLUMN()-COLUMN($J$34),0)</f>
        <v>717.00480232140092</v>
      </c>
    </row>
    <row r="35" spans="2:12" s="31" customFormat="1" ht="13.5" customHeight="1" x14ac:dyDescent="0.3">
      <c r="B35" s="204" t="str">
        <f>B5</f>
        <v>GS &gt; 50</v>
      </c>
      <c r="C35" s="32">
        <f ca="1">OFFSET('Customer Count'!$K$7,COLUMN()-COLUMN($C$33),0)</f>
        <v>54</v>
      </c>
      <c r="D35" s="32">
        <f ca="1">OFFSET('Customer Count'!$K$7,COLUMN()-COLUMN($C$33),0)</f>
        <v>68.666666666666671</v>
      </c>
      <c r="E35" s="32">
        <f ca="1">OFFSET('Customer Count'!$K$7,COLUMN()-COLUMN($C$33),0)</f>
        <v>68.5</v>
      </c>
      <c r="F35" s="32">
        <f ca="1">OFFSET('Customer Count'!$K$7,COLUMN()-COLUMN($C$33),0)</f>
        <v>71.833333333333329</v>
      </c>
      <c r="G35" s="32">
        <f ca="1">OFFSET('Customer Count'!$K$7,COLUMN()-COLUMN($C$33),0)</f>
        <v>70.666666666666671</v>
      </c>
      <c r="H35" s="32">
        <f ca="1">OFFSET('Customer Count'!$K$7,COLUMN()-COLUMN($C$33),0)</f>
        <v>67.75</v>
      </c>
      <c r="I35" s="32">
        <f ca="1">OFFSET('Customer Count'!$K$7,COLUMN()-COLUMN($C$33),0)</f>
        <v>68.833333333333329</v>
      </c>
      <c r="J35" s="32">
        <f ca="1">OFFSET('Customer Count'!$K$18,COLUMN()-COLUMN($J$35),0)</f>
        <v>69.556609848413473</v>
      </c>
      <c r="K35" s="205">
        <f ca="1">OFFSET('Customer Count'!$K$18,COLUMN()-COLUMN($J$35),0)</f>
        <v>70.996992952874038</v>
      </c>
    </row>
    <row r="36" spans="2:12" s="31" customFormat="1" ht="13" x14ac:dyDescent="0.3">
      <c r="B36" s="204" t="str">
        <f>B6</f>
        <v>Street Light</v>
      </c>
      <c r="C36" s="32">
        <f ca="1">OFFSET('Customer Count'!$O$7,COLUMN()-COLUMN($C$33),0)</f>
        <v>1650</v>
      </c>
      <c r="D36" s="32">
        <f ca="1">OFFSET('Customer Count'!$O$7,COLUMN()-COLUMN($C$33),0)</f>
        <v>1659.5833333333333</v>
      </c>
      <c r="E36" s="32">
        <f ca="1">OFFSET('Customer Count'!$O$7,COLUMN()-COLUMN($C$33),0)</f>
        <v>1710</v>
      </c>
      <c r="F36" s="32">
        <f ca="1">OFFSET('Customer Count'!$O$7,COLUMN()-COLUMN($C$33),0)</f>
        <v>1710</v>
      </c>
      <c r="G36" s="32">
        <f ca="1">OFFSET('Customer Count'!$O$7,COLUMN()-COLUMN($C$33),0)</f>
        <v>1710</v>
      </c>
      <c r="H36" s="32">
        <f ca="1">OFFSET('Customer Count'!$O$7,COLUMN()-COLUMN($C$33),0)</f>
        <v>1710</v>
      </c>
      <c r="I36" s="32">
        <f ca="1">OFFSET('Customer Count'!$O$7,COLUMN()-COLUMN($C$33),0)</f>
        <v>1710</v>
      </c>
      <c r="J36" s="32">
        <f ca="1">OFFSET('Customer Count'!$O$18,COLUMN()-COLUMN($J$36),0)</f>
        <v>1710</v>
      </c>
      <c r="K36" s="205">
        <f ca="1">OFFSET('Customer Count'!$O$18,COLUMN()-COLUMN($J$36),0)</f>
        <v>1710</v>
      </c>
    </row>
    <row r="37" spans="2:12" s="31" customFormat="1" ht="13" x14ac:dyDescent="0.3">
      <c r="B37" s="204" t="str">
        <f>B7</f>
        <v>USL</v>
      </c>
      <c r="C37" s="32">
        <f ca="1">OFFSET('Customer Count'!$S$7,COLUMN()-COLUMN($C$33),0)</f>
        <v>23</v>
      </c>
      <c r="D37" s="32">
        <f ca="1">OFFSET('Customer Count'!$S$7,COLUMN()-COLUMN($C$33),0)</f>
        <v>23</v>
      </c>
      <c r="E37" s="32">
        <f ca="1">OFFSET('Customer Count'!$S$7,COLUMN()-COLUMN($C$33),0)</f>
        <v>23</v>
      </c>
      <c r="F37" s="32">
        <f ca="1">OFFSET('Customer Count'!$S$7,COLUMN()-COLUMN($C$33),0)</f>
        <v>23</v>
      </c>
      <c r="G37" s="32">
        <f ca="1">OFFSET('Customer Count'!$S$7,COLUMN()-COLUMN($C$33),0)</f>
        <v>23</v>
      </c>
      <c r="H37" s="32">
        <f ca="1">OFFSET('Customer Count'!$S$7,COLUMN()-COLUMN($C$33),0)</f>
        <v>22</v>
      </c>
      <c r="I37" s="32">
        <f ca="1">OFFSET('Customer Count'!$S$7,COLUMN()-COLUMN($C$33),0)</f>
        <v>22</v>
      </c>
      <c r="J37" s="32">
        <f ca="1">OFFSET('Customer Count'!$S$18,COLUMN()-COLUMN($J$37),0)</f>
        <v>22</v>
      </c>
      <c r="K37" s="205">
        <f ca="1">OFFSET('Customer Count'!$S$18,COLUMN()-COLUMN($J$37),0)</f>
        <v>22</v>
      </c>
    </row>
    <row r="38" spans="2:12" s="31" customFormat="1" ht="13.5" thickBot="1" x14ac:dyDescent="0.35">
      <c r="B38" s="334" t="s">
        <v>121</v>
      </c>
      <c r="C38" s="335">
        <f t="shared" ref="C38:K38" ca="1" si="3">SUM(C33:C37)</f>
        <v>7675.833333333333</v>
      </c>
      <c r="D38" s="335">
        <f t="shared" ca="1" si="3"/>
        <v>7621.666666666667</v>
      </c>
      <c r="E38" s="335">
        <f t="shared" ca="1" si="3"/>
        <v>7650.833333333333</v>
      </c>
      <c r="F38" s="335">
        <f t="shared" ca="1" si="3"/>
        <v>7676.6666666666661</v>
      </c>
      <c r="G38" s="335">
        <f t="shared" ca="1" si="3"/>
        <v>7675.416666666667</v>
      </c>
      <c r="H38" s="335">
        <f t="shared" ca="1" si="3"/>
        <v>7673</v>
      </c>
      <c r="I38" s="335">
        <f t="shared" ca="1" si="3"/>
        <v>7710.916666666667</v>
      </c>
      <c r="J38" s="336">
        <f t="shared" ca="1" si="3"/>
        <v>7698.8811011529888</v>
      </c>
      <c r="K38" s="337">
        <f t="shared" ca="1" si="3"/>
        <v>7701.9993245640262</v>
      </c>
    </row>
    <row r="39" spans="2:12" x14ac:dyDescent="0.35">
      <c r="C39" s="324"/>
      <c r="D39" s="324"/>
      <c r="E39" s="324"/>
      <c r="F39" s="324"/>
      <c r="G39" s="324"/>
      <c r="H39" s="324"/>
      <c r="I39" s="324"/>
      <c r="J39" s="324"/>
      <c r="K39" s="324"/>
    </row>
    <row r="41" spans="2:12" ht="29" x14ac:dyDescent="0.35">
      <c r="B41" s="344">
        <v>2025</v>
      </c>
      <c r="C41" s="344" t="s">
        <v>117</v>
      </c>
      <c r="D41" s="344" t="s">
        <v>118</v>
      </c>
      <c r="E41" s="345" t="s">
        <v>120</v>
      </c>
    </row>
    <row r="42" spans="2:12" x14ac:dyDescent="0.35">
      <c r="B42" s="347" t="s">
        <v>100</v>
      </c>
      <c r="C42" s="212">
        <f ca="1">E12</f>
        <v>39585261.006463379</v>
      </c>
      <c r="D42" s="212"/>
      <c r="E42" s="212">
        <f ca="1">K33</f>
        <v>5181.9975292897507</v>
      </c>
      <c r="G42" s="326"/>
    </row>
    <row r="43" spans="2:12" x14ac:dyDescent="0.35">
      <c r="B43" s="347" t="s">
        <v>102</v>
      </c>
      <c r="C43" s="212">
        <f ca="1">E13</f>
        <v>18203251.767101672</v>
      </c>
      <c r="D43" s="212"/>
      <c r="E43" s="212">
        <f ca="1">K34</f>
        <v>717.00480232140092</v>
      </c>
      <c r="G43" s="326"/>
      <c r="H43" s="326"/>
      <c r="I43" s="435"/>
    </row>
    <row r="44" spans="2:12" x14ac:dyDescent="0.35">
      <c r="B44" s="347" t="s">
        <v>103</v>
      </c>
      <c r="C44" s="212">
        <f ca="1">E14</f>
        <v>56644689.019413978</v>
      </c>
      <c r="D44" s="212">
        <f ca="1">E27</f>
        <v>156329.87909142414</v>
      </c>
      <c r="E44" s="212">
        <f ca="1">K35</f>
        <v>70.996992952874038</v>
      </c>
      <c r="G44" s="326"/>
      <c r="H44" s="328"/>
    </row>
    <row r="45" spans="2:12" x14ac:dyDescent="0.35">
      <c r="B45" s="347" t="s">
        <v>108</v>
      </c>
      <c r="C45" s="212">
        <f ca="1">E15</f>
        <v>491060.4</v>
      </c>
      <c r="D45" s="212">
        <f ca="1">E28</f>
        <v>1467.9586831868749</v>
      </c>
      <c r="E45" s="212">
        <f ca="1">K36</f>
        <v>1710</v>
      </c>
      <c r="G45" s="329"/>
      <c r="H45" s="327"/>
      <c r="J45" s="325"/>
      <c r="K45" s="325"/>
    </row>
    <row r="46" spans="2:12" x14ac:dyDescent="0.35">
      <c r="B46" s="347" t="s">
        <v>105</v>
      </c>
      <c r="C46" s="212">
        <f ca="1">E16</f>
        <v>163953</v>
      </c>
      <c r="D46" s="212"/>
      <c r="E46" s="212">
        <f ca="1">K37</f>
        <v>22</v>
      </c>
      <c r="G46" s="326"/>
    </row>
    <row r="47" spans="2:12" x14ac:dyDescent="0.35">
      <c r="B47" s="344" t="s">
        <v>121</v>
      </c>
      <c r="C47" s="346">
        <f ca="1">SUM(C42:C46)</f>
        <v>115088215.19297904</v>
      </c>
      <c r="D47" s="346">
        <f ca="1">SUM(D42:D46)</f>
        <v>157797.83777461102</v>
      </c>
      <c r="E47" s="346">
        <f ca="1">SUM(E42:E46)</f>
        <v>7701.9993245640262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1940-8A35-490F-B504-DEF1DF2F68C7}">
  <sheetPr codeName="Sheet24">
    <tabColor theme="7" tint="0.59999389629810485"/>
  </sheetPr>
  <dimension ref="A1:T145"/>
  <sheetViews>
    <sheetView workbookViewId="0">
      <selection activeCell="J128" sqref="J128"/>
    </sheetView>
  </sheetViews>
  <sheetFormatPr defaultRowHeight="14.5" x14ac:dyDescent="0.35"/>
  <cols>
    <col min="1" max="3" width="12.453125" customWidth="1"/>
    <col min="4" max="4" width="14.6328125" bestFit="1" customWidth="1"/>
    <col min="5" max="5" width="9.1796875" bestFit="1" customWidth="1"/>
    <col min="6" max="7" width="9.1796875" customWidth="1"/>
    <col min="8" max="8" width="8.81640625" bestFit="1" customWidth="1"/>
    <col min="10" max="11" width="12.7265625" bestFit="1" customWidth="1"/>
    <col min="12" max="12" width="12.7265625" customWidth="1"/>
    <col min="13" max="13" width="11.1796875" bestFit="1" customWidth="1"/>
    <col min="14" max="15" width="12.7265625" bestFit="1" customWidth="1"/>
    <col min="16" max="16" width="11.1796875" bestFit="1" customWidth="1"/>
    <col min="17" max="17" width="10.1796875" bestFit="1" customWidth="1"/>
  </cols>
  <sheetData>
    <row r="1" spans="1:20" x14ac:dyDescent="0.35">
      <c r="A1" s="1" t="str">
        <f>MonthlyData!A1</f>
        <v>Date</v>
      </c>
      <c r="B1" s="1" t="s">
        <v>1</v>
      </c>
      <c r="C1" s="1" t="s">
        <v>2</v>
      </c>
      <c r="D1" s="4" t="str">
        <f>MonthlyData!F1</f>
        <v>Res_NoCDM</v>
      </c>
      <c r="E1" t="s">
        <v>465</v>
      </c>
      <c r="F1" s="4" t="str">
        <f>MonthlyData!AF1</f>
        <v>HDD10</v>
      </c>
      <c r="G1" t="str">
        <f>MonthlyData!BP1</f>
        <v>Fall</v>
      </c>
      <c r="H1" t="str">
        <f>MonthlyData!BN1</f>
        <v>Dec</v>
      </c>
      <c r="J1" t="str">
        <f>P8</f>
        <v>const</v>
      </c>
      <c r="K1" t="str">
        <f>E1</f>
        <v>HDD10Norm</v>
      </c>
      <c r="L1" t="str">
        <f>G1</f>
        <v>Fall</v>
      </c>
      <c r="M1" t="str">
        <f>H1</f>
        <v>Dec</v>
      </c>
      <c r="N1" t="s">
        <v>460</v>
      </c>
    </row>
    <row r="2" spans="1:20" x14ac:dyDescent="0.35">
      <c r="A2" s="1">
        <f>MonthlyData!A2</f>
        <v>41640</v>
      </c>
      <c r="B2" s="13">
        <f>YEAR(A2)</f>
        <v>2014</v>
      </c>
      <c r="C2" s="13">
        <f>MONTH(A2)</f>
        <v>1</v>
      </c>
      <c r="D2" s="4">
        <f>MonthlyData!F2</f>
        <v>5204846.2077724002</v>
      </c>
      <c r="E2" s="200">
        <f ca="1">Weather!CT38</f>
        <v>793.4846429373913</v>
      </c>
      <c r="F2" s="4">
        <f>MonthlyData!AF2</f>
        <v>923.86930657636822</v>
      </c>
      <c r="G2">
        <f>MonthlyData!BP2</f>
        <v>0</v>
      </c>
      <c r="H2">
        <f>MonthlyData!BN2</f>
        <v>0</v>
      </c>
      <c r="I2" s="4"/>
      <c r="J2" s="4"/>
      <c r="K2" s="4">
        <f ca="1">(E2-F2)*$Q$9</f>
        <v>-246612.51319767567</v>
      </c>
      <c r="L2" s="4"/>
      <c r="M2" s="4"/>
      <c r="N2" s="4">
        <f ca="1">D2+K2</f>
        <v>4958233.6945747249</v>
      </c>
      <c r="O2" s="4"/>
      <c r="P2" s="4"/>
    </row>
    <row r="3" spans="1:20" x14ac:dyDescent="0.35">
      <c r="A3" s="1">
        <f>MonthlyData!A3</f>
        <v>41671</v>
      </c>
      <c r="B3" s="13">
        <f t="shared" ref="B3:B66" si="0">YEAR(A3)</f>
        <v>2014</v>
      </c>
      <c r="C3" s="13">
        <f t="shared" ref="C3:C66" si="1">MONTH(A3)</f>
        <v>2</v>
      </c>
      <c r="D3" s="4">
        <f>MonthlyData!F3</f>
        <v>5264300.1641396759</v>
      </c>
      <c r="E3" s="200">
        <f ca="1">Weather!CT39</f>
        <v>736.10085614037712</v>
      </c>
      <c r="F3" s="4">
        <f>MonthlyData!AF3</f>
        <v>750.36010382542349</v>
      </c>
      <c r="G3">
        <f>MonthlyData!BP3</f>
        <v>0</v>
      </c>
      <c r="H3">
        <f>MonthlyData!BN3</f>
        <v>0</v>
      </c>
      <c r="I3" s="4"/>
      <c r="J3" s="4"/>
      <c r="K3" s="4">
        <f t="shared" ref="K3:K66" ca="1" si="2">(E3-F3)*$Q$9</f>
        <v>-26970.264828494812</v>
      </c>
      <c r="L3" s="4"/>
      <c r="M3" s="4"/>
      <c r="N3" s="4">
        <f t="shared" ref="N3:N66" ca="1" si="3">D3+K3</f>
        <v>5237329.8993111812</v>
      </c>
      <c r="O3" s="4"/>
      <c r="P3" t="s">
        <v>488</v>
      </c>
    </row>
    <row r="4" spans="1:20" x14ac:dyDescent="0.35">
      <c r="A4" s="1">
        <f>MonthlyData!A4</f>
        <v>41699</v>
      </c>
      <c r="B4" s="13">
        <f t="shared" si="0"/>
        <v>2014</v>
      </c>
      <c r="C4" s="13">
        <f t="shared" si="1"/>
        <v>3</v>
      </c>
      <c r="D4" s="4">
        <f>MonthlyData!F4</f>
        <v>4226177.3477285299</v>
      </c>
      <c r="E4" s="200">
        <f ca="1">Weather!CT40</f>
        <v>577.21697535249291</v>
      </c>
      <c r="F4" s="4">
        <f>MonthlyData!AF4</f>
        <v>718.29098039039206</v>
      </c>
      <c r="G4">
        <f>MonthlyData!BP4</f>
        <v>0</v>
      </c>
      <c r="H4">
        <f>MonthlyData!BN4</f>
        <v>0</v>
      </c>
      <c r="I4" s="4"/>
      <c r="J4" s="4"/>
      <c r="K4" s="4">
        <f t="shared" ca="1" si="2"/>
        <v>-266830.57622167794</v>
      </c>
      <c r="L4" s="4"/>
      <c r="M4" s="4"/>
      <c r="N4" s="4">
        <f t="shared" ca="1" si="3"/>
        <v>3959346.771506852</v>
      </c>
      <c r="O4" s="4"/>
      <c r="P4" t="s">
        <v>459</v>
      </c>
    </row>
    <row r="5" spans="1:20" x14ac:dyDescent="0.35">
      <c r="A5" s="1">
        <f>MonthlyData!A5</f>
        <v>41730</v>
      </c>
      <c r="B5" s="13">
        <f t="shared" si="0"/>
        <v>2014</v>
      </c>
      <c r="C5" s="13">
        <f t="shared" si="1"/>
        <v>4</v>
      </c>
      <c r="D5" s="4">
        <f>MonthlyData!F5</f>
        <v>4303459.0892479047</v>
      </c>
      <c r="E5" s="200">
        <f ca="1">Weather!CT41</f>
        <v>307.33082472275549</v>
      </c>
      <c r="F5" s="4">
        <f>MonthlyData!AF5</f>
        <v>342.04088813973715</v>
      </c>
      <c r="G5">
        <f>MonthlyData!BP5</f>
        <v>0</v>
      </c>
      <c r="H5">
        <f>MonthlyData!BN5</f>
        <v>0</v>
      </c>
      <c r="I5" s="4"/>
      <c r="J5" s="4"/>
      <c r="K5" s="4">
        <f t="shared" ca="1" si="2"/>
        <v>-65651.402040766232</v>
      </c>
      <c r="L5" s="4"/>
      <c r="M5" s="4"/>
      <c r="N5" s="4">
        <f t="shared" ca="1" si="3"/>
        <v>4237807.6872071382</v>
      </c>
      <c r="O5" s="4"/>
      <c r="P5" t="s">
        <v>489</v>
      </c>
    </row>
    <row r="6" spans="1:20" x14ac:dyDescent="0.35">
      <c r="A6" s="1">
        <f>MonthlyData!A6</f>
        <v>41760</v>
      </c>
      <c r="B6" s="13">
        <f t="shared" si="0"/>
        <v>2014</v>
      </c>
      <c r="C6" s="13">
        <f t="shared" si="1"/>
        <v>5</v>
      </c>
      <c r="D6" s="4">
        <f>MonthlyData!F6</f>
        <v>3338319.3932956383</v>
      </c>
      <c r="E6" s="200">
        <f ca="1">Weather!CT42</f>
        <v>103.00647094808046</v>
      </c>
      <c r="F6" s="4">
        <f>MonthlyData!AF6</f>
        <v>76.76559436311274</v>
      </c>
      <c r="G6">
        <f>MonthlyData!BP6</f>
        <v>0</v>
      </c>
      <c r="H6">
        <f>MonthlyData!BN6</f>
        <v>0</v>
      </c>
      <c r="I6" s="4"/>
      <c r="J6" s="4"/>
      <c r="K6" s="4">
        <f t="shared" ca="1" si="2"/>
        <v>49632.589773345135</v>
      </c>
      <c r="L6" s="4"/>
      <c r="M6" s="4"/>
      <c r="N6" s="4">
        <f t="shared" ca="1" si="3"/>
        <v>3387951.9830689835</v>
      </c>
      <c r="O6" s="4"/>
    </row>
    <row r="7" spans="1:20" x14ac:dyDescent="0.35">
      <c r="A7" s="1">
        <f>MonthlyData!A7</f>
        <v>41791</v>
      </c>
      <c r="B7" s="13">
        <f t="shared" si="0"/>
        <v>2014</v>
      </c>
      <c r="C7" s="13">
        <f t="shared" si="1"/>
        <v>6</v>
      </c>
      <c r="D7" s="4">
        <f>MonthlyData!F7</f>
        <v>2933277.9474340756</v>
      </c>
      <c r="E7" s="200">
        <f ca="1">Weather!CT43</f>
        <v>5.5889105735385218</v>
      </c>
      <c r="F7" s="4">
        <f>MonthlyData!AF7</f>
        <v>0</v>
      </c>
      <c r="G7">
        <f>MonthlyData!BP7</f>
        <v>0</v>
      </c>
      <c r="H7">
        <f>MonthlyData!BN7</f>
        <v>0</v>
      </c>
      <c r="I7" s="4"/>
      <c r="J7" s="4"/>
      <c r="K7" s="4">
        <f t="shared" ca="1" si="2"/>
        <v>10570.992355310822</v>
      </c>
      <c r="L7" s="4"/>
      <c r="M7" s="4"/>
      <c r="N7" s="4">
        <f t="shared" ca="1" si="3"/>
        <v>2943848.9397893865</v>
      </c>
      <c r="O7" s="4"/>
      <c r="Q7" t="s">
        <v>84</v>
      </c>
      <c r="R7" t="s">
        <v>85</v>
      </c>
      <c r="S7" t="s">
        <v>86</v>
      </c>
      <c r="T7" t="s">
        <v>87</v>
      </c>
    </row>
    <row r="8" spans="1:20" x14ac:dyDescent="0.35">
      <c r="A8" s="1">
        <f>MonthlyData!A8</f>
        <v>41821</v>
      </c>
      <c r="B8" s="13">
        <f t="shared" si="0"/>
        <v>2014</v>
      </c>
      <c r="C8" s="13">
        <f t="shared" si="1"/>
        <v>7</v>
      </c>
      <c r="D8" s="4">
        <f>MonthlyData!F8</f>
        <v>2814669.0496893516</v>
      </c>
      <c r="E8" s="200">
        <f ca="1">Weather!CT44</f>
        <v>0.28709633857318684</v>
      </c>
      <c r="F8" s="4">
        <f>MonthlyData!AF8</f>
        <v>0</v>
      </c>
      <c r="G8">
        <f>MonthlyData!BP8</f>
        <v>0</v>
      </c>
      <c r="H8">
        <f>MonthlyData!BN8</f>
        <v>0</v>
      </c>
      <c r="I8" s="4"/>
      <c r="J8" s="4"/>
      <c r="K8" s="4">
        <f t="shared" ca="1" si="2"/>
        <v>543.02053331538559</v>
      </c>
      <c r="L8" s="4"/>
      <c r="M8" s="4"/>
      <c r="N8" s="4">
        <f t="shared" ca="1" si="3"/>
        <v>2815212.070222667</v>
      </c>
      <c r="O8" s="4"/>
      <c r="P8" t="s">
        <v>88</v>
      </c>
      <c r="Q8" s="4">
        <v>2993597.51664689</v>
      </c>
      <c r="R8" s="4">
        <v>34915.099462320701</v>
      </c>
      <c r="S8" s="214">
        <v>85.739338072844106</v>
      </c>
      <c r="T8" s="188">
        <v>1.3557764578634499E-113</v>
      </c>
    </row>
    <row r="9" spans="1:20" x14ac:dyDescent="0.35">
      <c r="A9" s="1">
        <f>MonthlyData!A9</f>
        <v>41852</v>
      </c>
      <c r="B9" s="13">
        <f t="shared" si="0"/>
        <v>2014</v>
      </c>
      <c r="C9" s="13">
        <f t="shared" si="1"/>
        <v>8</v>
      </c>
      <c r="D9" s="4">
        <f>MonthlyData!F9</f>
        <v>2865737.10711757</v>
      </c>
      <c r="E9" s="200">
        <f ca="1">Weather!CT45</f>
        <v>1.6761707873342053</v>
      </c>
      <c r="F9" s="4">
        <f>MonthlyData!AF9</f>
        <v>0.84166666666666856</v>
      </c>
      <c r="G9">
        <f>MonthlyData!BP9</f>
        <v>0</v>
      </c>
      <c r="H9">
        <f>MonthlyData!BN9</f>
        <v>0</v>
      </c>
      <c r="I9" s="4"/>
      <c r="J9" s="4"/>
      <c r="K9" s="4">
        <f t="shared" ca="1" si="2"/>
        <v>1578.4000412922528</v>
      </c>
      <c r="L9" s="4"/>
      <c r="M9" s="4"/>
      <c r="N9" s="4">
        <f t="shared" ca="1" si="3"/>
        <v>2867315.5071588624</v>
      </c>
      <c r="O9" s="4"/>
      <c r="P9" t="s">
        <v>13</v>
      </c>
      <c r="Q9" s="4">
        <v>1891.4227050546599</v>
      </c>
      <c r="R9" s="4">
        <v>80.751497667451204</v>
      </c>
      <c r="S9" s="214">
        <v>23.422756972803999</v>
      </c>
      <c r="T9" s="188">
        <v>9.7140371630274E-48</v>
      </c>
    </row>
    <row r="10" spans="1:20" x14ac:dyDescent="0.35">
      <c r="A10" s="1">
        <f>MonthlyData!A10</f>
        <v>41883</v>
      </c>
      <c r="B10" s="13">
        <f t="shared" si="0"/>
        <v>2014</v>
      </c>
      <c r="C10" s="13">
        <f t="shared" si="1"/>
        <v>9</v>
      </c>
      <c r="D10" s="4">
        <f>MonthlyData!F10</f>
        <v>2882718.5753333331</v>
      </c>
      <c r="E10" s="200">
        <f ca="1">Weather!CT46</f>
        <v>28.222326899712005</v>
      </c>
      <c r="F10" s="4">
        <f>MonthlyData!AF10</f>
        <v>63.679206155876841</v>
      </c>
      <c r="G10">
        <f>MonthlyData!BP10</f>
        <v>0</v>
      </c>
      <c r="H10">
        <f>MonthlyData!BN10</f>
        <v>0</v>
      </c>
      <c r="I10" s="4"/>
      <c r="J10" s="4"/>
      <c r="K10" s="4">
        <f t="shared" ca="1" si="2"/>
        <v>-67063.946475491757</v>
      </c>
      <c r="L10" s="4"/>
      <c r="M10" s="4"/>
      <c r="N10" s="4">
        <f t="shared" ca="1" si="3"/>
        <v>2815654.6288578412</v>
      </c>
      <c r="O10" s="4"/>
      <c r="P10" t="s">
        <v>62</v>
      </c>
      <c r="Q10" s="4">
        <v>-602637.76155081904</v>
      </c>
      <c r="R10" s="4">
        <v>61138.157436032903</v>
      </c>
      <c r="S10" s="214">
        <v>-9.8569827228002609</v>
      </c>
      <c r="T10" s="188">
        <v>2.4415331036516299E-17</v>
      </c>
    </row>
    <row r="11" spans="1:20" x14ac:dyDescent="0.35">
      <c r="A11" s="1">
        <f>MonthlyData!A11</f>
        <v>41913</v>
      </c>
      <c r="B11" s="13">
        <f t="shared" si="0"/>
        <v>2014</v>
      </c>
      <c r="C11" s="13">
        <f t="shared" si="1"/>
        <v>10</v>
      </c>
      <c r="D11" s="4">
        <f>MonthlyData!F11</f>
        <v>2860364.5175931277</v>
      </c>
      <c r="E11" s="200">
        <f ca="1">Weather!CT47</f>
        <v>178.0244559176316</v>
      </c>
      <c r="F11" s="4">
        <f>MonthlyData!AF11</f>
        <v>180.10416666666666</v>
      </c>
      <c r="G11">
        <f>MonthlyData!BP11</f>
        <v>1</v>
      </c>
      <c r="H11">
        <f>MonthlyData!BN11</f>
        <v>0</v>
      </c>
      <c r="I11" s="4"/>
      <c r="J11" s="4"/>
      <c r="K11" s="4">
        <f t="shared" ca="1" si="2"/>
        <v>-3933.6121306711429</v>
      </c>
      <c r="L11" s="4"/>
      <c r="M11" s="4"/>
      <c r="N11" s="4">
        <f t="shared" ca="1" si="3"/>
        <v>2856430.9054624564</v>
      </c>
      <c r="O11" s="4"/>
      <c r="P11" t="s">
        <v>28</v>
      </c>
      <c r="Q11" s="4">
        <v>-626381.313089823</v>
      </c>
      <c r="R11" s="4">
        <v>85019.440210264802</v>
      </c>
      <c r="S11" s="214">
        <v>-7.3675069083105704</v>
      </c>
      <c r="T11" s="188">
        <v>2.0073297504774301E-11</v>
      </c>
    </row>
    <row r="12" spans="1:20" x14ac:dyDescent="0.35">
      <c r="A12" s="1">
        <f>MonthlyData!A12</f>
        <v>41944</v>
      </c>
      <c r="B12" s="13">
        <f t="shared" si="0"/>
        <v>2014</v>
      </c>
      <c r="C12" s="13">
        <f t="shared" si="1"/>
        <v>11</v>
      </c>
      <c r="D12" s="4">
        <f>MonthlyData!F12</f>
        <v>3257670.4024071149</v>
      </c>
      <c r="E12" s="200">
        <f ca="1">Weather!CT48</f>
        <v>403.99833333333333</v>
      </c>
      <c r="F12" s="4">
        <f>MonthlyData!AF12</f>
        <v>525.22500000000002</v>
      </c>
      <c r="G12">
        <f>MonthlyData!BP12</f>
        <v>1</v>
      </c>
      <c r="H12">
        <f>MonthlyData!BN12</f>
        <v>0</v>
      </c>
      <c r="I12" s="4"/>
      <c r="J12" s="4"/>
      <c r="K12" s="4">
        <f t="shared" ca="1" si="2"/>
        <v>-229290.86979142629</v>
      </c>
      <c r="L12" s="4"/>
      <c r="M12" s="4"/>
      <c r="N12" s="4">
        <f t="shared" ca="1" si="3"/>
        <v>3028379.5326156886</v>
      </c>
      <c r="O12" s="4"/>
      <c r="Q12" s="4"/>
      <c r="R12" s="4"/>
      <c r="S12" s="214"/>
      <c r="T12" s="188"/>
    </row>
    <row r="13" spans="1:20" x14ac:dyDescent="0.35">
      <c r="A13" s="1">
        <f>MonthlyData!A13</f>
        <v>41974</v>
      </c>
      <c r="B13" s="13">
        <f t="shared" si="0"/>
        <v>2014</v>
      </c>
      <c r="C13" s="13">
        <f t="shared" si="1"/>
        <v>12</v>
      </c>
      <c r="D13" s="4">
        <f>MonthlyData!F13</f>
        <v>3913237.1748429327</v>
      </c>
      <c r="E13" s="200">
        <f ca="1">Weather!CT49</f>
        <v>629.70466952460959</v>
      </c>
      <c r="F13" s="4">
        <f>MonthlyData!AF13</f>
        <v>649.30879458660854</v>
      </c>
      <c r="G13">
        <f>MonthlyData!BP13</f>
        <v>0</v>
      </c>
      <c r="H13">
        <f>MonthlyData!BN13</f>
        <v>1</v>
      </c>
      <c r="I13" s="4"/>
      <c r="J13" s="4"/>
      <c r="K13" s="4">
        <f t="shared" ca="1" si="2"/>
        <v>-37079.687254995923</v>
      </c>
      <c r="L13" s="4"/>
      <c r="M13" s="4"/>
      <c r="N13" s="4">
        <f t="shared" ca="1" si="3"/>
        <v>3876157.4875879367</v>
      </c>
      <c r="O13" s="4"/>
      <c r="P13" t="s">
        <v>89</v>
      </c>
    </row>
    <row r="14" spans="1:20" x14ac:dyDescent="0.35">
      <c r="A14" s="1">
        <f>MonthlyData!A14</f>
        <v>42005</v>
      </c>
      <c r="B14" s="13">
        <f t="shared" si="0"/>
        <v>2015</v>
      </c>
      <c r="C14" s="13">
        <f t="shared" si="1"/>
        <v>1</v>
      </c>
      <c r="D14" s="4">
        <f>MonthlyData!F14</f>
        <v>4555170.2447226988</v>
      </c>
      <c r="E14" s="4">
        <f ca="1">E2</f>
        <v>793.4846429373913</v>
      </c>
      <c r="F14" s="4">
        <f>MonthlyData!AF14</f>
        <v>888.83475522239621</v>
      </c>
      <c r="G14">
        <f>MonthlyData!BP14</f>
        <v>0</v>
      </c>
      <c r="H14">
        <f>MonthlyData!BN14</f>
        <v>0</v>
      </c>
      <c r="I14" s="4"/>
      <c r="J14" s="4"/>
      <c r="K14" s="4">
        <f t="shared" ca="1" si="2"/>
        <v>-180347.36730536955</v>
      </c>
      <c r="L14" s="4"/>
      <c r="M14" s="4"/>
      <c r="N14" s="4">
        <f t="shared" ca="1" si="3"/>
        <v>4374822.8774173297</v>
      </c>
      <c r="O14" s="4"/>
      <c r="P14" t="s">
        <v>90</v>
      </c>
      <c r="Q14" s="320">
        <v>7623913684607</v>
      </c>
      <c r="R14" t="s">
        <v>91</v>
      </c>
      <c r="S14" s="4">
        <v>245982.21778237299</v>
      </c>
    </row>
    <row r="15" spans="1:20" x14ac:dyDescent="0.35">
      <c r="A15" s="1">
        <f>MonthlyData!A15</f>
        <v>42036</v>
      </c>
      <c r="B15" s="13">
        <f t="shared" si="0"/>
        <v>2015</v>
      </c>
      <c r="C15" s="13">
        <f t="shared" si="1"/>
        <v>2</v>
      </c>
      <c r="D15" s="4">
        <f>MonthlyData!F15</f>
        <v>4992071.1433578841</v>
      </c>
      <c r="E15" s="4">
        <f t="shared" ref="E15:E78" ca="1" si="4">E3</f>
        <v>736.10085614037712</v>
      </c>
      <c r="F15" s="4">
        <f>MonthlyData!AF15</f>
        <v>925.79933618827647</v>
      </c>
      <c r="G15">
        <f>MonthlyData!BP15</f>
        <v>0</v>
      </c>
      <c r="H15">
        <f>MonthlyData!BN15</f>
        <v>0</v>
      </c>
      <c r="I15" s="4"/>
      <c r="J15" s="4"/>
      <c r="K15" s="4">
        <f t="shared" ca="1" si="2"/>
        <v>-358800.01227695524</v>
      </c>
      <c r="L15" s="4"/>
      <c r="M15" s="4"/>
      <c r="N15" s="4">
        <f t="shared" ca="1" si="3"/>
        <v>4633271.1310809292</v>
      </c>
      <c r="O15" s="4"/>
      <c r="P15" t="s">
        <v>92</v>
      </c>
      <c r="Q15" s="2">
        <v>0.85321990261632097</v>
      </c>
      <c r="R15" t="s">
        <v>93</v>
      </c>
      <c r="S15" s="321">
        <v>0.84972513839289998</v>
      </c>
    </row>
    <row r="16" spans="1:20" x14ac:dyDescent="0.35">
      <c r="A16" s="1">
        <f>MonthlyData!A16</f>
        <v>42064</v>
      </c>
      <c r="B16" s="13">
        <f t="shared" si="0"/>
        <v>2015</v>
      </c>
      <c r="C16" s="13">
        <f t="shared" si="1"/>
        <v>3</v>
      </c>
      <c r="D16" s="4">
        <f>MonthlyData!F16</f>
        <v>4650468.1502021682</v>
      </c>
      <c r="E16" s="4">
        <f t="shared" ca="1" si="4"/>
        <v>577.21697535249291</v>
      </c>
      <c r="F16" s="4">
        <f>MonthlyData!AF16</f>
        <v>604.8724417886641</v>
      </c>
      <c r="G16">
        <f>MonthlyData!BP16</f>
        <v>0</v>
      </c>
      <c r="H16">
        <f>MonthlyData!BN16</f>
        <v>0</v>
      </c>
      <c r="I16" s="4"/>
      <c r="J16" s="4"/>
      <c r="K16" s="4">
        <f t="shared" ca="1" si="2"/>
        <v>-52308.177136251281</v>
      </c>
      <c r="L16" s="4"/>
      <c r="M16" s="4"/>
      <c r="N16" s="4">
        <f t="shared" ca="1" si="3"/>
        <v>4598159.9730659164</v>
      </c>
      <c r="O16" s="4"/>
      <c r="P16" t="s">
        <v>490</v>
      </c>
      <c r="Q16" s="2">
        <v>218.69786887181101</v>
      </c>
      <c r="R16" t="s">
        <v>94</v>
      </c>
      <c r="S16" s="18">
        <v>9.2309097571580505E-50</v>
      </c>
    </row>
    <row r="17" spans="1:19" x14ac:dyDescent="0.35">
      <c r="A17" s="1">
        <f>MonthlyData!A17</f>
        <v>42095</v>
      </c>
      <c r="B17" s="13">
        <f t="shared" si="0"/>
        <v>2015</v>
      </c>
      <c r="C17" s="13">
        <f t="shared" si="1"/>
        <v>4</v>
      </c>
      <c r="D17" s="4">
        <f>MonthlyData!F17</f>
        <v>3963990.3580730828</v>
      </c>
      <c r="E17" s="4">
        <f t="shared" ca="1" si="4"/>
        <v>307.33082472275549</v>
      </c>
      <c r="F17" s="4">
        <f>MonthlyData!AF17</f>
        <v>309.39652575448434</v>
      </c>
      <c r="G17">
        <f>MonthlyData!BP17</f>
        <v>0</v>
      </c>
      <c r="H17">
        <f>MonthlyData!BN17</f>
        <v>0</v>
      </c>
      <c r="I17" s="4"/>
      <c r="J17" s="4"/>
      <c r="K17" s="4">
        <f t="shared" ca="1" si="2"/>
        <v>-3907.1138332667824</v>
      </c>
      <c r="L17" s="4"/>
      <c r="M17" s="4"/>
      <c r="N17" s="4">
        <f t="shared" ca="1" si="3"/>
        <v>3960083.244239816</v>
      </c>
      <c r="O17" s="4"/>
      <c r="P17" t="s">
        <v>95</v>
      </c>
      <c r="Q17" s="2">
        <v>-1.09285436820719E-2</v>
      </c>
      <c r="R17" t="s">
        <v>96</v>
      </c>
      <c r="S17" s="322">
        <v>1.97895470842757</v>
      </c>
    </row>
    <row r="18" spans="1:19" x14ac:dyDescent="0.35">
      <c r="A18" s="1">
        <f>MonthlyData!A18</f>
        <v>42125</v>
      </c>
      <c r="B18" s="13">
        <f t="shared" si="0"/>
        <v>2015</v>
      </c>
      <c r="C18" s="13">
        <f t="shared" si="1"/>
        <v>5</v>
      </c>
      <c r="D18" s="4">
        <f>MonthlyData!F18</f>
        <v>3251922.6162512815</v>
      </c>
      <c r="E18" s="4">
        <f t="shared" ca="1" si="4"/>
        <v>103.00647094808046</v>
      </c>
      <c r="F18" s="4">
        <f>MonthlyData!AF18</f>
        <v>288.41468054388343</v>
      </c>
      <c r="G18">
        <f>MonthlyData!BP18</f>
        <v>0</v>
      </c>
      <c r="H18">
        <f>MonthlyData!BN18</f>
        <v>0</v>
      </c>
      <c r="I18" s="4"/>
      <c r="J18" s="4"/>
      <c r="K18" s="4">
        <f t="shared" ca="1" si="2"/>
        <v>-350685.29733303504</v>
      </c>
      <c r="L18" s="4"/>
      <c r="M18" s="4"/>
      <c r="N18" s="4">
        <f t="shared" ca="1" si="3"/>
        <v>2901237.3189182463</v>
      </c>
      <c r="O18" s="4"/>
    </row>
    <row r="19" spans="1:19" x14ac:dyDescent="0.35">
      <c r="A19" s="1">
        <f>MonthlyData!A19</f>
        <v>42156</v>
      </c>
      <c r="B19" s="13">
        <f t="shared" si="0"/>
        <v>2015</v>
      </c>
      <c r="C19" s="13">
        <f t="shared" si="1"/>
        <v>6</v>
      </c>
      <c r="D19" s="4">
        <f>MonthlyData!F19</f>
        <v>2838539.9592128773</v>
      </c>
      <c r="E19" s="4">
        <f t="shared" ca="1" si="4"/>
        <v>5.5889105735385218</v>
      </c>
      <c r="F19" s="4">
        <f>MonthlyData!AF19</f>
        <v>6.6599390687185451</v>
      </c>
      <c r="G19">
        <f>MonthlyData!BP19</f>
        <v>0</v>
      </c>
      <c r="H19">
        <f>MonthlyData!BN19</f>
        <v>0</v>
      </c>
      <c r="I19" s="4"/>
      <c r="J19" s="4"/>
      <c r="K19" s="4">
        <f t="shared" ca="1" si="2"/>
        <v>-2025.7676135440215</v>
      </c>
      <c r="L19" s="4"/>
      <c r="M19" s="4"/>
      <c r="N19" s="4">
        <f t="shared" ca="1" si="3"/>
        <v>2836514.1915993332</v>
      </c>
      <c r="O19" s="4"/>
      <c r="P19" t="s">
        <v>97</v>
      </c>
    </row>
    <row r="20" spans="1:19" x14ac:dyDescent="0.35">
      <c r="A20" s="1">
        <f>MonthlyData!A20</f>
        <v>42186</v>
      </c>
      <c r="B20" s="13">
        <f t="shared" si="0"/>
        <v>2015</v>
      </c>
      <c r="C20" s="13">
        <f t="shared" si="1"/>
        <v>7</v>
      </c>
      <c r="D20" s="4">
        <f>MonthlyData!F20</f>
        <v>2693601.264651109</v>
      </c>
      <c r="E20" s="4">
        <f t="shared" ca="1" si="4"/>
        <v>0.28709633857318684</v>
      </c>
      <c r="F20" s="4">
        <f>MonthlyData!AF20</f>
        <v>0</v>
      </c>
      <c r="G20">
        <f>MonthlyData!BP20</f>
        <v>0</v>
      </c>
      <c r="H20">
        <f>MonthlyData!BN20</f>
        <v>0</v>
      </c>
      <c r="I20" s="4"/>
      <c r="J20" s="4"/>
      <c r="K20" s="4">
        <f t="shared" ca="1" si="2"/>
        <v>543.02053331538559</v>
      </c>
      <c r="L20" s="4"/>
      <c r="M20" s="4"/>
      <c r="N20" s="4">
        <f t="shared" ca="1" si="3"/>
        <v>2694144.2851844244</v>
      </c>
      <c r="O20" s="4"/>
      <c r="P20" t="s">
        <v>98</v>
      </c>
      <c r="Q20">
        <v>3426460.7830698099</v>
      </c>
      <c r="R20" t="s">
        <v>99</v>
      </c>
      <c r="S20">
        <v>634363.55761683895</v>
      </c>
    </row>
    <row r="21" spans="1:19" x14ac:dyDescent="0.35">
      <c r="A21" s="1">
        <f>MonthlyData!A21</f>
        <v>42217</v>
      </c>
      <c r="B21" s="13">
        <f t="shared" si="0"/>
        <v>2015</v>
      </c>
      <c r="C21" s="13">
        <f t="shared" si="1"/>
        <v>8</v>
      </c>
      <c r="D21" s="4">
        <f>MonthlyData!F21</f>
        <v>3029214.4043009067</v>
      </c>
      <c r="E21" s="4">
        <f t="shared" ca="1" si="4"/>
        <v>1.6761707873342053</v>
      </c>
      <c r="F21" s="4">
        <f>MonthlyData!AF21</f>
        <v>0</v>
      </c>
      <c r="G21">
        <f>MonthlyData!BP21</f>
        <v>0</v>
      </c>
      <c r="H21">
        <f>MonthlyData!BN21</f>
        <v>0</v>
      </c>
      <c r="I21" s="4"/>
      <c r="J21" s="4"/>
      <c r="K21" s="4">
        <f t="shared" ca="1" si="2"/>
        <v>3170.3474847132616</v>
      </c>
      <c r="L21" s="4"/>
      <c r="M21" s="4"/>
      <c r="N21" s="4">
        <f t="shared" ca="1" si="3"/>
        <v>3032384.7517856201</v>
      </c>
      <c r="O21" s="4"/>
    </row>
    <row r="22" spans="1:19" x14ac:dyDescent="0.35">
      <c r="A22" s="1">
        <f>MonthlyData!A22</f>
        <v>42248</v>
      </c>
      <c r="B22" s="13">
        <f t="shared" si="0"/>
        <v>2015</v>
      </c>
      <c r="C22" s="13">
        <f t="shared" si="1"/>
        <v>9</v>
      </c>
      <c r="D22" s="4">
        <f>MonthlyData!F22</f>
        <v>2908421.6058402224</v>
      </c>
      <c r="E22" s="4">
        <f t="shared" ca="1" si="4"/>
        <v>28.222326899712005</v>
      </c>
      <c r="F22" s="4">
        <f>MonthlyData!AF22</f>
        <v>16.877396174576482</v>
      </c>
      <c r="G22">
        <f>MonthlyData!BP22</f>
        <v>0</v>
      </c>
      <c r="H22">
        <f>MonthlyData!BN22</f>
        <v>0</v>
      </c>
      <c r="I22" s="4"/>
      <c r="J22" s="4"/>
      <c r="K22" s="4">
        <f t="shared" ca="1" si="2"/>
        <v>21458.059560793554</v>
      </c>
      <c r="L22" s="4"/>
      <c r="M22" s="4"/>
      <c r="N22" s="4">
        <f t="shared" ca="1" si="3"/>
        <v>2929879.6654010159</v>
      </c>
      <c r="O22" s="4"/>
    </row>
    <row r="23" spans="1:19" x14ac:dyDescent="0.35">
      <c r="A23" s="1">
        <f>MonthlyData!A23</f>
        <v>42278</v>
      </c>
      <c r="B23" s="13">
        <f t="shared" si="0"/>
        <v>2015</v>
      </c>
      <c r="C23" s="13">
        <f t="shared" si="1"/>
        <v>10</v>
      </c>
      <c r="D23" s="4">
        <f>MonthlyData!F23</f>
        <v>2824688.182724908</v>
      </c>
      <c r="E23" s="4">
        <f t="shared" ca="1" si="4"/>
        <v>178.0244559176316</v>
      </c>
      <c r="F23" s="4">
        <f>MonthlyData!AF23</f>
        <v>212.50558278834421</v>
      </c>
      <c r="G23">
        <f>MonthlyData!BP23</f>
        <v>1</v>
      </c>
      <c r="H23">
        <f>MonthlyData!BN23</f>
        <v>0</v>
      </c>
      <c r="I23" s="4"/>
      <c r="J23" s="4"/>
      <c r="K23" s="4">
        <f t="shared" ca="1" si="2"/>
        <v>-65218.386259136176</v>
      </c>
      <c r="L23" s="4"/>
      <c r="M23" s="4"/>
      <c r="N23" s="4">
        <f t="shared" ca="1" si="3"/>
        <v>2759469.7964657717</v>
      </c>
      <c r="O23" s="4"/>
    </row>
    <row r="24" spans="1:19" x14ac:dyDescent="0.35">
      <c r="A24" s="1">
        <f>MonthlyData!A24</f>
        <v>42309</v>
      </c>
      <c r="B24" s="13">
        <f t="shared" si="0"/>
        <v>2015</v>
      </c>
      <c r="C24" s="13">
        <f t="shared" si="1"/>
        <v>11</v>
      </c>
      <c r="D24" s="4">
        <f>MonthlyData!F24</f>
        <v>3175868.9001177405</v>
      </c>
      <c r="E24" s="4">
        <f t="shared" ca="1" si="4"/>
        <v>403.99833333333333</v>
      </c>
      <c r="F24" s="4">
        <f>MonthlyData!AF24</f>
        <v>296.19166666666666</v>
      </c>
      <c r="G24">
        <f>MonthlyData!BP24</f>
        <v>1</v>
      </c>
      <c r="H24">
        <f>MonthlyData!BN24</f>
        <v>0</v>
      </c>
      <c r="I24" s="4"/>
      <c r="J24" s="4"/>
      <c r="K24" s="4">
        <f t="shared" ca="1" si="2"/>
        <v>203907.97708959272</v>
      </c>
      <c r="L24" s="4"/>
      <c r="M24" s="4"/>
      <c r="N24" s="4">
        <f t="shared" ca="1" si="3"/>
        <v>3379776.8772073332</v>
      </c>
      <c r="O24" s="4"/>
      <c r="P24" s="4"/>
    </row>
    <row r="25" spans="1:19" x14ac:dyDescent="0.35">
      <c r="A25" s="1">
        <f>MonthlyData!A25</f>
        <v>42339</v>
      </c>
      <c r="B25" s="13">
        <f t="shared" si="0"/>
        <v>2015</v>
      </c>
      <c r="C25" s="13">
        <f t="shared" si="1"/>
        <v>12</v>
      </c>
      <c r="D25" s="4">
        <f>MonthlyData!F25</f>
        <v>3340356.6889735274</v>
      </c>
      <c r="E25" s="4">
        <f t="shared" ca="1" si="4"/>
        <v>629.70466952460959</v>
      </c>
      <c r="F25" s="4">
        <f>MonthlyData!AF25</f>
        <v>465.28749999999997</v>
      </c>
      <c r="G25">
        <f>MonthlyData!BP25</f>
        <v>0</v>
      </c>
      <c r="H25">
        <f>MonthlyData!BN25</f>
        <v>1</v>
      </c>
      <c r="I25" s="4"/>
      <c r="J25" s="4"/>
      <c r="K25" s="4">
        <f t="shared" ca="1" si="2"/>
        <v>310982.3675396677</v>
      </c>
      <c r="L25" s="4"/>
      <c r="M25" s="4"/>
      <c r="N25" s="4">
        <f t="shared" ca="1" si="3"/>
        <v>3651339.0565131949</v>
      </c>
      <c r="O25" s="4"/>
      <c r="P25" s="4"/>
    </row>
    <row r="26" spans="1:19" x14ac:dyDescent="0.35">
      <c r="A26" s="1">
        <f>MonthlyData!A26</f>
        <v>42370</v>
      </c>
      <c r="B26" s="13">
        <f t="shared" si="0"/>
        <v>2016</v>
      </c>
      <c r="C26" s="13">
        <f t="shared" si="1"/>
        <v>1</v>
      </c>
      <c r="D26" s="4">
        <f>MonthlyData!F26</f>
        <v>3973539.4669082318</v>
      </c>
      <c r="E26" s="4">
        <f t="shared" ca="1" si="4"/>
        <v>793.4846429373913</v>
      </c>
      <c r="F26" s="4">
        <f>MonthlyData!AF26</f>
        <v>718.46798406531877</v>
      </c>
      <c r="G26">
        <f>MonthlyData!BP26</f>
        <v>0</v>
      </c>
      <c r="H26">
        <f>MonthlyData!BN26</f>
        <v>0</v>
      </c>
      <c r="I26" s="4"/>
      <c r="J26" s="4"/>
      <c r="K26" s="4">
        <f t="shared" ca="1" si="2"/>
        <v>141888.21184797806</v>
      </c>
      <c r="L26" s="4"/>
      <c r="M26" s="4"/>
      <c r="N26" s="4">
        <f t="shared" ca="1" si="3"/>
        <v>4115427.67875621</v>
      </c>
      <c r="O26" s="4"/>
      <c r="P26" s="4"/>
    </row>
    <row r="27" spans="1:19" x14ac:dyDescent="0.35">
      <c r="A27" s="1">
        <f>MonthlyData!A27</f>
        <v>42401</v>
      </c>
      <c r="B27" s="13">
        <f t="shared" si="0"/>
        <v>2016</v>
      </c>
      <c r="C27" s="13">
        <f t="shared" si="1"/>
        <v>2</v>
      </c>
      <c r="D27" s="4">
        <f>MonthlyData!F27</f>
        <v>4373678.5316178575</v>
      </c>
      <c r="E27" s="4">
        <f t="shared" ca="1" si="4"/>
        <v>736.10085614037712</v>
      </c>
      <c r="F27" s="4">
        <f>MonthlyData!AF27</f>
        <v>732.41995472340568</v>
      </c>
      <c r="G27">
        <f>MonthlyData!BP27</f>
        <v>0</v>
      </c>
      <c r="H27">
        <f>MonthlyData!BN27</f>
        <v>0</v>
      </c>
      <c r="I27" s="4"/>
      <c r="J27" s="4"/>
      <c r="K27" s="4">
        <f t="shared" ca="1" si="2"/>
        <v>6962.1405151276467</v>
      </c>
      <c r="L27" s="4"/>
      <c r="M27" s="4"/>
      <c r="N27" s="4">
        <f t="shared" ca="1" si="3"/>
        <v>4380640.6721329847</v>
      </c>
      <c r="O27" s="4"/>
      <c r="P27" s="4"/>
    </row>
    <row r="28" spans="1:19" x14ac:dyDescent="0.35">
      <c r="A28" s="1">
        <f>MonthlyData!A28</f>
        <v>42430</v>
      </c>
      <c r="B28" s="13">
        <f t="shared" si="0"/>
        <v>2016</v>
      </c>
      <c r="C28" s="13">
        <f t="shared" si="1"/>
        <v>3</v>
      </c>
      <c r="D28" s="4">
        <f>MonthlyData!F28</f>
        <v>4078599.2188125048</v>
      </c>
      <c r="E28" s="4">
        <f t="shared" ca="1" si="4"/>
        <v>577.21697535249291</v>
      </c>
      <c r="F28" s="4">
        <f>MonthlyData!AF28</f>
        <v>515.41411900761977</v>
      </c>
      <c r="G28">
        <f>MonthlyData!BP28</f>
        <v>0</v>
      </c>
      <c r="H28">
        <f>MonthlyData!BN28</f>
        <v>0</v>
      </c>
      <c r="I28" s="4"/>
      <c r="J28" s="4"/>
      <c r="K28" s="4">
        <f t="shared" ca="1" si="2"/>
        <v>116895.3257279245</v>
      </c>
      <c r="L28" s="4"/>
      <c r="M28" s="4"/>
      <c r="N28" s="4">
        <f t="shared" ca="1" si="3"/>
        <v>4195494.5445404295</v>
      </c>
      <c r="O28" s="4"/>
      <c r="P28" s="4"/>
    </row>
    <row r="29" spans="1:19" x14ac:dyDescent="0.35">
      <c r="A29" s="1">
        <f>MonthlyData!A29</f>
        <v>42461</v>
      </c>
      <c r="B29" s="13">
        <f t="shared" si="0"/>
        <v>2016</v>
      </c>
      <c r="C29" s="13">
        <f t="shared" si="1"/>
        <v>4</v>
      </c>
      <c r="D29" s="4">
        <f>MonthlyData!F29</f>
        <v>3641025.3194270958</v>
      </c>
      <c r="E29" s="4">
        <f t="shared" ca="1" si="4"/>
        <v>307.33082472275549</v>
      </c>
      <c r="F29" s="4">
        <f>MonthlyData!AF29</f>
        <v>361.875</v>
      </c>
      <c r="G29">
        <f>MonthlyData!BP29</f>
        <v>0</v>
      </c>
      <c r="H29">
        <f>MonthlyData!BN29</f>
        <v>0</v>
      </c>
      <c r="I29" s="4"/>
      <c r="J29" s="4"/>
      <c r="K29" s="4">
        <f t="shared" ca="1" si="2"/>
        <v>-103166.0915478613</v>
      </c>
      <c r="L29" s="4"/>
      <c r="M29" s="4"/>
      <c r="N29" s="4">
        <f t="shared" ca="1" si="3"/>
        <v>3537859.2278792346</v>
      </c>
      <c r="O29" s="4"/>
      <c r="P29" s="4"/>
    </row>
    <row r="30" spans="1:19" x14ac:dyDescent="0.35">
      <c r="A30" s="1">
        <f>MonthlyData!A30</f>
        <v>42491</v>
      </c>
      <c r="B30" s="13">
        <f t="shared" si="0"/>
        <v>2016</v>
      </c>
      <c r="C30" s="13">
        <f t="shared" si="1"/>
        <v>5</v>
      </c>
      <c r="D30" s="4">
        <f>MonthlyData!F30</f>
        <v>3177152.5735410037</v>
      </c>
      <c r="E30" s="4">
        <f t="shared" ca="1" si="4"/>
        <v>103.00647094808046</v>
      </c>
      <c r="F30" s="4">
        <f>MonthlyData!AF30</f>
        <v>72.507170139097227</v>
      </c>
      <c r="G30">
        <f>MonthlyData!BP30</f>
        <v>0</v>
      </c>
      <c r="H30">
        <f>MonthlyData!BN30</f>
        <v>0</v>
      </c>
      <c r="I30" s="4"/>
      <c r="J30" s="4"/>
      <c r="K30" s="4">
        <f t="shared" ca="1" si="2"/>
        <v>57687.070038402846</v>
      </c>
      <c r="L30" s="4"/>
      <c r="M30" s="4"/>
      <c r="N30" s="4">
        <f t="shared" ca="1" si="3"/>
        <v>3234839.6435794067</v>
      </c>
      <c r="O30" s="4"/>
      <c r="P30" s="4"/>
    </row>
    <row r="31" spans="1:19" x14ac:dyDescent="0.35">
      <c r="A31" s="1">
        <f>MonthlyData!A31</f>
        <v>42522</v>
      </c>
      <c r="B31" s="13">
        <f t="shared" si="0"/>
        <v>2016</v>
      </c>
      <c r="C31" s="13">
        <f t="shared" si="1"/>
        <v>6</v>
      </c>
      <c r="D31" s="4">
        <f>MonthlyData!F31</f>
        <v>2739869.6835225313</v>
      </c>
      <c r="E31" s="4">
        <f t="shared" ca="1" si="4"/>
        <v>5.5889105735385218</v>
      </c>
      <c r="F31" s="4">
        <f>MonthlyData!AF31</f>
        <v>10.937500000000002</v>
      </c>
      <c r="G31">
        <f>MonthlyData!BP31</f>
        <v>0</v>
      </c>
      <c r="H31">
        <f>MonthlyData!BN31</f>
        <v>0</v>
      </c>
      <c r="I31" s="4"/>
      <c r="J31" s="4"/>
      <c r="K31" s="4">
        <f t="shared" ca="1" si="2"/>
        <v>-10116.443481224524</v>
      </c>
      <c r="L31" s="4"/>
      <c r="M31" s="4"/>
      <c r="N31" s="4">
        <f t="shared" ca="1" si="3"/>
        <v>2729753.2400413067</v>
      </c>
      <c r="O31" s="4"/>
      <c r="P31" s="4"/>
    </row>
    <row r="32" spans="1:19" x14ac:dyDescent="0.35">
      <c r="A32" s="1">
        <f>MonthlyData!A32</f>
        <v>42552</v>
      </c>
      <c r="B32" s="13">
        <f t="shared" si="0"/>
        <v>2016</v>
      </c>
      <c r="C32" s="13">
        <f t="shared" si="1"/>
        <v>7</v>
      </c>
      <c r="D32" s="4">
        <f>MonthlyData!F32</f>
        <v>2763767.6378775481</v>
      </c>
      <c r="E32" s="4">
        <f t="shared" ca="1" si="4"/>
        <v>0.28709633857318684</v>
      </c>
      <c r="F32" s="4">
        <f>MonthlyData!AF32</f>
        <v>0</v>
      </c>
      <c r="G32">
        <f>MonthlyData!BP32</f>
        <v>0</v>
      </c>
      <c r="H32">
        <f>MonthlyData!BN32</f>
        <v>0</v>
      </c>
      <c r="I32" s="4"/>
      <c r="J32" s="4"/>
      <c r="K32" s="4">
        <f t="shared" ca="1" si="2"/>
        <v>543.02053331538559</v>
      </c>
      <c r="L32" s="4"/>
      <c r="M32" s="4"/>
      <c r="N32" s="4">
        <f t="shared" ca="1" si="3"/>
        <v>2764310.6584108635</v>
      </c>
      <c r="O32" s="4"/>
      <c r="P32" s="4"/>
    </row>
    <row r="33" spans="1:16" x14ac:dyDescent="0.35">
      <c r="A33" s="1">
        <f>MonthlyData!A33</f>
        <v>42583</v>
      </c>
      <c r="B33" s="13">
        <f t="shared" si="0"/>
        <v>2016</v>
      </c>
      <c r="C33" s="13">
        <f t="shared" si="1"/>
        <v>8</v>
      </c>
      <c r="D33" s="4">
        <f>MonthlyData!F33</f>
        <v>2903630.3248763289</v>
      </c>
      <c r="E33" s="4">
        <f t="shared" ca="1" si="4"/>
        <v>1.6761707873342053</v>
      </c>
      <c r="F33" s="4">
        <f>MonthlyData!AF33</f>
        <v>0</v>
      </c>
      <c r="G33">
        <f>MonthlyData!BP33</f>
        <v>0</v>
      </c>
      <c r="H33">
        <f>MonthlyData!BN33</f>
        <v>0</v>
      </c>
      <c r="I33" s="4"/>
      <c r="J33" s="4"/>
      <c r="K33" s="4">
        <f t="shared" ca="1" si="2"/>
        <v>3170.3474847132616</v>
      </c>
      <c r="L33" s="4"/>
      <c r="M33" s="4"/>
      <c r="N33" s="4">
        <f t="shared" ca="1" si="3"/>
        <v>2906800.6723610424</v>
      </c>
      <c r="O33" s="4"/>
      <c r="P33" s="4"/>
    </row>
    <row r="34" spans="1:16" x14ac:dyDescent="0.35">
      <c r="A34" s="1">
        <f>MonthlyData!A34</f>
        <v>42614</v>
      </c>
      <c r="B34" s="13">
        <f t="shared" si="0"/>
        <v>2016</v>
      </c>
      <c r="C34" s="13">
        <f t="shared" si="1"/>
        <v>9</v>
      </c>
      <c r="D34" s="4">
        <f>MonthlyData!F34</f>
        <v>3021284.2970265597</v>
      </c>
      <c r="E34" s="4">
        <f t="shared" ca="1" si="4"/>
        <v>28.222326899712005</v>
      </c>
      <c r="F34" s="4">
        <f>MonthlyData!AF34</f>
        <v>7.7458333333333318</v>
      </c>
      <c r="G34">
        <f>MonthlyData!BP34</f>
        <v>0</v>
      </c>
      <c r="H34">
        <f>MonthlyData!BN34</f>
        <v>0</v>
      </c>
      <c r="I34" s="4"/>
      <c r="J34" s="4"/>
      <c r="K34" s="4">
        <f t="shared" ca="1" si="2"/>
        <v>38729.70485135429</v>
      </c>
      <c r="L34" s="4"/>
      <c r="M34" s="4"/>
      <c r="N34" s="4">
        <f t="shared" ca="1" si="3"/>
        <v>3060014.0018779142</v>
      </c>
      <c r="O34" s="4"/>
      <c r="P34" s="4"/>
    </row>
    <row r="35" spans="1:16" x14ac:dyDescent="0.35">
      <c r="A35" s="1">
        <f>MonthlyData!A35</f>
        <v>42644</v>
      </c>
      <c r="B35" s="13">
        <f t="shared" si="0"/>
        <v>2016</v>
      </c>
      <c r="C35" s="13">
        <f t="shared" si="1"/>
        <v>10</v>
      </c>
      <c r="D35" s="4">
        <f>MonthlyData!F35</f>
        <v>2625003.7267804854</v>
      </c>
      <c r="E35" s="4">
        <f t="shared" ca="1" si="4"/>
        <v>178.0244559176316</v>
      </c>
      <c r="F35" s="4">
        <f>MonthlyData!AF35</f>
        <v>165.32732502849939</v>
      </c>
      <c r="G35">
        <f>MonthlyData!BP35</f>
        <v>1</v>
      </c>
      <c r="H35">
        <f>MonthlyData!BN35</f>
        <v>0</v>
      </c>
      <c r="I35" s="4"/>
      <c r="J35" s="4"/>
      <c r="K35" s="4">
        <f t="shared" ca="1" si="2"/>
        <v>24015.641652755527</v>
      </c>
      <c r="L35" s="4"/>
      <c r="M35" s="4"/>
      <c r="N35" s="4">
        <f t="shared" ca="1" si="3"/>
        <v>2649019.3684332408</v>
      </c>
      <c r="O35" s="4"/>
      <c r="P35" s="4"/>
    </row>
    <row r="36" spans="1:16" x14ac:dyDescent="0.35">
      <c r="A36" s="1">
        <f>MonthlyData!A36</f>
        <v>42675</v>
      </c>
      <c r="B36" s="13">
        <f t="shared" si="0"/>
        <v>2016</v>
      </c>
      <c r="C36" s="13">
        <f t="shared" si="1"/>
        <v>11</v>
      </c>
      <c r="D36" s="4">
        <f>MonthlyData!F36</f>
        <v>3032250.0202558096</v>
      </c>
      <c r="E36" s="4">
        <f t="shared" ca="1" si="4"/>
        <v>403.99833333333333</v>
      </c>
      <c r="F36" s="4">
        <f>MonthlyData!AF36</f>
        <v>267.69583333333338</v>
      </c>
      <c r="G36">
        <f>MonthlyData!BP36</f>
        <v>1</v>
      </c>
      <c r="H36">
        <f>MonthlyData!BN36</f>
        <v>0</v>
      </c>
      <c r="I36" s="4"/>
      <c r="J36" s="4"/>
      <c r="K36" s="4">
        <f t="shared" ca="1" si="2"/>
        <v>257805.6432557127</v>
      </c>
      <c r="L36" s="4"/>
      <c r="M36" s="4"/>
      <c r="N36" s="4">
        <f t="shared" ca="1" si="3"/>
        <v>3290055.6635115221</v>
      </c>
      <c r="O36" s="4"/>
      <c r="P36" s="4"/>
    </row>
    <row r="37" spans="1:16" x14ac:dyDescent="0.35">
      <c r="A37" s="1">
        <f>MonthlyData!A37</f>
        <v>42705</v>
      </c>
      <c r="B37" s="13">
        <f t="shared" si="0"/>
        <v>2016</v>
      </c>
      <c r="C37" s="13">
        <f t="shared" si="1"/>
        <v>12</v>
      </c>
      <c r="D37" s="4">
        <f>MonthlyData!F37</f>
        <v>3246789.110919965</v>
      </c>
      <c r="E37" s="4">
        <f t="shared" ca="1" si="4"/>
        <v>629.70466952460959</v>
      </c>
      <c r="F37" s="4">
        <f>MonthlyData!AF37</f>
        <v>649.50833333333321</v>
      </c>
      <c r="G37">
        <f>MonthlyData!BP37</f>
        <v>0</v>
      </c>
      <c r="H37">
        <f>MonthlyData!BN37</f>
        <v>1</v>
      </c>
      <c r="I37" s="4"/>
      <c r="J37" s="4"/>
      <c r="K37" s="4">
        <f t="shared" ca="1" si="2"/>
        <v>-37457.099371089113</v>
      </c>
      <c r="L37" s="4"/>
      <c r="M37" s="4"/>
      <c r="N37" s="4">
        <f t="shared" ca="1" si="3"/>
        <v>3209332.0115488758</v>
      </c>
      <c r="O37" s="4"/>
      <c r="P37" s="4"/>
    </row>
    <row r="38" spans="1:16" x14ac:dyDescent="0.35">
      <c r="A38" s="1">
        <f>MonthlyData!A38</f>
        <v>42736</v>
      </c>
      <c r="B38" s="13">
        <f t="shared" si="0"/>
        <v>2017</v>
      </c>
      <c r="C38" s="13">
        <f t="shared" si="1"/>
        <v>1</v>
      </c>
      <c r="D38" s="4">
        <f>MonthlyData!F38</f>
        <v>4284025.074772466</v>
      </c>
      <c r="E38" s="4">
        <f t="shared" ca="1" si="4"/>
        <v>793.4846429373913</v>
      </c>
      <c r="F38" s="4">
        <f>MonthlyData!AF38</f>
        <v>625.60416666666674</v>
      </c>
      <c r="G38">
        <f>MonthlyData!BP38</f>
        <v>0</v>
      </c>
      <c r="H38">
        <f>MonthlyData!BN38</f>
        <v>0</v>
      </c>
      <c r="I38" s="4"/>
      <c r="J38" s="4"/>
      <c r="K38" s="4">
        <f t="shared" ca="1" si="2"/>
        <v>317532.94455383846</v>
      </c>
      <c r="L38" s="4"/>
      <c r="M38" s="4"/>
      <c r="N38" s="4">
        <f t="shared" ca="1" si="3"/>
        <v>4601558.0193263041</v>
      </c>
      <c r="O38" s="4"/>
      <c r="P38" s="4"/>
    </row>
    <row r="39" spans="1:16" x14ac:dyDescent="0.35">
      <c r="A39" s="1">
        <f>MonthlyData!A39</f>
        <v>42767</v>
      </c>
      <c r="B39" s="13">
        <f t="shared" si="0"/>
        <v>2017</v>
      </c>
      <c r="C39" s="13">
        <f t="shared" si="1"/>
        <v>2</v>
      </c>
      <c r="D39" s="4">
        <f>MonthlyData!F39</f>
        <v>4141946.425713704</v>
      </c>
      <c r="E39" s="4">
        <f t="shared" ca="1" si="4"/>
        <v>736.10085614037712</v>
      </c>
      <c r="F39" s="4">
        <f>MonthlyData!AF39</f>
        <v>608.23750000000007</v>
      </c>
      <c r="G39">
        <f>MonthlyData!BP39</f>
        <v>0</v>
      </c>
      <c r="H39">
        <f>MonthlyData!BN39</f>
        <v>0</v>
      </c>
      <c r="I39" s="4"/>
      <c r="J39" s="4"/>
      <c r="K39" s="4">
        <f t="shared" ca="1" si="2"/>
        <v>241843.65494839931</v>
      </c>
      <c r="L39" s="4"/>
      <c r="M39" s="4"/>
      <c r="N39" s="4">
        <f t="shared" ca="1" si="3"/>
        <v>4383790.0806621034</v>
      </c>
      <c r="O39" s="4"/>
      <c r="P39" s="4"/>
    </row>
    <row r="40" spans="1:16" x14ac:dyDescent="0.35">
      <c r="A40" s="1">
        <f>MonthlyData!A40</f>
        <v>42795</v>
      </c>
      <c r="B40" s="13">
        <f t="shared" si="0"/>
        <v>2017</v>
      </c>
      <c r="C40" s="13">
        <f t="shared" si="1"/>
        <v>3</v>
      </c>
      <c r="D40" s="4">
        <f>MonthlyData!F40</f>
        <v>3631178.1721385596</v>
      </c>
      <c r="E40" s="4">
        <f t="shared" ca="1" si="4"/>
        <v>577.21697535249291</v>
      </c>
      <c r="F40" s="4">
        <f>MonthlyData!AF40</f>
        <v>573.71046635567325</v>
      </c>
      <c r="G40">
        <f>MonthlyData!BP40</f>
        <v>0</v>
      </c>
      <c r="H40">
        <f>MonthlyData!BN40</f>
        <v>0</v>
      </c>
      <c r="I40" s="4"/>
      <c r="J40" s="4"/>
      <c r="K40" s="4">
        <f t="shared" ca="1" si="2"/>
        <v>6632.2907320631466</v>
      </c>
      <c r="L40" s="4"/>
      <c r="M40" s="4"/>
      <c r="N40" s="4">
        <f t="shared" ca="1" si="3"/>
        <v>3637810.462870623</v>
      </c>
      <c r="O40" s="4"/>
      <c r="P40" s="4"/>
    </row>
    <row r="41" spans="1:16" x14ac:dyDescent="0.35">
      <c r="A41" s="1">
        <f>MonthlyData!A41</f>
        <v>42826</v>
      </c>
      <c r="B41" s="13">
        <f t="shared" si="0"/>
        <v>2017</v>
      </c>
      <c r="C41" s="13">
        <f t="shared" si="1"/>
        <v>4</v>
      </c>
      <c r="D41" s="4">
        <f>MonthlyData!F41</f>
        <v>3784627.5028657969</v>
      </c>
      <c r="E41" s="4">
        <f t="shared" ca="1" si="4"/>
        <v>307.33082472275549</v>
      </c>
      <c r="F41" s="4">
        <f>MonthlyData!AF41</f>
        <v>246.73333333333338</v>
      </c>
      <c r="G41">
        <f>MonthlyData!BP41</f>
        <v>0</v>
      </c>
      <c r="H41">
        <f>MonthlyData!BN41</f>
        <v>0</v>
      </c>
      <c r="I41" s="4"/>
      <c r="J41" s="4"/>
      <c r="K41" s="4">
        <f t="shared" ca="1" si="2"/>
        <v>114615.47108330725</v>
      </c>
      <c r="L41" s="4"/>
      <c r="M41" s="4"/>
      <c r="N41" s="4">
        <f t="shared" ca="1" si="3"/>
        <v>3899242.9739491041</v>
      </c>
      <c r="O41" s="4"/>
      <c r="P41" s="4"/>
    </row>
    <row r="42" spans="1:16" x14ac:dyDescent="0.35">
      <c r="A42" s="1">
        <f>MonthlyData!A42</f>
        <v>42856</v>
      </c>
      <c r="B42" s="13">
        <f t="shared" si="0"/>
        <v>2017</v>
      </c>
      <c r="C42" s="13">
        <f t="shared" si="1"/>
        <v>5</v>
      </c>
      <c r="D42" s="4">
        <f>MonthlyData!F42</f>
        <v>3010340.6759071886</v>
      </c>
      <c r="E42" s="4">
        <f t="shared" ca="1" si="4"/>
        <v>103.00647094808046</v>
      </c>
      <c r="F42" s="4">
        <f>MonthlyData!AF42</f>
        <v>94.194629289914161</v>
      </c>
      <c r="G42">
        <f>MonthlyData!BP42</f>
        <v>0</v>
      </c>
      <c r="H42">
        <f>MonthlyData!BN42</f>
        <v>0</v>
      </c>
      <c r="I42" s="4"/>
      <c r="J42" s="4"/>
      <c r="K42" s="4">
        <f t="shared" ca="1" si="2"/>
        <v>16666.917385602246</v>
      </c>
      <c r="L42" s="4"/>
      <c r="M42" s="4"/>
      <c r="N42" s="4">
        <f t="shared" ca="1" si="3"/>
        <v>3027007.5932927909</v>
      </c>
      <c r="O42" s="4"/>
      <c r="P42" s="4"/>
    </row>
    <row r="43" spans="1:16" x14ac:dyDescent="0.35">
      <c r="A43" s="1">
        <f>MonthlyData!A43</f>
        <v>42887</v>
      </c>
      <c r="B43" s="13">
        <f t="shared" si="0"/>
        <v>2017</v>
      </c>
      <c r="C43" s="13">
        <f t="shared" si="1"/>
        <v>6</v>
      </c>
      <c r="D43" s="4">
        <f>MonthlyData!F43</f>
        <v>2828775.0668538539</v>
      </c>
      <c r="E43" s="4">
        <f t="shared" ca="1" si="4"/>
        <v>5.5889105735385218</v>
      </c>
      <c r="F43" s="4">
        <f>MonthlyData!AF43</f>
        <v>4.8083333333333345</v>
      </c>
      <c r="G43">
        <f>MonthlyData!BP43</f>
        <v>0</v>
      </c>
      <c r="H43">
        <f>MonthlyData!BN43</f>
        <v>0</v>
      </c>
      <c r="I43" s="4"/>
      <c r="J43" s="4"/>
      <c r="K43" s="4">
        <f t="shared" ca="1" si="2"/>
        <v>1476.4015151729966</v>
      </c>
      <c r="L43" s="4"/>
      <c r="M43" s="4"/>
      <c r="N43" s="4">
        <f t="shared" ca="1" si="3"/>
        <v>2830251.4683690267</v>
      </c>
      <c r="O43" s="4"/>
      <c r="P43" s="4"/>
    </row>
    <row r="44" spans="1:16" x14ac:dyDescent="0.35">
      <c r="A44" s="1">
        <f>MonthlyData!A44</f>
        <v>42917</v>
      </c>
      <c r="B44" s="13">
        <f t="shared" si="0"/>
        <v>2017</v>
      </c>
      <c r="C44" s="13">
        <f t="shared" si="1"/>
        <v>7</v>
      </c>
      <c r="D44" s="4">
        <f>MonthlyData!F44</f>
        <v>2615197.0309777902</v>
      </c>
      <c r="E44" s="4">
        <f t="shared" ca="1" si="4"/>
        <v>0.28709633857318684</v>
      </c>
      <c r="F44" s="4">
        <f>MonthlyData!AF44</f>
        <v>0</v>
      </c>
      <c r="G44">
        <f>MonthlyData!BP44</f>
        <v>0</v>
      </c>
      <c r="H44">
        <f>MonthlyData!BN44</f>
        <v>0</v>
      </c>
      <c r="I44" s="4"/>
      <c r="J44" s="4"/>
      <c r="K44" s="4">
        <f t="shared" ca="1" si="2"/>
        <v>543.02053331538559</v>
      </c>
      <c r="L44" s="4"/>
      <c r="M44" s="4"/>
      <c r="N44" s="4">
        <f t="shared" ca="1" si="3"/>
        <v>2615740.0515111056</v>
      </c>
      <c r="O44" s="4"/>
      <c r="P44" s="4"/>
    </row>
    <row r="45" spans="1:16" x14ac:dyDescent="0.35">
      <c r="A45" s="1">
        <f>MonthlyData!A45</f>
        <v>42948</v>
      </c>
      <c r="B45" s="13">
        <f t="shared" si="0"/>
        <v>2017</v>
      </c>
      <c r="C45" s="13">
        <f t="shared" si="1"/>
        <v>8</v>
      </c>
      <c r="D45" s="4">
        <f>MonthlyData!F45</f>
        <v>2773486.081661527</v>
      </c>
      <c r="E45" s="4">
        <f t="shared" ca="1" si="4"/>
        <v>1.6761707873342053</v>
      </c>
      <c r="F45" s="4">
        <f>MonthlyData!AF45</f>
        <v>2.2708333333333357</v>
      </c>
      <c r="G45">
        <f>MonthlyData!BP45</f>
        <v>0</v>
      </c>
      <c r="H45">
        <f>MonthlyData!BN45</f>
        <v>0</v>
      </c>
      <c r="I45" s="4"/>
      <c r="J45" s="4"/>
      <c r="K45" s="4">
        <f t="shared" ca="1" si="2"/>
        <v>-1124.7582413483663</v>
      </c>
      <c r="L45" s="4"/>
      <c r="M45" s="4"/>
      <c r="N45" s="4">
        <f t="shared" ca="1" si="3"/>
        <v>2772361.3234201786</v>
      </c>
      <c r="O45" s="4"/>
      <c r="P45" s="4"/>
    </row>
    <row r="46" spans="1:16" x14ac:dyDescent="0.35">
      <c r="A46" s="1">
        <f>MonthlyData!A46</f>
        <v>42979</v>
      </c>
      <c r="B46" s="13">
        <f t="shared" si="0"/>
        <v>2017</v>
      </c>
      <c r="C46" s="13">
        <f t="shared" si="1"/>
        <v>9</v>
      </c>
      <c r="D46" s="4">
        <f>MonthlyData!F46</f>
        <v>2668600.8868638426</v>
      </c>
      <c r="E46" s="4">
        <f t="shared" ca="1" si="4"/>
        <v>28.222326899712005</v>
      </c>
      <c r="F46" s="4">
        <f>MonthlyData!AF46</f>
        <v>19.666666666666668</v>
      </c>
      <c r="G46">
        <f>MonthlyData!BP46</f>
        <v>0</v>
      </c>
      <c r="H46">
        <f>MonthlyData!BN46</f>
        <v>0</v>
      </c>
      <c r="I46" s="4"/>
      <c r="J46" s="4"/>
      <c r="K46" s="4">
        <f t="shared" ca="1" si="2"/>
        <v>16182.370021515193</v>
      </c>
      <c r="L46" s="4"/>
      <c r="M46" s="4"/>
      <c r="N46" s="4">
        <f t="shared" ca="1" si="3"/>
        <v>2684783.2568853577</v>
      </c>
      <c r="O46" s="4"/>
      <c r="P46" s="4"/>
    </row>
    <row r="47" spans="1:16" x14ac:dyDescent="0.35">
      <c r="A47" s="1">
        <f>MonthlyData!A47</f>
        <v>43009</v>
      </c>
      <c r="B47" s="13">
        <f t="shared" si="0"/>
        <v>2017</v>
      </c>
      <c r="C47" s="13">
        <f t="shared" si="1"/>
        <v>10</v>
      </c>
      <c r="D47" s="4">
        <f>MonthlyData!F47</f>
        <v>2649865.1236280049</v>
      </c>
      <c r="E47" s="4">
        <f t="shared" ca="1" si="4"/>
        <v>178.0244559176316</v>
      </c>
      <c r="F47" s="4">
        <f>MonthlyData!AF47</f>
        <v>119.86995575588458</v>
      </c>
      <c r="G47">
        <f>MonthlyData!BP47</f>
        <v>1</v>
      </c>
      <c r="H47">
        <f>MonthlyData!BN47</f>
        <v>0</v>
      </c>
      <c r="I47" s="4"/>
      <c r="J47" s="4"/>
      <c r="K47" s="4">
        <f t="shared" ca="1" si="2"/>
        <v>109994.74200703322</v>
      </c>
      <c r="L47" s="4"/>
      <c r="M47" s="4"/>
      <c r="N47" s="4">
        <f t="shared" ca="1" si="3"/>
        <v>2759859.8656350384</v>
      </c>
      <c r="O47" s="4"/>
      <c r="P47" s="4"/>
    </row>
    <row r="48" spans="1:16" x14ac:dyDescent="0.35">
      <c r="A48" s="1">
        <f>MonthlyData!A48</f>
        <v>43040</v>
      </c>
      <c r="B48" s="13">
        <f t="shared" si="0"/>
        <v>2017</v>
      </c>
      <c r="C48" s="13">
        <f t="shared" si="1"/>
        <v>11</v>
      </c>
      <c r="D48" s="4">
        <f>MonthlyData!F48</f>
        <v>2903496.7581354552</v>
      </c>
      <c r="E48" s="4">
        <f t="shared" ca="1" si="4"/>
        <v>403.99833333333333</v>
      </c>
      <c r="F48" s="4">
        <f>MonthlyData!AF48</f>
        <v>468.65833333333336</v>
      </c>
      <c r="G48">
        <f>MonthlyData!BP48</f>
        <v>1</v>
      </c>
      <c r="H48">
        <f>MonthlyData!BN48</f>
        <v>0</v>
      </c>
      <c r="I48" s="4"/>
      <c r="J48" s="4"/>
      <c r="K48" s="4">
        <f t="shared" ca="1" si="2"/>
        <v>-122299.39210883436</v>
      </c>
      <c r="L48" s="4"/>
      <c r="M48" s="4"/>
      <c r="N48" s="4">
        <f t="shared" ca="1" si="3"/>
        <v>2781197.3660266208</v>
      </c>
      <c r="O48" s="4"/>
      <c r="P48" s="4"/>
    </row>
    <row r="49" spans="1:16" x14ac:dyDescent="0.35">
      <c r="A49" s="1">
        <f>MonthlyData!A49</f>
        <v>43070</v>
      </c>
      <c r="B49" s="13">
        <f t="shared" si="0"/>
        <v>2017</v>
      </c>
      <c r="C49" s="13">
        <f t="shared" si="1"/>
        <v>12</v>
      </c>
      <c r="D49" s="4">
        <f>MonthlyData!F49</f>
        <v>3605157.3879918298</v>
      </c>
      <c r="E49" s="4">
        <f t="shared" ca="1" si="4"/>
        <v>629.70466952460959</v>
      </c>
      <c r="F49" s="4">
        <f>MonthlyData!AF49</f>
        <v>807.0920673261536</v>
      </c>
      <c r="G49">
        <f>MonthlyData!BP49</f>
        <v>0</v>
      </c>
      <c r="H49">
        <f>MonthlyData!BN49</f>
        <v>1</v>
      </c>
      <c r="I49" s="4"/>
      <c r="J49" s="4"/>
      <c r="K49" s="4">
        <f t="shared" ca="1" si="2"/>
        <v>-335514.55179240339</v>
      </c>
      <c r="L49" s="4"/>
      <c r="M49" s="4"/>
      <c r="N49" s="4">
        <f t="shared" ca="1" si="3"/>
        <v>3269642.8361994266</v>
      </c>
      <c r="O49" s="4"/>
      <c r="P49" s="4"/>
    </row>
    <row r="50" spans="1:16" x14ac:dyDescent="0.35">
      <c r="A50" s="1">
        <f>MonthlyData!A50</f>
        <v>43101</v>
      </c>
      <c r="B50" s="13">
        <f t="shared" si="0"/>
        <v>2018</v>
      </c>
      <c r="C50" s="13">
        <f t="shared" si="1"/>
        <v>1</v>
      </c>
      <c r="D50" s="4">
        <f>MonthlyData!F50</f>
        <v>4536154.7431210773</v>
      </c>
      <c r="E50" s="4">
        <f t="shared" ca="1" si="4"/>
        <v>793.4846429373913</v>
      </c>
      <c r="F50" s="4">
        <f>MonthlyData!AF50</f>
        <v>810.98333333333335</v>
      </c>
      <c r="G50">
        <f>MonthlyData!BP50</f>
        <v>0</v>
      </c>
      <c r="H50">
        <f>MonthlyData!BN50</f>
        <v>0</v>
      </c>
      <c r="I50" s="4"/>
      <c r="J50" s="4"/>
      <c r="K50" s="4">
        <f t="shared" ca="1" si="2"/>
        <v>-33097.420323606704</v>
      </c>
      <c r="L50" s="4"/>
      <c r="M50" s="4"/>
      <c r="N50" s="4">
        <f t="shared" ca="1" si="3"/>
        <v>4503057.3227974707</v>
      </c>
      <c r="O50" s="4"/>
      <c r="P50" s="4"/>
    </row>
    <row r="51" spans="1:16" x14ac:dyDescent="0.35">
      <c r="A51" s="1">
        <f>MonthlyData!A51</f>
        <v>43132</v>
      </c>
      <c r="B51" s="13">
        <f t="shared" si="0"/>
        <v>2018</v>
      </c>
      <c r="C51" s="13">
        <f t="shared" si="1"/>
        <v>2</v>
      </c>
      <c r="D51" s="4">
        <f>MonthlyData!F51</f>
        <v>4527153.7188929524</v>
      </c>
      <c r="E51" s="4">
        <f t="shared" ca="1" si="4"/>
        <v>736.10085614037712</v>
      </c>
      <c r="F51" s="4">
        <f>MonthlyData!AF51</f>
        <v>705.50416666666672</v>
      </c>
      <c r="G51">
        <f>MonthlyData!BP51</f>
        <v>0</v>
      </c>
      <c r="H51">
        <f>MonthlyData!BN51</f>
        <v>0</v>
      </c>
      <c r="I51" s="4"/>
      <c r="J51" s="4"/>
      <c r="K51" s="4">
        <f t="shared" ca="1" si="2"/>
        <v>57871.273170082757</v>
      </c>
      <c r="L51" s="4"/>
      <c r="M51" s="4"/>
      <c r="N51" s="4">
        <f t="shared" ca="1" si="3"/>
        <v>4585024.9920630353</v>
      </c>
      <c r="O51" s="4"/>
      <c r="P51" s="4"/>
    </row>
    <row r="52" spans="1:16" x14ac:dyDescent="0.35">
      <c r="A52" s="1">
        <f>MonthlyData!A52</f>
        <v>43160</v>
      </c>
      <c r="B52" s="13">
        <f t="shared" si="0"/>
        <v>2018</v>
      </c>
      <c r="C52" s="13">
        <f t="shared" si="1"/>
        <v>3</v>
      </c>
      <c r="D52" s="4">
        <f>MonthlyData!F52</f>
        <v>3823633.2459336612</v>
      </c>
      <c r="E52" s="4">
        <f t="shared" ca="1" si="4"/>
        <v>577.21697535249291</v>
      </c>
      <c r="F52" s="4">
        <f>MonthlyData!AF52</f>
        <v>624.80416666666656</v>
      </c>
      <c r="G52">
        <f>MonthlyData!BP52</f>
        <v>0</v>
      </c>
      <c r="H52">
        <f>MonthlyData!BN52</f>
        <v>0</v>
      </c>
      <c r="I52" s="4"/>
      <c r="J52" s="4"/>
      <c r="K52" s="4">
        <f t="shared" ca="1" si="2"/>
        <v>-90007.494121407944</v>
      </c>
      <c r="L52" s="4"/>
      <c r="M52" s="4"/>
      <c r="N52" s="4">
        <f t="shared" ca="1" si="3"/>
        <v>3733625.7518122531</v>
      </c>
      <c r="O52" s="4"/>
      <c r="P52" s="4"/>
    </row>
    <row r="53" spans="1:16" x14ac:dyDescent="0.35">
      <c r="A53" s="1">
        <f>MonthlyData!A53</f>
        <v>43191</v>
      </c>
      <c r="B53" s="13">
        <f t="shared" si="0"/>
        <v>2018</v>
      </c>
      <c r="C53" s="13">
        <f t="shared" si="1"/>
        <v>4</v>
      </c>
      <c r="D53" s="4">
        <f>MonthlyData!F53</f>
        <v>3577310.9818680743</v>
      </c>
      <c r="E53" s="4">
        <f t="shared" ca="1" si="4"/>
        <v>307.33082472275549</v>
      </c>
      <c r="F53" s="4">
        <f>MonthlyData!AF53</f>
        <v>402.86250000000007</v>
      </c>
      <c r="G53">
        <f>MonthlyData!BP53</f>
        <v>0</v>
      </c>
      <c r="H53">
        <f>MonthlyData!BN53</f>
        <v>0</v>
      </c>
      <c r="I53" s="4"/>
      <c r="J53" s="4"/>
      <c r="K53" s="4">
        <f t="shared" ca="1" si="2"/>
        <v>-180690.77967128932</v>
      </c>
      <c r="L53" s="4"/>
      <c r="M53" s="4"/>
      <c r="N53" s="4">
        <f t="shared" ca="1" si="3"/>
        <v>3396620.2021967848</v>
      </c>
      <c r="O53" s="4"/>
      <c r="P53" s="4"/>
    </row>
    <row r="54" spans="1:16" x14ac:dyDescent="0.35">
      <c r="A54" s="1">
        <f>MonthlyData!A54</f>
        <v>43221</v>
      </c>
      <c r="B54" s="13">
        <f t="shared" si="0"/>
        <v>2018</v>
      </c>
      <c r="C54" s="13">
        <f t="shared" si="1"/>
        <v>5</v>
      </c>
      <c r="D54" s="4">
        <f>MonthlyData!F54</f>
        <v>3186058.7873352217</v>
      </c>
      <c r="E54" s="4">
        <f t="shared" ca="1" si="4"/>
        <v>103.00647094808046</v>
      </c>
      <c r="F54" s="4">
        <f>MonthlyData!AF54</f>
        <v>71.978468478130409</v>
      </c>
      <c r="G54">
        <f>MonthlyData!BP54</f>
        <v>0</v>
      </c>
      <c r="H54">
        <f>MonthlyData!BN54</f>
        <v>0</v>
      </c>
      <c r="I54" s="4"/>
      <c r="J54" s="4"/>
      <c r="K54" s="4">
        <f t="shared" ca="1" si="2"/>
        <v>58687.068364155595</v>
      </c>
      <c r="L54" s="4"/>
      <c r="M54" s="4"/>
      <c r="N54" s="4">
        <f t="shared" ca="1" si="3"/>
        <v>3244745.8556993771</v>
      </c>
      <c r="O54" s="4"/>
      <c r="P54" s="4"/>
    </row>
    <row r="55" spans="1:16" x14ac:dyDescent="0.35">
      <c r="A55" s="1">
        <f>MonthlyData!A55</f>
        <v>43252</v>
      </c>
      <c r="B55" s="13">
        <f t="shared" si="0"/>
        <v>2018</v>
      </c>
      <c r="C55" s="13">
        <f t="shared" si="1"/>
        <v>6</v>
      </c>
      <c r="D55" s="4">
        <f>MonthlyData!F55</f>
        <v>2724113.2649387745</v>
      </c>
      <c r="E55" s="4">
        <f t="shared" ca="1" si="4"/>
        <v>5.5889105735385218</v>
      </c>
      <c r="F55" s="4">
        <f>MonthlyData!AF55</f>
        <v>8.1458333333333357</v>
      </c>
      <c r="G55">
        <f>MonthlyData!BP55</f>
        <v>0</v>
      </c>
      <c r="H55">
        <f>MonthlyData!BN55</f>
        <v>0</v>
      </c>
      <c r="I55" s="4"/>
      <c r="J55" s="4"/>
      <c r="K55" s="4">
        <f t="shared" ca="1" si="2"/>
        <v>-4836.2217629469333</v>
      </c>
      <c r="L55" s="4"/>
      <c r="M55" s="4"/>
      <c r="N55" s="4">
        <f t="shared" ca="1" si="3"/>
        <v>2719277.0431758277</v>
      </c>
      <c r="O55" s="4"/>
      <c r="P55" s="4"/>
    </row>
    <row r="56" spans="1:16" x14ac:dyDescent="0.35">
      <c r="A56" s="1">
        <f>MonthlyData!A56</f>
        <v>43282</v>
      </c>
      <c r="B56" s="13">
        <f t="shared" si="0"/>
        <v>2018</v>
      </c>
      <c r="C56" s="13">
        <f t="shared" si="1"/>
        <v>7</v>
      </c>
      <c r="D56" s="4">
        <f>MonthlyData!F56</f>
        <v>2667498.1877178443</v>
      </c>
      <c r="E56" s="4">
        <f t="shared" ca="1" si="4"/>
        <v>0.28709633857318684</v>
      </c>
      <c r="F56" s="4">
        <f>MonthlyData!AF56</f>
        <v>0</v>
      </c>
      <c r="G56">
        <f>MonthlyData!BP56</f>
        <v>0</v>
      </c>
      <c r="H56">
        <f>MonthlyData!BN56</f>
        <v>0</v>
      </c>
      <c r="I56" s="4"/>
      <c r="J56" s="4"/>
      <c r="K56" s="4">
        <f t="shared" ca="1" si="2"/>
        <v>543.02053331538559</v>
      </c>
      <c r="L56" s="4"/>
      <c r="M56" s="4"/>
      <c r="N56" s="4">
        <f t="shared" ca="1" si="3"/>
        <v>2668041.2082511596</v>
      </c>
      <c r="O56" s="4"/>
      <c r="P56" s="4"/>
    </row>
    <row r="57" spans="1:16" x14ac:dyDescent="0.35">
      <c r="A57" s="1">
        <f>MonthlyData!A57</f>
        <v>43313</v>
      </c>
      <c r="B57" s="13">
        <f t="shared" si="0"/>
        <v>2018</v>
      </c>
      <c r="C57" s="13">
        <f t="shared" si="1"/>
        <v>8</v>
      </c>
      <c r="D57" s="4">
        <f>MonthlyData!F57</f>
        <v>3163717.0850223936</v>
      </c>
      <c r="E57" s="4">
        <f t="shared" ca="1" si="4"/>
        <v>1.6761707873342053</v>
      </c>
      <c r="F57" s="4">
        <f>MonthlyData!AF57</f>
        <v>0.77916666666666679</v>
      </c>
      <c r="G57">
        <f>MonthlyData!BP57</f>
        <v>0</v>
      </c>
      <c r="H57">
        <f>MonthlyData!BN57</f>
        <v>0</v>
      </c>
      <c r="I57" s="4"/>
      <c r="J57" s="4"/>
      <c r="K57" s="4">
        <f t="shared" ca="1" si="2"/>
        <v>1696.6139603581723</v>
      </c>
      <c r="L57" s="4"/>
      <c r="M57" s="4"/>
      <c r="N57" s="4">
        <f t="shared" ca="1" si="3"/>
        <v>3165413.6989827519</v>
      </c>
      <c r="O57" s="4"/>
      <c r="P57" s="4"/>
    </row>
    <row r="58" spans="1:16" x14ac:dyDescent="0.35">
      <c r="A58" s="1">
        <f>MonthlyData!A58</f>
        <v>43344</v>
      </c>
      <c r="B58" s="13">
        <f t="shared" si="0"/>
        <v>2018</v>
      </c>
      <c r="C58" s="13">
        <f t="shared" si="1"/>
        <v>9</v>
      </c>
      <c r="D58" s="4">
        <f>MonthlyData!F58</f>
        <v>2861088.3165282067</v>
      </c>
      <c r="E58" s="4">
        <f t="shared" ca="1" si="4"/>
        <v>28.222326899712005</v>
      </c>
      <c r="F58" s="4">
        <f>MonthlyData!AF58</f>
        <v>55.145833333333329</v>
      </c>
      <c r="G58">
        <f>MonthlyData!BP58</f>
        <v>0</v>
      </c>
      <c r="H58">
        <f>MonthlyData!BN58</f>
        <v>0</v>
      </c>
      <c r="I58" s="4"/>
      <c r="J58" s="4"/>
      <c r="K58" s="4">
        <f t="shared" ca="1" si="2"/>
        <v>-50923.731368236586</v>
      </c>
      <c r="L58" s="4"/>
      <c r="M58" s="4"/>
      <c r="N58" s="4">
        <f t="shared" ca="1" si="3"/>
        <v>2810164.58515997</v>
      </c>
      <c r="O58" s="4"/>
      <c r="P58" s="4"/>
    </row>
    <row r="59" spans="1:16" x14ac:dyDescent="0.35">
      <c r="A59" s="1">
        <f>MonthlyData!A59</f>
        <v>43374</v>
      </c>
      <c r="B59" s="13">
        <f t="shared" si="0"/>
        <v>2018</v>
      </c>
      <c r="C59" s="13">
        <f t="shared" si="1"/>
        <v>10</v>
      </c>
      <c r="D59" s="4">
        <f>MonthlyData!F59</f>
        <v>2699552.3326085135</v>
      </c>
      <c r="E59" s="4">
        <f t="shared" ca="1" si="4"/>
        <v>178.0244559176316</v>
      </c>
      <c r="F59" s="4">
        <f>MonthlyData!AF59</f>
        <v>285.1166956035878</v>
      </c>
      <c r="G59">
        <f>MonthlyData!BP59</f>
        <v>1</v>
      </c>
      <c r="H59">
        <f>MonthlyData!BN59</f>
        <v>0</v>
      </c>
      <c r="I59" s="4"/>
      <c r="J59" s="4"/>
      <c r="K59" s="4">
        <f t="shared" ca="1" si="2"/>
        <v>-202556.69367717329</v>
      </c>
      <c r="L59" s="4"/>
      <c r="M59" s="4"/>
      <c r="N59" s="4">
        <f t="shared" ca="1" si="3"/>
        <v>2496995.6389313401</v>
      </c>
      <c r="O59" s="4"/>
      <c r="P59" s="4"/>
    </row>
    <row r="60" spans="1:16" x14ac:dyDescent="0.35">
      <c r="A60" s="1">
        <f>MonthlyData!A60</f>
        <v>43405</v>
      </c>
      <c r="B60" s="13">
        <f t="shared" si="0"/>
        <v>2018</v>
      </c>
      <c r="C60" s="13">
        <f t="shared" si="1"/>
        <v>11</v>
      </c>
      <c r="D60" s="4">
        <f>MonthlyData!F60</f>
        <v>3237543.4805977391</v>
      </c>
      <c r="E60" s="4">
        <f t="shared" ca="1" si="4"/>
        <v>403.99833333333333</v>
      </c>
      <c r="F60" s="4">
        <f>MonthlyData!AF60</f>
        <v>510.11249999999995</v>
      </c>
      <c r="G60">
        <f>MonthlyData!BP60</f>
        <v>1</v>
      </c>
      <c r="H60">
        <f>MonthlyData!BN60</f>
        <v>0</v>
      </c>
      <c r="I60" s="4"/>
      <c r="J60" s="4"/>
      <c r="K60" s="4">
        <f t="shared" ca="1" si="2"/>
        <v>-200706.74416128761</v>
      </c>
      <c r="L60" s="4"/>
      <c r="M60" s="4"/>
      <c r="N60" s="4">
        <f t="shared" ca="1" si="3"/>
        <v>3036836.7364364513</v>
      </c>
      <c r="O60" s="4"/>
      <c r="P60" s="4"/>
    </row>
    <row r="61" spans="1:16" x14ac:dyDescent="0.35">
      <c r="A61" s="1">
        <f>MonthlyData!A61</f>
        <v>43435</v>
      </c>
      <c r="B61" s="13">
        <f t="shared" si="0"/>
        <v>2018</v>
      </c>
      <c r="C61" s="13">
        <f t="shared" si="1"/>
        <v>12</v>
      </c>
      <c r="D61" s="4">
        <f>MonthlyData!F61</f>
        <v>3603896.0650398619</v>
      </c>
      <c r="E61" s="4">
        <f t="shared" ca="1" si="4"/>
        <v>629.70466952460959</v>
      </c>
      <c r="F61" s="4">
        <f>MonthlyData!AF61</f>
        <v>622.70000000000005</v>
      </c>
      <c r="G61">
        <f>MonthlyData!BP61</f>
        <v>0</v>
      </c>
      <c r="H61">
        <f>MonthlyData!BN61</f>
        <v>1</v>
      </c>
      <c r="I61" s="4"/>
      <c r="J61" s="4"/>
      <c r="K61" s="4">
        <f t="shared" ca="1" si="2"/>
        <v>13248.790980250915</v>
      </c>
      <c r="L61" s="4"/>
      <c r="M61" s="4"/>
      <c r="N61" s="4">
        <f t="shared" ca="1" si="3"/>
        <v>3617144.856020113</v>
      </c>
      <c r="O61" s="4"/>
      <c r="P61" s="4"/>
    </row>
    <row r="62" spans="1:16" x14ac:dyDescent="0.35">
      <c r="A62" s="1">
        <f>MonthlyData!A62</f>
        <v>43466</v>
      </c>
      <c r="B62" s="13">
        <f t="shared" si="0"/>
        <v>2019</v>
      </c>
      <c r="C62" s="13">
        <f t="shared" si="1"/>
        <v>1</v>
      </c>
      <c r="D62" s="4">
        <f>MonthlyData!F62</f>
        <v>4201767.5984519115</v>
      </c>
      <c r="E62" s="4">
        <f t="shared" ca="1" si="4"/>
        <v>793.4846429373913</v>
      </c>
      <c r="F62" s="4">
        <f>MonthlyData!AF62</f>
        <v>937.74938350982984</v>
      </c>
      <c r="G62">
        <f>MonthlyData!BP62</f>
        <v>0</v>
      </c>
      <c r="H62">
        <f>MonthlyData!BN62</f>
        <v>0</v>
      </c>
      <c r="I62" s="4"/>
      <c r="J62" s="4"/>
      <c r="K62" s="4">
        <f t="shared" ca="1" si="2"/>
        <v>-272865.60585753043</v>
      </c>
      <c r="L62" s="4"/>
      <c r="M62" s="4"/>
      <c r="N62" s="4">
        <f t="shared" ca="1" si="3"/>
        <v>3928901.9925943809</v>
      </c>
      <c r="O62" s="4"/>
      <c r="P62" s="4"/>
    </row>
    <row r="63" spans="1:16" x14ac:dyDescent="0.35">
      <c r="A63" s="1">
        <f>MonthlyData!A63</f>
        <v>43497</v>
      </c>
      <c r="B63" s="13">
        <f t="shared" si="0"/>
        <v>2019</v>
      </c>
      <c r="C63" s="13">
        <f t="shared" si="1"/>
        <v>2</v>
      </c>
      <c r="D63" s="4">
        <f>MonthlyData!F63</f>
        <v>4731159.0052934075</v>
      </c>
      <c r="E63" s="4">
        <f t="shared" ca="1" si="4"/>
        <v>736.10085614037712</v>
      </c>
      <c r="F63" s="4">
        <f>MonthlyData!AF63</f>
        <v>755.45416666666677</v>
      </c>
      <c r="G63">
        <f>MonthlyData!BP63</f>
        <v>0</v>
      </c>
      <c r="H63">
        <f>MonthlyData!BN63</f>
        <v>0</v>
      </c>
      <c r="I63" s="4"/>
      <c r="J63" s="4"/>
      <c r="K63" s="4">
        <f t="shared" ca="1" si="2"/>
        <v>-36605.290947397589</v>
      </c>
      <c r="L63" s="4"/>
      <c r="M63" s="4"/>
      <c r="N63" s="4">
        <f t="shared" ca="1" si="3"/>
        <v>4694553.7143460102</v>
      </c>
      <c r="O63" s="4"/>
      <c r="P63" s="4"/>
    </row>
    <row r="64" spans="1:16" x14ac:dyDescent="0.35">
      <c r="A64" s="1">
        <f>MonthlyData!A64</f>
        <v>43525</v>
      </c>
      <c r="B64" s="13">
        <f t="shared" si="0"/>
        <v>2019</v>
      </c>
      <c r="C64" s="13">
        <f t="shared" si="1"/>
        <v>3</v>
      </c>
      <c r="D64" s="4">
        <f>MonthlyData!F64</f>
        <v>3958865.8288539383</v>
      </c>
      <c r="E64" s="4">
        <f t="shared" ca="1" si="4"/>
        <v>577.21697535249291</v>
      </c>
      <c r="F64" s="4">
        <f>MonthlyData!AF64</f>
        <v>574.84424598258033</v>
      </c>
      <c r="G64">
        <f>MonthlyData!BP64</f>
        <v>0</v>
      </c>
      <c r="H64">
        <f>MonthlyData!BN64</f>
        <v>0</v>
      </c>
      <c r="I64" s="4"/>
      <c r="J64" s="4"/>
      <c r="K64" s="4">
        <f t="shared" ca="1" si="2"/>
        <v>4487.8342032026849</v>
      </c>
      <c r="L64" s="4"/>
      <c r="M64" s="4"/>
      <c r="N64" s="4">
        <f t="shared" ca="1" si="3"/>
        <v>3963353.663057141</v>
      </c>
      <c r="O64" s="4"/>
      <c r="P64" s="4"/>
    </row>
    <row r="65" spans="1:16" x14ac:dyDescent="0.35">
      <c r="A65" s="1">
        <f>MonthlyData!A65</f>
        <v>43556</v>
      </c>
      <c r="B65" s="13">
        <f t="shared" si="0"/>
        <v>2019</v>
      </c>
      <c r="C65" s="13">
        <f t="shared" si="1"/>
        <v>4</v>
      </c>
      <c r="D65" s="4">
        <f>MonthlyData!F65</f>
        <v>3717277.5404794915</v>
      </c>
      <c r="E65" s="4">
        <f t="shared" ca="1" si="4"/>
        <v>307.33082472275549</v>
      </c>
      <c r="F65" s="4">
        <f>MonthlyData!AF65</f>
        <v>295.23333333333335</v>
      </c>
      <c r="G65">
        <f>MonthlyData!BP65</f>
        <v>0</v>
      </c>
      <c r="H65">
        <f>MonthlyData!BN65</f>
        <v>0</v>
      </c>
      <c r="I65" s="4"/>
      <c r="J65" s="4"/>
      <c r="K65" s="4">
        <f t="shared" ca="1" si="2"/>
        <v>22881.469888156291</v>
      </c>
      <c r="L65" s="4"/>
      <c r="M65" s="4"/>
      <c r="N65" s="4">
        <f t="shared" ca="1" si="3"/>
        <v>3740159.0103676477</v>
      </c>
      <c r="O65" s="4"/>
      <c r="P65" s="4"/>
    </row>
    <row r="66" spans="1:16" x14ac:dyDescent="0.35">
      <c r="A66" s="1">
        <f>MonthlyData!A66</f>
        <v>43586</v>
      </c>
      <c r="B66" s="13">
        <f t="shared" si="0"/>
        <v>2019</v>
      </c>
      <c r="C66" s="13">
        <f t="shared" si="1"/>
        <v>5</v>
      </c>
      <c r="D66" s="4">
        <f>MonthlyData!F66</f>
        <v>3119229.5605003946</v>
      </c>
      <c r="E66" s="4">
        <f t="shared" ca="1" si="4"/>
        <v>103.00647094808046</v>
      </c>
      <c r="F66" s="4">
        <f>MonthlyData!AF66</f>
        <v>95.812499999999957</v>
      </c>
      <c r="G66">
        <f>MonthlyData!BP66</f>
        <v>0</v>
      </c>
      <c r="H66">
        <f>MonthlyData!BN66</f>
        <v>0</v>
      </c>
      <c r="I66" s="4"/>
      <c r="J66" s="4"/>
      <c r="K66" s="4">
        <f t="shared" ca="1" si="2"/>
        <v>13606.839990703065</v>
      </c>
      <c r="L66" s="4"/>
      <c r="M66" s="4"/>
      <c r="N66" s="4">
        <f t="shared" ca="1" si="3"/>
        <v>3132836.4004910975</v>
      </c>
      <c r="O66" s="4"/>
      <c r="P66" s="4"/>
    </row>
    <row r="67" spans="1:16" x14ac:dyDescent="0.35">
      <c r="A67" s="1">
        <f>MonthlyData!A67</f>
        <v>43617</v>
      </c>
      <c r="B67" s="13">
        <f t="shared" ref="B67:B130" si="5">YEAR(A67)</f>
        <v>2019</v>
      </c>
      <c r="C67" s="13">
        <f t="shared" ref="C67:C130" si="6">MONTH(A67)</f>
        <v>6</v>
      </c>
      <c r="D67" s="4">
        <f>MonthlyData!F67</f>
        <v>2814109.7860574927</v>
      </c>
      <c r="E67" s="4">
        <f t="shared" ca="1" si="4"/>
        <v>5.5889105735385218</v>
      </c>
      <c r="F67" s="4">
        <f>MonthlyData!AF67</f>
        <v>10.320833333333335</v>
      </c>
      <c r="G67">
        <f>MonthlyData!BP67</f>
        <v>0</v>
      </c>
      <c r="H67">
        <f>MonthlyData!BN67</f>
        <v>0</v>
      </c>
      <c r="I67" s="4"/>
      <c r="J67" s="4"/>
      <c r="K67" s="4">
        <f t="shared" ref="K67:K121" ca="1" si="7">(E67-F67)*$Q$9</f>
        <v>-8950.0661464408167</v>
      </c>
      <c r="L67" s="4"/>
      <c r="M67" s="4"/>
      <c r="N67" s="4">
        <f t="shared" ref="N67:N121" ca="1" si="8">D67+K67</f>
        <v>2805159.7199110519</v>
      </c>
      <c r="O67" s="4"/>
      <c r="P67" s="4"/>
    </row>
    <row r="68" spans="1:16" x14ac:dyDescent="0.35">
      <c r="A68" s="1">
        <f>MonthlyData!A68</f>
        <v>43647</v>
      </c>
      <c r="B68" s="13">
        <f t="shared" si="5"/>
        <v>2019</v>
      </c>
      <c r="C68" s="13">
        <f t="shared" si="6"/>
        <v>7</v>
      </c>
      <c r="D68" s="4">
        <f>MonthlyData!F68</f>
        <v>2659220.8806687742</v>
      </c>
      <c r="E68" s="4">
        <f t="shared" ca="1" si="4"/>
        <v>0.28709633857318684</v>
      </c>
      <c r="F68" s="4">
        <f>MonthlyData!AF68</f>
        <v>0</v>
      </c>
      <c r="G68">
        <f>MonthlyData!BP68</f>
        <v>0</v>
      </c>
      <c r="H68">
        <f>MonthlyData!BN68</f>
        <v>0</v>
      </c>
      <c r="I68" s="4"/>
      <c r="J68" s="4"/>
      <c r="K68" s="4">
        <f t="shared" ca="1" si="7"/>
        <v>543.02053331538559</v>
      </c>
      <c r="L68" s="4"/>
      <c r="M68" s="4"/>
      <c r="N68" s="4">
        <f t="shared" ca="1" si="8"/>
        <v>2659763.9012020896</v>
      </c>
      <c r="O68" s="4"/>
      <c r="P68" s="4"/>
    </row>
    <row r="69" spans="1:16" x14ac:dyDescent="0.35">
      <c r="A69" s="1">
        <f>MonthlyData!A69</f>
        <v>43678</v>
      </c>
      <c r="B69" s="13">
        <f t="shared" si="5"/>
        <v>2019</v>
      </c>
      <c r="C69" s="13">
        <f t="shared" si="6"/>
        <v>8</v>
      </c>
      <c r="D69" s="4">
        <f>MonthlyData!F69</f>
        <v>3150272.9022329389</v>
      </c>
      <c r="E69" s="4">
        <f t="shared" ca="1" si="4"/>
        <v>1.6761707873342053</v>
      </c>
      <c r="F69" s="4">
        <f>MonthlyData!AF69</f>
        <v>9.3492078733420492</v>
      </c>
      <c r="G69">
        <f>MonthlyData!BP69</f>
        <v>0</v>
      </c>
      <c r="H69">
        <f>MonthlyData!BN69</f>
        <v>0</v>
      </c>
      <c r="I69" s="4"/>
      <c r="J69" s="4"/>
      <c r="K69" s="4">
        <f t="shared" ca="1" si="7"/>
        <v>-14512.95656120168</v>
      </c>
      <c r="L69" s="4"/>
      <c r="M69" s="4"/>
      <c r="N69" s="4">
        <f t="shared" ca="1" si="8"/>
        <v>3135759.9456717372</v>
      </c>
      <c r="O69" s="4"/>
      <c r="P69" s="4"/>
    </row>
    <row r="70" spans="1:16" x14ac:dyDescent="0.35">
      <c r="A70" s="1">
        <f>MonthlyData!A70</f>
        <v>43709</v>
      </c>
      <c r="B70" s="13">
        <f t="shared" si="5"/>
        <v>2019</v>
      </c>
      <c r="C70" s="13">
        <f t="shared" si="6"/>
        <v>9</v>
      </c>
      <c r="D70" s="4">
        <f>MonthlyData!F70</f>
        <v>2819850.5793669079</v>
      </c>
      <c r="E70" s="4">
        <f t="shared" ca="1" si="4"/>
        <v>28.222326899712005</v>
      </c>
      <c r="F70" s="4">
        <f>MonthlyData!AF70</f>
        <v>29.270833333333339</v>
      </c>
      <c r="G70">
        <f>MonthlyData!BP70</f>
        <v>0</v>
      </c>
      <c r="H70">
        <f>MonthlyData!BN70</f>
        <v>0</v>
      </c>
      <c r="I70" s="4"/>
      <c r="J70" s="4"/>
      <c r="K70" s="4">
        <f t="shared" ca="1" si="7"/>
        <v>-1983.168874947278</v>
      </c>
      <c r="L70" s="4"/>
      <c r="M70" s="4"/>
      <c r="N70" s="4">
        <f t="shared" ca="1" si="8"/>
        <v>2817867.4104919606</v>
      </c>
      <c r="O70" s="4"/>
      <c r="P70" s="4"/>
    </row>
    <row r="71" spans="1:16" x14ac:dyDescent="0.35">
      <c r="A71" s="1">
        <f>MonthlyData!A71</f>
        <v>43739</v>
      </c>
      <c r="B71" s="13">
        <f t="shared" si="5"/>
        <v>2019</v>
      </c>
      <c r="C71" s="13">
        <f t="shared" si="6"/>
        <v>10</v>
      </c>
      <c r="D71" s="4">
        <f>MonthlyData!F71</f>
        <v>2715126.9884351878</v>
      </c>
      <c r="E71" s="4">
        <f t="shared" ca="1" si="4"/>
        <v>178.0244559176316</v>
      </c>
      <c r="F71" s="4">
        <f>MonthlyData!AF71</f>
        <v>151.38749999999999</v>
      </c>
      <c r="G71">
        <f>MonthlyData!BP71</f>
        <v>1</v>
      </c>
      <c r="H71">
        <f>MonthlyData!BN71</f>
        <v>0</v>
      </c>
      <c r="I71" s="4"/>
      <c r="J71" s="4"/>
      <c r="K71" s="4">
        <f t="shared" ca="1" si="7"/>
        <v>50381.743216148512</v>
      </c>
      <c r="L71" s="4"/>
      <c r="M71" s="4"/>
      <c r="N71" s="4">
        <f t="shared" ca="1" si="8"/>
        <v>2765508.7316513364</v>
      </c>
      <c r="O71" s="4"/>
      <c r="P71" s="4"/>
    </row>
    <row r="72" spans="1:16" x14ac:dyDescent="0.35">
      <c r="A72" s="1">
        <f>MonthlyData!A72</f>
        <v>43770</v>
      </c>
      <c r="B72" s="13">
        <f t="shared" si="5"/>
        <v>2019</v>
      </c>
      <c r="C72" s="13">
        <f t="shared" si="6"/>
        <v>11</v>
      </c>
      <c r="D72" s="4">
        <f>MonthlyData!F72</f>
        <v>3069611.5170936594</v>
      </c>
      <c r="E72" s="4">
        <f t="shared" ca="1" si="4"/>
        <v>403.99833333333333</v>
      </c>
      <c r="F72" s="4">
        <f>MonthlyData!AF72</f>
        <v>493.48750000000007</v>
      </c>
      <c r="G72">
        <f>MonthlyData!BP72</f>
        <v>1</v>
      </c>
      <c r="H72">
        <f>MonthlyData!BN72</f>
        <v>0</v>
      </c>
      <c r="I72" s="4"/>
      <c r="J72" s="4"/>
      <c r="K72" s="4">
        <f t="shared" ca="1" si="7"/>
        <v>-169261.8416897541</v>
      </c>
      <c r="L72" s="4"/>
      <c r="M72" s="4"/>
      <c r="N72" s="4">
        <f t="shared" ca="1" si="8"/>
        <v>2900349.6754039051</v>
      </c>
      <c r="O72" s="4"/>
      <c r="P72" s="4"/>
    </row>
    <row r="73" spans="1:16" x14ac:dyDescent="0.35">
      <c r="A73" s="1">
        <f>MonthlyData!A73</f>
        <v>43800</v>
      </c>
      <c r="B73" s="13">
        <f t="shared" si="5"/>
        <v>2019</v>
      </c>
      <c r="C73" s="13">
        <f t="shared" si="6"/>
        <v>12</v>
      </c>
      <c r="D73" s="4">
        <f>MonthlyData!F73</f>
        <v>3682927.0591493947</v>
      </c>
      <c r="E73" s="4">
        <f t="shared" ca="1" si="4"/>
        <v>629.70466952460959</v>
      </c>
      <c r="F73" s="4">
        <f>MonthlyData!AF73</f>
        <v>702.36249999999995</v>
      </c>
      <c r="G73">
        <f>MonthlyData!BP73</f>
        <v>0</v>
      </c>
      <c r="H73">
        <f>MonthlyData!BN73</f>
        <v>1</v>
      </c>
      <c r="I73" s="4"/>
      <c r="J73" s="4"/>
      <c r="K73" s="4">
        <f t="shared" ca="1" si="7"/>
        <v>-137426.67026116577</v>
      </c>
      <c r="L73" s="4"/>
      <c r="M73" s="4"/>
      <c r="N73" s="4">
        <f t="shared" ca="1" si="8"/>
        <v>3545500.3888882292</v>
      </c>
      <c r="O73" s="4"/>
      <c r="P73" s="4"/>
    </row>
    <row r="74" spans="1:16" x14ac:dyDescent="0.35">
      <c r="A74" s="1">
        <f>MonthlyData!A74</f>
        <v>43831</v>
      </c>
      <c r="B74" s="13">
        <f t="shared" si="5"/>
        <v>2020</v>
      </c>
      <c r="C74" s="13">
        <f t="shared" si="6"/>
        <v>1</v>
      </c>
      <c r="D74" s="4">
        <f>MonthlyData!F74</f>
        <v>4335064.0073985169</v>
      </c>
      <c r="E74" s="4">
        <f t="shared" ca="1" si="4"/>
        <v>793.4846429373913</v>
      </c>
      <c r="F74" s="4">
        <f>MonthlyData!AF74</f>
        <v>692.15</v>
      </c>
      <c r="G74">
        <f>MonthlyData!BP74</f>
        <v>0</v>
      </c>
      <c r="H74">
        <f>MonthlyData!BN74</f>
        <v>0</v>
      </c>
      <c r="I74" s="4"/>
      <c r="J74" s="4"/>
      <c r="K74" s="4">
        <f t="shared" ca="1" si="7"/>
        <v>191666.64446038878</v>
      </c>
      <c r="L74" s="4"/>
      <c r="M74" s="4"/>
      <c r="N74" s="4">
        <f t="shared" ca="1" si="8"/>
        <v>4526730.6518589053</v>
      </c>
      <c r="O74" s="4"/>
      <c r="P74" s="4"/>
    </row>
    <row r="75" spans="1:16" x14ac:dyDescent="0.35">
      <c r="A75" s="1">
        <f>MonthlyData!A75</f>
        <v>43862</v>
      </c>
      <c r="B75" s="13">
        <f t="shared" si="5"/>
        <v>2020</v>
      </c>
      <c r="C75" s="13">
        <f t="shared" si="6"/>
        <v>2</v>
      </c>
      <c r="D75" s="4">
        <f>MonthlyData!F75</f>
        <v>4140385.8750499859</v>
      </c>
      <c r="E75" s="4">
        <f t="shared" ca="1" si="4"/>
        <v>736.10085614037712</v>
      </c>
      <c r="F75" s="4">
        <f>MonthlyData!AF75</f>
        <v>654.39166666666677</v>
      </c>
      <c r="G75">
        <f>MonthlyData!BP75</f>
        <v>0</v>
      </c>
      <c r="H75">
        <f>MonthlyData!BN75</f>
        <v>0</v>
      </c>
      <c r="I75" s="4"/>
      <c r="J75" s="4"/>
      <c r="K75" s="4">
        <f t="shared" ca="1" si="7"/>
        <v>154546.61618218897</v>
      </c>
      <c r="L75" s="4"/>
      <c r="M75" s="4"/>
      <c r="N75" s="4">
        <f t="shared" ca="1" si="8"/>
        <v>4294932.4912321754</v>
      </c>
      <c r="O75" s="4"/>
      <c r="P75" s="4"/>
    </row>
    <row r="76" spans="1:16" x14ac:dyDescent="0.35">
      <c r="A76" s="1">
        <f>MonthlyData!A76</f>
        <v>43891</v>
      </c>
      <c r="B76" s="13">
        <f t="shared" si="5"/>
        <v>2020</v>
      </c>
      <c r="C76" s="13">
        <f t="shared" si="6"/>
        <v>3</v>
      </c>
      <c r="D76" s="4">
        <f>MonthlyData!F76</f>
        <v>3848248.3152240166</v>
      </c>
      <c r="E76" s="4">
        <f t="shared" ca="1" si="4"/>
        <v>577.21697535249291</v>
      </c>
      <c r="F76" s="4">
        <f>MonthlyData!AF76</f>
        <v>514.9666666666667</v>
      </c>
      <c r="G76">
        <f>MonthlyData!BP76</f>
        <v>0</v>
      </c>
      <c r="H76">
        <f>MonthlyData!BN76</f>
        <v>0</v>
      </c>
      <c r="I76" s="4"/>
      <c r="J76" s="4"/>
      <c r="K76" s="4">
        <f t="shared" ca="1" si="7"/>
        <v>117741.647245033</v>
      </c>
      <c r="L76" s="4"/>
      <c r="M76" s="4"/>
      <c r="N76" s="4">
        <f t="shared" ca="1" si="8"/>
        <v>3965989.9624690497</v>
      </c>
      <c r="O76" s="4"/>
      <c r="P76" s="4"/>
    </row>
    <row r="77" spans="1:16" x14ac:dyDescent="0.35">
      <c r="A77" s="1">
        <f>MonthlyData!A77</f>
        <v>43922</v>
      </c>
      <c r="B77" s="13">
        <f t="shared" si="5"/>
        <v>2020</v>
      </c>
      <c r="C77" s="13">
        <f t="shared" si="6"/>
        <v>4</v>
      </c>
      <c r="D77" s="4">
        <f>MonthlyData!F77</f>
        <v>3687997.4999043434</v>
      </c>
      <c r="E77" s="4">
        <f t="shared" ca="1" si="4"/>
        <v>307.33082472275549</v>
      </c>
      <c r="F77" s="4">
        <f>MonthlyData!AF77</f>
        <v>343.1875</v>
      </c>
      <c r="G77">
        <f>MonthlyData!BP77</f>
        <v>0</v>
      </c>
      <c r="H77">
        <f>MonthlyData!BN77</f>
        <v>0</v>
      </c>
      <c r="I77" s="4"/>
      <c r="J77" s="4"/>
      <c r="K77" s="4">
        <f t="shared" ca="1" si="7"/>
        <v>-67820.129747152343</v>
      </c>
      <c r="L77" s="4"/>
      <c r="M77" s="4"/>
      <c r="N77" s="4">
        <f t="shared" ca="1" si="8"/>
        <v>3620177.3701571911</v>
      </c>
      <c r="O77" s="4"/>
      <c r="P77" s="4"/>
    </row>
    <row r="78" spans="1:16" x14ac:dyDescent="0.35">
      <c r="A78" s="1">
        <f>MonthlyData!A78</f>
        <v>43952</v>
      </c>
      <c r="B78" s="13">
        <f t="shared" si="5"/>
        <v>2020</v>
      </c>
      <c r="C78" s="13">
        <f t="shared" si="6"/>
        <v>5</v>
      </c>
      <c r="D78" s="4">
        <f>MonthlyData!F78</f>
        <v>3326415.6707476983</v>
      </c>
      <c r="E78" s="4">
        <f t="shared" ca="1" si="4"/>
        <v>103.00647094808046</v>
      </c>
      <c r="F78" s="4">
        <f>MonthlyData!AF78</f>
        <v>153.04999999999995</v>
      </c>
      <c r="G78">
        <f>MonthlyData!BP78</f>
        <v>0</v>
      </c>
      <c r="H78">
        <f>MonthlyData!BN78</f>
        <v>0</v>
      </c>
      <c r="I78" s="4"/>
      <c r="J78" s="4"/>
      <c r="K78" s="4">
        <f t="shared" ca="1" si="7"/>
        <v>-94653.467089863028</v>
      </c>
      <c r="L78" s="4"/>
      <c r="M78" s="4"/>
      <c r="N78" s="4">
        <f t="shared" ca="1" si="8"/>
        <v>3231762.2036578353</v>
      </c>
      <c r="O78" s="4"/>
      <c r="P78" s="4"/>
    </row>
    <row r="79" spans="1:16" x14ac:dyDescent="0.35">
      <c r="A79" s="1">
        <f>MonthlyData!A79</f>
        <v>43983</v>
      </c>
      <c r="B79" s="13">
        <f t="shared" si="5"/>
        <v>2020</v>
      </c>
      <c r="C79" s="13">
        <f t="shared" si="6"/>
        <v>6</v>
      </c>
      <c r="D79" s="4">
        <f>MonthlyData!F79</f>
        <v>3154968.7690774924</v>
      </c>
      <c r="E79" s="4">
        <f t="shared" ref="E79:E142" ca="1" si="9">E67</f>
        <v>5.5889105735385218</v>
      </c>
      <c r="F79" s="4">
        <f>MonthlyData!AF79</f>
        <v>10.508333333333333</v>
      </c>
      <c r="G79">
        <f>MonthlyData!BP79</f>
        <v>0</v>
      </c>
      <c r="H79">
        <f>MonthlyData!BN79</f>
        <v>0</v>
      </c>
      <c r="I79" s="4"/>
      <c r="J79" s="4"/>
      <c r="K79" s="4">
        <f t="shared" ca="1" si="7"/>
        <v>-9304.7079036385621</v>
      </c>
      <c r="L79" s="4"/>
      <c r="M79" s="4"/>
      <c r="N79" s="4">
        <f t="shared" ca="1" si="8"/>
        <v>3145664.0611738539</v>
      </c>
      <c r="O79" s="4"/>
      <c r="P79" s="4"/>
    </row>
    <row r="80" spans="1:16" x14ac:dyDescent="0.35">
      <c r="A80" s="1">
        <f>MonthlyData!A80</f>
        <v>44013</v>
      </c>
      <c r="B80" s="13">
        <f t="shared" si="5"/>
        <v>2020</v>
      </c>
      <c r="C80" s="13">
        <f t="shared" si="6"/>
        <v>7</v>
      </c>
      <c r="D80" s="4">
        <f>MonthlyData!F80</f>
        <v>3122567.0435269368</v>
      </c>
      <c r="E80" s="4">
        <f t="shared" ca="1" si="9"/>
        <v>0.28709633857318684</v>
      </c>
      <c r="F80" s="4">
        <f>MonthlyData!AF80</f>
        <v>0</v>
      </c>
      <c r="G80">
        <f>MonthlyData!BP80</f>
        <v>0</v>
      </c>
      <c r="H80">
        <f>MonthlyData!BN80</f>
        <v>0</v>
      </c>
      <c r="I80" s="4"/>
      <c r="J80" s="4"/>
      <c r="K80" s="4">
        <f t="shared" ca="1" si="7"/>
        <v>543.02053331538559</v>
      </c>
      <c r="L80" s="4"/>
      <c r="M80" s="4"/>
      <c r="N80" s="4">
        <f t="shared" ca="1" si="8"/>
        <v>3123110.0640602522</v>
      </c>
      <c r="O80" s="4"/>
      <c r="P80" s="4"/>
    </row>
    <row r="81" spans="1:16" x14ac:dyDescent="0.35">
      <c r="A81" s="1">
        <f>MonthlyData!A81</f>
        <v>44044</v>
      </c>
      <c r="B81" s="13">
        <f t="shared" si="5"/>
        <v>2020</v>
      </c>
      <c r="C81" s="13">
        <f t="shared" si="6"/>
        <v>8</v>
      </c>
      <c r="D81" s="4">
        <f>MonthlyData!F81</f>
        <v>3663341.6855258569</v>
      </c>
      <c r="E81" s="4">
        <f t="shared" ca="1" si="9"/>
        <v>1.6761707873342053</v>
      </c>
      <c r="F81" s="4">
        <f>MonthlyData!AF81</f>
        <v>0</v>
      </c>
      <c r="G81">
        <f>MonthlyData!BP81</f>
        <v>0</v>
      </c>
      <c r="H81">
        <f>MonthlyData!BN81</f>
        <v>0</v>
      </c>
      <c r="I81" s="4"/>
      <c r="J81" s="4"/>
      <c r="K81" s="4">
        <f t="shared" ca="1" si="7"/>
        <v>3170.3474847132616</v>
      </c>
      <c r="L81" s="4"/>
      <c r="M81" s="4"/>
      <c r="N81" s="4">
        <f t="shared" ca="1" si="8"/>
        <v>3666512.0330105703</v>
      </c>
      <c r="O81" s="4"/>
      <c r="P81" s="4"/>
    </row>
    <row r="82" spans="1:16" x14ac:dyDescent="0.35">
      <c r="A82" s="1">
        <f>MonthlyData!A82</f>
        <v>44075</v>
      </c>
      <c r="B82" s="13">
        <f t="shared" si="5"/>
        <v>2020</v>
      </c>
      <c r="C82" s="13">
        <f t="shared" si="6"/>
        <v>9</v>
      </c>
      <c r="D82" s="4">
        <f>MonthlyData!F82</f>
        <v>3155144.2023287057</v>
      </c>
      <c r="E82" s="4">
        <f t="shared" ca="1" si="9"/>
        <v>28.222326899712005</v>
      </c>
      <c r="F82" s="4">
        <f>MonthlyData!AF82</f>
        <v>30.970833333333331</v>
      </c>
      <c r="G82">
        <f>MonthlyData!BP82</f>
        <v>0</v>
      </c>
      <c r="H82">
        <f>MonthlyData!BN82</f>
        <v>0</v>
      </c>
      <c r="I82" s="4"/>
      <c r="J82" s="4"/>
      <c r="K82" s="4">
        <f t="shared" ca="1" si="7"/>
        <v>-5198.5874735401849</v>
      </c>
      <c r="L82" s="4"/>
      <c r="M82" s="4"/>
      <c r="N82" s="4">
        <f t="shared" ca="1" si="8"/>
        <v>3149945.6148551656</v>
      </c>
      <c r="O82" s="4"/>
      <c r="P82" s="4"/>
    </row>
    <row r="83" spans="1:16" x14ac:dyDescent="0.35">
      <c r="A83" s="1">
        <f>MonthlyData!A83</f>
        <v>44105</v>
      </c>
      <c r="B83" s="13">
        <f t="shared" si="5"/>
        <v>2020</v>
      </c>
      <c r="C83" s="13">
        <f t="shared" si="6"/>
        <v>10</v>
      </c>
      <c r="D83" s="4">
        <f>MonthlyData!F83</f>
        <v>2719754.2042069854</v>
      </c>
      <c r="E83" s="4">
        <f t="shared" ca="1" si="9"/>
        <v>178.0244559176316</v>
      </c>
      <c r="F83" s="4">
        <f>MonthlyData!AF83</f>
        <v>265.67500000000001</v>
      </c>
      <c r="G83">
        <f>MonthlyData!BP83</f>
        <v>1</v>
      </c>
      <c r="H83">
        <f>MonthlyData!BN83</f>
        <v>0</v>
      </c>
      <c r="I83" s="4"/>
      <c r="J83" s="4"/>
      <c r="K83" s="4">
        <f t="shared" ca="1" si="7"/>
        <v>-165784.22918778597</v>
      </c>
      <c r="L83" s="4"/>
      <c r="M83" s="4"/>
      <c r="N83" s="4">
        <f t="shared" ca="1" si="8"/>
        <v>2553969.9750191993</v>
      </c>
      <c r="O83" s="4"/>
      <c r="P83" s="4"/>
    </row>
    <row r="84" spans="1:16" x14ac:dyDescent="0.35">
      <c r="A84" s="1">
        <f>MonthlyData!A84</f>
        <v>44136</v>
      </c>
      <c r="B84" s="13">
        <f t="shared" si="5"/>
        <v>2020</v>
      </c>
      <c r="C84" s="13">
        <f t="shared" si="6"/>
        <v>11</v>
      </c>
      <c r="D84" s="4">
        <f>MonthlyData!F84</f>
        <v>3265883.4528217777</v>
      </c>
      <c r="E84" s="4">
        <f t="shared" ca="1" si="9"/>
        <v>403.99833333333333</v>
      </c>
      <c r="F84" s="4">
        <f>MonthlyData!AF84</f>
        <v>352.30416666666673</v>
      </c>
      <c r="G84">
        <f>MonthlyData!BP84</f>
        <v>1</v>
      </c>
      <c r="H84">
        <f>MonthlyData!BN84</f>
        <v>0</v>
      </c>
      <c r="I84" s="4"/>
      <c r="J84" s="4"/>
      <c r="K84" s="4">
        <f t="shared" ca="1" si="7"/>
        <v>97775.520552212984</v>
      </c>
      <c r="L84" s="4"/>
      <c r="M84" s="4"/>
      <c r="N84" s="4">
        <f t="shared" ca="1" si="8"/>
        <v>3363658.9733739905</v>
      </c>
      <c r="O84" s="4"/>
      <c r="P84" s="4"/>
    </row>
    <row r="85" spans="1:16" x14ac:dyDescent="0.35">
      <c r="A85" s="1">
        <f>MonthlyData!A85</f>
        <v>44166</v>
      </c>
      <c r="B85" s="13">
        <f t="shared" si="5"/>
        <v>2020</v>
      </c>
      <c r="C85" s="13">
        <f t="shared" si="6"/>
        <v>12</v>
      </c>
      <c r="D85" s="4">
        <f>MonthlyData!F85</f>
        <v>3509586.6747843111</v>
      </c>
      <c r="E85" s="4">
        <f t="shared" ca="1" si="9"/>
        <v>629.70466952460959</v>
      </c>
      <c r="F85" s="4">
        <f>MonthlyData!AF85</f>
        <v>617.46666666666681</v>
      </c>
      <c r="G85">
        <f>MonthlyData!BP85</f>
        <v>0</v>
      </c>
      <c r="H85">
        <f>MonthlyData!BN85</f>
        <v>1</v>
      </c>
      <c r="I85" s="4"/>
      <c r="J85" s="4"/>
      <c r="K85" s="4">
        <f t="shared" ca="1" si="7"/>
        <v>23147.23647003678</v>
      </c>
      <c r="L85" s="4"/>
      <c r="M85" s="4"/>
      <c r="N85" s="4">
        <f t="shared" ca="1" si="8"/>
        <v>3532733.9112543478</v>
      </c>
      <c r="O85" s="4"/>
      <c r="P85" s="4"/>
    </row>
    <row r="86" spans="1:16" x14ac:dyDescent="0.35">
      <c r="A86" s="1">
        <f>MonthlyData!A86</f>
        <v>44197</v>
      </c>
      <c r="B86" s="13">
        <f t="shared" si="5"/>
        <v>2021</v>
      </c>
      <c r="C86" s="13">
        <f t="shared" si="6"/>
        <v>1</v>
      </c>
      <c r="D86" s="4">
        <f>MonthlyData!F86</f>
        <v>4263190.1574048484</v>
      </c>
      <c r="E86" s="4">
        <f t="shared" ca="1" si="9"/>
        <v>793.4846429373913</v>
      </c>
      <c r="F86" s="4">
        <f>MonthlyData!AF86</f>
        <v>652.06666666666683</v>
      </c>
      <c r="G86">
        <f>MonthlyData!BP86</f>
        <v>0</v>
      </c>
      <c r="H86">
        <f>MonthlyData!BN86</f>
        <v>0</v>
      </c>
      <c r="I86" s="4"/>
      <c r="J86" s="4"/>
      <c r="K86" s="4">
        <f t="shared" ca="1" si="7"/>
        <v>267481.17122132936</v>
      </c>
      <c r="L86" s="4"/>
      <c r="M86" s="4"/>
      <c r="N86" s="4">
        <f t="shared" ca="1" si="8"/>
        <v>4530671.3286261782</v>
      </c>
      <c r="O86" s="4"/>
      <c r="P86" s="4"/>
    </row>
    <row r="87" spans="1:16" x14ac:dyDescent="0.35">
      <c r="A87" s="1">
        <f>MonthlyData!A87</f>
        <v>44228</v>
      </c>
      <c r="B87" s="13">
        <f t="shared" si="5"/>
        <v>2021</v>
      </c>
      <c r="C87" s="13">
        <f t="shared" si="6"/>
        <v>2</v>
      </c>
      <c r="D87" s="4">
        <f>MonthlyData!F87</f>
        <v>4226829.1876737475</v>
      </c>
      <c r="E87" s="4">
        <f t="shared" ca="1" si="9"/>
        <v>736.10085614037712</v>
      </c>
      <c r="F87" s="4">
        <f>MonthlyData!AF87</f>
        <v>753.49583333333328</v>
      </c>
      <c r="G87">
        <f>MonthlyData!BP87</f>
        <v>0</v>
      </c>
      <c r="H87">
        <f>MonthlyData!BN87</f>
        <v>0</v>
      </c>
      <c r="I87" s="4"/>
      <c r="J87" s="4"/>
      <c r="K87" s="4">
        <f t="shared" ca="1" si="7"/>
        <v>-32901.254816665256</v>
      </c>
      <c r="L87" s="4"/>
      <c r="M87" s="4"/>
      <c r="N87" s="4">
        <f t="shared" ca="1" si="8"/>
        <v>4193927.9328570822</v>
      </c>
      <c r="O87" s="4"/>
      <c r="P87" s="4"/>
    </row>
    <row r="88" spans="1:16" x14ac:dyDescent="0.35">
      <c r="A88" s="1">
        <f>MonthlyData!A88</f>
        <v>44256</v>
      </c>
      <c r="B88" s="13">
        <f t="shared" si="5"/>
        <v>2021</v>
      </c>
      <c r="C88" s="13">
        <f t="shared" si="6"/>
        <v>3</v>
      </c>
      <c r="D88" s="4">
        <f>MonthlyData!F88</f>
        <v>4039244.4894530168</v>
      </c>
      <c r="E88" s="4">
        <f t="shared" ca="1" si="9"/>
        <v>577.21697535249291</v>
      </c>
      <c r="F88" s="4">
        <f>MonthlyData!AF88</f>
        <v>492.00833333333338</v>
      </c>
      <c r="G88">
        <f>MonthlyData!BP88</f>
        <v>0</v>
      </c>
      <c r="H88">
        <f>MonthlyData!BN88</f>
        <v>0</v>
      </c>
      <c r="I88" s="4"/>
      <c r="J88" s="4"/>
      <c r="K88" s="4">
        <f t="shared" ca="1" si="7"/>
        <v>161165.56018191288</v>
      </c>
      <c r="L88" s="4"/>
      <c r="M88" s="4"/>
      <c r="N88" s="4">
        <f t="shared" ca="1" si="8"/>
        <v>4200410.0496349297</v>
      </c>
      <c r="O88" s="4"/>
      <c r="P88" s="4"/>
    </row>
    <row r="89" spans="1:16" x14ac:dyDescent="0.35">
      <c r="A89" s="1">
        <f>MonthlyData!A89</f>
        <v>44287</v>
      </c>
      <c r="B89" s="13">
        <f t="shared" si="5"/>
        <v>2021</v>
      </c>
      <c r="C89" s="13">
        <f t="shared" si="6"/>
        <v>4</v>
      </c>
      <c r="D89" s="4">
        <f>MonthlyData!F89</f>
        <v>3794108.820810948</v>
      </c>
      <c r="E89" s="4">
        <f t="shared" ca="1" si="9"/>
        <v>307.33082472275549</v>
      </c>
      <c r="F89" s="4">
        <f>MonthlyData!AF89</f>
        <v>213.375</v>
      </c>
      <c r="G89">
        <f>MonthlyData!BP89</f>
        <v>0</v>
      </c>
      <c r="H89">
        <f>MonthlyData!BN89</f>
        <v>0</v>
      </c>
      <c r="I89" s="4"/>
      <c r="J89" s="4"/>
      <c r="K89" s="4">
        <f t="shared" ca="1" si="7"/>
        <v>177710.1801527557</v>
      </c>
      <c r="L89" s="4"/>
      <c r="M89" s="4"/>
      <c r="N89" s="4">
        <f t="shared" ca="1" si="8"/>
        <v>3971819.0009637037</v>
      </c>
      <c r="O89" s="4"/>
      <c r="P89" s="4"/>
    </row>
    <row r="90" spans="1:16" x14ac:dyDescent="0.35">
      <c r="A90" s="1">
        <f>MonthlyData!A90</f>
        <v>44317</v>
      </c>
      <c r="B90" s="13">
        <f t="shared" si="5"/>
        <v>2021</v>
      </c>
      <c r="C90" s="13">
        <f t="shared" si="6"/>
        <v>5</v>
      </c>
      <c r="D90" s="4">
        <f>MonthlyData!F90</f>
        <v>3101868.9257601164</v>
      </c>
      <c r="E90" s="4">
        <f t="shared" ca="1" si="9"/>
        <v>103.00647094808046</v>
      </c>
      <c r="F90" s="4">
        <f>MonthlyData!AF90</f>
        <v>86.762499999999974</v>
      </c>
      <c r="G90">
        <f>MonthlyData!BP90</f>
        <v>0</v>
      </c>
      <c r="H90">
        <f>MonthlyData!BN90</f>
        <v>0</v>
      </c>
      <c r="I90" s="4"/>
      <c r="J90" s="4"/>
      <c r="K90" s="4">
        <f t="shared" ca="1" si="7"/>
        <v>30724.215471447704</v>
      </c>
      <c r="L90" s="4"/>
      <c r="M90" s="4"/>
      <c r="N90" s="4">
        <f t="shared" ca="1" si="8"/>
        <v>3132593.1412315643</v>
      </c>
      <c r="O90" s="4"/>
      <c r="P90" s="4"/>
    </row>
    <row r="91" spans="1:16" x14ac:dyDescent="0.35">
      <c r="A91" s="1">
        <f>MonthlyData!A91</f>
        <v>44348</v>
      </c>
      <c r="B91" s="13">
        <f t="shared" si="5"/>
        <v>2021</v>
      </c>
      <c r="C91" s="13">
        <f t="shared" si="6"/>
        <v>6</v>
      </c>
      <c r="D91" s="4">
        <f>MonthlyData!F91</f>
        <v>2965128.7299124626</v>
      </c>
      <c r="E91" s="4">
        <f t="shared" ca="1" si="9"/>
        <v>5.5889105735385218</v>
      </c>
      <c r="F91" s="4">
        <f>MonthlyData!AF91</f>
        <v>2.9166666666666679</v>
      </c>
      <c r="G91">
        <f>MonthlyData!BP91</f>
        <v>0</v>
      </c>
      <c r="H91">
        <f>MonthlyData!BN91</f>
        <v>0</v>
      </c>
      <c r="I91" s="4"/>
      <c r="J91" s="4"/>
      <c r="K91" s="4">
        <f t="shared" ca="1" si="7"/>
        <v>5054.3427989013944</v>
      </c>
      <c r="L91" s="4"/>
      <c r="M91" s="4"/>
      <c r="N91" s="4">
        <f t="shared" ca="1" si="8"/>
        <v>2970183.0727113639</v>
      </c>
      <c r="O91" s="4"/>
      <c r="P91" s="4"/>
    </row>
    <row r="92" spans="1:16" x14ac:dyDescent="0.35">
      <c r="A92" s="1">
        <f>MonthlyData!A92</f>
        <v>44378</v>
      </c>
      <c r="B92" s="13">
        <f t="shared" si="5"/>
        <v>2021</v>
      </c>
      <c r="C92" s="13">
        <f t="shared" si="6"/>
        <v>7</v>
      </c>
      <c r="D92" s="4">
        <f>MonthlyData!F92</f>
        <v>2919562.1742881173</v>
      </c>
      <c r="E92" s="4">
        <f t="shared" ca="1" si="9"/>
        <v>0.28709633857318684</v>
      </c>
      <c r="F92" s="4">
        <f>MonthlyData!AF92</f>
        <v>2.104755252394658</v>
      </c>
      <c r="G92">
        <f>MonthlyData!BP92</f>
        <v>0</v>
      </c>
      <c r="H92">
        <f>MonthlyData!BN92</f>
        <v>0</v>
      </c>
      <c r="I92" s="4"/>
      <c r="J92" s="4"/>
      <c r="K92" s="4">
        <f t="shared" ca="1" si="7"/>
        <v>-3437.9613396469217</v>
      </c>
      <c r="L92" s="4"/>
      <c r="M92" s="4"/>
      <c r="N92" s="4">
        <f t="shared" ca="1" si="8"/>
        <v>2916124.2129484704</v>
      </c>
      <c r="O92" s="4"/>
      <c r="P92" s="4"/>
    </row>
    <row r="93" spans="1:16" x14ac:dyDescent="0.35">
      <c r="A93" s="1">
        <f>MonthlyData!A93</f>
        <v>44409</v>
      </c>
      <c r="B93" s="13">
        <f t="shared" si="5"/>
        <v>2021</v>
      </c>
      <c r="C93" s="13">
        <f t="shared" si="6"/>
        <v>8</v>
      </c>
      <c r="D93" s="4">
        <f>MonthlyData!F93</f>
        <v>3078894.175760556</v>
      </c>
      <c r="E93" s="4">
        <f t="shared" ca="1" si="9"/>
        <v>1.6761707873342053</v>
      </c>
      <c r="F93" s="4">
        <f>MonthlyData!AF93</f>
        <v>0</v>
      </c>
      <c r="G93">
        <f>MonthlyData!BP93</f>
        <v>0</v>
      </c>
      <c r="H93">
        <f>MonthlyData!BN93</f>
        <v>0</v>
      </c>
      <c r="I93" s="4"/>
      <c r="J93" s="4"/>
      <c r="K93" s="4">
        <f t="shared" ca="1" si="7"/>
        <v>3170.3474847132616</v>
      </c>
      <c r="L93" s="4"/>
      <c r="M93" s="4"/>
      <c r="N93" s="4">
        <f t="shared" ca="1" si="8"/>
        <v>3082064.5232452694</v>
      </c>
      <c r="O93" s="4"/>
      <c r="P93" s="4"/>
    </row>
    <row r="94" spans="1:16" x14ac:dyDescent="0.35">
      <c r="A94" s="1">
        <f>MonthlyData!A94</f>
        <v>44440</v>
      </c>
      <c r="B94" s="13">
        <f t="shared" si="5"/>
        <v>2021</v>
      </c>
      <c r="C94" s="13">
        <f t="shared" si="6"/>
        <v>9</v>
      </c>
      <c r="D94" s="4">
        <f>MonthlyData!F94</f>
        <v>3326739.1100639156</v>
      </c>
      <c r="E94" s="4">
        <f t="shared" ca="1" si="9"/>
        <v>28.222326899712005</v>
      </c>
      <c r="F94" s="4">
        <f>MonthlyData!AF94</f>
        <v>22.32083333333334</v>
      </c>
      <c r="G94">
        <f>MonthlyData!BP94</f>
        <v>0</v>
      </c>
      <c r="H94">
        <f>MonthlyData!BN94</f>
        <v>0</v>
      </c>
      <c r="I94" s="4"/>
      <c r="J94" s="4"/>
      <c r="K94" s="4">
        <f t="shared" ca="1" si="7"/>
        <v>11162.218925182608</v>
      </c>
      <c r="L94" s="4"/>
      <c r="M94" s="4"/>
      <c r="N94" s="4">
        <f t="shared" ca="1" si="8"/>
        <v>3337901.3289890983</v>
      </c>
      <c r="O94" s="4"/>
      <c r="P94" s="4"/>
    </row>
    <row r="95" spans="1:16" x14ac:dyDescent="0.35">
      <c r="A95" s="1">
        <f>MonthlyData!A95</f>
        <v>44470</v>
      </c>
      <c r="B95" s="13">
        <f t="shared" si="5"/>
        <v>2021</v>
      </c>
      <c r="C95" s="13">
        <f t="shared" si="6"/>
        <v>10</v>
      </c>
      <c r="D95" s="4">
        <f>MonthlyData!F95</f>
        <v>2700605.3984909002</v>
      </c>
      <c r="E95" s="4">
        <f t="shared" ca="1" si="9"/>
        <v>178.0244559176316</v>
      </c>
      <c r="F95" s="4">
        <f>MonthlyData!AF95</f>
        <v>99.116666666666674</v>
      </c>
      <c r="G95">
        <f>MonthlyData!BP95</f>
        <v>1</v>
      </c>
      <c r="H95">
        <f>MonthlyData!BN95</f>
        <v>0</v>
      </c>
      <c r="I95" s="4"/>
      <c r="J95" s="4"/>
      <c r="K95" s="4">
        <f t="shared" ca="1" si="7"/>
        <v>149247.9841949431</v>
      </c>
      <c r="L95" s="4"/>
      <c r="M95" s="4"/>
      <c r="N95" s="4">
        <f t="shared" ca="1" si="8"/>
        <v>2849853.3826858434</v>
      </c>
      <c r="O95" s="4"/>
      <c r="P95" s="4"/>
    </row>
    <row r="96" spans="1:16" x14ac:dyDescent="0.35">
      <c r="A96" s="1">
        <f>MonthlyData!A96</f>
        <v>44501</v>
      </c>
      <c r="B96" s="13">
        <f t="shared" si="5"/>
        <v>2021</v>
      </c>
      <c r="C96" s="13">
        <f t="shared" si="6"/>
        <v>11</v>
      </c>
      <c r="D96" s="4">
        <f>MonthlyData!F96</f>
        <v>2951575.7355931653</v>
      </c>
      <c r="E96" s="4">
        <f t="shared" ca="1" si="9"/>
        <v>403.99833333333333</v>
      </c>
      <c r="F96" s="4">
        <f>MonthlyData!AF96</f>
        <v>364.64166666666665</v>
      </c>
      <c r="G96">
        <f>MonthlyData!BP96</f>
        <v>1</v>
      </c>
      <c r="H96">
        <f>MonthlyData!BN96</f>
        <v>0</v>
      </c>
      <c r="I96" s="4"/>
      <c r="J96" s="4"/>
      <c r="K96" s="4">
        <f t="shared" ca="1" si="7"/>
        <v>74440.092928601269</v>
      </c>
      <c r="L96" s="4"/>
      <c r="M96" s="4"/>
      <c r="N96" s="4">
        <f t="shared" ca="1" si="8"/>
        <v>3026015.8285217667</v>
      </c>
      <c r="O96" s="4"/>
      <c r="P96" s="4"/>
    </row>
    <row r="97" spans="1:16" x14ac:dyDescent="0.35">
      <c r="A97" s="1">
        <f>MonthlyData!A97</f>
        <v>44531</v>
      </c>
      <c r="B97" s="13">
        <f t="shared" si="5"/>
        <v>2021</v>
      </c>
      <c r="C97" s="13">
        <f t="shared" si="6"/>
        <v>12</v>
      </c>
      <c r="D97" s="4">
        <f>MonthlyData!F97</f>
        <v>3487610.1075561787</v>
      </c>
      <c r="E97" s="4">
        <f t="shared" ca="1" si="9"/>
        <v>629.70466952460959</v>
      </c>
      <c r="F97" s="4">
        <f>MonthlyData!AF97</f>
        <v>683.00833333333321</v>
      </c>
      <c r="G97">
        <f>MonthlyData!BP97</f>
        <v>0</v>
      </c>
      <c r="H97">
        <f>MonthlyData!BN97</f>
        <v>1</v>
      </c>
      <c r="I97" s="4"/>
      <c r="J97" s="4"/>
      <c r="K97" s="4">
        <f t="shared" ca="1" si="7"/>
        <v>-100819.75999042022</v>
      </c>
      <c r="L97" s="4"/>
      <c r="M97" s="4"/>
      <c r="N97" s="4">
        <f t="shared" ca="1" si="8"/>
        <v>3386790.3475657585</v>
      </c>
      <c r="O97" s="4"/>
      <c r="P97" s="4"/>
    </row>
    <row r="98" spans="1:16" x14ac:dyDescent="0.35">
      <c r="A98" s="1">
        <f>MonthlyData!A98</f>
        <v>44562</v>
      </c>
      <c r="B98" s="13">
        <f t="shared" si="5"/>
        <v>2022</v>
      </c>
      <c r="C98" s="13">
        <f t="shared" si="6"/>
        <v>1</v>
      </c>
      <c r="D98" s="4">
        <f>MonthlyData!F98</f>
        <v>4371204.1273712702</v>
      </c>
      <c r="E98" s="4">
        <f t="shared" ca="1" si="9"/>
        <v>793.4846429373913</v>
      </c>
      <c r="F98" s="4">
        <f>MonthlyData!AF98</f>
        <v>990.57499999999993</v>
      </c>
      <c r="G98">
        <f>MonthlyData!BP98</f>
        <v>0</v>
      </c>
      <c r="H98">
        <f>MonthlyData!BN98</f>
        <v>0</v>
      </c>
      <c r="I98" s="4"/>
      <c r="J98" s="4"/>
      <c r="K98" s="4">
        <f t="shared" ca="1" si="7"/>
        <v>-372781.17629554804</v>
      </c>
      <c r="L98" s="4"/>
      <c r="M98" s="4"/>
      <c r="N98" s="4">
        <f t="shared" ca="1" si="8"/>
        <v>3998422.951075722</v>
      </c>
      <c r="O98" s="4"/>
      <c r="P98" s="4"/>
    </row>
    <row r="99" spans="1:16" x14ac:dyDescent="0.35">
      <c r="A99" s="1">
        <f>MonthlyData!A99</f>
        <v>44593</v>
      </c>
      <c r="B99" s="13">
        <f t="shared" si="5"/>
        <v>2022</v>
      </c>
      <c r="C99" s="13">
        <f t="shared" si="6"/>
        <v>2</v>
      </c>
      <c r="D99" s="4">
        <f>MonthlyData!F99</f>
        <v>5039152.9107136903</v>
      </c>
      <c r="E99" s="4">
        <f t="shared" ca="1" si="9"/>
        <v>736.10085614037712</v>
      </c>
      <c r="F99" s="4">
        <f>MonthlyData!AF99</f>
        <v>803.72083333333319</v>
      </c>
      <c r="G99">
        <f>MonthlyData!BP99</f>
        <v>0</v>
      </c>
      <c r="H99">
        <f>MonthlyData!BN99</f>
        <v>0</v>
      </c>
      <c r="I99" s="4"/>
      <c r="J99" s="4"/>
      <c r="K99" s="4">
        <f t="shared" ca="1" si="7"/>
        <v>-127897.96017803538</v>
      </c>
      <c r="L99" s="4"/>
      <c r="M99" s="4"/>
      <c r="N99" s="4">
        <f t="shared" ca="1" si="8"/>
        <v>4911254.950535655</v>
      </c>
      <c r="O99" s="4"/>
      <c r="P99" s="4"/>
    </row>
    <row r="100" spans="1:16" x14ac:dyDescent="0.35">
      <c r="A100" s="1">
        <f>MonthlyData!A100</f>
        <v>44621</v>
      </c>
      <c r="B100" s="13">
        <f t="shared" si="5"/>
        <v>2022</v>
      </c>
      <c r="C100" s="13">
        <f t="shared" si="6"/>
        <v>3</v>
      </c>
      <c r="D100" s="4">
        <f>MonthlyData!F100</f>
        <v>4211552.0037224032</v>
      </c>
      <c r="E100" s="4">
        <f t="shared" ca="1" si="9"/>
        <v>577.21697535249291</v>
      </c>
      <c r="F100" s="4">
        <f>MonthlyData!AF100</f>
        <v>555.07083333333333</v>
      </c>
      <c r="G100">
        <f>MonthlyData!BP100</f>
        <v>0</v>
      </c>
      <c r="H100">
        <f>MonthlyData!BN100</f>
        <v>0</v>
      </c>
      <c r="I100" s="4"/>
      <c r="J100" s="4"/>
      <c r="K100" s="4">
        <f t="shared" ca="1" si="7"/>
        <v>41887.715844403487</v>
      </c>
      <c r="L100" s="4"/>
      <c r="M100" s="4"/>
      <c r="N100" s="4">
        <f t="shared" ca="1" si="8"/>
        <v>4253439.7195668072</v>
      </c>
      <c r="O100" s="4"/>
      <c r="P100" s="4"/>
    </row>
    <row r="101" spans="1:16" x14ac:dyDescent="0.35">
      <c r="A101" s="1">
        <f>MonthlyData!A101</f>
        <v>44652</v>
      </c>
      <c r="B101" s="13">
        <f t="shared" si="5"/>
        <v>2022</v>
      </c>
      <c r="C101" s="13">
        <f t="shared" si="6"/>
        <v>4</v>
      </c>
      <c r="D101" s="4">
        <f>MonthlyData!F101</f>
        <v>3799695.9318750687</v>
      </c>
      <c r="E101" s="4">
        <f t="shared" ca="1" si="9"/>
        <v>307.33082472275549</v>
      </c>
      <c r="F101" s="4">
        <f>MonthlyData!AF101</f>
        <v>269.69166666666661</v>
      </c>
      <c r="G101">
        <f>MonthlyData!BP101</f>
        <v>0</v>
      </c>
      <c r="H101">
        <f>MonthlyData!BN101</f>
        <v>0</v>
      </c>
      <c r="I101" s="4"/>
      <c r="J101" s="4"/>
      <c r="K101" s="4">
        <f t="shared" ca="1" si="7"/>
        <v>71191.558146427546</v>
      </c>
      <c r="L101" s="4"/>
      <c r="M101" s="4"/>
      <c r="N101" s="4">
        <f t="shared" ca="1" si="8"/>
        <v>3870887.4900214961</v>
      </c>
      <c r="O101" s="4"/>
      <c r="P101" s="4"/>
    </row>
    <row r="102" spans="1:16" x14ac:dyDescent="0.35">
      <c r="A102" s="1">
        <f>MonthlyData!A102</f>
        <v>44682</v>
      </c>
      <c r="B102" s="13">
        <f t="shared" si="5"/>
        <v>2022</v>
      </c>
      <c r="C102" s="13">
        <f t="shared" si="6"/>
        <v>5</v>
      </c>
      <c r="D102" s="4">
        <f>MonthlyData!F102</f>
        <v>3175119.6492238664</v>
      </c>
      <c r="E102" s="4">
        <f t="shared" ca="1" si="9"/>
        <v>103.00647094808046</v>
      </c>
      <c r="F102" s="4">
        <f>MonthlyData!AF102</f>
        <v>37.020833333333329</v>
      </c>
      <c r="G102">
        <f>MonthlyData!BP102</f>
        <v>0</v>
      </c>
      <c r="H102">
        <f>MonthlyData!BN102</f>
        <v>0</v>
      </c>
      <c r="I102" s="4"/>
      <c r="J102" s="4"/>
      <c r="K102" s="4">
        <f t="shared" ca="1" si="7"/>
        <v>124806.73319204155</v>
      </c>
      <c r="L102" s="4"/>
      <c r="M102" s="4"/>
      <c r="N102" s="4">
        <f t="shared" ca="1" si="8"/>
        <v>3299926.3824159079</v>
      </c>
      <c r="O102" s="4"/>
      <c r="P102" s="4"/>
    </row>
    <row r="103" spans="1:16" x14ac:dyDescent="0.35">
      <c r="A103" s="1">
        <f>MonthlyData!A103</f>
        <v>44713</v>
      </c>
      <c r="B103" s="13">
        <f t="shared" si="5"/>
        <v>2022</v>
      </c>
      <c r="C103" s="13">
        <f t="shared" si="6"/>
        <v>6</v>
      </c>
      <c r="D103" s="4">
        <f>MonthlyData!F103</f>
        <v>2854775.0126316771</v>
      </c>
      <c r="E103" s="4">
        <f t="shared" ca="1" si="9"/>
        <v>5.5889105735385218</v>
      </c>
      <c r="F103" s="4">
        <f>MonthlyData!AF103</f>
        <v>0.58750000000000036</v>
      </c>
      <c r="G103">
        <f>MonthlyData!BP103</f>
        <v>0</v>
      </c>
      <c r="H103">
        <f>MonthlyData!BN103</f>
        <v>0</v>
      </c>
      <c r="I103" s="4"/>
      <c r="J103" s="4"/>
      <c r="K103" s="4">
        <f t="shared" ca="1" si="7"/>
        <v>9459.7815160912087</v>
      </c>
      <c r="L103" s="4"/>
      <c r="M103" s="4"/>
      <c r="N103" s="4">
        <f t="shared" ca="1" si="8"/>
        <v>2864234.7941477685</v>
      </c>
      <c r="O103" s="4"/>
      <c r="P103" s="4"/>
    </row>
    <row r="104" spans="1:16" x14ac:dyDescent="0.35">
      <c r="A104" s="1">
        <f>MonthlyData!A104</f>
        <v>44743</v>
      </c>
      <c r="B104" s="13">
        <f t="shared" si="5"/>
        <v>2022</v>
      </c>
      <c r="C104" s="13">
        <f t="shared" si="6"/>
        <v>7</v>
      </c>
      <c r="D104" s="4">
        <f>MonthlyData!F104</f>
        <v>2826823.9241817086</v>
      </c>
      <c r="E104" s="4">
        <f t="shared" ca="1" si="9"/>
        <v>0.28709633857318684</v>
      </c>
      <c r="F104" s="4">
        <f>MonthlyData!AF104</f>
        <v>0.76620813333721038</v>
      </c>
      <c r="G104">
        <f>MonthlyData!BP104</f>
        <v>0</v>
      </c>
      <c r="H104">
        <f>MonthlyData!BN104</f>
        <v>0</v>
      </c>
      <c r="I104" s="4"/>
      <c r="J104" s="4"/>
      <c r="K104" s="4">
        <f t="shared" ca="1" si="7"/>
        <v>-906.20292687616245</v>
      </c>
      <c r="L104" s="4"/>
      <c r="M104" s="4"/>
      <c r="N104" s="4">
        <f t="shared" ca="1" si="8"/>
        <v>2825917.7212548326</v>
      </c>
      <c r="O104" s="4"/>
      <c r="P104" s="4"/>
    </row>
    <row r="105" spans="1:16" x14ac:dyDescent="0.35">
      <c r="A105" s="1">
        <f>MonthlyData!A105</f>
        <v>44774</v>
      </c>
      <c r="B105" s="13">
        <f t="shared" si="5"/>
        <v>2022</v>
      </c>
      <c r="C105" s="13">
        <f t="shared" si="6"/>
        <v>8</v>
      </c>
      <c r="D105" s="4">
        <f>MonthlyData!F105</f>
        <v>2984810.1592924753</v>
      </c>
      <c r="E105" s="4">
        <f t="shared" ca="1" si="9"/>
        <v>1.6761707873342053</v>
      </c>
      <c r="F105" s="4">
        <f>MonthlyData!AF105</f>
        <v>1.0791666666666657</v>
      </c>
      <c r="G105">
        <f>MonthlyData!BP105</f>
        <v>0</v>
      </c>
      <c r="H105">
        <f>MonthlyData!BN105</f>
        <v>0</v>
      </c>
      <c r="I105" s="4"/>
      <c r="J105" s="4"/>
      <c r="K105" s="4">
        <f t="shared" ca="1" si="7"/>
        <v>1129.1871488417764</v>
      </c>
      <c r="L105" s="4"/>
      <c r="M105" s="4"/>
      <c r="N105" s="4">
        <f t="shared" ca="1" si="8"/>
        <v>2985939.3464413169</v>
      </c>
      <c r="O105" s="4"/>
      <c r="P105" s="4"/>
    </row>
    <row r="106" spans="1:16" x14ac:dyDescent="0.35">
      <c r="A106" s="1">
        <f>MonthlyData!A106</f>
        <v>44805</v>
      </c>
      <c r="B106" s="13">
        <f t="shared" si="5"/>
        <v>2022</v>
      </c>
      <c r="C106" s="13">
        <f t="shared" si="6"/>
        <v>9</v>
      </c>
      <c r="D106" s="4">
        <f>MonthlyData!F106</f>
        <v>2963730.8451401889</v>
      </c>
      <c r="E106" s="4">
        <f t="shared" ca="1" si="9"/>
        <v>28.222326899712005</v>
      </c>
      <c r="F106" s="4">
        <f>MonthlyData!AF106</f>
        <v>23.4375</v>
      </c>
      <c r="G106">
        <f>MonthlyData!BP106</f>
        <v>0</v>
      </c>
      <c r="H106">
        <f>MonthlyData!BN106</f>
        <v>0</v>
      </c>
      <c r="I106" s="4"/>
      <c r="J106" s="4"/>
      <c r="K106" s="4">
        <f t="shared" ca="1" si="7"/>
        <v>9050.1302378715827</v>
      </c>
      <c r="L106" s="4"/>
      <c r="M106" s="4"/>
      <c r="N106" s="4">
        <f t="shared" ca="1" si="8"/>
        <v>2972780.9753780607</v>
      </c>
      <c r="O106" s="4"/>
      <c r="P106" s="4"/>
    </row>
    <row r="107" spans="1:16" x14ac:dyDescent="0.35">
      <c r="A107" s="1">
        <f>MonthlyData!A107</f>
        <v>44835</v>
      </c>
      <c r="B107" s="13">
        <f t="shared" si="5"/>
        <v>2022</v>
      </c>
      <c r="C107" s="13">
        <f t="shared" si="6"/>
        <v>10</v>
      </c>
      <c r="D107" s="4">
        <f>MonthlyData!F107</f>
        <v>2727687.2112562652</v>
      </c>
      <c r="E107" s="4">
        <f t="shared" ca="1" si="9"/>
        <v>178.0244559176316</v>
      </c>
      <c r="F107" s="4">
        <f>MonthlyData!AF107</f>
        <v>133.35833333333338</v>
      </c>
      <c r="G107">
        <f>MonthlyData!BP107</f>
        <v>1</v>
      </c>
      <c r="H107">
        <f>MonthlyData!BN107</f>
        <v>0</v>
      </c>
      <c r="I107" s="4"/>
      <c r="J107" s="4"/>
      <c r="K107" s="4">
        <f t="shared" ca="1" si="7"/>
        <v>84482.518402696383</v>
      </c>
      <c r="L107" s="4"/>
      <c r="M107" s="4"/>
      <c r="N107" s="4">
        <f t="shared" ca="1" si="8"/>
        <v>2812169.7296589618</v>
      </c>
      <c r="O107" s="4"/>
      <c r="P107" s="4"/>
    </row>
    <row r="108" spans="1:16" x14ac:dyDescent="0.35">
      <c r="A108" s="1">
        <f>MonthlyData!A108</f>
        <v>44866</v>
      </c>
      <c r="B108" s="13">
        <f t="shared" si="5"/>
        <v>2022</v>
      </c>
      <c r="C108" s="13">
        <f t="shared" si="6"/>
        <v>11</v>
      </c>
      <c r="D108" s="4">
        <f>MonthlyData!F108</f>
        <v>3025375.9504829473</v>
      </c>
      <c r="E108" s="4">
        <f t="shared" ca="1" si="9"/>
        <v>403.99833333333333</v>
      </c>
      <c r="F108" s="4">
        <f>MonthlyData!AF108</f>
        <v>355.58750000000009</v>
      </c>
      <c r="G108">
        <f>MonthlyData!BP108</f>
        <v>1</v>
      </c>
      <c r="H108">
        <f>MonthlyData!BN108</f>
        <v>0</v>
      </c>
      <c r="I108" s="4"/>
      <c r="J108" s="4"/>
      <c r="K108" s="4">
        <f t="shared" ca="1" si="7"/>
        <v>91565.349337283464</v>
      </c>
      <c r="L108" s="4"/>
      <c r="M108" s="4"/>
      <c r="N108" s="4">
        <f t="shared" ca="1" si="8"/>
        <v>3116941.2998202308</v>
      </c>
      <c r="O108" s="4"/>
      <c r="P108" s="4"/>
    </row>
    <row r="109" spans="1:16" x14ac:dyDescent="0.35">
      <c r="A109" s="1">
        <f>MonthlyData!A109</f>
        <v>44896</v>
      </c>
      <c r="B109" s="13">
        <f t="shared" si="5"/>
        <v>2022</v>
      </c>
      <c r="C109" s="13">
        <f t="shared" si="6"/>
        <v>12</v>
      </c>
      <c r="D109" s="4">
        <f>MonthlyData!F109</f>
        <v>3450879.2932250476</v>
      </c>
      <c r="E109" s="4">
        <f t="shared" ca="1" si="9"/>
        <v>629.70466952460959</v>
      </c>
      <c r="F109" s="4">
        <f>MonthlyData!AF109</f>
        <v>628.47916666666674</v>
      </c>
      <c r="G109">
        <f>MonthlyData!BP109</f>
        <v>0</v>
      </c>
      <c r="H109">
        <f>MonthlyData!BN109</f>
        <v>1</v>
      </c>
      <c r="I109" s="4"/>
      <c r="J109" s="4"/>
      <c r="K109" s="4">
        <f t="shared" ca="1" si="7"/>
        <v>2317.9439306224681</v>
      </c>
      <c r="L109" s="4"/>
      <c r="M109" s="4"/>
      <c r="N109" s="4">
        <f t="shared" ca="1" si="8"/>
        <v>3453197.2371556703</v>
      </c>
      <c r="O109" s="4"/>
      <c r="P109" s="4"/>
    </row>
    <row r="110" spans="1:16" x14ac:dyDescent="0.35">
      <c r="A110" s="1">
        <f>MonthlyData!A110</f>
        <v>44927</v>
      </c>
      <c r="B110" s="13">
        <f t="shared" si="5"/>
        <v>2023</v>
      </c>
      <c r="C110" s="13">
        <f t="shared" si="6"/>
        <v>1</v>
      </c>
      <c r="D110" s="4">
        <f>MonthlyData!F110</f>
        <v>4207177.010986764</v>
      </c>
      <c r="E110" s="4">
        <f t="shared" ca="1" si="9"/>
        <v>793.4846429373913</v>
      </c>
      <c r="F110" s="4">
        <f>MonthlyData!AF110</f>
        <v>694.54583333333335</v>
      </c>
      <c r="G110">
        <f>MonthlyData!BP110</f>
        <v>0</v>
      </c>
      <c r="H110">
        <f>MonthlyData!BN110</f>
        <v>0</v>
      </c>
      <c r="I110" s="4"/>
      <c r="J110" s="4"/>
      <c r="K110" s="4">
        <f t="shared" ca="1" si="7"/>
        <v>187135.11089619526</v>
      </c>
      <c r="L110" s="4"/>
      <c r="M110" s="4"/>
      <c r="N110" s="4">
        <f t="shared" ca="1" si="8"/>
        <v>4394312.1218829593</v>
      </c>
      <c r="O110" s="4"/>
      <c r="P110" s="4"/>
    </row>
    <row r="111" spans="1:16" x14ac:dyDescent="0.35">
      <c r="A111" s="1">
        <f>MonthlyData!A111</f>
        <v>44958</v>
      </c>
      <c r="B111" s="13">
        <f t="shared" si="5"/>
        <v>2023</v>
      </c>
      <c r="C111" s="13">
        <f t="shared" si="6"/>
        <v>2</v>
      </c>
      <c r="D111" s="4">
        <f>MonthlyData!F111</f>
        <v>4233347.46244244</v>
      </c>
      <c r="E111" s="4">
        <f t="shared" ca="1" si="9"/>
        <v>736.10085614037712</v>
      </c>
      <c r="F111" s="4">
        <f>MonthlyData!AF111</f>
        <v>671.62500000000023</v>
      </c>
      <c r="G111">
        <f>MonthlyData!BP111</f>
        <v>0</v>
      </c>
      <c r="H111">
        <f>MonthlyData!BN111</f>
        <v>0</v>
      </c>
      <c r="I111" s="4"/>
      <c r="J111" s="4"/>
      <c r="K111" s="4">
        <f t="shared" ca="1" si="7"/>
        <v>121951.09823174676</v>
      </c>
      <c r="L111" s="4"/>
      <c r="M111" s="4"/>
      <c r="N111" s="4">
        <f t="shared" ca="1" si="8"/>
        <v>4355298.5606741868</v>
      </c>
      <c r="O111" s="4"/>
      <c r="P111" s="4"/>
    </row>
    <row r="112" spans="1:16" x14ac:dyDescent="0.35">
      <c r="A112" s="1">
        <f>MonthlyData!A112</f>
        <v>44986</v>
      </c>
      <c r="B112" s="13">
        <f t="shared" si="5"/>
        <v>2023</v>
      </c>
      <c r="C112" s="13">
        <f t="shared" si="6"/>
        <v>3</v>
      </c>
      <c r="D112" s="4">
        <f>MonthlyData!F112</f>
        <v>3958712.948354044</v>
      </c>
      <c r="E112" s="4">
        <f t="shared" ca="1" si="9"/>
        <v>577.21697535249291</v>
      </c>
      <c r="F112" s="4">
        <f>MonthlyData!AF112</f>
        <v>598.18749999999989</v>
      </c>
      <c r="G112">
        <f>MonthlyData!BP112</f>
        <v>0</v>
      </c>
      <c r="H112">
        <f>MonthlyData!BN112</f>
        <v>0</v>
      </c>
      <c r="I112" s="4"/>
      <c r="J112" s="4"/>
      <c r="K112" s="4">
        <f t="shared" ca="1" si="7"/>
        <v>-39664.126455203063</v>
      </c>
      <c r="L112" s="4"/>
      <c r="M112" s="4"/>
      <c r="N112" s="4">
        <f t="shared" ca="1" si="8"/>
        <v>3919048.8218988408</v>
      </c>
      <c r="O112" s="4"/>
      <c r="P112" s="4"/>
    </row>
    <row r="113" spans="1:16" x14ac:dyDescent="0.35">
      <c r="A113" s="1">
        <f>MonthlyData!A113</f>
        <v>45017</v>
      </c>
      <c r="B113" s="13">
        <f t="shared" si="5"/>
        <v>2023</v>
      </c>
      <c r="C113" s="13">
        <f t="shared" si="6"/>
        <v>4</v>
      </c>
      <c r="D113" s="4">
        <f>MonthlyData!F113</f>
        <v>3784505.644967339</v>
      </c>
      <c r="E113" s="4">
        <f t="shared" ca="1" si="9"/>
        <v>307.33082472275549</v>
      </c>
      <c r="F113" s="4">
        <f>MonthlyData!AF113</f>
        <v>288.91250000000008</v>
      </c>
      <c r="G113">
        <f>MonthlyData!BP113</f>
        <v>0</v>
      </c>
      <c r="H113">
        <f>MonthlyData!BN113</f>
        <v>0</v>
      </c>
      <c r="I113" s="4"/>
      <c r="J113" s="4"/>
      <c r="K113" s="4">
        <f t="shared" ca="1" si="7"/>
        <v>34836.837569689167</v>
      </c>
      <c r="L113" s="4"/>
      <c r="M113" s="4"/>
      <c r="N113" s="4">
        <f t="shared" ca="1" si="8"/>
        <v>3819342.4825370284</v>
      </c>
      <c r="O113" s="4"/>
      <c r="P113" s="4"/>
    </row>
    <row r="114" spans="1:16" x14ac:dyDescent="0.35">
      <c r="A114" s="1">
        <f>MonthlyData!A114</f>
        <v>45047</v>
      </c>
      <c r="B114" s="13">
        <f t="shared" si="5"/>
        <v>2023</v>
      </c>
      <c r="C114" s="13">
        <f t="shared" si="6"/>
        <v>5</v>
      </c>
      <c r="D114" s="4">
        <f>MonthlyData!F114</f>
        <v>3224377.6879194174</v>
      </c>
      <c r="E114" s="4">
        <f t="shared" ca="1" si="9"/>
        <v>103.00647094808046</v>
      </c>
      <c r="F114" s="4">
        <f>MonthlyData!AF114</f>
        <v>53.558333333333323</v>
      </c>
      <c r="G114">
        <f>MonthlyData!BP114</f>
        <v>0</v>
      </c>
      <c r="H114">
        <f>MonthlyData!BN114</f>
        <v>0</v>
      </c>
      <c r="I114" s="4"/>
      <c r="J114" s="4"/>
      <c r="K114" s="4">
        <f t="shared" ca="1" si="7"/>
        <v>93527.33020720011</v>
      </c>
      <c r="L114" s="4"/>
      <c r="M114" s="4"/>
      <c r="N114" s="4">
        <f t="shared" ca="1" si="8"/>
        <v>3317905.0181266177</v>
      </c>
      <c r="O114" s="4"/>
      <c r="P114" s="4"/>
    </row>
    <row r="115" spans="1:16" x14ac:dyDescent="0.35">
      <c r="A115" s="1">
        <f>MonthlyData!A115</f>
        <v>45078</v>
      </c>
      <c r="B115" s="13">
        <f t="shared" si="5"/>
        <v>2023</v>
      </c>
      <c r="C115" s="13">
        <f t="shared" si="6"/>
        <v>6</v>
      </c>
      <c r="D115" s="4">
        <f>MonthlyData!F115</f>
        <v>2928667.7868225626</v>
      </c>
      <c r="E115" s="4">
        <f t="shared" ca="1" si="9"/>
        <v>5.5889105735385218</v>
      </c>
      <c r="F115" s="4">
        <f>MonthlyData!AF115</f>
        <v>1.0041666666666664</v>
      </c>
      <c r="G115">
        <f>MonthlyData!BP115</f>
        <v>0</v>
      </c>
      <c r="H115">
        <f>MonthlyData!BN115</f>
        <v>0</v>
      </c>
      <c r="I115" s="4"/>
      <c r="J115" s="4"/>
      <c r="K115" s="4">
        <f t="shared" ca="1" si="7"/>
        <v>8671.6887223184349</v>
      </c>
      <c r="L115" s="4"/>
      <c r="M115" s="4"/>
      <c r="N115" s="4">
        <f t="shared" ca="1" si="8"/>
        <v>2937339.4755448811</v>
      </c>
      <c r="O115" s="4"/>
      <c r="P115" s="4"/>
    </row>
    <row r="116" spans="1:16" x14ac:dyDescent="0.35">
      <c r="A116" s="1">
        <f>MonthlyData!A116</f>
        <v>45108</v>
      </c>
      <c r="B116" s="13">
        <f t="shared" si="5"/>
        <v>2023</v>
      </c>
      <c r="C116" s="13">
        <f t="shared" si="6"/>
        <v>7</v>
      </c>
      <c r="D116" s="4">
        <f>MonthlyData!F116</f>
        <v>3049940.460207012</v>
      </c>
      <c r="E116" s="4">
        <f t="shared" ca="1" si="9"/>
        <v>0.28709633857318684</v>
      </c>
      <c r="F116" s="4">
        <f>MonthlyData!AF116</f>
        <v>0</v>
      </c>
      <c r="G116">
        <f>MonthlyData!BP116</f>
        <v>0</v>
      </c>
      <c r="H116">
        <f>MonthlyData!BN116</f>
        <v>0</v>
      </c>
      <c r="I116" s="4"/>
      <c r="J116" s="4"/>
      <c r="K116" s="4">
        <f t="shared" ca="1" si="7"/>
        <v>543.02053331538559</v>
      </c>
      <c r="L116" s="4"/>
      <c r="M116" s="4"/>
      <c r="N116" s="4">
        <f t="shared" ca="1" si="8"/>
        <v>3050483.4807403274</v>
      </c>
      <c r="O116" s="4"/>
      <c r="P116" s="4"/>
    </row>
    <row r="117" spans="1:16" x14ac:dyDescent="0.35">
      <c r="A117" s="1">
        <f>MonthlyData!A117</f>
        <v>45139</v>
      </c>
      <c r="B117" s="13">
        <f t="shared" si="5"/>
        <v>2023</v>
      </c>
      <c r="C117" s="13">
        <f t="shared" si="6"/>
        <v>8</v>
      </c>
      <c r="D117" s="4">
        <f>MonthlyData!F117</f>
        <v>3144453.271902944</v>
      </c>
      <c r="E117" s="4">
        <f t="shared" ca="1" si="9"/>
        <v>1.6761707873342053</v>
      </c>
      <c r="F117" s="4">
        <f>MonthlyData!AF117</f>
        <v>2.44166666666667</v>
      </c>
      <c r="G117">
        <f>MonthlyData!BP117</f>
        <v>0</v>
      </c>
      <c r="H117">
        <f>MonthlyData!BN117</f>
        <v>0</v>
      </c>
      <c r="I117" s="4"/>
      <c r="J117" s="4"/>
      <c r="K117" s="4">
        <f t="shared" ca="1" si="7"/>
        <v>-1447.8762867952057</v>
      </c>
      <c r="L117" s="4"/>
      <c r="M117" s="4"/>
      <c r="N117" s="4">
        <f t="shared" ca="1" si="8"/>
        <v>3143005.3956161486</v>
      </c>
      <c r="O117" s="4"/>
      <c r="P117" s="4"/>
    </row>
    <row r="118" spans="1:16" x14ac:dyDescent="0.35">
      <c r="A118" s="1">
        <f>MonthlyData!A118</f>
        <v>45170</v>
      </c>
      <c r="B118" s="13">
        <f t="shared" si="5"/>
        <v>2023</v>
      </c>
      <c r="C118" s="13">
        <f t="shared" si="6"/>
        <v>9</v>
      </c>
      <c r="D118" s="4">
        <f>MonthlyData!F118</f>
        <v>2865887.9762289687</v>
      </c>
      <c r="E118" s="4">
        <f t="shared" ca="1" si="9"/>
        <v>28.222326899712005</v>
      </c>
      <c r="F118" s="4">
        <f>MonthlyData!AF118</f>
        <v>13.108333333333334</v>
      </c>
      <c r="G118">
        <f>MonthlyData!BP118</f>
        <v>0</v>
      </c>
      <c r="H118">
        <f>MonthlyData!BN118</f>
        <v>0</v>
      </c>
      <c r="I118" s="4"/>
      <c r="J118" s="4"/>
      <c r="K118" s="4">
        <f t="shared" ca="1" si="7"/>
        <v>28586.950595498671</v>
      </c>
      <c r="L118" s="4"/>
      <c r="M118" s="4"/>
      <c r="N118" s="4">
        <f t="shared" ca="1" si="8"/>
        <v>2894474.9268244673</v>
      </c>
      <c r="O118" s="4"/>
      <c r="P118" s="4"/>
    </row>
    <row r="119" spans="1:16" x14ac:dyDescent="0.35">
      <c r="A119" s="1">
        <f>MonthlyData!A119</f>
        <v>45200</v>
      </c>
      <c r="B119" s="13">
        <f t="shared" si="5"/>
        <v>2023</v>
      </c>
      <c r="C119" s="13">
        <f t="shared" si="6"/>
        <v>10</v>
      </c>
      <c r="D119" s="4">
        <f>MonthlyData!F119</f>
        <v>2795555.4664380746</v>
      </c>
      <c r="E119" s="4">
        <f t="shared" ca="1" si="9"/>
        <v>178.0244559176316</v>
      </c>
      <c r="F119" s="4">
        <f>MonthlyData!AF119</f>
        <v>167.78333333333333</v>
      </c>
      <c r="G119">
        <f>MonthlyData!BP119</f>
        <v>1</v>
      </c>
      <c r="H119">
        <f>MonthlyData!BN119</f>
        <v>0</v>
      </c>
      <c r="I119" s="4"/>
      <c r="J119" s="4"/>
      <c r="K119" s="4">
        <f t="shared" ca="1" si="7"/>
        <v>19370.291781189797</v>
      </c>
      <c r="L119" s="4"/>
      <c r="M119" s="4"/>
      <c r="N119" s="4">
        <f t="shared" ca="1" si="8"/>
        <v>2814925.7582192644</v>
      </c>
      <c r="O119" s="4"/>
      <c r="P119" s="4"/>
    </row>
    <row r="120" spans="1:16" x14ac:dyDescent="0.35">
      <c r="A120" s="1">
        <f>MonthlyData!A120</f>
        <v>45231</v>
      </c>
      <c r="B120" s="13">
        <f t="shared" si="5"/>
        <v>2023</v>
      </c>
      <c r="C120" s="13">
        <f t="shared" si="6"/>
        <v>11</v>
      </c>
      <c r="D120" s="4">
        <f>MonthlyData!F120</f>
        <v>3136774.019911529</v>
      </c>
      <c r="E120" s="4">
        <f t="shared" ca="1" si="9"/>
        <v>403.99833333333333</v>
      </c>
      <c r="F120" s="4">
        <f>MonthlyData!AF120</f>
        <v>406.07916666666671</v>
      </c>
      <c r="G120">
        <f>MonthlyData!BP120</f>
        <v>1</v>
      </c>
      <c r="H120">
        <f>MonthlyData!BN120</f>
        <v>0</v>
      </c>
      <c r="I120" s="4"/>
      <c r="J120" s="4"/>
      <c r="K120" s="4">
        <f t="shared" ca="1" si="7"/>
        <v>-3935.7354121013141</v>
      </c>
      <c r="L120" s="4"/>
      <c r="M120" s="4"/>
      <c r="N120" s="4">
        <f t="shared" ca="1" si="8"/>
        <v>3132838.2844994278</v>
      </c>
      <c r="O120" s="4"/>
      <c r="P120" s="4"/>
    </row>
    <row r="121" spans="1:16" x14ac:dyDescent="0.35">
      <c r="A121" s="1">
        <f>MonthlyData!A121</f>
        <v>45261</v>
      </c>
      <c r="B121" s="13">
        <f t="shared" si="5"/>
        <v>2023</v>
      </c>
      <c r="C121" s="13">
        <f t="shared" si="6"/>
        <v>12</v>
      </c>
      <c r="D121" s="4">
        <f>MonthlyData!F121</f>
        <v>3571711.2463362389</v>
      </c>
      <c r="E121" s="4">
        <f t="shared" ca="1" si="9"/>
        <v>629.70466952460959</v>
      </c>
      <c r="F121" s="4">
        <f>MonthlyData!AF121</f>
        <v>471.83333333333337</v>
      </c>
      <c r="G121">
        <f>MonthlyData!BP121</f>
        <v>0</v>
      </c>
      <c r="H121">
        <f>MonthlyData!BN121</f>
        <v>1</v>
      </c>
      <c r="I121" s="4"/>
      <c r="J121" s="4"/>
      <c r="K121" s="4">
        <f t="shared" ca="1" si="7"/>
        <v>298601.42974949727</v>
      </c>
      <c r="L121" s="4"/>
      <c r="M121" s="4"/>
      <c r="N121" s="4">
        <f t="shared" ca="1" si="8"/>
        <v>3870312.6760857361</v>
      </c>
      <c r="O121" s="4"/>
      <c r="P121" s="4"/>
    </row>
    <row r="122" spans="1:16" x14ac:dyDescent="0.35">
      <c r="A122" s="1">
        <f>EOMONTH(A121,0)+1</f>
        <v>45292</v>
      </c>
      <c r="B122" s="13">
        <f t="shared" si="5"/>
        <v>2024</v>
      </c>
      <c r="C122" s="13">
        <f t="shared" si="6"/>
        <v>1</v>
      </c>
      <c r="D122" s="4">
        <f>MonthlyData!F122</f>
        <v>4005895.2953150608</v>
      </c>
      <c r="E122" s="4">
        <f t="shared" ca="1" si="9"/>
        <v>793.4846429373913</v>
      </c>
      <c r="F122" s="4">
        <f>MonthlyData!AF122</f>
        <v>684.4</v>
      </c>
      <c r="G122">
        <f>G110</f>
        <v>0</v>
      </c>
      <c r="H122">
        <f>H110</f>
        <v>0</v>
      </c>
      <c r="J122" s="4"/>
      <c r="K122" s="4">
        <f t="shared" ref="K122:K131" ca="1" si="10">(E122-F122)*$Q$9</f>
        <v>206325.17042456238</v>
      </c>
      <c r="L122" s="4"/>
      <c r="M122" s="4"/>
      <c r="N122" s="4">
        <f t="shared" ref="N122:N131" ca="1" si="11">D122+K122</f>
        <v>4212220.4657396227</v>
      </c>
      <c r="O122" s="4"/>
    </row>
    <row r="123" spans="1:16" x14ac:dyDescent="0.35">
      <c r="A123" s="1">
        <f t="shared" ref="A123:A145" si="12">EOMONTH(A122,0)+1</f>
        <v>45323</v>
      </c>
      <c r="B123" s="13">
        <f t="shared" si="5"/>
        <v>2024</v>
      </c>
      <c r="C123" s="13">
        <f t="shared" si="6"/>
        <v>2</v>
      </c>
      <c r="D123" s="4">
        <f>MonthlyData!F123</f>
        <v>4302730.3482179875</v>
      </c>
      <c r="E123" s="4">
        <f t="shared" ca="1" si="9"/>
        <v>736.10085614037712</v>
      </c>
      <c r="F123" s="4">
        <f>MonthlyData!AF123</f>
        <v>592.89999999999986</v>
      </c>
      <c r="G123">
        <f t="shared" ref="G123:H138" si="13">G111</f>
        <v>0</v>
      </c>
      <c r="H123">
        <f t="shared" si="13"/>
        <v>0</v>
      </c>
      <c r="J123" s="4"/>
      <c r="K123" s="4">
        <f t="shared" ca="1" si="10"/>
        <v>270853.35068717552</v>
      </c>
      <c r="L123" s="4"/>
      <c r="M123" s="4"/>
      <c r="N123" s="4">
        <f t="shared" ca="1" si="11"/>
        <v>4573583.6989051625</v>
      </c>
      <c r="O123" s="4"/>
    </row>
    <row r="124" spans="1:16" x14ac:dyDescent="0.35">
      <c r="A124" s="1">
        <f t="shared" si="12"/>
        <v>45352</v>
      </c>
      <c r="B124" s="13">
        <f t="shared" si="5"/>
        <v>2024</v>
      </c>
      <c r="C124" s="13">
        <f t="shared" si="6"/>
        <v>3</v>
      </c>
      <c r="D124" s="4">
        <f>MonthlyData!F124</f>
        <v>3768112.4011209141</v>
      </c>
      <c r="E124" s="4">
        <f t="shared" ca="1" si="9"/>
        <v>577.21697535249291</v>
      </c>
      <c r="F124" s="4">
        <f>MonthlyData!AF124</f>
        <v>461.4</v>
      </c>
      <c r="G124">
        <f t="shared" si="13"/>
        <v>0</v>
      </c>
      <c r="H124">
        <f t="shared" si="13"/>
        <v>0</v>
      </c>
      <c r="J124" s="4"/>
      <c r="K124" s="4">
        <f t="shared" ca="1" si="10"/>
        <v>219058.85681246105</v>
      </c>
      <c r="L124" s="4"/>
      <c r="M124" s="4"/>
      <c r="N124" s="4">
        <f t="shared" ca="1" si="11"/>
        <v>3987171.2579333754</v>
      </c>
      <c r="O124" s="4"/>
    </row>
    <row r="125" spans="1:16" x14ac:dyDescent="0.35">
      <c r="A125" s="1">
        <f t="shared" si="12"/>
        <v>45383</v>
      </c>
      <c r="B125" s="13">
        <f t="shared" si="5"/>
        <v>2024</v>
      </c>
      <c r="C125" s="13">
        <f t="shared" si="6"/>
        <v>4</v>
      </c>
      <c r="D125" s="4">
        <f>MonthlyData!F125</f>
        <v>3682543.4540238408</v>
      </c>
      <c r="E125" s="4">
        <f t="shared" ca="1" si="9"/>
        <v>307.33082472275549</v>
      </c>
      <c r="F125" s="4">
        <f>MonthlyData!AF125</f>
        <v>221.40000000000003</v>
      </c>
      <c r="G125">
        <f t="shared" si="13"/>
        <v>0</v>
      </c>
      <c r="H125">
        <f t="shared" si="13"/>
        <v>0</v>
      </c>
      <c r="J125" s="4"/>
      <c r="K125" s="4">
        <f t="shared" ca="1" si="10"/>
        <v>162531.51294469199</v>
      </c>
      <c r="L125" s="4"/>
      <c r="M125" s="4"/>
      <c r="N125" s="4">
        <f t="shared" ca="1" si="11"/>
        <v>3845074.9669685327</v>
      </c>
      <c r="O125" s="4"/>
    </row>
    <row r="126" spans="1:16" x14ac:dyDescent="0.35">
      <c r="A126" s="1">
        <f t="shared" si="12"/>
        <v>45413</v>
      </c>
      <c r="B126" s="13">
        <f t="shared" si="5"/>
        <v>2024</v>
      </c>
      <c r="C126" s="13">
        <f t="shared" si="6"/>
        <v>5</v>
      </c>
      <c r="D126" s="4">
        <f>MonthlyData!F126</f>
        <v>3154863.5069267675</v>
      </c>
      <c r="E126" s="4">
        <f t="shared" ca="1" si="9"/>
        <v>103.00647094808046</v>
      </c>
      <c r="F126" s="4">
        <f>MonthlyData!AF126</f>
        <v>36.300000000000004</v>
      </c>
      <c r="G126">
        <f t="shared" si="13"/>
        <v>0</v>
      </c>
      <c r="H126">
        <f t="shared" si="13"/>
        <v>0</v>
      </c>
      <c r="J126" s="4"/>
      <c r="K126" s="4">
        <f t="shared" ca="1" si="10"/>
        <v>126170.13372526843</v>
      </c>
      <c r="L126" s="4"/>
      <c r="M126" s="4"/>
      <c r="N126" s="4">
        <f t="shared" ca="1" si="11"/>
        <v>3281033.6406520358</v>
      </c>
      <c r="O126" s="4"/>
    </row>
    <row r="127" spans="1:16" x14ac:dyDescent="0.35">
      <c r="A127" s="1">
        <f t="shared" si="12"/>
        <v>45444</v>
      </c>
      <c r="B127" s="13">
        <f t="shared" si="5"/>
        <v>2024</v>
      </c>
      <c r="C127" s="13">
        <f t="shared" si="6"/>
        <v>6</v>
      </c>
      <c r="D127" s="4">
        <f>MonthlyData!F127</f>
        <v>2833887.5598296942</v>
      </c>
      <c r="E127" s="4">
        <f t="shared" ca="1" si="9"/>
        <v>5.5889105735385218</v>
      </c>
      <c r="F127" s="4">
        <f>MonthlyData!AF127</f>
        <v>4</v>
      </c>
      <c r="G127">
        <f t="shared" si="13"/>
        <v>0</v>
      </c>
      <c r="H127">
        <f t="shared" si="13"/>
        <v>0</v>
      </c>
      <c r="J127" s="4"/>
      <c r="K127" s="4">
        <f t="shared" ca="1" si="10"/>
        <v>3005.3015350921819</v>
      </c>
      <c r="L127" s="4"/>
      <c r="M127" s="4"/>
      <c r="N127" s="4">
        <f t="shared" ca="1" si="11"/>
        <v>2836892.8613647865</v>
      </c>
      <c r="O127" s="4"/>
    </row>
    <row r="128" spans="1:16" x14ac:dyDescent="0.35">
      <c r="A128" s="1">
        <f t="shared" si="12"/>
        <v>45474</v>
      </c>
      <c r="B128" s="13">
        <f t="shared" si="5"/>
        <v>2024</v>
      </c>
      <c r="C128" s="13">
        <f t="shared" si="6"/>
        <v>7</v>
      </c>
      <c r="D128" s="4">
        <f>MonthlyData!F128</f>
        <v>3089982.6127326209</v>
      </c>
      <c r="E128" s="4">
        <f t="shared" ca="1" si="9"/>
        <v>0.28709633857318684</v>
      </c>
      <c r="F128" s="4">
        <f>MonthlyData!AF128</f>
        <v>0</v>
      </c>
      <c r="G128">
        <f t="shared" si="13"/>
        <v>0</v>
      </c>
      <c r="H128">
        <f t="shared" si="13"/>
        <v>0</v>
      </c>
      <c r="J128" s="4"/>
      <c r="K128" s="4">
        <f t="shared" ca="1" si="10"/>
        <v>543.02053331538559</v>
      </c>
      <c r="L128" s="4"/>
      <c r="M128" s="4"/>
      <c r="N128" s="4">
        <f t="shared" ca="1" si="11"/>
        <v>3090525.6332659363</v>
      </c>
      <c r="O128" s="4"/>
    </row>
    <row r="129" spans="1:15" x14ac:dyDescent="0.35">
      <c r="A129" s="1">
        <f t="shared" si="12"/>
        <v>45505</v>
      </c>
      <c r="B129" s="13">
        <f t="shared" si="5"/>
        <v>2024</v>
      </c>
      <c r="C129" s="13">
        <f t="shared" si="6"/>
        <v>8</v>
      </c>
      <c r="D129" s="4">
        <f>MonthlyData!F129</f>
        <v>3416128.6656355476</v>
      </c>
      <c r="E129" s="4">
        <f t="shared" ca="1" si="9"/>
        <v>1.6761707873342053</v>
      </c>
      <c r="F129" s="4">
        <f>MonthlyData!AF129</f>
        <v>0</v>
      </c>
      <c r="G129">
        <f t="shared" si="13"/>
        <v>0</v>
      </c>
      <c r="H129">
        <f t="shared" si="13"/>
        <v>0</v>
      </c>
      <c r="J129" s="4"/>
      <c r="K129" s="4">
        <f t="shared" ca="1" si="10"/>
        <v>3170.3474847132616</v>
      </c>
      <c r="L129" s="4"/>
      <c r="M129" s="4"/>
      <c r="N129" s="4">
        <f t="shared" ca="1" si="11"/>
        <v>3419299.013120261</v>
      </c>
      <c r="O129" s="4"/>
    </row>
    <row r="130" spans="1:15" x14ac:dyDescent="0.35">
      <c r="A130" s="1">
        <f t="shared" si="12"/>
        <v>45536</v>
      </c>
      <c r="B130" s="13">
        <f t="shared" si="5"/>
        <v>2024</v>
      </c>
      <c r="C130" s="13">
        <f t="shared" si="6"/>
        <v>9</v>
      </c>
      <c r="D130" s="4">
        <f>MonthlyData!F130</f>
        <v>3265561.7185384743</v>
      </c>
      <c r="E130" s="4">
        <f t="shared" ca="1" si="9"/>
        <v>28.222326899712005</v>
      </c>
      <c r="F130" s="4">
        <f>MonthlyData!AF130</f>
        <v>9.8999999999999986</v>
      </c>
      <c r="G130">
        <f t="shared" si="13"/>
        <v>0</v>
      </c>
      <c r="H130">
        <f t="shared" si="13"/>
        <v>0</v>
      </c>
      <c r="J130" s="4"/>
      <c r="K130" s="4">
        <f t="shared" ca="1" si="10"/>
        <v>34655.265107549043</v>
      </c>
      <c r="L130" s="4"/>
      <c r="M130" s="4"/>
      <c r="N130" s="4">
        <f t="shared" ca="1" si="11"/>
        <v>3300216.9836460236</v>
      </c>
      <c r="O130" s="4"/>
    </row>
    <row r="131" spans="1:15" x14ac:dyDescent="0.35">
      <c r="A131" s="1">
        <f t="shared" si="12"/>
        <v>45566</v>
      </c>
      <c r="B131" s="13">
        <f t="shared" ref="B131:B145" si="14">YEAR(A131)</f>
        <v>2024</v>
      </c>
      <c r="C131" s="13">
        <f t="shared" ref="C131:C145" si="15">MONTH(A131)</f>
        <v>10</v>
      </c>
      <c r="D131" s="4">
        <f>MonthlyData!F131</f>
        <v>2994047.771441401</v>
      </c>
      <c r="E131" s="4">
        <f t="shared" ca="1" si="9"/>
        <v>178.0244559176316</v>
      </c>
      <c r="F131" s="4">
        <f>MonthlyData!AF131</f>
        <v>132.70000000000005</v>
      </c>
      <c r="G131">
        <f t="shared" si="13"/>
        <v>1</v>
      </c>
      <c r="H131">
        <f t="shared" si="13"/>
        <v>0</v>
      </c>
      <c r="J131" s="4"/>
      <c r="K131" s="4">
        <f t="shared" ca="1" si="10"/>
        <v>85727.705016857362</v>
      </c>
      <c r="L131" s="4"/>
      <c r="M131" s="4"/>
      <c r="N131" s="4">
        <f t="shared" ca="1" si="11"/>
        <v>3079775.4764582585</v>
      </c>
      <c r="O131" s="4"/>
    </row>
    <row r="132" spans="1:15" x14ac:dyDescent="0.35">
      <c r="A132" s="1">
        <f t="shared" si="12"/>
        <v>45597</v>
      </c>
      <c r="B132" s="13">
        <f t="shared" si="14"/>
        <v>2024</v>
      </c>
      <c r="C132" s="13">
        <f t="shared" si="15"/>
        <v>11</v>
      </c>
      <c r="E132" s="4">
        <f t="shared" ca="1" si="9"/>
        <v>403.99833333333333</v>
      </c>
      <c r="F132" s="4">
        <f>MonthlyData!AF132</f>
        <v>0</v>
      </c>
      <c r="G132">
        <f t="shared" si="13"/>
        <v>1</v>
      </c>
      <c r="H132">
        <f t="shared" si="13"/>
        <v>0</v>
      </c>
      <c r="J132" s="4">
        <f t="shared" ref="J132:J145" si="16">$Q$8</f>
        <v>2993597.51664689</v>
      </c>
      <c r="K132" s="4">
        <f t="shared" ref="K132:K145" ca="1" si="17">E132*$Q$9</f>
        <v>764131.62047090754</v>
      </c>
      <c r="L132" s="4">
        <f t="shared" ref="L132:L145" si="18">G132*$Q$10</f>
        <v>-602637.76155081904</v>
      </c>
      <c r="M132" s="4">
        <f t="shared" ref="M132:M145" si="19">H132*$Q$11</f>
        <v>0</v>
      </c>
      <c r="N132" s="4">
        <f t="shared" ref="N132:N145" ca="1" si="20">SUM(J132:M132)</f>
        <v>3155091.3755669785</v>
      </c>
      <c r="O132" s="4"/>
    </row>
    <row r="133" spans="1:15" x14ac:dyDescent="0.35">
      <c r="A133" s="1">
        <f t="shared" si="12"/>
        <v>45627</v>
      </c>
      <c r="B133" s="13">
        <f t="shared" si="14"/>
        <v>2024</v>
      </c>
      <c r="C133" s="13">
        <f t="shared" si="15"/>
        <v>12</v>
      </c>
      <c r="E133" s="4">
        <f t="shared" ca="1" si="9"/>
        <v>629.70466952460959</v>
      </c>
      <c r="F133" s="4">
        <f>MonthlyData!AF133</f>
        <v>0</v>
      </c>
      <c r="G133">
        <f t="shared" si="13"/>
        <v>0</v>
      </c>
      <c r="H133">
        <f t="shared" si="13"/>
        <v>1</v>
      </c>
      <c r="J133" s="4">
        <f t="shared" si="16"/>
        <v>2993597.51664689</v>
      </c>
      <c r="K133" s="4">
        <f t="shared" ca="1" si="17"/>
        <v>1191037.7094177876</v>
      </c>
      <c r="L133" s="4">
        <f t="shared" si="18"/>
        <v>0</v>
      </c>
      <c r="M133" s="4">
        <f t="shared" si="19"/>
        <v>-626381.313089823</v>
      </c>
      <c r="N133" s="4">
        <f t="shared" ca="1" si="20"/>
        <v>3558253.9129748545</v>
      </c>
      <c r="O133" s="4"/>
    </row>
    <row r="134" spans="1:15" x14ac:dyDescent="0.35">
      <c r="A134" s="1">
        <f t="shared" si="12"/>
        <v>45658</v>
      </c>
      <c r="B134" s="13">
        <f t="shared" si="14"/>
        <v>2025</v>
      </c>
      <c r="C134" s="13">
        <f t="shared" si="15"/>
        <v>1</v>
      </c>
      <c r="E134" s="4">
        <f t="shared" ca="1" si="9"/>
        <v>793.4846429373913</v>
      </c>
      <c r="F134" s="4">
        <f>MonthlyData!AF134</f>
        <v>0</v>
      </c>
      <c r="G134">
        <f t="shared" si="13"/>
        <v>0</v>
      </c>
      <c r="H134">
        <f t="shared" si="13"/>
        <v>0</v>
      </c>
      <c r="J134" s="4">
        <f t="shared" si="16"/>
        <v>2993597.51664689</v>
      </c>
      <c r="K134" s="4">
        <f t="shared" ca="1" si="17"/>
        <v>1500814.8697639715</v>
      </c>
      <c r="L134" s="4">
        <f t="shared" si="18"/>
        <v>0</v>
      </c>
      <c r="M134" s="4">
        <f t="shared" si="19"/>
        <v>0</v>
      </c>
      <c r="N134" s="4">
        <f t="shared" ca="1" si="20"/>
        <v>4494412.3864108613</v>
      </c>
      <c r="O134" s="4"/>
    </row>
    <row r="135" spans="1:15" x14ac:dyDescent="0.35">
      <c r="A135" s="1">
        <f t="shared" si="12"/>
        <v>45689</v>
      </c>
      <c r="B135" s="13">
        <f t="shared" si="14"/>
        <v>2025</v>
      </c>
      <c r="C135" s="13">
        <f t="shared" si="15"/>
        <v>2</v>
      </c>
      <c r="E135" s="4">
        <f t="shared" ca="1" si="9"/>
        <v>736.10085614037712</v>
      </c>
      <c r="F135" s="4">
        <f>MonthlyData!AF135</f>
        <v>0</v>
      </c>
      <c r="G135">
        <f t="shared" si="13"/>
        <v>0</v>
      </c>
      <c r="H135">
        <f t="shared" si="13"/>
        <v>0</v>
      </c>
      <c r="J135" s="4">
        <f t="shared" si="16"/>
        <v>2993597.51664689</v>
      </c>
      <c r="K135" s="4">
        <f t="shared" ca="1" si="17"/>
        <v>1392277.8725140831</v>
      </c>
      <c r="L135" s="4">
        <f t="shared" si="18"/>
        <v>0</v>
      </c>
      <c r="M135" s="4">
        <f t="shared" si="19"/>
        <v>0</v>
      </c>
      <c r="N135" s="4">
        <f t="shared" ca="1" si="20"/>
        <v>4385875.389160973</v>
      </c>
      <c r="O135" s="4"/>
    </row>
    <row r="136" spans="1:15" x14ac:dyDescent="0.35">
      <c r="A136" s="1">
        <f t="shared" si="12"/>
        <v>45717</v>
      </c>
      <c r="B136" s="13">
        <f t="shared" si="14"/>
        <v>2025</v>
      </c>
      <c r="C136" s="13">
        <f t="shared" si="15"/>
        <v>3</v>
      </c>
      <c r="E136" s="4">
        <f t="shared" ca="1" si="9"/>
        <v>577.21697535249291</v>
      </c>
      <c r="F136" s="4">
        <f>MonthlyData!AF136</f>
        <v>0</v>
      </c>
      <c r="G136">
        <f t="shared" si="13"/>
        <v>0</v>
      </c>
      <c r="H136">
        <f t="shared" si="13"/>
        <v>0</v>
      </c>
      <c r="J136" s="4">
        <f t="shared" si="16"/>
        <v>2993597.51664689</v>
      </c>
      <c r="K136" s="4">
        <f t="shared" ca="1" si="17"/>
        <v>1091761.292924681</v>
      </c>
      <c r="L136" s="4">
        <f t="shared" si="18"/>
        <v>0</v>
      </c>
      <c r="M136" s="4">
        <f t="shared" si="19"/>
        <v>0</v>
      </c>
      <c r="N136" s="4">
        <f t="shared" ca="1" si="20"/>
        <v>4085358.8095715707</v>
      </c>
      <c r="O136" s="4"/>
    </row>
    <row r="137" spans="1:15" x14ac:dyDescent="0.35">
      <c r="A137" s="1">
        <f t="shared" si="12"/>
        <v>45748</v>
      </c>
      <c r="B137" s="13">
        <f t="shared" si="14"/>
        <v>2025</v>
      </c>
      <c r="C137" s="13">
        <f t="shared" si="15"/>
        <v>4</v>
      </c>
      <c r="E137" s="4">
        <f t="shared" ca="1" si="9"/>
        <v>307.33082472275549</v>
      </c>
      <c r="F137" s="4">
        <f>MonthlyData!AF137</f>
        <v>0</v>
      </c>
      <c r="G137">
        <f t="shared" si="13"/>
        <v>0</v>
      </c>
      <c r="H137">
        <f t="shared" si="13"/>
        <v>0</v>
      </c>
      <c r="J137" s="4">
        <f t="shared" si="16"/>
        <v>2993597.51664689</v>
      </c>
      <c r="K137" s="4">
        <f t="shared" ca="1" si="17"/>
        <v>581292.49984379369</v>
      </c>
      <c r="L137" s="4">
        <f t="shared" si="18"/>
        <v>0</v>
      </c>
      <c r="M137" s="4">
        <f t="shared" si="19"/>
        <v>0</v>
      </c>
      <c r="N137" s="4">
        <f t="shared" ca="1" si="20"/>
        <v>3574890.0164906839</v>
      </c>
      <c r="O137" s="4"/>
    </row>
    <row r="138" spans="1:15" x14ac:dyDescent="0.35">
      <c r="A138" s="1">
        <f t="shared" si="12"/>
        <v>45778</v>
      </c>
      <c r="B138" s="13">
        <f t="shared" si="14"/>
        <v>2025</v>
      </c>
      <c r="C138" s="13">
        <f t="shared" si="15"/>
        <v>5</v>
      </c>
      <c r="E138" s="4">
        <f t="shared" ca="1" si="9"/>
        <v>103.00647094808046</v>
      </c>
      <c r="F138" s="4">
        <f>MonthlyData!AF138</f>
        <v>0</v>
      </c>
      <c r="G138">
        <f t="shared" si="13"/>
        <v>0</v>
      </c>
      <c r="H138">
        <f t="shared" si="13"/>
        <v>0</v>
      </c>
      <c r="J138" s="4">
        <f t="shared" si="16"/>
        <v>2993597.51664689</v>
      </c>
      <c r="K138" s="4">
        <f t="shared" ca="1" si="17"/>
        <v>194828.77791875257</v>
      </c>
      <c r="L138" s="4">
        <f t="shared" si="18"/>
        <v>0</v>
      </c>
      <c r="M138" s="4">
        <f t="shared" si="19"/>
        <v>0</v>
      </c>
      <c r="N138" s="4">
        <f t="shared" ca="1" si="20"/>
        <v>3188426.2945656427</v>
      </c>
      <c r="O138" s="4"/>
    </row>
    <row r="139" spans="1:15" x14ac:dyDescent="0.35">
      <c r="A139" s="1">
        <f t="shared" si="12"/>
        <v>45809</v>
      </c>
      <c r="B139" s="13">
        <f t="shared" si="14"/>
        <v>2025</v>
      </c>
      <c r="C139" s="13">
        <f t="shared" si="15"/>
        <v>6</v>
      </c>
      <c r="E139" s="4">
        <f t="shared" ca="1" si="9"/>
        <v>5.5889105735385218</v>
      </c>
      <c r="F139" s="4">
        <f>MonthlyData!AF139</f>
        <v>0</v>
      </c>
      <c r="G139">
        <f t="shared" ref="G139:H145" si="21">G127</f>
        <v>0</v>
      </c>
      <c r="H139">
        <f t="shared" si="21"/>
        <v>0</v>
      </c>
      <c r="J139" s="4">
        <f t="shared" si="16"/>
        <v>2993597.51664689</v>
      </c>
      <c r="K139" s="4">
        <f t="shared" ca="1" si="17"/>
        <v>10570.992355310822</v>
      </c>
      <c r="L139" s="4">
        <f t="shared" si="18"/>
        <v>0</v>
      </c>
      <c r="M139" s="4">
        <f t="shared" si="19"/>
        <v>0</v>
      </c>
      <c r="N139" s="4">
        <f t="shared" ca="1" si="20"/>
        <v>3004168.5090022008</v>
      </c>
      <c r="O139" s="4"/>
    </row>
    <row r="140" spans="1:15" x14ac:dyDescent="0.35">
      <c r="A140" s="1">
        <f t="shared" si="12"/>
        <v>45839</v>
      </c>
      <c r="B140" s="13">
        <f t="shared" si="14"/>
        <v>2025</v>
      </c>
      <c r="C140" s="13">
        <f t="shared" si="15"/>
        <v>7</v>
      </c>
      <c r="E140" s="4">
        <f t="shared" ca="1" si="9"/>
        <v>0.28709633857318684</v>
      </c>
      <c r="F140" s="4">
        <f>MonthlyData!AF140</f>
        <v>0</v>
      </c>
      <c r="G140">
        <f t="shared" si="21"/>
        <v>0</v>
      </c>
      <c r="H140">
        <f t="shared" si="21"/>
        <v>0</v>
      </c>
      <c r="J140" s="4">
        <f t="shared" si="16"/>
        <v>2993597.51664689</v>
      </c>
      <c r="K140" s="4">
        <f t="shared" ca="1" si="17"/>
        <v>543.02053331538559</v>
      </c>
      <c r="L140" s="4">
        <f t="shared" si="18"/>
        <v>0</v>
      </c>
      <c r="M140" s="4">
        <f t="shared" si="19"/>
        <v>0</v>
      </c>
      <c r="N140" s="4">
        <f t="shared" ca="1" si="20"/>
        <v>2994140.5371802053</v>
      </c>
      <c r="O140" s="4"/>
    </row>
    <row r="141" spans="1:15" x14ac:dyDescent="0.35">
      <c r="A141" s="1">
        <f t="shared" si="12"/>
        <v>45870</v>
      </c>
      <c r="B141" s="13">
        <f t="shared" si="14"/>
        <v>2025</v>
      </c>
      <c r="C141" s="13">
        <f t="shared" si="15"/>
        <v>8</v>
      </c>
      <c r="E141" s="4">
        <f t="shared" ca="1" si="9"/>
        <v>1.6761707873342053</v>
      </c>
      <c r="F141" s="4">
        <f>MonthlyData!AF141</f>
        <v>0</v>
      </c>
      <c r="G141">
        <f t="shared" si="21"/>
        <v>0</v>
      </c>
      <c r="H141">
        <f t="shared" si="21"/>
        <v>0</v>
      </c>
      <c r="J141" s="4">
        <f t="shared" si="16"/>
        <v>2993597.51664689</v>
      </c>
      <c r="K141" s="4">
        <f t="shared" ca="1" si="17"/>
        <v>3170.3474847132616</v>
      </c>
      <c r="L141" s="4">
        <f t="shared" si="18"/>
        <v>0</v>
      </c>
      <c r="M141" s="4">
        <f t="shared" si="19"/>
        <v>0</v>
      </c>
      <c r="N141" s="4">
        <f t="shared" ca="1" si="20"/>
        <v>2996767.8641316034</v>
      </c>
      <c r="O141" s="4"/>
    </row>
    <row r="142" spans="1:15" x14ac:dyDescent="0.35">
      <c r="A142" s="1">
        <f t="shared" si="12"/>
        <v>45901</v>
      </c>
      <c r="B142" s="13">
        <f t="shared" si="14"/>
        <v>2025</v>
      </c>
      <c r="C142" s="13">
        <f t="shared" si="15"/>
        <v>9</v>
      </c>
      <c r="E142" s="4">
        <f t="shared" ca="1" si="9"/>
        <v>28.222326899712005</v>
      </c>
      <c r="F142" s="4">
        <f>MonthlyData!AF142</f>
        <v>0</v>
      </c>
      <c r="G142">
        <f t="shared" si="21"/>
        <v>0</v>
      </c>
      <c r="H142">
        <f t="shared" si="21"/>
        <v>0</v>
      </c>
      <c r="J142" s="4">
        <f t="shared" si="16"/>
        <v>2993597.51664689</v>
      </c>
      <c r="K142" s="4">
        <f t="shared" ca="1" si="17"/>
        <v>53380.349887590171</v>
      </c>
      <c r="L142" s="4">
        <f t="shared" si="18"/>
        <v>0</v>
      </c>
      <c r="M142" s="4">
        <f t="shared" si="19"/>
        <v>0</v>
      </c>
      <c r="N142" s="4">
        <f t="shared" ca="1" si="20"/>
        <v>3046977.8665344804</v>
      </c>
      <c r="O142" s="4"/>
    </row>
    <row r="143" spans="1:15" x14ac:dyDescent="0.35">
      <c r="A143" s="1">
        <f t="shared" si="12"/>
        <v>45931</v>
      </c>
      <c r="B143" s="13">
        <f t="shared" si="14"/>
        <v>2025</v>
      </c>
      <c r="C143" s="13">
        <f t="shared" si="15"/>
        <v>10</v>
      </c>
      <c r="E143" s="4">
        <f ca="1">E131</f>
        <v>178.0244559176316</v>
      </c>
      <c r="F143" s="4">
        <f>MonthlyData!AF143</f>
        <v>0</v>
      </c>
      <c r="G143">
        <f t="shared" si="21"/>
        <v>1</v>
      </c>
      <c r="H143">
        <f t="shared" si="21"/>
        <v>0</v>
      </c>
      <c r="J143" s="4">
        <f t="shared" si="16"/>
        <v>2993597.51664689</v>
      </c>
      <c r="K143" s="4">
        <f t="shared" ca="1" si="17"/>
        <v>336719.49797761079</v>
      </c>
      <c r="L143" s="4">
        <f t="shared" si="18"/>
        <v>-602637.76155081904</v>
      </c>
      <c r="M143" s="4">
        <f t="shared" si="19"/>
        <v>0</v>
      </c>
      <c r="N143" s="4">
        <f t="shared" ca="1" si="20"/>
        <v>2727679.2530736816</v>
      </c>
      <c r="O143" s="4"/>
    </row>
    <row r="144" spans="1:15" x14ac:dyDescent="0.35">
      <c r="A144" s="1">
        <f t="shared" si="12"/>
        <v>45962</v>
      </c>
      <c r="B144" s="13">
        <f t="shared" si="14"/>
        <v>2025</v>
      </c>
      <c r="C144" s="13">
        <f t="shared" si="15"/>
        <v>11</v>
      </c>
      <c r="E144" s="4">
        <f ca="1">E132</f>
        <v>403.99833333333333</v>
      </c>
      <c r="F144" s="4">
        <f>MonthlyData!AF144</f>
        <v>0</v>
      </c>
      <c r="G144">
        <f t="shared" si="21"/>
        <v>1</v>
      </c>
      <c r="H144">
        <f t="shared" si="21"/>
        <v>0</v>
      </c>
      <c r="J144" s="4">
        <f t="shared" si="16"/>
        <v>2993597.51664689</v>
      </c>
      <c r="K144" s="4">
        <f t="shared" ca="1" si="17"/>
        <v>764131.62047090754</v>
      </c>
      <c r="L144" s="4">
        <f t="shared" si="18"/>
        <v>-602637.76155081904</v>
      </c>
      <c r="M144" s="4">
        <f t="shared" si="19"/>
        <v>0</v>
      </c>
      <c r="N144" s="4">
        <f t="shared" ca="1" si="20"/>
        <v>3155091.3755669785</v>
      </c>
      <c r="O144" s="4"/>
    </row>
    <row r="145" spans="1:16" x14ac:dyDescent="0.35">
      <c r="A145" s="1">
        <f t="shared" si="12"/>
        <v>45992</v>
      </c>
      <c r="B145" s="13">
        <f t="shared" si="14"/>
        <v>2025</v>
      </c>
      <c r="C145" s="13">
        <f t="shared" si="15"/>
        <v>12</v>
      </c>
      <c r="E145" s="4">
        <f ca="1">E133</f>
        <v>629.70466952460959</v>
      </c>
      <c r="F145" s="4">
        <f>MonthlyData!AF145</f>
        <v>0</v>
      </c>
      <c r="G145">
        <f t="shared" si="21"/>
        <v>0</v>
      </c>
      <c r="H145">
        <f t="shared" si="21"/>
        <v>1</v>
      </c>
      <c r="J145" s="4">
        <f t="shared" si="16"/>
        <v>2993597.51664689</v>
      </c>
      <c r="K145" s="4">
        <f t="shared" ca="1" si="17"/>
        <v>1191037.7094177876</v>
      </c>
      <c r="L145" s="4">
        <f t="shared" si="18"/>
        <v>0</v>
      </c>
      <c r="M145" s="4">
        <f t="shared" si="19"/>
        <v>-626381.313089823</v>
      </c>
      <c r="N145" s="4">
        <f t="shared" ca="1" si="20"/>
        <v>3558253.9129748545</v>
      </c>
      <c r="O145" s="4"/>
      <c r="P145" s="17"/>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055C-4F26-459E-8572-2BE7798EFF5D}">
  <sheetPr codeName="Sheet25">
    <tabColor theme="7" tint="0.59999389629810485"/>
  </sheetPr>
  <dimension ref="A1:X145"/>
  <sheetViews>
    <sheetView topLeftCell="A103" workbookViewId="0">
      <selection activeCell="K113" sqref="K113:Q131"/>
    </sheetView>
  </sheetViews>
  <sheetFormatPr defaultRowHeight="14.5" x14ac:dyDescent="0.35"/>
  <cols>
    <col min="1" max="1" width="13.81640625" customWidth="1"/>
    <col min="2" max="3" width="12.453125" customWidth="1"/>
    <col min="4" max="4" width="11.26953125" customWidth="1"/>
    <col min="5" max="5" width="8.81640625" bestFit="1" customWidth="1"/>
    <col min="6" max="6" width="8.81640625" customWidth="1"/>
    <col min="11" max="11" width="12.7265625" bestFit="1" customWidth="1"/>
    <col min="12" max="13" width="11.1796875" bestFit="1" customWidth="1"/>
    <col min="14" max="14" width="11.1796875" customWidth="1"/>
    <col min="15" max="15" width="11.1796875" bestFit="1" customWidth="1"/>
    <col min="16" max="16" width="12.7265625" bestFit="1" customWidth="1"/>
    <col min="17" max="17" width="11.1796875" bestFit="1" customWidth="1"/>
    <col min="18" max="18" width="12.1796875" style="19" customWidth="1"/>
    <col min="21" max="21" width="10" customWidth="1"/>
  </cols>
  <sheetData>
    <row r="1" spans="1:24" x14ac:dyDescent="0.35">
      <c r="A1" s="1" t="str">
        <f>MonthlyData!A1</f>
        <v>Date</v>
      </c>
      <c r="B1" s="1" t="s">
        <v>1</v>
      </c>
      <c r="C1" s="1" t="s">
        <v>2</v>
      </c>
      <c r="D1" s="4" t="str">
        <f>MonthlyData!I1</f>
        <v>GSlt50_NoCDM</v>
      </c>
      <c r="E1" t="s">
        <v>465</v>
      </c>
      <c r="F1" s="3" t="str">
        <f>MonthlyData!AF1</f>
        <v>HDD10</v>
      </c>
      <c r="G1" t="str">
        <f>MonthlyData!BP1</f>
        <v>Fall</v>
      </c>
      <c r="H1" s="4" t="str">
        <f>MonthlyData!R1</f>
        <v>GSlt50Count</v>
      </c>
      <c r="I1" t="str">
        <f>MonthlyData!BN1</f>
        <v>Dec</v>
      </c>
      <c r="L1" t="str">
        <f>E1</f>
        <v>HDD10Norm</v>
      </c>
      <c r="M1" t="str">
        <f>G1</f>
        <v>Fall</v>
      </c>
      <c r="N1" t="str">
        <f>H1</f>
        <v>GSlt50Count</v>
      </c>
      <c r="O1" t="str">
        <f>I1</f>
        <v>Dec</v>
      </c>
    </row>
    <row r="2" spans="1:24" x14ac:dyDescent="0.35">
      <c r="A2" s="1">
        <f>MonthlyData!A2</f>
        <v>41640</v>
      </c>
      <c r="B2" s="13">
        <f>YEAR(A2)</f>
        <v>2014</v>
      </c>
      <c r="C2" s="13">
        <f>MONTH(A2)</f>
        <v>1</v>
      </c>
      <c r="D2" s="4">
        <f>MonthlyData!I2</f>
        <v>2267712.5500153434</v>
      </c>
      <c r="E2" s="200">
        <f ca="1">Weather!CT38</f>
        <v>793.4846429373913</v>
      </c>
      <c r="F2" s="3">
        <f>MonthlyData!AF2</f>
        <v>923.86930657636822</v>
      </c>
      <c r="G2">
        <f>MonthlyData!BP2</f>
        <v>0</v>
      </c>
      <c r="H2" s="4">
        <f>MonthlyData!R2</f>
        <v>767</v>
      </c>
      <c r="I2">
        <f>MonthlyData!BN2</f>
        <v>0</v>
      </c>
      <c r="K2" s="4"/>
      <c r="L2" s="4">
        <f ca="1">(E2-F2)*$U$8</f>
        <v>-84269.893789017064</v>
      </c>
      <c r="M2" s="4"/>
      <c r="N2" s="4"/>
      <c r="O2" s="4"/>
      <c r="P2" s="4">
        <f ca="1">D2+L2</f>
        <v>2183442.6562263262</v>
      </c>
      <c r="Q2" s="4">
        <f t="shared" ref="Q2:Q33" ca="1" si="0">P2-D2</f>
        <v>-84269.893789017107</v>
      </c>
      <c r="R2" s="19">
        <f t="shared" ref="R2:R33" ca="1" si="1">ABS(Q2/D2)</f>
        <v>3.7160747639045762E-2</v>
      </c>
      <c r="T2" t="s">
        <v>491</v>
      </c>
    </row>
    <row r="3" spans="1:24" x14ac:dyDescent="0.35">
      <c r="A3" s="1">
        <f>MonthlyData!A3</f>
        <v>41671</v>
      </c>
      <c r="B3" s="13">
        <f t="shared" ref="B3:B66" si="2">YEAR(A3)</f>
        <v>2014</v>
      </c>
      <c r="C3" s="13">
        <f t="shared" ref="C3:C66" si="3">MONTH(A3)</f>
        <v>2</v>
      </c>
      <c r="D3" s="4">
        <f>MonthlyData!I3</f>
        <v>2304412.939825864</v>
      </c>
      <c r="E3" s="200">
        <f ca="1">Weather!CT39</f>
        <v>736.10085614037712</v>
      </c>
      <c r="F3" s="3">
        <f>MonthlyData!AF3</f>
        <v>750.36010382542349</v>
      </c>
      <c r="G3">
        <f>MonthlyData!BP3</f>
        <v>0</v>
      </c>
      <c r="H3" s="4">
        <f>MonthlyData!R3</f>
        <v>759</v>
      </c>
      <c r="I3">
        <f>MonthlyData!BN3</f>
        <v>0</v>
      </c>
      <c r="K3" s="4"/>
      <c r="L3" s="4">
        <f t="shared" ref="L3:L16" ca="1" si="4">(E3-F3)*$U$8</f>
        <v>-9216.0017473936568</v>
      </c>
      <c r="M3" s="4"/>
      <c r="N3" s="4"/>
      <c r="O3" s="4"/>
      <c r="P3" s="4">
        <f t="shared" ref="P3:P16" ca="1" si="5">D3+L3</f>
        <v>2295196.9380784705</v>
      </c>
      <c r="Q3" s="4">
        <f t="shared" ca="1" si="0"/>
        <v>-9216.001747393515</v>
      </c>
      <c r="R3" s="19">
        <f t="shared" ca="1" si="1"/>
        <v>3.9992839773282706E-3</v>
      </c>
      <c r="T3" t="s">
        <v>462</v>
      </c>
    </row>
    <row r="4" spans="1:24" x14ac:dyDescent="0.35">
      <c r="A4" s="1">
        <f>MonthlyData!A4</f>
        <v>41699</v>
      </c>
      <c r="B4" s="13">
        <f t="shared" si="2"/>
        <v>2014</v>
      </c>
      <c r="C4" s="13">
        <f t="shared" si="3"/>
        <v>3</v>
      </c>
      <c r="D4" s="4">
        <f>MonthlyData!I4</f>
        <v>1997865.6359274124</v>
      </c>
      <c r="E4" s="200">
        <f ca="1">Weather!CT40</f>
        <v>577.21697535249291</v>
      </c>
      <c r="F4" s="3">
        <f>MonthlyData!AF4</f>
        <v>718.29098039039206</v>
      </c>
      <c r="G4">
        <f>MonthlyData!BP4</f>
        <v>0</v>
      </c>
      <c r="H4" s="4">
        <f>MonthlyData!R4</f>
        <v>767</v>
      </c>
      <c r="I4">
        <f>MonthlyData!BN4</f>
        <v>0</v>
      </c>
      <c r="K4" s="4"/>
      <c r="L4" s="4">
        <f t="shared" ca="1" si="4"/>
        <v>-91178.602522246016</v>
      </c>
      <c r="M4" s="4"/>
      <c r="N4" s="4"/>
      <c r="O4" s="4"/>
      <c r="P4" s="4">
        <f t="shared" ca="1" si="5"/>
        <v>1906687.0334051664</v>
      </c>
      <c r="Q4" s="4">
        <f t="shared" ca="1" si="0"/>
        <v>-91178.602522246074</v>
      </c>
      <c r="R4" s="19">
        <f t="shared" ca="1" si="1"/>
        <v>4.5638005320573431E-2</v>
      </c>
      <c r="T4" t="s">
        <v>492</v>
      </c>
    </row>
    <row r="5" spans="1:24" x14ac:dyDescent="0.35">
      <c r="A5" s="1">
        <f>MonthlyData!A5</f>
        <v>41730</v>
      </c>
      <c r="B5" s="13">
        <f t="shared" si="2"/>
        <v>2014</v>
      </c>
      <c r="C5" s="13">
        <f t="shared" si="3"/>
        <v>4</v>
      </c>
      <c r="D5" s="4">
        <f>MonthlyData!I5</f>
        <v>2043121.1177997903</v>
      </c>
      <c r="E5" s="200">
        <f ca="1">Weather!CT41</f>
        <v>307.33082472275549</v>
      </c>
      <c r="F5" s="3">
        <f>MonthlyData!AF5</f>
        <v>342.04088813973715</v>
      </c>
      <c r="G5">
        <f>MonthlyData!BP5</f>
        <v>0</v>
      </c>
      <c r="H5" s="4">
        <f>MonthlyData!R5</f>
        <v>762</v>
      </c>
      <c r="I5">
        <f>MonthlyData!BN5</f>
        <v>0</v>
      </c>
      <c r="K5" s="4"/>
      <c r="L5" s="4">
        <f t="shared" ca="1" si="4"/>
        <v>-22433.722463388654</v>
      </c>
      <c r="M5" s="4"/>
      <c r="N5" s="4"/>
      <c r="O5" s="4"/>
      <c r="P5" s="4">
        <f t="shared" ca="1" si="5"/>
        <v>2020687.3953364016</v>
      </c>
      <c r="Q5" s="4">
        <f t="shared" ca="1" si="0"/>
        <v>-22433.722463388694</v>
      </c>
      <c r="R5" s="19">
        <f t="shared" ca="1" si="1"/>
        <v>1.0980123629453387E-2</v>
      </c>
    </row>
    <row r="6" spans="1:24" x14ac:dyDescent="0.35">
      <c r="A6" s="1">
        <f>MonthlyData!A6</f>
        <v>41760</v>
      </c>
      <c r="B6" s="13">
        <f t="shared" si="2"/>
        <v>2014</v>
      </c>
      <c r="C6" s="13">
        <f t="shared" si="3"/>
        <v>5</v>
      </c>
      <c r="D6" s="4">
        <f>MonthlyData!I6</f>
        <v>1681225.2182917895</v>
      </c>
      <c r="E6" s="200">
        <f ca="1">Weather!CT42</f>
        <v>103.00647094808046</v>
      </c>
      <c r="F6" s="3">
        <f>MonthlyData!AF6</f>
        <v>76.76559436311274</v>
      </c>
      <c r="G6">
        <f>MonthlyData!BP6</f>
        <v>0</v>
      </c>
      <c r="H6" s="4">
        <f>MonthlyData!R6</f>
        <v>755</v>
      </c>
      <c r="I6">
        <f>MonthlyData!BN6</f>
        <v>0</v>
      </c>
      <c r="K6" s="4"/>
      <c r="L6" s="4">
        <f t="shared" ca="1" si="4"/>
        <v>16959.938546674966</v>
      </c>
      <c r="M6" s="4"/>
      <c r="N6" s="4"/>
      <c r="O6" s="4"/>
      <c r="P6" s="4">
        <f t="shared" ca="1" si="5"/>
        <v>1698185.1568384646</v>
      </c>
      <c r="Q6" s="4">
        <f t="shared" ca="1" si="0"/>
        <v>16959.938546675025</v>
      </c>
      <c r="R6" s="19">
        <f t="shared" ca="1" si="1"/>
        <v>1.0087844485170873E-2</v>
      </c>
      <c r="U6" t="s">
        <v>84</v>
      </c>
      <c r="V6" t="s">
        <v>85</v>
      </c>
      <c r="W6" t="s">
        <v>86</v>
      </c>
      <c r="X6" t="s">
        <v>87</v>
      </c>
    </row>
    <row r="7" spans="1:24" x14ac:dyDescent="0.35">
      <c r="A7" s="1">
        <f>MonthlyData!A7</f>
        <v>41791</v>
      </c>
      <c r="B7" s="13">
        <f t="shared" si="2"/>
        <v>2014</v>
      </c>
      <c r="C7" s="13">
        <f t="shared" si="3"/>
        <v>6</v>
      </c>
      <c r="D7" s="4">
        <f>MonthlyData!I7</f>
        <v>1602762.3688238007</v>
      </c>
      <c r="E7" s="200">
        <f ca="1">Weather!CT43</f>
        <v>5.5889105735385218</v>
      </c>
      <c r="F7" s="3">
        <f>MonthlyData!AF7</f>
        <v>0</v>
      </c>
      <c r="G7">
        <f>MonthlyData!BP7</f>
        <v>0</v>
      </c>
      <c r="H7" s="4">
        <f>MonthlyData!R7</f>
        <v>760</v>
      </c>
      <c r="I7">
        <f>MonthlyData!BN7</f>
        <v>0</v>
      </c>
      <c r="K7" s="4"/>
      <c r="L7" s="4">
        <f t="shared" ca="1" si="4"/>
        <v>3612.2108788231194</v>
      </c>
      <c r="M7" s="4"/>
      <c r="N7" s="4"/>
      <c r="O7" s="4"/>
      <c r="P7" s="4">
        <f t="shared" ca="1" si="5"/>
        <v>1606374.5797026239</v>
      </c>
      <c r="Q7" s="4">
        <f t="shared" ca="1" si="0"/>
        <v>3612.2108788231853</v>
      </c>
      <c r="R7" s="19">
        <f t="shared" ca="1" si="1"/>
        <v>2.2537407597571896E-3</v>
      </c>
      <c r="T7" t="s">
        <v>88</v>
      </c>
      <c r="U7" s="4">
        <v>231360.027765729</v>
      </c>
      <c r="V7" s="4">
        <v>298937.33179088199</v>
      </c>
      <c r="W7" s="214">
        <v>0.77394156955804605</v>
      </c>
      <c r="X7" s="188">
        <v>0.440426647632084</v>
      </c>
    </row>
    <row r="8" spans="1:24" x14ac:dyDescent="0.35">
      <c r="A8" s="1">
        <f>MonthlyData!A8</f>
        <v>41821</v>
      </c>
      <c r="B8" s="13">
        <f t="shared" si="2"/>
        <v>2014</v>
      </c>
      <c r="C8" s="13">
        <f t="shared" si="3"/>
        <v>7</v>
      </c>
      <c r="D8" s="4">
        <f>MonthlyData!I8</f>
        <v>1541187.7010905463</v>
      </c>
      <c r="E8" s="200">
        <f ca="1">Weather!CT44</f>
        <v>0.28709633857318684</v>
      </c>
      <c r="F8" s="3">
        <f>MonthlyData!AF8</f>
        <v>0</v>
      </c>
      <c r="G8">
        <f>MonthlyData!BP8</f>
        <v>0</v>
      </c>
      <c r="H8" s="4">
        <f>MonthlyData!R8</f>
        <v>757</v>
      </c>
      <c r="I8">
        <f>MonthlyData!BN8</f>
        <v>0</v>
      </c>
      <c r="K8" s="4"/>
      <c r="L8" s="4">
        <f t="shared" ca="1" si="4"/>
        <v>185.55539649791879</v>
      </c>
      <c r="M8" s="4"/>
      <c r="N8" s="4"/>
      <c r="O8" s="4"/>
      <c r="P8" s="4">
        <f t="shared" ca="1" si="5"/>
        <v>1541373.2564870443</v>
      </c>
      <c r="Q8" s="4">
        <f t="shared" ca="1" si="0"/>
        <v>185.5553964979481</v>
      </c>
      <c r="R8" s="19">
        <f t="shared" ca="1" si="1"/>
        <v>1.2039766237859858E-4</v>
      </c>
      <c r="T8" t="s">
        <v>13</v>
      </c>
      <c r="U8" s="4">
        <v>646.31753027604998</v>
      </c>
      <c r="V8" s="4">
        <v>32.822570412599703</v>
      </c>
      <c r="W8" s="214">
        <v>19.6912527614823</v>
      </c>
      <c r="X8" s="188">
        <v>3.9830113245502397E-40</v>
      </c>
    </row>
    <row r="9" spans="1:24" x14ac:dyDescent="0.35">
      <c r="A9" s="1">
        <f>MonthlyData!A9</f>
        <v>41852</v>
      </c>
      <c r="B9" s="13">
        <f t="shared" si="2"/>
        <v>2014</v>
      </c>
      <c r="C9" s="13">
        <f t="shared" si="3"/>
        <v>8</v>
      </c>
      <c r="D9" s="4">
        <f>MonthlyData!I9</f>
        <v>1575263.0626529807</v>
      </c>
      <c r="E9" s="200">
        <f ca="1">Weather!CT45</f>
        <v>1.6761707873342053</v>
      </c>
      <c r="F9" s="3">
        <f>MonthlyData!AF9</f>
        <v>0.84166666666666856</v>
      </c>
      <c r="G9">
        <f>MonthlyData!BP9</f>
        <v>0</v>
      </c>
      <c r="H9" s="4">
        <f>MonthlyData!R9</f>
        <v>748</v>
      </c>
      <c r="I9">
        <f>MonthlyData!BN9</f>
        <v>0</v>
      </c>
      <c r="K9" s="4"/>
      <c r="L9" s="4">
        <f t="shared" ca="1" si="4"/>
        <v>539.35464227502916</v>
      </c>
      <c r="M9" s="4"/>
      <c r="N9" s="4"/>
      <c r="O9" s="4"/>
      <c r="P9" s="4">
        <f t="shared" ca="1" si="5"/>
        <v>1575802.4172952557</v>
      </c>
      <c r="Q9" s="4">
        <f t="shared" ca="1" si="0"/>
        <v>539.35464227502234</v>
      </c>
      <c r="R9" s="19">
        <f t="shared" ca="1" si="1"/>
        <v>3.4239020457108146E-4</v>
      </c>
      <c r="T9" t="s">
        <v>62</v>
      </c>
      <c r="U9" s="4">
        <v>-257897.88627322801</v>
      </c>
      <c r="V9" s="4">
        <v>24712.8830540696</v>
      </c>
      <c r="W9" s="214">
        <v>-10.435766871431801</v>
      </c>
      <c r="X9" s="188">
        <v>1.01543132928948E-18</v>
      </c>
    </row>
    <row r="10" spans="1:24" x14ac:dyDescent="0.35">
      <c r="A10" s="1">
        <f>MonthlyData!A10</f>
        <v>41883</v>
      </c>
      <c r="B10" s="13">
        <f t="shared" si="2"/>
        <v>2014</v>
      </c>
      <c r="C10" s="13">
        <f t="shared" si="3"/>
        <v>9</v>
      </c>
      <c r="D10" s="4">
        <f>MonthlyData!I10</f>
        <v>1527288.541271715</v>
      </c>
      <c r="E10" s="200">
        <f ca="1">Weather!CT46</f>
        <v>28.222326899712005</v>
      </c>
      <c r="F10" s="3">
        <f>MonthlyData!AF10</f>
        <v>63.679206155876841</v>
      </c>
      <c r="G10">
        <f>MonthlyData!BP10</f>
        <v>0</v>
      </c>
      <c r="H10" s="4">
        <f>MonthlyData!R10</f>
        <v>753</v>
      </c>
      <c r="I10">
        <f>MonthlyData!BN10</f>
        <v>0</v>
      </c>
      <c r="K10" s="4"/>
      <c r="L10" s="4">
        <f t="shared" ca="1" si="4"/>
        <v>-22916.402632140565</v>
      </c>
      <c r="M10" s="4"/>
      <c r="N10" s="4"/>
      <c r="O10" s="4"/>
      <c r="P10" s="4">
        <f t="shared" ca="1" si="5"/>
        <v>1504372.1386395744</v>
      </c>
      <c r="Q10" s="4">
        <f t="shared" ca="1" si="0"/>
        <v>-22916.402632140554</v>
      </c>
      <c r="R10" s="19">
        <f t="shared" ca="1" si="1"/>
        <v>1.5004632073687229E-2</v>
      </c>
      <c r="T10" t="s">
        <v>455</v>
      </c>
      <c r="U10" s="4">
        <v>1769.1953805457599</v>
      </c>
      <c r="V10" s="4">
        <v>410.43423312221398</v>
      </c>
      <c r="W10" s="214">
        <v>4.3105453633516797</v>
      </c>
      <c r="X10" s="188">
        <v>3.2689241255142903E-5</v>
      </c>
    </row>
    <row r="11" spans="1:24" x14ac:dyDescent="0.35">
      <c r="A11" s="1">
        <f>MonthlyData!A11</f>
        <v>41913</v>
      </c>
      <c r="B11" s="13">
        <f t="shared" si="2"/>
        <v>2014</v>
      </c>
      <c r="C11" s="13">
        <f t="shared" si="3"/>
        <v>10</v>
      </c>
      <c r="D11" s="4">
        <f>MonthlyData!I11</f>
        <v>1466818.8854295593</v>
      </c>
      <c r="E11" s="200">
        <f ca="1">Weather!CT47</f>
        <v>178.0244559176316</v>
      </c>
      <c r="F11" s="3">
        <f>MonthlyData!AF11</f>
        <v>180.10416666666666</v>
      </c>
      <c r="G11">
        <f>MonthlyData!BP11</f>
        <v>1</v>
      </c>
      <c r="H11" s="4">
        <f>MonthlyData!R11</f>
        <v>754</v>
      </c>
      <c r="I11">
        <f>MonthlyData!BN11</f>
        <v>0</v>
      </c>
      <c r="K11" s="4"/>
      <c r="L11" s="4">
        <f t="shared" ca="1" si="4"/>
        <v>-1344.1535150048928</v>
      </c>
      <c r="M11" s="4"/>
      <c r="N11" s="4"/>
      <c r="O11" s="4"/>
      <c r="P11" s="4">
        <f t="shared" ca="1" si="5"/>
        <v>1465474.7319145545</v>
      </c>
      <c r="Q11" s="4">
        <f t="shared" ca="1" si="0"/>
        <v>-1344.1535150047857</v>
      </c>
      <c r="R11" s="19">
        <f t="shared" ca="1" si="1"/>
        <v>9.1637319941592459E-4</v>
      </c>
      <c r="T11" t="s">
        <v>28</v>
      </c>
      <c r="U11" s="4">
        <v>-216631.706472586</v>
      </c>
      <c r="V11" s="4">
        <v>34112.716282946698</v>
      </c>
      <c r="W11" s="214">
        <v>-6.3504678043150298</v>
      </c>
      <c r="X11" s="188">
        <v>3.6233378564353599E-9</v>
      </c>
    </row>
    <row r="12" spans="1:24" x14ac:dyDescent="0.35">
      <c r="A12" s="1">
        <f>MonthlyData!A12</f>
        <v>41944</v>
      </c>
      <c r="B12" s="13">
        <f t="shared" si="2"/>
        <v>2014</v>
      </c>
      <c r="C12" s="13">
        <f t="shared" si="3"/>
        <v>11</v>
      </c>
      <c r="D12" s="4">
        <f>MonthlyData!I12</f>
        <v>1618423.5117314449</v>
      </c>
      <c r="E12" s="200">
        <f ca="1">Weather!CT48</f>
        <v>403.99833333333333</v>
      </c>
      <c r="F12" s="3">
        <f>MonthlyData!AF12</f>
        <v>525.22500000000002</v>
      </c>
      <c r="G12">
        <f>MonthlyData!BP12</f>
        <v>1</v>
      </c>
      <c r="H12" s="4">
        <f>MonthlyData!R12</f>
        <v>754</v>
      </c>
      <c r="I12">
        <f>MonthlyData!BN12</f>
        <v>0</v>
      </c>
      <c r="K12" s="4"/>
      <c r="L12" s="4">
        <f t="shared" ca="1" si="4"/>
        <v>-78350.919803597964</v>
      </c>
      <c r="M12" s="4"/>
      <c r="N12" s="4"/>
      <c r="O12" s="4"/>
      <c r="P12" s="4">
        <f t="shared" ca="1" si="5"/>
        <v>1540072.5919278469</v>
      </c>
      <c r="Q12" s="4">
        <f t="shared" ca="1" si="0"/>
        <v>-78350.919803597964</v>
      </c>
      <c r="R12" s="19">
        <f t="shared" ca="1" si="1"/>
        <v>4.8411876888624451E-2</v>
      </c>
      <c r="U12" s="4"/>
      <c r="V12" s="4"/>
      <c r="W12" s="214"/>
      <c r="X12" s="188"/>
    </row>
    <row r="13" spans="1:24" x14ac:dyDescent="0.35">
      <c r="A13" s="1">
        <f>MonthlyData!A13</f>
        <v>41974</v>
      </c>
      <c r="B13" s="13">
        <f t="shared" si="2"/>
        <v>2014</v>
      </c>
      <c r="C13" s="13">
        <f t="shared" si="3"/>
        <v>12</v>
      </c>
      <c r="D13" s="4">
        <f>MonthlyData!I13</f>
        <v>1844041.9345002228</v>
      </c>
      <c r="E13" s="200">
        <f ca="1">Weather!CT49</f>
        <v>629.70466952460959</v>
      </c>
      <c r="F13" s="3">
        <f>MonthlyData!AF13</f>
        <v>649.30879458660854</v>
      </c>
      <c r="G13">
        <f>MonthlyData!BP13</f>
        <v>0</v>
      </c>
      <c r="H13" s="4">
        <f>MonthlyData!R13</f>
        <v>755</v>
      </c>
      <c r="I13">
        <f>MonthlyData!BN13</f>
        <v>1</v>
      </c>
      <c r="K13" s="4"/>
      <c r="L13" s="4">
        <f t="shared" ca="1" si="4"/>
        <v>-12670.489693293981</v>
      </c>
      <c r="M13" s="4"/>
      <c r="N13" s="4"/>
      <c r="O13" s="4"/>
      <c r="P13" s="4">
        <f t="shared" ca="1" si="5"/>
        <v>1831371.4448069287</v>
      </c>
      <c r="Q13" s="4">
        <f t="shared" ca="1" si="0"/>
        <v>-12670.489693294046</v>
      </c>
      <c r="R13" s="19">
        <f t="shared" ca="1" si="1"/>
        <v>6.8710420605093431E-3</v>
      </c>
      <c r="T13" t="s">
        <v>89</v>
      </c>
    </row>
    <row r="14" spans="1:24" x14ac:dyDescent="0.35">
      <c r="A14" s="1">
        <f>MonthlyData!A14</f>
        <v>42005</v>
      </c>
      <c r="B14" s="13">
        <f t="shared" si="2"/>
        <v>2015</v>
      </c>
      <c r="C14" s="13">
        <f t="shared" si="3"/>
        <v>1</v>
      </c>
      <c r="D14" s="4">
        <f>MonthlyData!I14</f>
        <v>2088625.4302792484</v>
      </c>
      <c r="E14" s="4">
        <f ca="1">E2</f>
        <v>793.4846429373913</v>
      </c>
      <c r="F14" s="3">
        <f>MonthlyData!AF14</f>
        <v>888.83475522239621</v>
      </c>
      <c r="G14">
        <f>MonthlyData!BP14</f>
        <v>0</v>
      </c>
      <c r="H14" s="4">
        <f>MonthlyData!R14</f>
        <v>773</v>
      </c>
      <c r="I14">
        <f>MonthlyData!BN14</f>
        <v>0</v>
      </c>
      <c r="K14" s="4"/>
      <c r="L14" s="4">
        <f t="shared" ca="1" si="4"/>
        <v>-61626.449083588428</v>
      </c>
      <c r="M14" s="4"/>
      <c r="N14" s="4"/>
      <c r="O14" s="4"/>
      <c r="P14" s="4">
        <f t="shared" ca="1" si="5"/>
        <v>2026998.9811956601</v>
      </c>
      <c r="Q14" s="4">
        <f t="shared" ca="1" si="0"/>
        <v>-61626.449083588319</v>
      </c>
      <c r="R14" s="19">
        <f t="shared" ca="1" si="1"/>
        <v>2.9505744874201253E-2</v>
      </c>
      <c r="T14" t="s">
        <v>90</v>
      </c>
      <c r="U14" s="352">
        <v>1221162598655.1299</v>
      </c>
      <c r="V14" t="s">
        <v>91</v>
      </c>
      <c r="W14" s="4">
        <v>98839.773316418505</v>
      </c>
    </row>
    <row r="15" spans="1:24" x14ac:dyDescent="0.35">
      <c r="A15" s="1">
        <f>MonthlyData!A15</f>
        <v>42036</v>
      </c>
      <c r="B15" s="13">
        <f t="shared" si="2"/>
        <v>2015</v>
      </c>
      <c r="C15" s="13">
        <f t="shared" si="3"/>
        <v>2</v>
      </c>
      <c r="D15" s="4">
        <f>MonthlyData!I15</f>
        <v>2271460.7616635598</v>
      </c>
      <c r="E15" s="4">
        <f t="shared" ref="E15:E78" ca="1" si="6">E3</f>
        <v>736.10085614037712</v>
      </c>
      <c r="F15" s="3">
        <f>MonthlyData!AF15</f>
        <v>925.79933618827647</v>
      </c>
      <c r="G15">
        <f>MonthlyData!BP15</f>
        <v>0</v>
      </c>
      <c r="H15" s="4">
        <f>MonthlyData!R15</f>
        <v>775</v>
      </c>
      <c r="I15">
        <f>MonthlyData!BN15</f>
        <v>0</v>
      </c>
      <c r="K15" s="4"/>
      <c r="L15" s="4">
        <f t="shared" ca="1" si="4"/>
        <v>-122605.45312167885</v>
      </c>
      <c r="M15" s="4"/>
      <c r="N15" s="4"/>
      <c r="O15" s="4"/>
      <c r="P15" s="4">
        <f t="shared" ca="1" si="5"/>
        <v>2148855.3085418809</v>
      </c>
      <c r="Q15" s="4">
        <f t="shared" ca="1" si="0"/>
        <v>-122605.4531216789</v>
      </c>
      <c r="R15" s="19">
        <f t="shared" ca="1" si="1"/>
        <v>5.3976478568745254E-2</v>
      </c>
      <c r="T15" t="s">
        <v>92</v>
      </c>
      <c r="U15" s="320">
        <v>0.83136346179193399</v>
      </c>
      <c r="V15" t="s">
        <v>93</v>
      </c>
      <c r="W15" s="321">
        <v>0.82596709256927503</v>
      </c>
    </row>
    <row r="16" spans="1:24" x14ac:dyDescent="0.35">
      <c r="A16" s="1">
        <f>MonthlyData!A16</f>
        <v>42064</v>
      </c>
      <c r="B16" s="13">
        <f t="shared" si="2"/>
        <v>2015</v>
      </c>
      <c r="C16" s="13">
        <f t="shared" si="3"/>
        <v>3</v>
      </c>
      <c r="D16" s="4">
        <f>MonthlyData!I16</f>
        <v>2149021.2175834598</v>
      </c>
      <c r="E16" s="4">
        <f t="shared" ca="1" si="6"/>
        <v>577.21697535249291</v>
      </c>
      <c r="F16" s="3">
        <f>MonthlyData!AF16</f>
        <v>604.8724417886641</v>
      </c>
      <c r="G16">
        <f>MonthlyData!BP16</f>
        <v>0</v>
      </c>
      <c r="H16" s="4">
        <f>MonthlyData!R16</f>
        <v>777</v>
      </c>
      <c r="I16">
        <f>MonthlyData!BN16</f>
        <v>0</v>
      </c>
      <c r="K16" s="4"/>
      <c r="L16" s="4">
        <f t="shared" ca="1" si="4"/>
        <v>-17874.212765658362</v>
      </c>
      <c r="M16" s="4"/>
      <c r="N16" s="4"/>
      <c r="O16" s="4"/>
      <c r="P16" s="4">
        <f t="shared" ca="1" si="5"/>
        <v>2131147.0048178015</v>
      </c>
      <c r="Q16" s="4">
        <f t="shared" ca="1" si="0"/>
        <v>-17874.212765658274</v>
      </c>
      <c r="R16" s="19">
        <f t="shared" ca="1" si="1"/>
        <v>8.3173737976200823E-3</v>
      </c>
      <c r="T16" t="s">
        <v>493</v>
      </c>
      <c r="U16" s="2">
        <v>136.07786336905301</v>
      </c>
      <c r="V16" t="s">
        <v>94</v>
      </c>
      <c r="W16" s="321">
        <v>1.4779865939347099E-44</v>
      </c>
    </row>
    <row r="17" spans="1:23" x14ac:dyDescent="0.35">
      <c r="A17" s="1">
        <f>MonthlyData!A17</f>
        <v>42095</v>
      </c>
      <c r="B17" s="13">
        <f t="shared" si="2"/>
        <v>2015</v>
      </c>
      <c r="C17" s="13">
        <f t="shared" si="3"/>
        <v>4</v>
      </c>
      <c r="D17" s="4">
        <f>MonthlyData!I17</f>
        <v>2012954.0877685912</v>
      </c>
      <c r="E17" s="4">
        <f t="shared" ca="1" si="6"/>
        <v>307.33082472275549</v>
      </c>
      <c r="F17" s="3">
        <f>MonthlyData!AF17</f>
        <v>309.39652575448434</v>
      </c>
      <c r="G17">
        <f>MonthlyData!BP17</f>
        <v>0</v>
      </c>
      <c r="H17" s="4">
        <f>MonthlyData!R17</f>
        <v>787</v>
      </c>
      <c r="I17">
        <f>MonthlyData!BN17</f>
        <v>0</v>
      </c>
      <c r="K17" s="4"/>
      <c r="L17" s="4">
        <f t="shared" ref="L17:L80" ca="1" si="7">(E17-F17)*$U$8</f>
        <v>-1335.0987891156783</v>
      </c>
      <c r="M17" s="4"/>
      <c r="N17" s="4"/>
      <c r="O17" s="4"/>
      <c r="P17" s="4">
        <f t="shared" ref="P17:P80" ca="1" si="8">D17+L17</f>
        <v>2011618.9889794756</v>
      </c>
      <c r="Q17" s="4">
        <f t="shared" ca="1" si="0"/>
        <v>-1335.0987891156692</v>
      </c>
      <c r="R17" s="19">
        <f t="shared" ca="1" si="1"/>
        <v>6.6325347270868897E-4</v>
      </c>
      <c r="T17" t="s">
        <v>95</v>
      </c>
      <c r="U17" s="2">
        <v>-1.23905836965604E-2</v>
      </c>
      <c r="V17" t="s">
        <v>96</v>
      </c>
      <c r="W17" s="18">
        <v>2.0184068262140098</v>
      </c>
    </row>
    <row r="18" spans="1:23" x14ac:dyDescent="0.35">
      <c r="A18" s="1">
        <f>MonthlyData!A18</f>
        <v>42125</v>
      </c>
      <c r="B18" s="13">
        <f t="shared" si="2"/>
        <v>2015</v>
      </c>
      <c r="C18" s="13">
        <f t="shared" si="3"/>
        <v>5</v>
      </c>
      <c r="D18" s="4">
        <f>MonthlyData!I18</f>
        <v>1708852.760392617</v>
      </c>
      <c r="E18" s="4">
        <f t="shared" ca="1" si="6"/>
        <v>103.00647094808046</v>
      </c>
      <c r="F18" s="3">
        <f>MonthlyData!AF18</f>
        <v>288.41468054388343</v>
      </c>
      <c r="G18">
        <f>MonthlyData!BP18</f>
        <v>0</v>
      </c>
      <c r="H18" s="4">
        <f>MonthlyData!R18</f>
        <v>779</v>
      </c>
      <c r="I18">
        <f>MonthlyData!BN18</f>
        <v>0</v>
      </c>
      <c r="K18" s="4"/>
      <c r="L18" s="4">
        <f t="shared" ca="1" si="7"/>
        <v>-119832.57611886362</v>
      </c>
      <c r="M18" s="4"/>
      <c r="N18" s="4"/>
      <c r="O18" s="4"/>
      <c r="P18" s="4">
        <f t="shared" ca="1" si="8"/>
        <v>1589020.1842737533</v>
      </c>
      <c r="Q18" s="4">
        <f t="shared" ca="1" si="0"/>
        <v>-119832.57611886365</v>
      </c>
      <c r="R18" s="19">
        <f t="shared" ca="1" si="1"/>
        <v>7.0124576497352265E-2</v>
      </c>
      <c r="U18" s="2"/>
      <c r="W18" s="322"/>
    </row>
    <row r="19" spans="1:23" x14ac:dyDescent="0.35">
      <c r="A19" s="1">
        <f>MonthlyData!A19</f>
        <v>42156</v>
      </c>
      <c r="B19" s="13">
        <f t="shared" si="2"/>
        <v>2015</v>
      </c>
      <c r="C19" s="13">
        <f t="shared" si="3"/>
        <v>6</v>
      </c>
      <c r="D19" s="4">
        <f>MonthlyData!I19</f>
        <v>1524615.2486536917</v>
      </c>
      <c r="E19" s="4">
        <f t="shared" ca="1" si="6"/>
        <v>5.5889105735385218</v>
      </c>
      <c r="F19" s="3">
        <f>MonthlyData!AF19</f>
        <v>6.6599390687185451</v>
      </c>
      <c r="G19">
        <f>MonthlyData!BP19</f>
        <v>0</v>
      </c>
      <c r="H19" s="4">
        <f>MonthlyData!R19</f>
        <v>779</v>
      </c>
      <c r="I19">
        <f>MonthlyData!BN19</f>
        <v>0</v>
      </c>
      <c r="K19" s="4"/>
      <c r="L19" s="4">
        <f t="shared" ca="1" si="7"/>
        <v>-692.224491860027</v>
      </c>
      <c r="M19" s="4"/>
      <c r="N19" s="4"/>
      <c r="O19" s="4"/>
      <c r="P19" s="4">
        <f t="shared" ca="1" si="8"/>
        <v>1523923.0241618317</v>
      </c>
      <c r="Q19" s="4">
        <f t="shared" ca="1" si="0"/>
        <v>-692.22449186001904</v>
      </c>
      <c r="R19" s="19">
        <f t="shared" ca="1" si="1"/>
        <v>4.5403225008492238E-4</v>
      </c>
      <c r="T19" t="s">
        <v>97</v>
      </c>
    </row>
    <row r="20" spans="1:23" x14ac:dyDescent="0.35">
      <c r="A20" s="1">
        <f>MonthlyData!A20</f>
        <v>42186</v>
      </c>
      <c r="B20" s="13">
        <f t="shared" si="2"/>
        <v>2015</v>
      </c>
      <c r="C20" s="13">
        <f t="shared" si="3"/>
        <v>7</v>
      </c>
      <c r="D20" s="4">
        <f>MonthlyData!I20</f>
        <v>1563317.894211811</v>
      </c>
      <c r="E20" s="4">
        <f t="shared" ca="1" si="6"/>
        <v>0.28709633857318684</v>
      </c>
      <c r="F20" s="3">
        <f>MonthlyData!AF20</f>
        <v>0</v>
      </c>
      <c r="G20">
        <f>MonthlyData!BP20</f>
        <v>0</v>
      </c>
      <c r="H20" s="4">
        <f>MonthlyData!R20</f>
        <v>779</v>
      </c>
      <c r="I20">
        <f>MonthlyData!BN20</f>
        <v>0</v>
      </c>
      <c r="K20" s="4"/>
      <c r="L20" s="4">
        <f t="shared" ca="1" si="7"/>
        <v>185.55539649791879</v>
      </c>
      <c r="M20" s="4"/>
      <c r="N20" s="4"/>
      <c r="O20" s="4"/>
      <c r="P20" s="4">
        <f t="shared" ca="1" si="8"/>
        <v>1563503.449608309</v>
      </c>
      <c r="Q20" s="4">
        <f t="shared" ca="1" si="0"/>
        <v>185.5553964979481</v>
      </c>
      <c r="R20" s="19">
        <f t="shared" ca="1" si="1"/>
        <v>1.1869332346605094E-4</v>
      </c>
      <c r="T20" t="s">
        <v>98</v>
      </c>
      <c r="U20">
        <v>1663202.75209453</v>
      </c>
      <c r="V20" t="s">
        <v>99</v>
      </c>
      <c r="W20">
        <v>236789.90872694799</v>
      </c>
    </row>
    <row r="21" spans="1:23" x14ac:dyDescent="0.35">
      <c r="A21" s="1">
        <f>MonthlyData!A21</f>
        <v>42217</v>
      </c>
      <c r="B21" s="13">
        <f t="shared" si="2"/>
        <v>2015</v>
      </c>
      <c r="C21" s="13">
        <f t="shared" si="3"/>
        <v>8</v>
      </c>
      <c r="D21" s="4">
        <f>MonthlyData!I21</f>
        <v>1688131.7835848934</v>
      </c>
      <c r="E21" s="4">
        <f t="shared" ca="1" si="6"/>
        <v>1.6761707873342053</v>
      </c>
      <c r="F21" s="3">
        <f>MonthlyData!AF21</f>
        <v>0</v>
      </c>
      <c r="G21">
        <f>MonthlyData!BP21</f>
        <v>0</v>
      </c>
      <c r="H21" s="4">
        <f>MonthlyData!R21</f>
        <v>779</v>
      </c>
      <c r="I21">
        <f>MonthlyData!BN21</f>
        <v>0</v>
      </c>
      <c r="K21" s="4"/>
      <c r="L21" s="4">
        <f t="shared" ca="1" si="7"/>
        <v>1083.3385635907057</v>
      </c>
      <c r="M21" s="4"/>
      <c r="N21" s="4"/>
      <c r="O21" s="4"/>
      <c r="P21" s="4">
        <f t="shared" ca="1" si="8"/>
        <v>1689215.1221484842</v>
      </c>
      <c r="Q21" s="4">
        <f t="shared" ca="1" si="0"/>
        <v>1083.3385635907762</v>
      </c>
      <c r="R21" s="19">
        <f t="shared" ca="1" si="1"/>
        <v>6.4173814753384559E-4</v>
      </c>
      <c r="U21" s="4"/>
      <c r="W21" s="4"/>
    </row>
    <row r="22" spans="1:23" x14ac:dyDescent="0.35">
      <c r="A22" s="1">
        <f>MonthlyData!A22</f>
        <v>42248</v>
      </c>
      <c r="B22" s="13">
        <f t="shared" si="2"/>
        <v>2015</v>
      </c>
      <c r="C22" s="13">
        <f t="shared" si="3"/>
        <v>9</v>
      </c>
      <c r="D22" s="4">
        <f>MonthlyData!I22</f>
        <v>1554593.7754356791</v>
      </c>
      <c r="E22" s="4">
        <f t="shared" ca="1" si="6"/>
        <v>28.222326899712005</v>
      </c>
      <c r="F22" s="3">
        <f>MonthlyData!AF22</f>
        <v>16.877396174576482</v>
      </c>
      <c r="G22">
        <f>MonthlyData!BP22</f>
        <v>0</v>
      </c>
      <c r="H22" s="4">
        <f>MonthlyData!R22</f>
        <v>778</v>
      </c>
      <c r="I22">
        <f>MonthlyData!BN22</f>
        <v>0</v>
      </c>
      <c r="K22" s="4"/>
      <c r="L22" s="4">
        <f t="shared" ca="1" si="7"/>
        <v>7332.4276074224681</v>
      </c>
      <c r="M22" s="4"/>
      <c r="N22" s="4"/>
      <c r="O22" s="4"/>
      <c r="P22" s="4">
        <f t="shared" ca="1" si="8"/>
        <v>1561926.2030431016</v>
      </c>
      <c r="Q22" s="4">
        <f t="shared" ca="1" si="0"/>
        <v>7332.4276074224617</v>
      </c>
      <c r="R22" s="19">
        <f t="shared" ca="1" si="1"/>
        <v>4.7166196875885018E-3</v>
      </c>
    </row>
    <row r="23" spans="1:23" x14ac:dyDescent="0.35">
      <c r="A23" s="1">
        <f>MonthlyData!A23</f>
        <v>42278</v>
      </c>
      <c r="B23" s="13">
        <f t="shared" si="2"/>
        <v>2015</v>
      </c>
      <c r="C23" s="13">
        <f t="shared" si="3"/>
        <v>10</v>
      </c>
      <c r="D23" s="4">
        <f>MonthlyData!I23</f>
        <v>1529845.3402909415</v>
      </c>
      <c r="E23" s="4">
        <f t="shared" ca="1" si="6"/>
        <v>178.0244559176316</v>
      </c>
      <c r="F23" s="3">
        <f>MonthlyData!AF23</f>
        <v>212.50558278834421</v>
      </c>
      <c r="G23">
        <f>MonthlyData!BP23</f>
        <v>1</v>
      </c>
      <c r="H23" s="4">
        <f>MonthlyData!R23</f>
        <v>777</v>
      </c>
      <c r="I23">
        <f>MonthlyData!BN23</f>
        <v>0</v>
      </c>
      <c r="K23" s="4"/>
      <c r="L23" s="4">
        <f t="shared" ca="1" si="7"/>
        <v>-22285.756760214121</v>
      </c>
      <c r="M23" s="4"/>
      <c r="N23" s="4"/>
      <c r="O23" s="4"/>
      <c r="P23" s="4">
        <f t="shared" ca="1" si="8"/>
        <v>1507559.5835307273</v>
      </c>
      <c r="Q23" s="4">
        <f t="shared" ca="1" si="0"/>
        <v>-22285.756760214223</v>
      </c>
      <c r="R23" s="19">
        <f t="shared" ca="1" si="1"/>
        <v>1.4567326626609185E-2</v>
      </c>
    </row>
    <row r="24" spans="1:23" x14ac:dyDescent="0.35">
      <c r="A24" s="1">
        <f>MonthlyData!A24</f>
        <v>42309</v>
      </c>
      <c r="B24" s="13">
        <f t="shared" si="2"/>
        <v>2015</v>
      </c>
      <c r="C24" s="13">
        <f t="shared" si="3"/>
        <v>11</v>
      </c>
      <c r="D24" s="4">
        <f>MonthlyData!I24</f>
        <v>1630921.2126257729</v>
      </c>
      <c r="E24" s="4">
        <f t="shared" ca="1" si="6"/>
        <v>403.99833333333333</v>
      </c>
      <c r="F24" s="3">
        <f>MonthlyData!AF24</f>
        <v>296.19166666666666</v>
      </c>
      <c r="G24">
        <f>MonthlyData!BP24</f>
        <v>1</v>
      </c>
      <c r="H24" s="4">
        <f>MonthlyData!R24</f>
        <v>775</v>
      </c>
      <c r="I24">
        <f>MonthlyData!BN24</f>
        <v>0</v>
      </c>
      <c r="K24" s="4"/>
      <c r="L24" s="4">
        <f t="shared" ca="1" si="7"/>
        <v>69677.338547293359</v>
      </c>
      <c r="M24" s="4"/>
      <c r="N24" s="4"/>
      <c r="O24" s="4"/>
      <c r="P24" s="4">
        <f t="shared" ca="1" si="8"/>
        <v>1700598.5511730663</v>
      </c>
      <c r="Q24" s="4">
        <f t="shared" ca="1" si="0"/>
        <v>69677.33854729333</v>
      </c>
      <c r="R24" s="19">
        <f t="shared" ca="1" si="1"/>
        <v>4.2722688262244901E-2</v>
      </c>
    </row>
    <row r="25" spans="1:23" x14ac:dyDescent="0.35">
      <c r="A25" s="1">
        <f>MonthlyData!A25</f>
        <v>42339</v>
      </c>
      <c r="B25" s="13">
        <f t="shared" si="2"/>
        <v>2015</v>
      </c>
      <c r="C25" s="13">
        <f t="shared" si="3"/>
        <v>12</v>
      </c>
      <c r="D25" s="4">
        <f>MonthlyData!I25</f>
        <v>1696511.6711992016</v>
      </c>
      <c r="E25" s="4">
        <f t="shared" ca="1" si="6"/>
        <v>629.70466952460959</v>
      </c>
      <c r="F25" s="3">
        <f>MonthlyData!AF25</f>
        <v>465.28749999999997</v>
      </c>
      <c r="G25">
        <f>MonthlyData!BP25</f>
        <v>0</v>
      </c>
      <c r="H25" s="4">
        <f>MonthlyData!R25</f>
        <v>777</v>
      </c>
      <c r="I25">
        <f>MonthlyData!BN25</f>
        <v>1</v>
      </c>
      <c r="K25" s="4"/>
      <c r="L25" s="4">
        <f t="shared" ca="1" si="7"/>
        <v>106265.69894212432</v>
      </c>
      <c r="M25" s="4"/>
      <c r="N25" s="4"/>
      <c r="O25" s="4"/>
      <c r="P25" s="4">
        <f t="shared" ca="1" si="8"/>
        <v>1802777.370141326</v>
      </c>
      <c r="Q25" s="4">
        <f t="shared" ca="1" si="0"/>
        <v>106265.69894212438</v>
      </c>
      <c r="R25" s="19">
        <f t="shared" ca="1" si="1"/>
        <v>6.2637764741700283E-2</v>
      </c>
    </row>
    <row r="26" spans="1:23" x14ac:dyDescent="0.35">
      <c r="A26" s="1">
        <f>MonthlyData!A26</f>
        <v>42370</v>
      </c>
      <c r="B26" s="13">
        <f t="shared" si="2"/>
        <v>2016</v>
      </c>
      <c r="C26" s="13">
        <f t="shared" si="3"/>
        <v>1</v>
      </c>
      <c r="D26" s="4">
        <f>MonthlyData!I26</f>
        <v>1857127.1592694875</v>
      </c>
      <c r="E26" s="4">
        <f t="shared" ca="1" si="6"/>
        <v>793.4846429373913</v>
      </c>
      <c r="F26" s="3">
        <f>MonthlyData!AF26</f>
        <v>718.46798406531877</v>
      </c>
      <c r="G26">
        <f>MonthlyData!BP26</f>
        <v>0</v>
      </c>
      <c r="H26" s="4">
        <f>MonthlyData!R26</f>
        <v>727</v>
      </c>
      <c r="I26">
        <f>MonthlyData!BN26</f>
        <v>0</v>
      </c>
      <c r="K26" s="4"/>
      <c r="L26" s="4">
        <f t="shared" ca="1" si="7"/>
        <v>48484.581691758845</v>
      </c>
      <c r="M26" s="4"/>
      <c r="N26" s="4"/>
      <c r="O26" s="4"/>
      <c r="P26" s="4">
        <f t="shared" ca="1" si="8"/>
        <v>1905611.7409612464</v>
      </c>
      <c r="Q26" s="4">
        <f t="shared" ca="1" si="0"/>
        <v>48484.58169175894</v>
      </c>
      <c r="R26" s="19">
        <f t="shared" ca="1" si="1"/>
        <v>2.6107303126637085E-2</v>
      </c>
    </row>
    <row r="27" spans="1:23" x14ac:dyDescent="0.35">
      <c r="A27" s="1">
        <f>MonthlyData!A27</f>
        <v>42401</v>
      </c>
      <c r="B27" s="13">
        <f t="shared" si="2"/>
        <v>2016</v>
      </c>
      <c r="C27" s="13">
        <f t="shared" si="3"/>
        <v>2</v>
      </c>
      <c r="D27" s="4">
        <f>MonthlyData!I27</f>
        <v>2011309.3943050592</v>
      </c>
      <c r="E27" s="4">
        <f t="shared" ca="1" si="6"/>
        <v>736.10085614037712</v>
      </c>
      <c r="F27" s="3">
        <f>MonthlyData!AF27</f>
        <v>732.41995472340568</v>
      </c>
      <c r="G27">
        <f>MonthlyData!BP27</f>
        <v>0</v>
      </c>
      <c r="H27" s="4">
        <f>MonthlyData!R27</f>
        <v>725</v>
      </c>
      <c r="I27">
        <f>MonthlyData!BN27</f>
        <v>0</v>
      </c>
      <c r="K27" s="4"/>
      <c r="L27" s="4">
        <f t="shared" ca="1" si="7"/>
        <v>2379.031113006592</v>
      </c>
      <c r="M27" s="4"/>
      <c r="N27" s="4"/>
      <c r="O27" s="4"/>
      <c r="P27" s="4">
        <f t="shared" ca="1" si="8"/>
        <v>2013688.4254180659</v>
      </c>
      <c r="Q27" s="4">
        <f t="shared" ca="1" si="0"/>
        <v>2379.0311130066402</v>
      </c>
      <c r="R27" s="19">
        <f t="shared" ca="1" si="1"/>
        <v>1.1828270278768499E-3</v>
      </c>
    </row>
    <row r="28" spans="1:23" x14ac:dyDescent="0.35">
      <c r="A28" s="1">
        <f>MonthlyData!A28</f>
        <v>42430</v>
      </c>
      <c r="B28" s="13">
        <f t="shared" si="2"/>
        <v>2016</v>
      </c>
      <c r="C28" s="13">
        <f t="shared" si="3"/>
        <v>3</v>
      </c>
      <c r="D28" s="4">
        <f>MonthlyData!I28</f>
        <v>1960350.4018039089</v>
      </c>
      <c r="E28" s="4">
        <f t="shared" ca="1" si="6"/>
        <v>577.21697535249291</v>
      </c>
      <c r="F28" s="3">
        <f>MonthlyData!AF28</f>
        <v>515.41411900761977</v>
      </c>
      <c r="G28">
        <f>MonthlyData!BP28</f>
        <v>0</v>
      </c>
      <c r="H28" s="4">
        <f>MonthlyData!R28</f>
        <v>725</v>
      </c>
      <c r="I28">
        <f>MonthlyData!BN28</f>
        <v>0</v>
      </c>
      <c r="K28" s="4"/>
      <c r="L28" s="4">
        <f t="shared" ca="1" si="7"/>
        <v>39944.269476823909</v>
      </c>
      <c r="M28" s="4"/>
      <c r="N28" s="4"/>
      <c r="O28" s="4"/>
      <c r="P28" s="4">
        <f t="shared" ca="1" si="8"/>
        <v>2000294.6712807328</v>
      </c>
      <c r="Q28" s="4">
        <f t="shared" ca="1" si="0"/>
        <v>39944.269476823974</v>
      </c>
      <c r="R28" s="19">
        <f t="shared" ca="1" si="1"/>
        <v>2.0376086560885937E-2</v>
      </c>
    </row>
    <row r="29" spans="1:23" x14ac:dyDescent="0.35">
      <c r="A29" s="1">
        <f>MonthlyData!A29</f>
        <v>42461</v>
      </c>
      <c r="B29" s="13">
        <f t="shared" si="2"/>
        <v>2016</v>
      </c>
      <c r="C29" s="13">
        <f t="shared" si="3"/>
        <v>4</v>
      </c>
      <c r="D29" s="4">
        <f>MonthlyData!I29</f>
        <v>1839148.3649771539</v>
      </c>
      <c r="E29" s="4">
        <f t="shared" ca="1" si="6"/>
        <v>307.33082472275549</v>
      </c>
      <c r="F29" s="3">
        <f>MonthlyData!AF29</f>
        <v>361.875</v>
      </c>
      <c r="G29">
        <f>MonthlyData!BP29</f>
        <v>0</v>
      </c>
      <c r="H29" s="4">
        <f>MonthlyData!R29</f>
        <v>718</v>
      </c>
      <c r="I29">
        <f>MonthlyData!BN29</f>
        <v>0</v>
      </c>
      <c r="K29" s="4"/>
      <c r="L29" s="4">
        <f t="shared" ca="1" si="7"/>
        <v>-35252.856656132652</v>
      </c>
      <c r="M29" s="4"/>
      <c r="N29" s="4"/>
      <c r="O29" s="4"/>
      <c r="P29" s="4">
        <f t="shared" ca="1" si="8"/>
        <v>1803895.5083210212</v>
      </c>
      <c r="Q29" s="4">
        <f t="shared" ca="1" si="0"/>
        <v>-35252.856656132732</v>
      </c>
      <c r="R29" s="19">
        <f t="shared" ca="1" si="1"/>
        <v>1.9168033056740717E-2</v>
      </c>
    </row>
    <row r="30" spans="1:23" x14ac:dyDescent="0.35">
      <c r="A30" s="1">
        <f>MonthlyData!A30</f>
        <v>42491</v>
      </c>
      <c r="B30" s="13">
        <f t="shared" si="2"/>
        <v>2016</v>
      </c>
      <c r="C30" s="13">
        <f t="shared" si="3"/>
        <v>5</v>
      </c>
      <c r="D30" s="4">
        <f>MonthlyData!I30</f>
        <v>1667164.9233758217</v>
      </c>
      <c r="E30" s="4">
        <f t="shared" ca="1" si="6"/>
        <v>103.00647094808046</v>
      </c>
      <c r="F30" s="3">
        <f>MonthlyData!AF30</f>
        <v>72.507170139097227</v>
      </c>
      <c r="G30">
        <f>MonthlyData!BP30</f>
        <v>0</v>
      </c>
      <c r="H30" s="4">
        <f>MonthlyData!R30</f>
        <v>721</v>
      </c>
      <c r="I30">
        <f>MonthlyData!BN30</f>
        <v>0</v>
      </c>
      <c r="K30" s="4"/>
      <c r="L30" s="4">
        <f t="shared" ca="1" si="7"/>
        <v>19712.232774008378</v>
      </c>
      <c r="M30" s="4"/>
      <c r="N30" s="4"/>
      <c r="O30" s="4"/>
      <c r="P30" s="4">
        <f t="shared" ca="1" si="8"/>
        <v>1686877.15614983</v>
      </c>
      <c r="Q30" s="4">
        <f t="shared" ca="1" si="0"/>
        <v>19712.232774008298</v>
      </c>
      <c r="R30" s="19">
        <f t="shared" ca="1" si="1"/>
        <v>1.1823804890336369E-2</v>
      </c>
    </row>
    <row r="31" spans="1:23" x14ac:dyDescent="0.35">
      <c r="A31" s="1">
        <f>MonthlyData!A31</f>
        <v>42522</v>
      </c>
      <c r="B31" s="13">
        <f t="shared" si="2"/>
        <v>2016</v>
      </c>
      <c r="C31" s="13">
        <f t="shared" si="3"/>
        <v>6</v>
      </c>
      <c r="D31" s="4">
        <f>MonthlyData!I31</f>
        <v>1511413.4979751017</v>
      </c>
      <c r="E31" s="4">
        <f t="shared" ca="1" si="6"/>
        <v>5.5889105735385218</v>
      </c>
      <c r="F31" s="3">
        <f>MonthlyData!AF31</f>
        <v>10.937500000000002</v>
      </c>
      <c r="G31">
        <f>MonthlyData!BP31</f>
        <v>0</v>
      </c>
      <c r="H31" s="4">
        <f>MonthlyData!R31</f>
        <v>727</v>
      </c>
      <c r="I31">
        <f>MonthlyData!BN31</f>
        <v>0</v>
      </c>
      <c r="K31" s="4"/>
      <c r="L31" s="4">
        <f t="shared" ca="1" si="7"/>
        <v>-3456.8871085711785</v>
      </c>
      <c r="M31" s="4"/>
      <c r="N31" s="4"/>
      <c r="O31" s="4"/>
      <c r="P31" s="4">
        <f t="shared" ca="1" si="8"/>
        <v>1507956.6108665306</v>
      </c>
      <c r="Q31" s="4">
        <f t="shared" ca="1" si="0"/>
        <v>-3456.8871085711289</v>
      </c>
      <c r="R31" s="19">
        <f t="shared" ca="1" si="1"/>
        <v>2.2871881938347463E-3</v>
      </c>
    </row>
    <row r="32" spans="1:23" x14ac:dyDescent="0.35">
      <c r="A32" s="1">
        <f>MonthlyData!A32</f>
        <v>42552</v>
      </c>
      <c r="B32" s="13">
        <f t="shared" si="2"/>
        <v>2016</v>
      </c>
      <c r="C32" s="13">
        <f t="shared" si="3"/>
        <v>7</v>
      </c>
      <c r="D32" s="4">
        <f>MonthlyData!I32</f>
        <v>1505259.8435043502</v>
      </c>
      <c r="E32" s="4">
        <f t="shared" ca="1" si="6"/>
        <v>0.28709633857318684</v>
      </c>
      <c r="F32" s="3">
        <f>MonthlyData!AF32</f>
        <v>0</v>
      </c>
      <c r="G32">
        <f>MonthlyData!BP32</f>
        <v>0</v>
      </c>
      <c r="H32" s="4">
        <f>MonthlyData!R32</f>
        <v>722</v>
      </c>
      <c r="I32">
        <f>MonthlyData!BN32</f>
        <v>0</v>
      </c>
      <c r="K32" s="4"/>
      <c r="L32" s="4">
        <f t="shared" ca="1" si="7"/>
        <v>185.55539649791879</v>
      </c>
      <c r="M32" s="4"/>
      <c r="N32" s="4"/>
      <c r="O32" s="4"/>
      <c r="P32" s="4">
        <f t="shared" ca="1" si="8"/>
        <v>1505445.3989008481</v>
      </c>
      <c r="Q32" s="4">
        <f t="shared" ca="1" si="0"/>
        <v>185.5553964979481</v>
      </c>
      <c r="R32" s="19">
        <f t="shared" ca="1" si="1"/>
        <v>1.2327133903071655E-4</v>
      </c>
    </row>
    <row r="33" spans="1:18" x14ac:dyDescent="0.35">
      <c r="A33" s="1">
        <f>MonthlyData!A33</f>
        <v>42583</v>
      </c>
      <c r="B33" s="13">
        <f t="shared" si="2"/>
        <v>2016</v>
      </c>
      <c r="C33" s="13">
        <f t="shared" si="3"/>
        <v>8</v>
      </c>
      <c r="D33" s="4">
        <f>MonthlyData!I33</f>
        <v>1559834.2272254154</v>
      </c>
      <c r="E33" s="4">
        <f t="shared" ca="1" si="6"/>
        <v>1.6761707873342053</v>
      </c>
      <c r="F33" s="3">
        <f>MonthlyData!AF33</f>
        <v>0</v>
      </c>
      <c r="G33">
        <f>MonthlyData!BP33</f>
        <v>0</v>
      </c>
      <c r="H33" s="4">
        <f>MonthlyData!R33</f>
        <v>715</v>
      </c>
      <c r="I33">
        <f>MonthlyData!BN33</f>
        <v>0</v>
      </c>
      <c r="K33" s="4"/>
      <c r="L33" s="4">
        <f t="shared" ca="1" si="7"/>
        <v>1083.3385635907057</v>
      </c>
      <c r="M33" s="4"/>
      <c r="N33" s="4"/>
      <c r="O33" s="4"/>
      <c r="P33" s="4">
        <f t="shared" ca="1" si="8"/>
        <v>1560917.5657890062</v>
      </c>
      <c r="Q33" s="4">
        <f t="shared" ca="1" si="0"/>
        <v>1083.3385635907762</v>
      </c>
      <c r="R33" s="19">
        <f t="shared" ca="1" si="1"/>
        <v>6.9452160023298444E-4</v>
      </c>
    </row>
    <row r="34" spans="1:18" x14ac:dyDescent="0.35">
      <c r="A34" s="1">
        <f>MonthlyData!A34</f>
        <v>42614</v>
      </c>
      <c r="B34" s="13">
        <f t="shared" si="2"/>
        <v>2016</v>
      </c>
      <c r="C34" s="13">
        <f t="shared" si="3"/>
        <v>9</v>
      </c>
      <c r="D34" s="4">
        <f>MonthlyData!I34</f>
        <v>1577634.3707311191</v>
      </c>
      <c r="E34" s="4">
        <f t="shared" ca="1" si="6"/>
        <v>28.222326899712005</v>
      </c>
      <c r="F34" s="3">
        <f>MonthlyData!AF34</f>
        <v>7.7458333333333318</v>
      </c>
      <c r="G34">
        <f>MonthlyData!BP34</f>
        <v>0</v>
      </c>
      <c r="H34" s="4">
        <f>MonthlyData!R34</f>
        <v>716</v>
      </c>
      <c r="I34">
        <f>MonthlyData!BN34</f>
        <v>0</v>
      </c>
      <c r="K34" s="4"/>
      <c r="L34" s="4">
        <f t="shared" ca="1" si="7"/>
        <v>13234.31675053529</v>
      </c>
      <c r="M34" s="4"/>
      <c r="N34" s="4"/>
      <c r="O34" s="4"/>
      <c r="P34" s="4">
        <f t="shared" ca="1" si="8"/>
        <v>1590868.6874816543</v>
      </c>
      <c r="Q34" s="4">
        <f t="shared" ref="Q34:Q65" ca="1" si="9">P34-D34</f>
        <v>13234.316750535276</v>
      </c>
      <c r="R34" s="19">
        <f t="shared" ref="R34:R65" ca="1" si="10">ABS(Q34/D34)</f>
        <v>8.3887097010964147E-3</v>
      </c>
    </row>
    <row r="35" spans="1:18" x14ac:dyDescent="0.35">
      <c r="A35" s="1">
        <f>MonthlyData!A35</f>
        <v>42644</v>
      </c>
      <c r="B35" s="13">
        <f t="shared" si="2"/>
        <v>2016</v>
      </c>
      <c r="C35" s="13">
        <f t="shared" si="3"/>
        <v>10</v>
      </c>
      <c r="D35" s="4">
        <f>MonthlyData!I35</f>
        <v>1390360.00192424</v>
      </c>
      <c r="E35" s="4">
        <f t="shared" ca="1" si="6"/>
        <v>178.0244559176316</v>
      </c>
      <c r="F35" s="3">
        <f>MonthlyData!AF35</f>
        <v>165.32732502849939</v>
      </c>
      <c r="G35">
        <f>MonthlyData!BP35</f>
        <v>1</v>
      </c>
      <c r="H35" s="4">
        <f>MonthlyData!R35</f>
        <v>741</v>
      </c>
      <c r="I35">
        <f>MonthlyData!BN35</f>
        <v>0</v>
      </c>
      <c r="K35" s="4"/>
      <c r="L35" s="4">
        <f t="shared" ca="1" si="7"/>
        <v>8206.3782778556779</v>
      </c>
      <c r="M35" s="4"/>
      <c r="N35" s="4"/>
      <c r="O35" s="4"/>
      <c r="P35" s="4">
        <f t="shared" ca="1" si="8"/>
        <v>1398566.3802020957</v>
      </c>
      <c r="Q35" s="4">
        <f t="shared" ca="1" si="9"/>
        <v>8206.3782778556924</v>
      </c>
      <c r="R35" s="19">
        <f t="shared" ca="1" si="10"/>
        <v>5.9023405927228724E-3</v>
      </c>
    </row>
    <row r="36" spans="1:18" x14ac:dyDescent="0.35">
      <c r="A36" s="1">
        <f>MonthlyData!A36</f>
        <v>42675</v>
      </c>
      <c r="B36" s="13">
        <f t="shared" si="2"/>
        <v>2016</v>
      </c>
      <c r="C36" s="13">
        <f t="shared" si="3"/>
        <v>11</v>
      </c>
      <c r="D36" s="4">
        <f>MonthlyData!I36</f>
        <v>1524165.7901686833</v>
      </c>
      <c r="E36" s="4">
        <f t="shared" ca="1" si="6"/>
        <v>403.99833333333333</v>
      </c>
      <c r="F36" s="3">
        <f>MonthlyData!AF36</f>
        <v>267.69583333333338</v>
      </c>
      <c r="G36">
        <f>MonthlyData!BP36</f>
        <v>1</v>
      </c>
      <c r="H36" s="4">
        <f>MonthlyData!R36</f>
        <v>762</v>
      </c>
      <c r="I36">
        <f>MonthlyData!BN36</f>
        <v>0</v>
      </c>
      <c r="K36" s="4"/>
      <c r="L36" s="4">
        <f t="shared" ca="1" si="7"/>
        <v>88094.695170451276</v>
      </c>
      <c r="M36" s="4"/>
      <c r="N36" s="4"/>
      <c r="O36" s="4"/>
      <c r="P36" s="4">
        <f t="shared" ca="1" si="8"/>
        <v>1612260.4853391345</v>
      </c>
      <c r="Q36" s="4">
        <f t="shared" ca="1" si="9"/>
        <v>88094.695170451188</v>
      </c>
      <c r="R36" s="19">
        <f t="shared" ca="1" si="10"/>
        <v>5.7798630397485513E-2</v>
      </c>
    </row>
    <row r="37" spans="1:18" x14ac:dyDescent="0.35">
      <c r="A37" s="1">
        <f>MonthlyData!A37</f>
        <v>42705</v>
      </c>
      <c r="B37" s="13">
        <f t="shared" si="2"/>
        <v>2016</v>
      </c>
      <c r="C37" s="13">
        <f t="shared" si="3"/>
        <v>12</v>
      </c>
      <c r="D37" s="4">
        <f>MonthlyData!I37</f>
        <v>1639385.3234697548</v>
      </c>
      <c r="E37" s="4">
        <f t="shared" ca="1" si="6"/>
        <v>629.70466952460959</v>
      </c>
      <c r="F37" s="3">
        <f>MonthlyData!AF37</f>
        <v>649.50833333333321</v>
      </c>
      <c r="G37">
        <f>MonthlyData!BP37</f>
        <v>0</v>
      </c>
      <c r="H37" s="4">
        <f>MonthlyData!R37</f>
        <v>747</v>
      </c>
      <c r="I37">
        <f>MonthlyData!BN37</f>
        <v>1</v>
      </c>
      <c r="K37" s="4"/>
      <c r="L37" s="4">
        <f t="shared" ca="1" si="7"/>
        <v>-12799.455083271449</v>
      </c>
      <c r="M37" s="4"/>
      <c r="N37" s="4"/>
      <c r="O37" s="4"/>
      <c r="P37" s="4">
        <f t="shared" ca="1" si="8"/>
        <v>1626585.8683864833</v>
      </c>
      <c r="Q37" s="4">
        <f t="shared" ca="1" si="9"/>
        <v>-12799.455083271489</v>
      </c>
      <c r="R37" s="19">
        <f t="shared" ca="1" si="10"/>
        <v>7.807472044571849E-3</v>
      </c>
    </row>
    <row r="38" spans="1:18" x14ac:dyDescent="0.35">
      <c r="A38" s="1">
        <f>MonthlyData!A38</f>
        <v>42736</v>
      </c>
      <c r="B38" s="13">
        <f t="shared" si="2"/>
        <v>2017</v>
      </c>
      <c r="C38" s="13">
        <f t="shared" si="3"/>
        <v>1</v>
      </c>
      <c r="D38" s="4">
        <f>MonthlyData!I38</f>
        <v>1925606.4923752525</v>
      </c>
      <c r="E38" s="4">
        <f t="shared" ca="1" si="6"/>
        <v>793.4846429373913</v>
      </c>
      <c r="F38" s="3">
        <f>MonthlyData!AF38</f>
        <v>625.60416666666674</v>
      </c>
      <c r="G38">
        <f>MonthlyData!BP38</f>
        <v>0</v>
      </c>
      <c r="H38" s="4">
        <f>MonthlyData!R38</f>
        <v>754</v>
      </c>
      <c r="I38">
        <f>MonthlyData!BN38</f>
        <v>0</v>
      </c>
      <c r="K38" s="4"/>
      <c r="L38" s="4">
        <f t="shared" ca="1" si="7"/>
        <v>108504.09480486171</v>
      </c>
      <c r="M38" s="4"/>
      <c r="N38" s="4"/>
      <c r="O38" s="4"/>
      <c r="P38" s="4">
        <f t="shared" ca="1" si="8"/>
        <v>2034110.5871801144</v>
      </c>
      <c r="Q38" s="4">
        <f t="shared" ca="1" si="9"/>
        <v>108504.09480486182</v>
      </c>
      <c r="R38" s="19">
        <f t="shared" ca="1" si="10"/>
        <v>5.6348010475920793E-2</v>
      </c>
    </row>
    <row r="39" spans="1:18" x14ac:dyDescent="0.35">
      <c r="A39" s="1">
        <f>MonthlyData!A39</f>
        <v>42767</v>
      </c>
      <c r="B39" s="13">
        <f t="shared" si="2"/>
        <v>2017</v>
      </c>
      <c r="C39" s="13">
        <f t="shared" si="3"/>
        <v>2</v>
      </c>
      <c r="D39" s="4">
        <f>MonthlyData!I39</f>
        <v>1922002.2611059062</v>
      </c>
      <c r="E39" s="4">
        <f t="shared" ca="1" si="6"/>
        <v>736.10085614037712</v>
      </c>
      <c r="F39" s="3">
        <f>MonthlyData!AF39</f>
        <v>608.23750000000007</v>
      </c>
      <c r="G39">
        <f>MonthlyData!BP39</f>
        <v>0</v>
      </c>
      <c r="H39" s="4">
        <f>MonthlyData!R39</f>
        <v>744</v>
      </c>
      <c r="I39">
        <f>MonthlyData!BN39</f>
        <v>0</v>
      </c>
      <c r="K39" s="4"/>
      <c r="L39" s="4">
        <f t="shared" ca="1" si="7"/>
        <v>82640.328553455503</v>
      </c>
      <c r="M39" s="4"/>
      <c r="N39" s="4"/>
      <c r="O39" s="4"/>
      <c r="P39" s="4">
        <f t="shared" ca="1" si="8"/>
        <v>2004642.5896593616</v>
      </c>
      <c r="Q39" s="4">
        <f t="shared" ca="1" si="9"/>
        <v>82640.328553455416</v>
      </c>
      <c r="R39" s="19">
        <f t="shared" ca="1" si="10"/>
        <v>4.2996998612220554E-2</v>
      </c>
    </row>
    <row r="40" spans="1:18" x14ac:dyDescent="0.35">
      <c r="A40" s="1">
        <f>MonthlyData!A40</f>
        <v>42795</v>
      </c>
      <c r="B40" s="13">
        <f t="shared" si="2"/>
        <v>2017</v>
      </c>
      <c r="C40" s="13">
        <f t="shared" si="3"/>
        <v>3</v>
      </c>
      <c r="D40" s="4">
        <f>MonthlyData!I40</f>
        <v>1780750.6332760726</v>
      </c>
      <c r="E40" s="4">
        <f t="shared" ca="1" si="6"/>
        <v>577.21697535249291</v>
      </c>
      <c r="F40" s="3">
        <f>MonthlyData!AF40</f>
        <v>573.71046635567325</v>
      </c>
      <c r="G40">
        <f>MonthlyData!BP40</f>
        <v>0</v>
      </c>
      <c r="H40" s="4">
        <f>MonthlyData!R40</f>
        <v>746</v>
      </c>
      <c r="I40">
        <f>MonthlyData!BN40</f>
        <v>0</v>
      </c>
      <c r="K40" s="4"/>
      <c r="L40" s="4">
        <f t="shared" ca="1" si="7"/>
        <v>2266.3182347152333</v>
      </c>
      <c r="M40" s="4"/>
      <c r="N40" s="4"/>
      <c r="O40" s="4"/>
      <c r="P40" s="4">
        <f t="shared" ca="1" si="8"/>
        <v>1783016.9515107877</v>
      </c>
      <c r="Q40" s="4">
        <f t="shared" ca="1" si="9"/>
        <v>2266.3182347151451</v>
      </c>
      <c r="R40" s="19">
        <f t="shared" ca="1" si="10"/>
        <v>1.2726757988263447E-3</v>
      </c>
    </row>
    <row r="41" spans="1:18" x14ac:dyDescent="0.35">
      <c r="A41" s="1">
        <f>MonthlyData!A41</f>
        <v>42826</v>
      </c>
      <c r="B41" s="13">
        <f t="shared" si="2"/>
        <v>2017</v>
      </c>
      <c r="C41" s="13">
        <f t="shared" si="3"/>
        <v>4</v>
      </c>
      <c r="D41" s="4">
        <f>MonthlyData!I41</f>
        <v>1910443.0282128362</v>
      </c>
      <c r="E41" s="4">
        <f t="shared" ca="1" si="6"/>
        <v>307.33082472275549</v>
      </c>
      <c r="F41" s="3">
        <f>MonthlyData!AF41</f>
        <v>246.73333333333338</v>
      </c>
      <c r="G41">
        <f>MonthlyData!BP41</f>
        <v>0</v>
      </c>
      <c r="H41" s="4">
        <f>MonthlyData!R41</f>
        <v>741</v>
      </c>
      <c r="I41">
        <f>MonthlyData!BN41</f>
        <v>0</v>
      </c>
      <c r="K41" s="4"/>
      <c r="L41" s="4">
        <f t="shared" ca="1" si="7"/>
        <v>39165.220975735509</v>
      </c>
      <c r="M41" s="4"/>
      <c r="N41" s="4"/>
      <c r="O41" s="4"/>
      <c r="P41" s="4">
        <f t="shared" ca="1" si="8"/>
        <v>1949608.2491885717</v>
      </c>
      <c r="Q41" s="4">
        <f t="shared" ca="1" si="9"/>
        <v>39165.220975735458</v>
      </c>
      <c r="R41" s="19">
        <f t="shared" ca="1" si="10"/>
        <v>2.0500596143070218E-2</v>
      </c>
    </row>
    <row r="42" spans="1:18" x14ac:dyDescent="0.35">
      <c r="A42" s="1">
        <f>MonthlyData!A42</f>
        <v>42856</v>
      </c>
      <c r="B42" s="13">
        <f t="shared" si="2"/>
        <v>2017</v>
      </c>
      <c r="C42" s="13">
        <f t="shared" si="3"/>
        <v>5</v>
      </c>
      <c r="D42" s="4">
        <f>MonthlyData!I42</f>
        <v>1534644.8688874149</v>
      </c>
      <c r="E42" s="4">
        <f t="shared" ca="1" si="6"/>
        <v>103.00647094808046</v>
      </c>
      <c r="F42" s="3">
        <f>MonthlyData!AF42</f>
        <v>94.194629289914161</v>
      </c>
      <c r="G42">
        <f>MonthlyData!BP42</f>
        <v>0</v>
      </c>
      <c r="H42" s="4">
        <f>MonthlyData!R42</f>
        <v>740</v>
      </c>
      <c r="I42">
        <f>MonthlyData!BN42</f>
        <v>0</v>
      </c>
      <c r="K42" s="4"/>
      <c r="L42" s="4">
        <f t="shared" ca="1" si="7"/>
        <v>5695.2477376896568</v>
      </c>
      <c r="M42" s="4"/>
      <c r="N42" s="4"/>
      <c r="O42" s="4"/>
      <c r="P42" s="4">
        <f t="shared" ca="1" si="8"/>
        <v>1540340.1166251046</v>
      </c>
      <c r="Q42" s="4">
        <f t="shared" ca="1" si="9"/>
        <v>5695.2477376896422</v>
      </c>
      <c r="R42" s="19">
        <f t="shared" ca="1" si="10"/>
        <v>3.7111177010082969E-3</v>
      </c>
    </row>
    <row r="43" spans="1:18" x14ac:dyDescent="0.35">
      <c r="A43" s="1">
        <f>MonthlyData!A43</f>
        <v>42887</v>
      </c>
      <c r="B43" s="13">
        <f t="shared" si="2"/>
        <v>2017</v>
      </c>
      <c r="C43" s="13">
        <f t="shared" si="3"/>
        <v>6</v>
      </c>
      <c r="D43" s="4">
        <f>MonthlyData!I43</f>
        <v>1503992.0752508726</v>
      </c>
      <c r="E43" s="4">
        <f t="shared" ca="1" si="6"/>
        <v>5.5889105735385218</v>
      </c>
      <c r="F43" s="3">
        <f>MonthlyData!AF43</f>
        <v>4.8083333333333345</v>
      </c>
      <c r="G43">
        <f>MonthlyData!BP43</f>
        <v>0</v>
      </c>
      <c r="H43" s="4">
        <f>MonthlyData!R43</f>
        <v>748</v>
      </c>
      <c r="I43">
        <f>MonthlyData!BN43</f>
        <v>0</v>
      </c>
      <c r="K43" s="4"/>
      <c r="L43" s="4">
        <f t="shared" ca="1" si="7"/>
        <v>504.50075407911174</v>
      </c>
      <c r="M43" s="4"/>
      <c r="N43" s="4"/>
      <c r="O43" s="4"/>
      <c r="P43" s="4">
        <f t="shared" ca="1" si="8"/>
        <v>1504496.5760049517</v>
      </c>
      <c r="Q43" s="4">
        <f t="shared" ca="1" si="9"/>
        <v>504.50075407908298</v>
      </c>
      <c r="R43" s="19">
        <f t="shared" ca="1" si="10"/>
        <v>3.3544109864736487E-4</v>
      </c>
    </row>
    <row r="44" spans="1:18" x14ac:dyDescent="0.35">
      <c r="A44" s="1">
        <f>MonthlyData!A44</f>
        <v>42917</v>
      </c>
      <c r="B44" s="13">
        <f t="shared" si="2"/>
        <v>2017</v>
      </c>
      <c r="C44" s="13">
        <f t="shared" si="3"/>
        <v>7</v>
      </c>
      <c r="D44" s="4">
        <f>MonthlyData!I44</f>
        <v>1446618.4343893542</v>
      </c>
      <c r="E44" s="4">
        <f t="shared" ca="1" si="6"/>
        <v>0.28709633857318684</v>
      </c>
      <c r="F44" s="3">
        <f>MonthlyData!AF44</f>
        <v>0</v>
      </c>
      <c r="G44">
        <f>MonthlyData!BP44</f>
        <v>0</v>
      </c>
      <c r="H44" s="4">
        <f>MonthlyData!R44</f>
        <v>752</v>
      </c>
      <c r="I44">
        <f>MonthlyData!BN44</f>
        <v>0</v>
      </c>
      <c r="K44" s="4"/>
      <c r="L44" s="4">
        <f t="shared" ca="1" si="7"/>
        <v>185.55539649791879</v>
      </c>
      <c r="M44" s="4"/>
      <c r="N44" s="4"/>
      <c r="O44" s="4"/>
      <c r="P44" s="4">
        <f t="shared" ca="1" si="8"/>
        <v>1446803.9897858521</v>
      </c>
      <c r="Q44" s="4">
        <f t="shared" ca="1" si="9"/>
        <v>185.5553964979481</v>
      </c>
      <c r="R44" s="19">
        <f t="shared" ca="1" si="10"/>
        <v>1.2826837546576312E-4</v>
      </c>
    </row>
    <row r="45" spans="1:18" x14ac:dyDescent="0.35">
      <c r="A45" s="1">
        <f>MonthlyData!A45</f>
        <v>42948</v>
      </c>
      <c r="B45" s="13">
        <f t="shared" si="2"/>
        <v>2017</v>
      </c>
      <c r="C45" s="13">
        <f t="shared" si="3"/>
        <v>8</v>
      </c>
      <c r="D45" s="4">
        <f>MonthlyData!I45</f>
        <v>1471064.0056149669</v>
      </c>
      <c r="E45" s="4">
        <f t="shared" ca="1" si="6"/>
        <v>1.6761707873342053</v>
      </c>
      <c r="F45" s="3">
        <f>MonthlyData!AF45</f>
        <v>2.2708333333333357</v>
      </c>
      <c r="G45">
        <f>MonthlyData!BP45</f>
        <v>0</v>
      </c>
      <c r="H45" s="4">
        <f>MonthlyData!R45</f>
        <v>742</v>
      </c>
      <c r="I45">
        <f>MonthlyData!BN45</f>
        <v>0</v>
      </c>
      <c r="K45" s="4"/>
      <c r="L45" s="4">
        <f t="shared" ca="1" si="7"/>
        <v>-384.3408280778259</v>
      </c>
      <c r="M45" s="4"/>
      <c r="N45" s="4"/>
      <c r="O45" s="4"/>
      <c r="P45" s="4">
        <f t="shared" ca="1" si="8"/>
        <v>1470679.664786889</v>
      </c>
      <c r="Q45" s="4">
        <f t="shared" ca="1" si="9"/>
        <v>-384.34082807786763</v>
      </c>
      <c r="R45" s="19">
        <f t="shared" ca="1" si="10"/>
        <v>2.6126723691889729E-4</v>
      </c>
    </row>
    <row r="46" spans="1:18" x14ac:dyDescent="0.35">
      <c r="A46" s="1">
        <f>MonthlyData!A46</f>
        <v>42979</v>
      </c>
      <c r="B46" s="13">
        <f t="shared" si="2"/>
        <v>2017</v>
      </c>
      <c r="C46" s="13">
        <f t="shared" si="3"/>
        <v>9</v>
      </c>
      <c r="D46" s="4">
        <f>MonthlyData!I46</f>
        <v>1404887.2926662767</v>
      </c>
      <c r="E46" s="4">
        <f t="shared" ca="1" si="6"/>
        <v>28.222326899712005</v>
      </c>
      <c r="F46" s="3">
        <f>MonthlyData!AF46</f>
        <v>19.666666666666668</v>
      </c>
      <c r="G46">
        <f>MonthlyData!BP46</f>
        <v>0</v>
      </c>
      <c r="H46" s="4">
        <f>MonthlyData!R46</f>
        <v>743</v>
      </c>
      <c r="I46">
        <f>MonthlyData!BN46</f>
        <v>0</v>
      </c>
      <c r="K46" s="4"/>
      <c r="L46" s="4">
        <f t="shared" ca="1" si="7"/>
        <v>5529.6731917028765</v>
      </c>
      <c r="M46" s="4"/>
      <c r="N46" s="4"/>
      <c r="O46" s="4"/>
      <c r="P46" s="4">
        <f t="shared" ca="1" si="8"/>
        <v>1410416.9658579796</v>
      </c>
      <c r="Q46" s="4">
        <f t="shared" ca="1" si="9"/>
        <v>5529.6731917029247</v>
      </c>
      <c r="R46" s="19">
        <f t="shared" ca="1" si="10"/>
        <v>3.9360261998016861E-3</v>
      </c>
    </row>
    <row r="47" spans="1:18" x14ac:dyDescent="0.35">
      <c r="A47" s="1">
        <f>MonthlyData!A47</f>
        <v>43009</v>
      </c>
      <c r="B47" s="13">
        <f t="shared" si="2"/>
        <v>2017</v>
      </c>
      <c r="C47" s="13">
        <f t="shared" si="3"/>
        <v>10</v>
      </c>
      <c r="D47" s="4">
        <f>MonthlyData!I47</f>
        <v>1380644.0442652954</v>
      </c>
      <c r="E47" s="4">
        <f t="shared" ca="1" si="6"/>
        <v>178.0244559176316</v>
      </c>
      <c r="F47" s="3">
        <f>MonthlyData!AF47</f>
        <v>119.86995575588458</v>
      </c>
      <c r="G47">
        <f>MonthlyData!BP47</f>
        <v>1</v>
      </c>
      <c r="H47" s="4">
        <f>MonthlyData!R47</f>
        <v>758</v>
      </c>
      <c r="I47">
        <f>MonthlyData!BN47</f>
        <v>0</v>
      </c>
      <c r="K47" s="4"/>
      <c r="L47" s="4">
        <f t="shared" ca="1" si="7"/>
        <v>37586.272918978488</v>
      </c>
      <c r="M47" s="4"/>
      <c r="N47" s="4"/>
      <c r="O47" s="4"/>
      <c r="P47" s="4">
        <f t="shared" ca="1" si="8"/>
        <v>1418230.3171842739</v>
      </c>
      <c r="Q47" s="4">
        <f t="shared" ca="1" si="9"/>
        <v>37586.272918978473</v>
      </c>
      <c r="R47" s="19">
        <f t="shared" ca="1" si="10"/>
        <v>2.7223724373489671E-2</v>
      </c>
    </row>
    <row r="48" spans="1:18" x14ac:dyDescent="0.35">
      <c r="A48" s="1">
        <f>MonthlyData!A48</f>
        <v>43040</v>
      </c>
      <c r="B48" s="13">
        <f t="shared" si="2"/>
        <v>2017</v>
      </c>
      <c r="C48" s="13">
        <f t="shared" si="3"/>
        <v>11</v>
      </c>
      <c r="D48" s="4">
        <f>MonthlyData!I48</f>
        <v>1444507.9165851397</v>
      </c>
      <c r="E48" s="4">
        <f t="shared" ca="1" si="6"/>
        <v>403.99833333333333</v>
      </c>
      <c r="F48" s="3">
        <f>MonthlyData!AF48</f>
        <v>468.65833333333336</v>
      </c>
      <c r="G48">
        <f>MonthlyData!BP48</f>
        <v>1</v>
      </c>
      <c r="H48" s="4">
        <f>MonthlyData!R48</f>
        <v>757</v>
      </c>
      <c r="I48">
        <f>MonthlyData!BN48</f>
        <v>0</v>
      </c>
      <c r="K48" s="4"/>
      <c r="L48" s="4">
        <f t="shared" ca="1" si="7"/>
        <v>-41790.891507649409</v>
      </c>
      <c r="M48" s="4"/>
      <c r="N48" s="4"/>
      <c r="O48" s="4"/>
      <c r="P48" s="4">
        <f t="shared" ca="1" si="8"/>
        <v>1402717.0250774904</v>
      </c>
      <c r="Q48" s="4">
        <f t="shared" ca="1" si="9"/>
        <v>-41790.891507649329</v>
      </c>
      <c r="R48" s="19">
        <f t="shared" ca="1" si="10"/>
        <v>2.8930884370951912E-2</v>
      </c>
    </row>
    <row r="49" spans="1:18" x14ac:dyDescent="0.35">
      <c r="A49" s="1">
        <f>MonthlyData!A49</f>
        <v>43070</v>
      </c>
      <c r="B49" s="13">
        <f t="shared" si="2"/>
        <v>2017</v>
      </c>
      <c r="C49" s="13">
        <f t="shared" si="3"/>
        <v>12</v>
      </c>
      <c r="D49" s="4">
        <f>MonthlyData!I49</f>
        <v>1726218.9218037804</v>
      </c>
      <c r="E49" s="4">
        <f t="shared" ca="1" si="6"/>
        <v>629.70466952460959</v>
      </c>
      <c r="F49" s="3">
        <f>MonthlyData!AF49</f>
        <v>807.0920673261536</v>
      </c>
      <c r="G49">
        <f>MonthlyData!BP49</f>
        <v>0</v>
      </c>
      <c r="H49" s="4">
        <f>MonthlyData!R49</f>
        <v>740</v>
      </c>
      <c r="I49">
        <f>MonthlyData!BN49</f>
        <v>1</v>
      </c>
      <c r="K49" s="4"/>
      <c r="L49" s="4">
        <f t="shared" ca="1" si="7"/>
        <v>-114648.58484918914</v>
      </c>
      <c r="M49" s="4"/>
      <c r="N49" s="4"/>
      <c r="O49" s="4"/>
      <c r="P49" s="4">
        <f t="shared" ca="1" si="8"/>
        <v>1611570.3369545913</v>
      </c>
      <c r="Q49" s="4">
        <f t="shared" ca="1" si="9"/>
        <v>-114648.58484918904</v>
      </c>
      <c r="R49" s="19">
        <f t="shared" ca="1" si="10"/>
        <v>6.6416016764194161E-2</v>
      </c>
    </row>
    <row r="50" spans="1:18" x14ac:dyDescent="0.35">
      <c r="A50" s="1">
        <f>MonthlyData!A50</f>
        <v>43101</v>
      </c>
      <c r="B50" s="13">
        <f t="shared" si="2"/>
        <v>2018</v>
      </c>
      <c r="C50" s="13">
        <f t="shared" si="3"/>
        <v>1</v>
      </c>
      <c r="D50" s="4">
        <f>MonthlyData!I50</f>
        <v>2039721.9078656486</v>
      </c>
      <c r="E50" s="4">
        <f t="shared" ca="1" si="6"/>
        <v>793.4846429373913</v>
      </c>
      <c r="F50" s="3">
        <f>MonthlyData!AF50</f>
        <v>810.98333333333335</v>
      </c>
      <c r="G50">
        <f>MonthlyData!BP50</f>
        <v>0</v>
      </c>
      <c r="H50" s="4">
        <f>MonthlyData!R50</f>
        <v>734</v>
      </c>
      <c r="I50">
        <f>MonthlyData!BN50</f>
        <v>0</v>
      </c>
      <c r="K50" s="4"/>
      <c r="L50" s="4">
        <f t="shared" ca="1" si="7"/>
        <v>-11309.710359770501</v>
      </c>
      <c r="M50" s="4"/>
      <c r="N50" s="4"/>
      <c r="O50" s="4"/>
      <c r="P50" s="4">
        <f t="shared" ca="1" si="8"/>
        <v>2028412.1975058781</v>
      </c>
      <c r="Q50" s="4">
        <f t="shared" ca="1" si="9"/>
        <v>-11309.710359770572</v>
      </c>
      <c r="R50" s="19">
        <f t="shared" ca="1" si="10"/>
        <v>5.544731522546119E-3</v>
      </c>
    </row>
    <row r="51" spans="1:18" x14ac:dyDescent="0.35">
      <c r="A51" s="1">
        <f>MonthlyData!A51</f>
        <v>43132</v>
      </c>
      <c r="B51" s="13">
        <f t="shared" si="2"/>
        <v>2018</v>
      </c>
      <c r="C51" s="13">
        <f t="shared" si="3"/>
        <v>2</v>
      </c>
      <c r="D51" s="4">
        <f>MonthlyData!I51</f>
        <v>2068451.9595124074</v>
      </c>
      <c r="E51" s="4">
        <f t="shared" ca="1" si="6"/>
        <v>736.10085614037712</v>
      </c>
      <c r="F51" s="3">
        <f>MonthlyData!AF51</f>
        <v>705.50416666666672</v>
      </c>
      <c r="G51">
        <f>MonthlyData!BP51</f>
        <v>0</v>
      </c>
      <c r="H51" s="4">
        <f>MonthlyData!R51</f>
        <v>730</v>
      </c>
      <c r="I51">
        <f>MonthlyData!BN51</f>
        <v>0</v>
      </c>
      <c r="K51" s="4"/>
      <c r="L51" s="4">
        <f t="shared" ca="1" si="7"/>
        <v>19775.176775271721</v>
      </c>
      <c r="M51" s="4"/>
      <c r="N51" s="4"/>
      <c r="O51" s="4"/>
      <c r="P51" s="4">
        <f t="shared" ca="1" si="8"/>
        <v>2088227.1362876792</v>
      </c>
      <c r="Q51" s="4">
        <f t="shared" ca="1" si="9"/>
        <v>19775.176775271771</v>
      </c>
      <c r="R51" s="19">
        <f t="shared" ca="1" si="10"/>
        <v>9.5603751802547741E-3</v>
      </c>
    </row>
    <row r="52" spans="1:18" x14ac:dyDescent="0.35">
      <c r="A52" s="1">
        <f>MonthlyData!A52</f>
        <v>43160</v>
      </c>
      <c r="B52" s="13">
        <f t="shared" si="2"/>
        <v>2018</v>
      </c>
      <c r="C52" s="13">
        <f t="shared" si="3"/>
        <v>3</v>
      </c>
      <c r="D52" s="4">
        <f>MonthlyData!I52</f>
        <v>1836052.8045858156</v>
      </c>
      <c r="E52" s="4">
        <f t="shared" ca="1" si="6"/>
        <v>577.21697535249291</v>
      </c>
      <c r="F52" s="3">
        <f>MonthlyData!AF52</f>
        <v>624.80416666666656</v>
      </c>
      <c r="G52">
        <f>MonthlyData!BP52</f>
        <v>0</v>
      </c>
      <c r="H52" s="4">
        <f>MonthlyData!R52</f>
        <v>706</v>
      </c>
      <c r="I52">
        <f>MonthlyData!BN52</f>
        <v>0</v>
      </c>
      <c r="K52" s="4"/>
      <c r="L52" s="4">
        <f t="shared" ca="1" si="7"/>
        <v>-30756.435962950611</v>
      </c>
      <c r="M52" s="4"/>
      <c r="N52" s="4"/>
      <c r="O52" s="4"/>
      <c r="P52" s="4">
        <f t="shared" ca="1" si="8"/>
        <v>1805296.3686228651</v>
      </c>
      <c r="Q52" s="4">
        <f t="shared" ca="1" si="9"/>
        <v>-30756.435962950578</v>
      </c>
      <c r="R52" s="19">
        <f t="shared" ca="1" si="10"/>
        <v>1.6751389658364833E-2</v>
      </c>
    </row>
    <row r="53" spans="1:18" x14ac:dyDescent="0.35">
      <c r="A53" s="1">
        <f>MonthlyData!A53</f>
        <v>43191</v>
      </c>
      <c r="B53" s="13">
        <f t="shared" si="2"/>
        <v>2018</v>
      </c>
      <c r="C53" s="13">
        <f t="shared" si="3"/>
        <v>4</v>
      </c>
      <c r="D53" s="4">
        <f>MonthlyData!I53</f>
        <v>1852621.7019807273</v>
      </c>
      <c r="E53" s="4">
        <f t="shared" ca="1" si="6"/>
        <v>307.33082472275549</v>
      </c>
      <c r="F53" s="3">
        <f>MonthlyData!AF53</f>
        <v>402.86250000000007</v>
      </c>
      <c r="G53">
        <f>MonthlyData!BP53</f>
        <v>0</v>
      </c>
      <c r="H53" s="4">
        <f>MonthlyData!R53</f>
        <v>703</v>
      </c>
      <c r="I53">
        <f>MonthlyData!BN53</f>
        <v>0</v>
      </c>
      <c r="K53" s="4"/>
      <c r="L53" s="4">
        <f t="shared" ca="1" si="7"/>
        <v>-61743.796428322297</v>
      </c>
      <c r="M53" s="4"/>
      <c r="N53" s="4"/>
      <c r="O53" s="4"/>
      <c r="P53" s="4">
        <f t="shared" ca="1" si="8"/>
        <v>1790877.9055524049</v>
      </c>
      <c r="Q53" s="4">
        <f t="shared" ca="1" si="9"/>
        <v>-61743.796428322326</v>
      </c>
      <c r="R53" s="19">
        <f t="shared" ca="1" si="10"/>
        <v>3.3327795071335424E-2</v>
      </c>
    </row>
    <row r="54" spans="1:18" x14ac:dyDescent="0.35">
      <c r="A54" s="1">
        <f>MonthlyData!A54</f>
        <v>43221</v>
      </c>
      <c r="B54" s="13">
        <f t="shared" si="2"/>
        <v>2018</v>
      </c>
      <c r="C54" s="13">
        <f t="shared" si="3"/>
        <v>5</v>
      </c>
      <c r="D54" s="4">
        <f>MonthlyData!I54</f>
        <v>1636843.6491979214</v>
      </c>
      <c r="E54" s="4">
        <f t="shared" ca="1" si="6"/>
        <v>103.00647094808046</v>
      </c>
      <c r="F54" s="3">
        <f>MonthlyData!AF54</f>
        <v>71.978468478130409</v>
      </c>
      <c r="G54">
        <f>MonthlyData!BP54</f>
        <v>0</v>
      </c>
      <c r="H54" s="4">
        <f>MonthlyData!R54</f>
        <v>700</v>
      </c>
      <c r="I54">
        <f>MonthlyData!BN54</f>
        <v>0</v>
      </c>
      <c r="K54" s="4"/>
      <c r="L54" s="4">
        <f t="shared" ca="1" si="7"/>
        <v>20053.941925777297</v>
      </c>
      <c r="M54" s="4"/>
      <c r="N54" s="4"/>
      <c r="O54" s="4"/>
      <c r="P54" s="4">
        <f t="shared" ca="1" si="8"/>
        <v>1656897.5911236987</v>
      </c>
      <c r="Q54" s="4">
        <f t="shared" ca="1" si="9"/>
        <v>20053.941925777355</v>
      </c>
      <c r="R54" s="19">
        <f t="shared" ca="1" si="10"/>
        <v>1.2251592835762961E-2</v>
      </c>
    </row>
    <row r="55" spans="1:18" x14ac:dyDescent="0.35">
      <c r="A55" s="1">
        <f>MonthlyData!A55</f>
        <v>43252</v>
      </c>
      <c r="B55" s="13">
        <f t="shared" si="2"/>
        <v>2018</v>
      </c>
      <c r="C55" s="13">
        <f t="shared" si="3"/>
        <v>6</v>
      </c>
      <c r="D55" s="4">
        <f>MonthlyData!I55</f>
        <v>1513960.2225070726</v>
      </c>
      <c r="E55" s="4">
        <f t="shared" ca="1" si="6"/>
        <v>5.5889105735385218</v>
      </c>
      <c r="F55" s="3">
        <f>MonthlyData!AF55</f>
        <v>8.1458333333333357</v>
      </c>
      <c r="G55">
        <f>MonthlyData!BP55</f>
        <v>0</v>
      </c>
      <c r="H55" s="4">
        <f>MonthlyData!R55</f>
        <v>702</v>
      </c>
      <c r="I55">
        <f>MonthlyData!BN55</f>
        <v>0</v>
      </c>
      <c r="K55" s="4"/>
      <c r="L55" s="4">
        <f t="shared" ca="1" si="7"/>
        <v>-1652.5840032172059</v>
      </c>
      <c r="M55" s="4"/>
      <c r="N55" s="4"/>
      <c r="O55" s="4"/>
      <c r="P55" s="4">
        <f t="shared" ca="1" si="8"/>
        <v>1512307.6385038553</v>
      </c>
      <c r="Q55" s="4">
        <f t="shared" ca="1" si="9"/>
        <v>-1652.5840032172855</v>
      </c>
      <c r="R55" s="19">
        <f t="shared" ca="1" si="10"/>
        <v>1.0915636875060404E-3</v>
      </c>
    </row>
    <row r="56" spans="1:18" x14ac:dyDescent="0.35">
      <c r="A56" s="1">
        <f>MonthlyData!A56</f>
        <v>43282</v>
      </c>
      <c r="B56" s="13">
        <f t="shared" si="2"/>
        <v>2018</v>
      </c>
      <c r="C56" s="13">
        <f t="shared" si="3"/>
        <v>7</v>
      </c>
      <c r="D56" s="4">
        <f>MonthlyData!I56</f>
        <v>1444064.5407707687</v>
      </c>
      <c r="E56" s="4">
        <f t="shared" ca="1" si="6"/>
        <v>0.28709633857318684</v>
      </c>
      <c r="F56" s="3">
        <f>MonthlyData!AF56</f>
        <v>0</v>
      </c>
      <c r="G56">
        <f>MonthlyData!BP56</f>
        <v>0</v>
      </c>
      <c r="H56" s="4">
        <f>MonthlyData!R56</f>
        <v>706</v>
      </c>
      <c r="I56">
        <f>MonthlyData!BN56</f>
        <v>0</v>
      </c>
      <c r="K56" s="4"/>
      <c r="L56" s="4">
        <f t="shared" ca="1" si="7"/>
        <v>185.55539649791879</v>
      </c>
      <c r="M56" s="4"/>
      <c r="N56" s="4"/>
      <c r="O56" s="4"/>
      <c r="P56" s="4">
        <f t="shared" ca="1" si="8"/>
        <v>1444250.0961672666</v>
      </c>
      <c r="Q56" s="4">
        <f t="shared" ca="1" si="9"/>
        <v>185.5553964979481</v>
      </c>
      <c r="R56" s="19">
        <f t="shared" ca="1" si="10"/>
        <v>1.2849522390384851E-4</v>
      </c>
    </row>
    <row r="57" spans="1:18" x14ac:dyDescent="0.35">
      <c r="A57" s="1">
        <f>MonthlyData!A57</f>
        <v>43313</v>
      </c>
      <c r="B57" s="13">
        <f t="shared" si="2"/>
        <v>2018</v>
      </c>
      <c r="C57" s="13">
        <f t="shared" si="3"/>
        <v>8</v>
      </c>
      <c r="D57" s="4">
        <f>MonthlyData!I57</f>
        <v>1608578.9682369984</v>
      </c>
      <c r="E57" s="4">
        <f t="shared" ca="1" si="6"/>
        <v>1.6761707873342053</v>
      </c>
      <c r="F57" s="3">
        <f>MonthlyData!AF57</f>
        <v>0.77916666666666679</v>
      </c>
      <c r="G57">
        <f>MonthlyData!BP57</f>
        <v>0</v>
      </c>
      <c r="H57" s="4">
        <f>MonthlyData!R57</f>
        <v>712</v>
      </c>
      <c r="I57">
        <f>MonthlyData!BN57</f>
        <v>0</v>
      </c>
      <c r="K57" s="4"/>
      <c r="L57" s="4">
        <f t="shared" ca="1" si="7"/>
        <v>579.74948791728343</v>
      </c>
      <c r="M57" s="4"/>
      <c r="N57" s="4"/>
      <c r="O57" s="4"/>
      <c r="P57" s="4">
        <f t="shared" ca="1" si="8"/>
        <v>1609158.7177249156</v>
      </c>
      <c r="Q57" s="4">
        <f t="shared" ca="1" si="9"/>
        <v>579.74948791717179</v>
      </c>
      <c r="R57" s="19">
        <f t="shared" ca="1" si="10"/>
        <v>3.6041095859445238E-4</v>
      </c>
    </row>
    <row r="58" spans="1:18" x14ac:dyDescent="0.35">
      <c r="A58" s="1">
        <f>MonthlyData!A58</f>
        <v>43344</v>
      </c>
      <c r="B58" s="13">
        <f t="shared" si="2"/>
        <v>2018</v>
      </c>
      <c r="C58" s="13">
        <f t="shared" si="3"/>
        <v>9</v>
      </c>
      <c r="D58" s="4">
        <f>MonthlyData!I58</f>
        <v>1511644.4192810222</v>
      </c>
      <c r="E58" s="4">
        <f t="shared" ca="1" si="6"/>
        <v>28.222326899712005</v>
      </c>
      <c r="F58" s="3">
        <f>MonthlyData!AF58</f>
        <v>55.145833333333329</v>
      </c>
      <c r="G58">
        <f>MonthlyData!BP58</f>
        <v>0</v>
      </c>
      <c r="H58" s="4">
        <f>MonthlyData!R58</f>
        <v>704</v>
      </c>
      <c r="I58">
        <f>MonthlyData!BN58</f>
        <v>0</v>
      </c>
      <c r="K58" s="4"/>
      <c r="L58" s="4">
        <f t="shared" ca="1" si="7"/>
        <v>-17401.134184549475</v>
      </c>
      <c r="M58" s="4"/>
      <c r="N58" s="4"/>
      <c r="O58" s="4"/>
      <c r="P58" s="4">
        <f t="shared" ca="1" si="8"/>
        <v>1494243.2850964726</v>
      </c>
      <c r="Q58" s="4">
        <f t="shared" ca="1" si="9"/>
        <v>-17401.134184549563</v>
      </c>
      <c r="R58" s="19">
        <f t="shared" ca="1" si="10"/>
        <v>1.1511393792480642E-2</v>
      </c>
    </row>
    <row r="59" spans="1:18" x14ac:dyDescent="0.35">
      <c r="A59" s="1">
        <f>MonthlyData!A59</f>
        <v>43374</v>
      </c>
      <c r="B59" s="13">
        <f t="shared" si="2"/>
        <v>2018</v>
      </c>
      <c r="C59" s="13">
        <f t="shared" si="3"/>
        <v>10</v>
      </c>
      <c r="D59" s="4">
        <f>MonthlyData!I59</f>
        <v>1388574.8726781455</v>
      </c>
      <c r="E59" s="4">
        <f t="shared" ca="1" si="6"/>
        <v>178.0244559176316</v>
      </c>
      <c r="F59" s="3">
        <f>MonthlyData!AF59</f>
        <v>285.1166956035878</v>
      </c>
      <c r="G59">
        <f>MonthlyData!BP59</f>
        <v>1</v>
      </c>
      <c r="H59" s="4">
        <f>MonthlyData!R59</f>
        <v>712</v>
      </c>
      <c r="I59">
        <f>MonthlyData!BN59</f>
        <v>0</v>
      </c>
      <c r="K59" s="4"/>
      <c r="L59" s="4">
        <f t="shared" ca="1" si="7"/>
        <v>-69215.591865558003</v>
      </c>
      <c r="M59" s="4"/>
      <c r="N59" s="4"/>
      <c r="O59" s="4"/>
      <c r="P59" s="4">
        <f t="shared" ca="1" si="8"/>
        <v>1319359.2808125876</v>
      </c>
      <c r="Q59" s="4">
        <f t="shared" ca="1" si="9"/>
        <v>-69215.591865557944</v>
      </c>
      <c r="R59" s="19">
        <f t="shared" ca="1" si="10"/>
        <v>4.9846496020817206E-2</v>
      </c>
    </row>
    <row r="60" spans="1:18" x14ac:dyDescent="0.35">
      <c r="A60" s="1">
        <f>MonthlyData!A60</f>
        <v>43405</v>
      </c>
      <c r="B60" s="13">
        <f t="shared" si="2"/>
        <v>2018</v>
      </c>
      <c r="C60" s="13">
        <f t="shared" si="3"/>
        <v>11</v>
      </c>
      <c r="D60" s="4">
        <f>MonthlyData!I60</f>
        <v>1616445.3101982041</v>
      </c>
      <c r="E60" s="4">
        <f t="shared" ca="1" si="6"/>
        <v>403.99833333333333</v>
      </c>
      <c r="F60" s="3">
        <f>MonthlyData!AF60</f>
        <v>510.11249999999995</v>
      </c>
      <c r="G60">
        <f>MonthlyData!BP60</f>
        <v>1</v>
      </c>
      <c r="H60" s="4">
        <f>MonthlyData!R60</f>
        <v>725</v>
      </c>
      <c r="I60">
        <f>MonthlyData!BN60</f>
        <v>0</v>
      </c>
      <c r="K60" s="4"/>
      <c r="L60" s="4">
        <f t="shared" ca="1" si="7"/>
        <v>-68583.446127301111</v>
      </c>
      <c r="M60" s="4"/>
      <c r="N60" s="4"/>
      <c r="O60" s="4"/>
      <c r="P60" s="4">
        <f t="shared" ca="1" si="8"/>
        <v>1547861.864070903</v>
      </c>
      <c r="Q60" s="4">
        <f t="shared" ca="1" si="9"/>
        <v>-68583.446127301082</v>
      </c>
      <c r="R60" s="19">
        <f t="shared" ca="1" si="10"/>
        <v>4.2428559564994847E-2</v>
      </c>
    </row>
    <row r="61" spans="1:18" x14ac:dyDescent="0.35">
      <c r="A61" s="1">
        <f>MonthlyData!A61</f>
        <v>43435</v>
      </c>
      <c r="B61" s="13">
        <f t="shared" si="2"/>
        <v>2018</v>
      </c>
      <c r="C61" s="13">
        <f t="shared" si="3"/>
        <v>12</v>
      </c>
      <c r="D61" s="4">
        <f>MonthlyData!I61</f>
        <v>1796625.4902597803</v>
      </c>
      <c r="E61" s="4">
        <f t="shared" ca="1" si="6"/>
        <v>629.70466952460959</v>
      </c>
      <c r="F61" s="3">
        <f>MonthlyData!AF61</f>
        <v>622.70000000000005</v>
      </c>
      <c r="G61">
        <f>MonthlyData!BP61</f>
        <v>0</v>
      </c>
      <c r="H61" s="4">
        <f>MonthlyData!R61</f>
        <v>724</v>
      </c>
      <c r="I61">
        <f>MonthlyData!BN61</f>
        <v>1</v>
      </c>
      <c r="K61" s="4"/>
      <c r="L61" s="4">
        <f t="shared" ca="1" si="7"/>
        <v>4527.2407075455503</v>
      </c>
      <c r="M61" s="4"/>
      <c r="N61" s="4"/>
      <c r="O61" s="4"/>
      <c r="P61" s="4">
        <f t="shared" ca="1" si="8"/>
        <v>1801152.7309673259</v>
      </c>
      <c r="Q61" s="4">
        <f t="shared" ca="1" si="9"/>
        <v>4527.2407075455412</v>
      </c>
      <c r="R61" s="19">
        <f t="shared" ca="1" si="10"/>
        <v>2.5198577734143867E-3</v>
      </c>
    </row>
    <row r="62" spans="1:18" x14ac:dyDescent="0.35">
      <c r="A62" s="1">
        <f>MonthlyData!A62</f>
        <v>43466</v>
      </c>
      <c r="B62" s="13">
        <f t="shared" si="2"/>
        <v>2019</v>
      </c>
      <c r="C62" s="13">
        <f t="shared" si="3"/>
        <v>1</v>
      </c>
      <c r="D62" s="4">
        <f>MonthlyData!I62</f>
        <v>1907774.2240176995</v>
      </c>
      <c r="E62" s="4">
        <f t="shared" ca="1" si="6"/>
        <v>793.4846429373913</v>
      </c>
      <c r="F62" s="3">
        <f>MonthlyData!AF62</f>
        <v>937.74938350982984</v>
      </c>
      <c r="G62">
        <f>MonthlyData!BP62</f>
        <v>0</v>
      </c>
      <c r="H62" s="4">
        <f>MonthlyData!R62</f>
        <v>750</v>
      </c>
      <c r="I62">
        <f>MonthlyData!BN62</f>
        <v>0</v>
      </c>
      <c r="K62" s="4"/>
      <c r="L62" s="4">
        <f t="shared" ca="1" si="7"/>
        <v>-93240.830832693537</v>
      </c>
      <c r="M62" s="4"/>
      <c r="N62" s="4"/>
      <c r="O62" s="4"/>
      <c r="P62" s="4">
        <f t="shared" ca="1" si="8"/>
        <v>1814533.393185006</v>
      </c>
      <c r="Q62" s="4">
        <f t="shared" ca="1" si="9"/>
        <v>-93240.830832693493</v>
      </c>
      <c r="R62" s="19">
        <f t="shared" ca="1" si="10"/>
        <v>4.8874143312583329E-2</v>
      </c>
    </row>
    <row r="63" spans="1:18" x14ac:dyDescent="0.35">
      <c r="A63" s="1">
        <f>MonthlyData!A63</f>
        <v>43497</v>
      </c>
      <c r="B63" s="13">
        <f t="shared" si="2"/>
        <v>2019</v>
      </c>
      <c r="C63" s="13">
        <f t="shared" si="3"/>
        <v>2</v>
      </c>
      <c r="D63" s="4">
        <f>MonthlyData!I63</f>
        <v>2169676.5254105679</v>
      </c>
      <c r="E63" s="4">
        <f t="shared" ca="1" si="6"/>
        <v>736.10085614037712</v>
      </c>
      <c r="F63" s="3">
        <f>MonthlyData!AF63</f>
        <v>755.45416666666677</v>
      </c>
      <c r="G63">
        <f>MonthlyData!BP63</f>
        <v>0</v>
      </c>
      <c r="H63" s="4">
        <f>MonthlyData!R63</f>
        <v>734</v>
      </c>
      <c r="I63">
        <f>MonthlyData!BN63</f>
        <v>0</v>
      </c>
      <c r="K63" s="4"/>
      <c r="L63" s="4">
        <f t="shared" ca="1" si="7"/>
        <v>-12508.383862017006</v>
      </c>
      <c r="M63" s="4"/>
      <c r="N63" s="4"/>
      <c r="O63" s="4"/>
      <c r="P63" s="4">
        <f t="shared" ca="1" si="8"/>
        <v>2157168.1415485507</v>
      </c>
      <c r="Q63" s="4">
        <f t="shared" ca="1" si="9"/>
        <v>-12508.383862017188</v>
      </c>
      <c r="R63" s="19">
        <f t="shared" ca="1" si="10"/>
        <v>5.7650915772572255E-3</v>
      </c>
    </row>
    <row r="64" spans="1:18" x14ac:dyDescent="0.35">
      <c r="A64" s="1">
        <f>MonthlyData!A64</f>
        <v>43525</v>
      </c>
      <c r="B64" s="13">
        <f t="shared" si="2"/>
        <v>2019</v>
      </c>
      <c r="C64" s="13">
        <f t="shared" si="3"/>
        <v>3</v>
      </c>
      <c r="D64" s="4">
        <f>MonthlyData!I64</f>
        <v>1938783.6374502934</v>
      </c>
      <c r="E64" s="4">
        <f t="shared" ca="1" si="6"/>
        <v>577.21697535249291</v>
      </c>
      <c r="F64" s="3">
        <f>MonthlyData!AF64</f>
        <v>574.84424598258033</v>
      </c>
      <c r="G64">
        <f>MonthlyData!BP64</f>
        <v>0</v>
      </c>
      <c r="H64" s="4">
        <f>MonthlyData!R64</f>
        <v>737</v>
      </c>
      <c r="I64">
        <f>MonthlyData!BN64</f>
        <v>0</v>
      </c>
      <c r="K64" s="4"/>
      <c r="L64" s="4">
        <f t="shared" ca="1" si="7"/>
        <v>1533.5365863753448</v>
      </c>
      <c r="M64" s="4"/>
      <c r="N64" s="4"/>
      <c r="O64" s="4"/>
      <c r="P64" s="4">
        <f t="shared" ca="1" si="8"/>
        <v>1940317.1740366688</v>
      </c>
      <c r="Q64" s="4">
        <f t="shared" ca="1" si="9"/>
        <v>1533.5365863754414</v>
      </c>
      <c r="R64" s="19">
        <f t="shared" ca="1" si="10"/>
        <v>7.9097871302039925E-4</v>
      </c>
    </row>
    <row r="65" spans="1:18" x14ac:dyDescent="0.35">
      <c r="A65" s="1">
        <f>MonthlyData!A65</f>
        <v>43556</v>
      </c>
      <c r="B65" s="13">
        <f t="shared" si="2"/>
        <v>2019</v>
      </c>
      <c r="C65" s="13">
        <f t="shared" si="3"/>
        <v>4</v>
      </c>
      <c r="D65" s="4">
        <f>MonthlyData!I65</f>
        <v>1907776.9398509474</v>
      </c>
      <c r="E65" s="4">
        <f t="shared" ca="1" si="6"/>
        <v>307.33082472275549</v>
      </c>
      <c r="F65" s="3">
        <f>MonthlyData!AF65</f>
        <v>295.23333333333335</v>
      </c>
      <c r="G65">
        <f>MonthlyData!BP65</f>
        <v>0</v>
      </c>
      <c r="H65" s="4">
        <f>MonthlyData!R65</f>
        <v>744</v>
      </c>
      <c r="I65">
        <f>MonthlyData!BN65</f>
        <v>0</v>
      </c>
      <c r="K65" s="4"/>
      <c r="L65" s="4">
        <f t="shared" ca="1" si="7"/>
        <v>7818.8207573471018</v>
      </c>
      <c r="M65" s="4"/>
      <c r="N65" s="4"/>
      <c r="O65" s="4"/>
      <c r="P65" s="4">
        <f t="shared" ca="1" si="8"/>
        <v>1915595.7606082945</v>
      </c>
      <c r="Q65" s="4">
        <f t="shared" ca="1" si="9"/>
        <v>7818.8207573471591</v>
      </c>
      <c r="R65" s="19">
        <f t="shared" ca="1" si="10"/>
        <v>4.0983935773739018E-3</v>
      </c>
    </row>
    <row r="66" spans="1:18" x14ac:dyDescent="0.35">
      <c r="A66" s="1">
        <f>MonthlyData!A66</f>
        <v>43586</v>
      </c>
      <c r="B66" s="13">
        <f t="shared" si="2"/>
        <v>2019</v>
      </c>
      <c r="C66" s="13">
        <f t="shared" si="3"/>
        <v>5</v>
      </c>
      <c r="D66" s="4">
        <f>MonthlyData!I66</f>
        <v>1627478.4999186685</v>
      </c>
      <c r="E66" s="4">
        <f t="shared" ca="1" si="6"/>
        <v>103.00647094808046</v>
      </c>
      <c r="F66" s="3">
        <f>MonthlyData!AF66</f>
        <v>95.812499999999957</v>
      </c>
      <c r="G66">
        <f>MonthlyData!BP66</f>
        <v>0</v>
      </c>
      <c r="H66" s="4">
        <f>MonthlyData!R66</f>
        <v>744</v>
      </c>
      <c r="I66">
        <f>MonthlyData!BN66</f>
        <v>0</v>
      </c>
      <c r="K66" s="4"/>
      <c r="L66" s="4">
        <f t="shared" ca="1" si="7"/>
        <v>4649.5895360410459</v>
      </c>
      <c r="M66" s="4"/>
      <c r="N66" s="4"/>
      <c r="O66" s="4"/>
      <c r="P66" s="4">
        <f t="shared" ca="1" si="8"/>
        <v>1632128.0894547096</v>
      </c>
      <c r="Q66" s="4">
        <f t="shared" ref="Q66:Q97" ca="1" si="11">P66-D66</f>
        <v>4649.5895360410213</v>
      </c>
      <c r="R66" s="19">
        <f t="shared" ref="R66:R97" ca="1" si="12">ABS(Q66/D66)</f>
        <v>2.8569283933848463E-3</v>
      </c>
    </row>
    <row r="67" spans="1:18" x14ac:dyDescent="0.35">
      <c r="A67" s="1">
        <f>MonthlyData!A67</f>
        <v>43617</v>
      </c>
      <c r="B67" s="13">
        <f t="shared" ref="B67:B130" si="13">YEAR(A67)</f>
        <v>2019</v>
      </c>
      <c r="C67" s="13">
        <f t="shared" ref="C67:C130" si="14">MONTH(A67)</f>
        <v>6</v>
      </c>
      <c r="D67" s="4">
        <f>MonthlyData!I67</f>
        <v>1519946.5878462784</v>
      </c>
      <c r="E67" s="4">
        <f t="shared" ca="1" si="6"/>
        <v>5.5889105735385218</v>
      </c>
      <c r="F67" s="3">
        <f>MonthlyData!AF67</f>
        <v>10.320833333333335</v>
      </c>
      <c r="G67">
        <f>MonthlyData!BP67</f>
        <v>0</v>
      </c>
      <c r="H67" s="4">
        <f>MonthlyData!R67</f>
        <v>743</v>
      </c>
      <c r="I67">
        <f>MonthlyData!BN67</f>
        <v>0</v>
      </c>
      <c r="K67" s="4"/>
      <c r="L67" s="4">
        <f t="shared" ca="1" si="7"/>
        <v>-3058.3246315676138</v>
      </c>
      <c r="M67" s="4"/>
      <c r="N67" s="4"/>
      <c r="O67" s="4"/>
      <c r="P67" s="4">
        <f t="shared" ca="1" si="8"/>
        <v>1516888.2632147109</v>
      </c>
      <c r="Q67" s="4">
        <f t="shared" ca="1" si="11"/>
        <v>-3058.3246315675788</v>
      </c>
      <c r="R67" s="19">
        <f t="shared" ca="1" si="12"/>
        <v>2.0121263839284896E-3</v>
      </c>
    </row>
    <row r="68" spans="1:18" x14ac:dyDescent="0.35">
      <c r="A68" s="1">
        <f>MonthlyData!A68</f>
        <v>43647</v>
      </c>
      <c r="B68" s="13">
        <f t="shared" si="13"/>
        <v>2019</v>
      </c>
      <c r="C68" s="13">
        <f t="shared" si="14"/>
        <v>7</v>
      </c>
      <c r="D68" s="4">
        <f>MonthlyData!I68</f>
        <v>1429592.0662636776</v>
      </c>
      <c r="E68" s="4">
        <f t="shared" ca="1" si="6"/>
        <v>0.28709633857318684</v>
      </c>
      <c r="F68" s="3">
        <f>MonthlyData!AF68</f>
        <v>0</v>
      </c>
      <c r="G68">
        <f>MonthlyData!BP68</f>
        <v>0</v>
      </c>
      <c r="H68" s="4">
        <f>MonthlyData!R68</f>
        <v>744</v>
      </c>
      <c r="I68">
        <f>MonthlyData!BN68</f>
        <v>0</v>
      </c>
      <c r="K68" s="4"/>
      <c r="L68" s="4">
        <f t="shared" ca="1" si="7"/>
        <v>185.55539649791879</v>
      </c>
      <c r="M68" s="4"/>
      <c r="N68" s="4"/>
      <c r="O68" s="4"/>
      <c r="P68" s="4">
        <f t="shared" ca="1" si="8"/>
        <v>1429777.6216601755</v>
      </c>
      <c r="Q68" s="4">
        <f t="shared" ca="1" si="11"/>
        <v>185.5553964979481</v>
      </c>
      <c r="R68" s="19">
        <f t="shared" ca="1" si="12"/>
        <v>1.2979604523331468E-4</v>
      </c>
    </row>
    <row r="69" spans="1:18" x14ac:dyDescent="0.35">
      <c r="A69" s="1">
        <f>MonthlyData!A69</f>
        <v>43678</v>
      </c>
      <c r="B69" s="13">
        <f t="shared" si="13"/>
        <v>2019</v>
      </c>
      <c r="C69" s="13">
        <f t="shared" si="14"/>
        <v>8</v>
      </c>
      <c r="D69" s="4">
        <f>MonthlyData!I69</f>
        <v>1561409.6245129688</v>
      </c>
      <c r="E69" s="4">
        <f t="shared" ca="1" si="6"/>
        <v>1.6761707873342053</v>
      </c>
      <c r="F69" s="3">
        <f>MonthlyData!AF69</f>
        <v>9.3492078733420492</v>
      </c>
      <c r="G69">
        <f>MonthlyData!BP69</f>
        <v>0</v>
      </c>
      <c r="H69" s="4">
        <f>MonthlyData!R69</f>
        <v>744</v>
      </c>
      <c r="I69">
        <f>MonthlyData!BN69</f>
        <v>0</v>
      </c>
      <c r="K69" s="4"/>
      <c r="L69" s="4">
        <f t="shared" ca="1" si="7"/>
        <v>-4959.2183791451289</v>
      </c>
      <c r="M69" s="4"/>
      <c r="N69" s="4"/>
      <c r="O69" s="4"/>
      <c r="P69" s="4">
        <f t="shared" ca="1" si="8"/>
        <v>1556450.4061338238</v>
      </c>
      <c r="Q69" s="4">
        <f t="shared" ca="1" si="11"/>
        <v>-4959.2183791450225</v>
      </c>
      <c r="R69" s="19">
        <f t="shared" ca="1" si="12"/>
        <v>3.1761161845610436E-3</v>
      </c>
    </row>
    <row r="70" spans="1:18" x14ac:dyDescent="0.35">
      <c r="A70" s="1">
        <f>MonthlyData!A70</f>
        <v>43709</v>
      </c>
      <c r="B70" s="13">
        <f t="shared" si="13"/>
        <v>2019</v>
      </c>
      <c r="C70" s="13">
        <f t="shared" si="14"/>
        <v>9</v>
      </c>
      <c r="D70" s="4">
        <f>MonthlyData!I70</f>
        <v>1441703.5427390249</v>
      </c>
      <c r="E70" s="4">
        <f t="shared" ca="1" si="6"/>
        <v>28.222326899712005</v>
      </c>
      <c r="F70" s="3">
        <f>MonthlyData!AF70</f>
        <v>29.270833333333339</v>
      </c>
      <c r="G70">
        <f>MonthlyData!BP70</f>
        <v>0</v>
      </c>
      <c r="H70" s="4">
        <f>MonthlyData!R70</f>
        <v>743</v>
      </c>
      <c r="I70">
        <f>MonthlyData!BN70</f>
        <v>0</v>
      </c>
      <c r="K70" s="4"/>
      <c r="L70" s="4">
        <f t="shared" ca="1" si="7"/>
        <v>-677.66808865668975</v>
      </c>
      <c r="M70" s="4"/>
      <c r="N70" s="4"/>
      <c r="O70" s="4"/>
      <c r="P70" s="4">
        <f t="shared" ca="1" si="8"/>
        <v>1441025.8746503682</v>
      </c>
      <c r="Q70" s="4">
        <f t="shared" ca="1" si="11"/>
        <v>-677.66808865661733</v>
      </c>
      <c r="R70" s="19">
        <f t="shared" ca="1" si="12"/>
        <v>4.7004676659748477E-4</v>
      </c>
    </row>
    <row r="71" spans="1:18" x14ac:dyDescent="0.35">
      <c r="A71" s="1">
        <f>MonthlyData!A71</f>
        <v>43739</v>
      </c>
      <c r="B71" s="13">
        <f t="shared" si="13"/>
        <v>2019</v>
      </c>
      <c r="C71" s="13">
        <f t="shared" si="14"/>
        <v>10</v>
      </c>
      <c r="D71" s="4">
        <f>MonthlyData!I71</f>
        <v>1351790.1869173101</v>
      </c>
      <c r="E71" s="4">
        <f t="shared" ca="1" si="6"/>
        <v>178.0244559176316</v>
      </c>
      <c r="F71" s="3">
        <f>MonthlyData!AF71</f>
        <v>151.38749999999999</v>
      </c>
      <c r="G71">
        <f>MonthlyData!BP71</f>
        <v>1</v>
      </c>
      <c r="H71" s="4">
        <f>MonthlyData!R71</f>
        <v>742</v>
      </c>
      <c r="I71">
        <f>MonthlyData!BN71</f>
        <v>0</v>
      </c>
      <c r="K71" s="4"/>
      <c r="L71" s="4">
        <f t="shared" ca="1" si="7"/>
        <v>17215.931562755675</v>
      </c>
      <c r="M71" s="4"/>
      <c r="N71" s="4"/>
      <c r="O71" s="4"/>
      <c r="P71" s="4">
        <f t="shared" ca="1" si="8"/>
        <v>1369006.1184800658</v>
      </c>
      <c r="Q71" s="4">
        <f t="shared" ca="1" si="11"/>
        <v>17215.931562755723</v>
      </c>
      <c r="R71" s="19">
        <f t="shared" ca="1" si="12"/>
        <v>1.2735653601699679E-2</v>
      </c>
    </row>
    <row r="72" spans="1:18" x14ac:dyDescent="0.35">
      <c r="A72" s="1">
        <f>MonthlyData!A72</f>
        <v>43770</v>
      </c>
      <c r="B72" s="13">
        <f t="shared" si="13"/>
        <v>2019</v>
      </c>
      <c r="C72" s="13">
        <f t="shared" si="14"/>
        <v>11</v>
      </c>
      <c r="D72" s="4">
        <f>MonthlyData!I72</f>
        <v>1513169.8617438227</v>
      </c>
      <c r="E72" s="4">
        <f t="shared" ca="1" si="6"/>
        <v>403.99833333333333</v>
      </c>
      <c r="F72" s="3">
        <f>MonthlyData!AF72</f>
        <v>493.48750000000007</v>
      </c>
      <c r="G72">
        <f>MonthlyData!BP72</f>
        <v>1</v>
      </c>
      <c r="H72" s="4">
        <f>MonthlyData!R72</f>
        <v>743</v>
      </c>
      <c r="I72">
        <f>MonthlyData!BN72</f>
        <v>0</v>
      </c>
      <c r="K72" s="4"/>
      <c r="L72" s="4">
        <f t="shared" ca="1" si="7"/>
        <v>-57838.417186461862</v>
      </c>
      <c r="M72" s="4"/>
      <c r="N72" s="4"/>
      <c r="O72" s="4"/>
      <c r="P72" s="4">
        <f t="shared" ca="1" si="8"/>
        <v>1455331.4445573608</v>
      </c>
      <c r="Q72" s="4">
        <f t="shared" ca="1" si="11"/>
        <v>-57838.417186461855</v>
      </c>
      <c r="R72" s="19">
        <f t="shared" ca="1" si="12"/>
        <v>3.8223347324541024E-2</v>
      </c>
    </row>
    <row r="73" spans="1:18" x14ac:dyDescent="0.35">
      <c r="A73" s="1">
        <f>MonthlyData!A73</f>
        <v>43800</v>
      </c>
      <c r="B73" s="13">
        <f t="shared" si="13"/>
        <v>2019</v>
      </c>
      <c r="C73" s="13">
        <f t="shared" si="14"/>
        <v>12</v>
      </c>
      <c r="D73" s="4">
        <f>MonthlyData!I73</f>
        <v>1791034.3424851298</v>
      </c>
      <c r="E73" s="4">
        <f t="shared" ca="1" si="6"/>
        <v>629.70466952460959</v>
      </c>
      <c r="F73" s="3">
        <f>MonthlyData!AF73</f>
        <v>702.36249999999995</v>
      </c>
      <c r="G73">
        <f>MonthlyData!BP73</f>
        <v>0</v>
      </c>
      <c r="H73" s="4">
        <f>MonthlyData!R73</f>
        <v>742</v>
      </c>
      <c r="I73">
        <f>MonthlyData!BN73</f>
        <v>1</v>
      </c>
      <c r="K73" s="4"/>
      <c r="L73" s="4">
        <f t="shared" ca="1" si="7"/>
        <v>-46960.029548070219</v>
      </c>
      <c r="M73" s="4"/>
      <c r="N73" s="4"/>
      <c r="O73" s="4"/>
      <c r="P73" s="4">
        <f t="shared" ca="1" si="8"/>
        <v>1744074.3129370597</v>
      </c>
      <c r="Q73" s="4">
        <f t="shared" ca="1" si="11"/>
        <v>-46960.029548070161</v>
      </c>
      <c r="R73" s="19">
        <f t="shared" ca="1" si="12"/>
        <v>2.6219502571297036E-2</v>
      </c>
    </row>
    <row r="74" spans="1:18" x14ac:dyDescent="0.35">
      <c r="A74" s="1">
        <f>MonthlyData!A74</f>
        <v>43831</v>
      </c>
      <c r="B74" s="13">
        <f t="shared" si="13"/>
        <v>2020</v>
      </c>
      <c r="C74" s="13">
        <f t="shared" si="14"/>
        <v>1</v>
      </c>
      <c r="D74" s="4">
        <f>MonthlyData!I74</f>
        <v>1935550.3501778767</v>
      </c>
      <c r="E74" s="4">
        <f t="shared" ca="1" si="6"/>
        <v>793.4846429373913</v>
      </c>
      <c r="F74" s="3">
        <f>MonthlyData!AF74</f>
        <v>692.15</v>
      </c>
      <c r="G74">
        <f>MonthlyData!BP74</f>
        <v>0</v>
      </c>
      <c r="H74" s="4">
        <f>MonthlyData!R74</f>
        <v>730</v>
      </c>
      <c r="I74">
        <f>MonthlyData!BN74</f>
        <v>0</v>
      </c>
      <c r="K74" s="4"/>
      <c r="L74" s="4">
        <f t="shared" ca="1" si="7"/>
        <v>65494.35615470013</v>
      </c>
      <c r="M74" s="4"/>
      <c r="N74" s="4"/>
      <c r="O74" s="4"/>
      <c r="P74" s="4">
        <f t="shared" ca="1" si="8"/>
        <v>2001044.7063325767</v>
      </c>
      <c r="Q74" s="4">
        <f t="shared" ca="1" si="11"/>
        <v>65494.356154700043</v>
      </c>
      <c r="R74" s="19">
        <f t="shared" ca="1" si="12"/>
        <v>3.383758844024963E-2</v>
      </c>
    </row>
    <row r="75" spans="1:18" x14ac:dyDescent="0.35">
      <c r="A75" s="1">
        <f>MonthlyData!A75</f>
        <v>43862</v>
      </c>
      <c r="B75" s="13">
        <f t="shared" si="13"/>
        <v>2020</v>
      </c>
      <c r="C75" s="13">
        <f t="shared" si="14"/>
        <v>2</v>
      </c>
      <c r="D75" s="4">
        <f>MonthlyData!I75</f>
        <v>1977817.5945423183</v>
      </c>
      <c r="E75" s="4">
        <f t="shared" ca="1" si="6"/>
        <v>736.10085614037712</v>
      </c>
      <c r="F75" s="3">
        <f>MonthlyData!AF75</f>
        <v>654.39166666666677</v>
      </c>
      <c r="G75">
        <f>MonthlyData!BP75</f>
        <v>0</v>
      </c>
      <c r="H75" s="4">
        <f>MonthlyData!R75</f>
        <v>730</v>
      </c>
      <c r="I75">
        <f>MonthlyData!BN75</f>
        <v>0</v>
      </c>
      <c r="K75" s="4"/>
      <c r="L75" s="4">
        <f t="shared" ca="1" si="7"/>
        <v>52810.081541506297</v>
      </c>
      <c r="M75" s="4"/>
      <c r="N75" s="4"/>
      <c r="O75" s="4"/>
      <c r="P75" s="4">
        <f t="shared" ca="1" si="8"/>
        <v>2030627.6760838246</v>
      </c>
      <c r="Q75" s="4">
        <f t="shared" ca="1" si="11"/>
        <v>52810.081541506341</v>
      </c>
      <c r="R75" s="19">
        <f t="shared" ca="1" si="12"/>
        <v>2.6701189071850172E-2</v>
      </c>
    </row>
    <row r="76" spans="1:18" x14ac:dyDescent="0.35">
      <c r="A76" s="1">
        <f>MonthlyData!A76</f>
        <v>43891</v>
      </c>
      <c r="B76" s="13">
        <f t="shared" si="13"/>
        <v>2020</v>
      </c>
      <c r="C76" s="13">
        <f t="shared" si="14"/>
        <v>3</v>
      </c>
      <c r="D76" s="4">
        <f>MonthlyData!I76</f>
        <v>1850467.8951052148</v>
      </c>
      <c r="E76" s="4">
        <f t="shared" ca="1" si="6"/>
        <v>577.21697535249291</v>
      </c>
      <c r="F76" s="3">
        <f>MonthlyData!AF76</f>
        <v>514.9666666666667</v>
      </c>
      <c r="G76">
        <f>MonthlyData!BP76</f>
        <v>0</v>
      </c>
      <c r="H76" s="4">
        <f>MonthlyData!R76</f>
        <v>725</v>
      </c>
      <c r="I76">
        <f>MonthlyData!BN76</f>
        <v>0</v>
      </c>
      <c r="K76" s="4"/>
      <c r="L76" s="4">
        <f t="shared" ca="1" si="7"/>
        <v>40233.465768744943</v>
      </c>
      <c r="M76" s="4"/>
      <c r="N76" s="4"/>
      <c r="O76" s="4"/>
      <c r="P76" s="4">
        <f t="shared" ca="1" si="8"/>
        <v>1890701.3608739597</v>
      </c>
      <c r="Q76" s="4">
        <f t="shared" ca="1" si="11"/>
        <v>40233.465768744936</v>
      </c>
      <c r="R76" s="19">
        <f t="shared" ca="1" si="12"/>
        <v>2.1742320347826041E-2</v>
      </c>
    </row>
    <row r="77" spans="1:18" x14ac:dyDescent="0.35">
      <c r="A77" s="1">
        <f>MonthlyData!A77</f>
        <v>43922</v>
      </c>
      <c r="B77" s="13">
        <f t="shared" si="13"/>
        <v>2020</v>
      </c>
      <c r="C77" s="13">
        <f t="shared" si="14"/>
        <v>4</v>
      </c>
      <c r="D77" s="4">
        <f>MonthlyData!I77</f>
        <v>1756590.0618654145</v>
      </c>
      <c r="E77" s="4">
        <f t="shared" ca="1" si="6"/>
        <v>307.33082472275549</v>
      </c>
      <c r="F77" s="3">
        <f>MonthlyData!AF77</f>
        <v>343.1875</v>
      </c>
      <c r="G77">
        <f>MonthlyData!BP77</f>
        <v>0</v>
      </c>
      <c r="H77" s="4">
        <f>MonthlyData!R77</f>
        <v>720</v>
      </c>
      <c r="I77">
        <f>MonthlyData!BN77</f>
        <v>0</v>
      </c>
      <c r="K77" s="4"/>
      <c r="L77" s="4">
        <f t="shared" ca="1" si="7"/>
        <v>-23174.797809098967</v>
      </c>
      <c r="M77" s="4"/>
      <c r="N77" s="4"/>
      <c r="O77" s="4"/>
      <c r="P77" s="4">
        <f t="shared" ca="1" si="8"/>
        <v>1733415.2640563154</v>
      </c>
      <c r="Q77" s="4">
        <f t="shared" ca="1" si="11"/>
        <v>-23174.79780909908</v>
      </c>
      <c r="R77" s="19">
        <f t="shared" ca="1" si="12"/>
        <v>1.3193059844872715E-2</v>
      </c>
    </row>
    <row r="78" spans="1:18" x14ac:dyDescent="0.35">
      <c r="A78" s="1">
        <f>MonthlyData!A78</f>
        <v>43952</v>
      </c>
      <c r="B78" s="13">
        <f t="shared" si="13"/>
        <v>2020</v>
      </c>
      <c r="C78" s="13">
        <f t="shared" si="14"/>
        <v>5</v>
      </c>
      <c r="D78" s="4">
        <f>MonthlyData!I78</f>
        <v>1418935.7332032486</v>
      </c>
      <c r="E78" s="4">
        <f t="shared" ca="1" si="6"/>
        <v>103.00647094808046</v>
      </c>
      <c r="F78" s="3">
        <f>MonthlyData!AF78</f>
        <v>153.04999999999995</v>
      </c>
      <c r="G78">
        <f>MonthlyData!BP78</f>
        <v>0</v>
      </c>
      <c r="H78" s="4">
        <f>MonthlyData!R78</f>
        <v>715</v>
      </c>
      <c r="I78">
        <f>MonthlyData!BN78</f>
        <v>0</v>
      </c>
      <c r="K78" s="4"/>
      <c r="L78" s="4">
        <f t="shared" ca="1" si="7"/>
        <v>-32344.010103134362</v>
      </c>
      <c r="M78" s="4"/>
      <c r="N78" s="4"/>
      <c r="O78" s="4"/>
      <c r="P78" s="4">
        <f t="shared" ca="1" si="8"/>
        <v>1386591.7231001141</v>
      </c>
      <c r="Q78" s="4">
        <f t="shared" ca="1" si="11"/>
        <v>-32344.010103134438</v>
      </c>
      <c r="R78" s="19">
        <f t="shared" ca="1" si="12"/>
        <v>2.2794556050905707E-2</v>
      </c>
    </row>
    <row r="79" spans="1:18" x14ac:dyDescent="0.35">
      <c r="A79" s="1">
        <f>MonthlyData!A79</f>
        <v>43983</v>
      </c>
      <c r="B79" s="13">
        <f t="shared" si="13"/>
        <v>2020</v>
      </c>
      <c r="C79" s="13">
        <f t="shared" si="14"/>
        <v>6</v>
      </c>
      <c r="D79" s="4">
        <f>MonthlyData!I79</f>
        <v>1377562.0480620193</v>
      </c>
      <c r="E79" s="4">
        <f t="shared" ref="E79:I122" ca="1" si="15">E67</f>
        <v>5.5889105735385218</v>
      </c>
      <c r="F79" s="3">
        <f>MonthlyData!AF79</f>
        <v>10.508333333333333</v>
      </c>
      <c r="G79">
        <f>MonthlyData!BP79</f>
        <v>0</v>
      </c>
      <c r="H79" s="4">
        <f>MonthlyData!R79</f>
        <v>725</v>
      </c>
      <c r="I79">
        <f>MonthlyData!BN79</f>
        <v>0</v>
      </c>
      <c r="K79" s="4"/>
      <c r="L79" s="4">
        <f t="shared" ca="1" si="7"/>
        <v>-3179.5091684943723</v>
      </c>
      <c r="M79" s="4"/>
      <c r="N79" s="4"/>
      <c r="O79" s="4"/>
      <c r="P79" s="4">
        <f t="shared" ca="1" si="8"/>
        <v>1374382.538893525</v>
      </c>
      <c r="Q79" s="4">
        <f t="shared" ca="1" si="11"/>
        <v>-3179.5091684942599</v>
      </c>
      <c r="R79" s="19">
        <f t="shared" ca="1" si="12"/>
        <v>2.3080696604318145E-3</v>
      </c>
    </row>
    <row r="80" spans="1:18" x14ac:dyDescent="0.35">
      <c r="A80" s="1">
        <f>MonthlyData!A80</f>
        <v>44013</v>
      </c>
      <c r="B80" s="13">
        <f t="shared" si="13"/>
        <v>2020</v>
      </c>
      <c r="C80" s="13">
        <f t="shared" si="14"/>
        <v>7</v>
      </c>
      <c r="D80" s="4">
        <f>MonthlyData!I80</f>
        <v>1378667.8360778366</v>
      </c>
      <c r="E80" s="4">
        <f t="shared" ca="1" si="15"/>
        <v>0.28709633857318684</v>
      </c>
      <c r="F80" s="3">
        <f>MonthlyData!AF80</f>
        <v>0</v>
      </c>
      <c r="G80">
        <f>MonthlyData!BP80</f>
        <v>0</v>
      </c>
      <c r="H80" s="4">
        <f>MonthlyData!R80</f>
        <v>718</v>
      </c>
      <c r="I80">
        <f>MonthlyData!BN80</f>
        <v>0</v>
      </c>
      <c r="K80" s="4"/>
      <c r="L80" s="4">
        <f t="shared" ca="1" si="7"/>
        <v>185.55539649791879</v>
      </c>
      <c r="M80" s="4"/>
      <c r="N80" s="4"/>
      <c r="O80" s="4"/>
      <c r="P80" s="4">
        <f t="shared" ca="1" si="8"/>
        <v>1378853.3914743345</v>
      </c>
      <c r="Q80" s="4">
        <f t="shared" ca="1" si="11"/>
        <v>185.5553964979481</v>
      </c>
      <c r="R80" s="19">
        <f t="shared" ca="1" si="12"/>
        <v>1.3459035718555202E-4</v>
      </c>
    </row>
    <row r="81" spans="1:18" x14ac:dyDescent="0.35">
      <c r="A81" s="1">
        <f>MonthlyData!A81</f>
        <v>44044</v>
      </c>
      <c r="B81" s="13">
        <f t="shared" si="13"/>
        <v>2020</v>
      </c>
      <c r="C81" s="13">
        <f t="shared" si="14"/>
        <v>8</v>
      </c>
      <c r="D81" s="4">
        <f>MonthlyData!I81</f>
        <v>1513114.8121348398</v>
      </c>
      <c r="E81" s="4">
        <f t="shared" ca="1" si="15"/>
        <v>1.6761707873342053</v>
      </c>
      <c r="F81" s="3">
        <f>MonthlyData!AF81</f>
        <v>0</v>
      </c>
      <c r="G81">
        <f>MonthlyData!BP81</f>
        <v>0</v>
      </c>
      <c r="H81" s="4">
        <f>MonthlyData!R81</f>
        <v>711</v>
      </c>
      <c r="I81">
        <f>MonthlyData!BN81</f>
        <v>0</v>
      </c>
      <c r="K81" s="4"/>
      <c r="L81" s="4">
        <f t="shared" ref="L81:L121" ca="1" si="16">(E81-F81)*$U$8</f>
        <v>1083.3385635907057</v>
      </c>
      <c r="M81" s="4"/>
      <c r="N81" s="4"/>
      <c r="O81" s="4"/>
      <c r="P81" s="4">
        <f t="shared" ref="P81:P121" ca="1" si="17">D81+L81</f>
        <v>1514198.1506984306</v>
      </c>
      <c r="Q81" s="4">
        <f t="shared" ca="1" si="11"/>
        <v>1083.3385635907762</v>
      </c>
      <c r="R81" s="19">
        <f t="shared" ca="1" si="12"/>
        <v>7.1596587046973898E-4</v>
      </c>
    </row>
    <row r="82" spans="1:18" x14ac:dyDescent="0.35">
      <c r="A82" s="1">
        <f>MonthlyData!A82</f>
        <v>44075</v>
      </c>
      <c r="B82" s="13">
        <f t="shared" si="13"/>
        <v>2020</v>
      </c>
      <c r="C82" s="13">
        <f t="shared" si="14"/>
        <v>9</v>
      </c>
      <c r="D82" s="4">
        <f>MonthlyData!I82</f>
        <v>1397996.7457012909</v>
      </c>
      <c r="E82" s="4">
        <f t="shared" ca="1" si="15"/>
        <v>28.222326899712005</v>
      </c>
      <c r="F82" s="3">
        <f>MonthlyData!AF82</f>
        <v>30.970833333333331</v>
      </c>
      <c r="G82">
        <f>MonthlyData!BP82</f>
        <v>0</v>
      </c>
      <c r="H82" s="4">
        <f>MonthlyData!R82</f>
        <v>713</v>
      </c>
      <c r="I82">
        <f>MonthlyData!BN82</f>
        <v>0</v>
      </c>
      <c r="K82" s="4"/>
      <c r="L82" s="4">
        <f t="shared" ca="1" si="16"/>
        <v>-1776.4078901259697</v>
      </c>
      <c r="M82" s="4"/>
      <c r="N82" s="4"/>
      <c r="O82" s="4"/>
      <c r="P82" s="4">
        <f t="shared" ca="1" si="17"/>
        <v>1396220.337811165</v>
      </c>
      <c r="Q82" s="4">
        <f t="shared" ca="1" si="11"/>
        <v>-1776.4078901258763</v>
      </c>
      <c r="R82" s="19">
        <f t="shared" ca="1" si="12"/>
        <v>1.2706809909165842E-3</v>
      </c>
    </row>
    <row r="83" spans="1:18" x14ac:dyDescent="0.35">
      <c r="A83" s="1">
        <f>MonthlyData!A83</f>
        <v>44105</v>
      </c>
      <c r="B83" s="13">
        <f t="shared" si="13"/>
        <v>2020</v>
      </c>
      <c r="C83" s="13">
        <f t="shared" si="14"/>
        <v>10</v>
      </c>
      <c r="D83" s="4">
        <f>MonthlyData!I83</f>
        <v>1284992.2736673818</v>
      </c>
      <c r="E83" s="4">
        <f t="shared" ca="1" si="15"/>
        <v>178.0244559176316</v>
      </c>
      <c r="F83" s="3">
        <f>MonthlyData!AF83</f>
        <v>265.67500000000001</v>
      </c>
      <c r="G83">
        <f>MonthlyData!BP83</f>
        <v>1</v>
      </c>
      <c r="H83" s="4">
        <f>MonthlyData!R83</f>
        <v>708</v>
      </c>
      <c r="I83">
        <f>MonthlyData!BN83</f>
        <v>0</v>
      </c>
      <c r="K83" s="4"/>
      <c r="L83" s="4">
        <f t="shared" ca="1" si="16"/>
        <v>-56650.083178668399</v>
      </c>
      <c r="M83" s="4"/>
      <c r="N83" s="4"/>
      <c r="O83" s="4"/>
      <c r="P83" s="4">
        <f t="shared" ca="1" si="17"/>
        <v>1228342.1904887133</v>
      </c>
      <c r="Q83" s="4">
        <f t="shared" ca="1" si="11"/>
        <v>-56650.083178668516</v>
      </c>
      <c r="R83" s="19">
        <f t="shared" ca="1" si="12"/>
        <v>4.4085932919260724E-2</v>
      </c>
    </row>
    <row r="84" spans="1:18" x14ac:dyDescent="0.35">
      <c r="A84" s="1">
        <f>MonthlyData!A84</f>
        <v>44136</v>
      </c>
      <c r="B84" s="13">
        <f t="shared" si="13"/>
        <v>2020</v>
      </c>
      <c r="C84" s="13">
        <f t="shared" si="14"/>
        <v>11</v>
      </c>
      <c r="D84" s="4">
        <f>MonthlyData!I84</f>
        <v>1464478.2777535517</v>
      </c>
      <c r="E84" s="4">
        <f t="shared" ca="1" si="15"/>
        <v>403.99833333333333</v>
      </c>
      <c r="F84" s="3">
        <f>MonthlyData!AF84</f>
        <v>352.30416666666673</v>
      </c>
      <c r="G84">
        <f>MonthlyData!BP84</f>
        <v>1</v>
      </c>
      <c r="H84" s="4">
        <f>MonthlyData!R84</f>
        <v>707</v>
      </c>
      <c r="I84">
        <f>MonthlyData!BN84</f>
        <v>0</v>
      </c>
      <c r="K84" s="4"/>
      <c r="L84" s="4">
        <f t="shared" ca="1" si="16"/>
        <v>33410.846129678466</v>
      </c>
      <c r="M84" s="4"/>
      <c r="N84" s="4"/>
      <c r="O84" s="4"/>
      <c r="P84" s="4">
        <f t="shared" ca="1" si="17"/>
        <v>1497889.1238832301</v>
      </c>
      <c r="Q84" s="4">
        <f t="shared" ca="1" si="11"/>
        <v>33410.846129678423</v>
      </c>
      <c r="R84" s="19">
        <f t="shared" ca="1" si="12"/>
        <v>2.2814162993888349E-2</v>
      </c>
    </row>
    <row r="85" spans="1:18" x14ac:dyDescent="0.35">
      <c r="A85" s="1">
        <f>MonthlyData!A85</f>
        <v>44166</v>
      </c>
      <c r="B85" s="13">
        <f t="shared" si="13"/>
        <v>2020</v>
      </c>
      <c r="C85" s="13">
        <f t="shared" si="14"/>
        <v>12</v>
      </c>
      <c r="D85" s="4">
        <f>MonthlyData!I85</f>
        <v>1562307.8267750656</v>
      </c>
      <c r="E85" s="4">
        <f t="shared" ca="1" si="15"/>
        <v>629.70466952460959</v>
      </c>
      <c r="F85" s="3">
        <f>MonthlyData!AF85</f>
        <v>617.46666666666681</v>
      </c>
      <c r="G85">
        <f>MonthlyData!BP85</f>
        <v>0</v>
      </c>
      <c r="H85" s="4">
        <f>MonthlyData!R85</f>
        <v>706</v>
      </c>
      <c r="I85">
        <f>MonthlyData!BN85</f>
        <v>1</v>
      </c>
      <c r="K85" s="4"/>
      <c r="L85" s="4">
        <f t="shared" ca="1" si="16"/>
        <v>7909.6357826568155</v>
      </c>
      <c r="M85" s="4"/>
      <c r="N85" s="4"/>
      <c r="O85" s="4"/>
      <c r="P85" s="4">
        <f t="shared" ca="1" si="17"/>
        <v>1570217.4625577223</v>
      </c>
      <c r="Q85" s="4">
        <f t="shared" ca="1" si="11"/>
        <v>7909.6357826567255</v>
      </c>
      <c r="R85" s="19">
        <f t="shared" ca="1" si="12"/>
        <v>5.0627895777645114E-3</v>
      </c>
    </row>
    <row r="86" spans="1:18" x14ac:dyDescent="0.35">
      <c r="A86" s="1">
        <f>MonthlyData!A86</f>
        <v>44197</v>
      </c>
      <c r="B86" s="13">
        <f t="shared" si="13"/>
        <v>2021</v>
      </c>
      <c r="C86" s="13">
        <f t="shared" si="14"/>
        <v>1</v>
      </c>
      <c r="D86" s="4">
        <f>MonthlyData!I86</f>
        <v>1834545.4505539462</v>
      </c>
      <c r="E86" s="4">
        <f t="shared" ca="1" si="15"/>
        <v>793.4846429373913</v>
      </c>
      <c r="F86" s="3">
        <f>MonthlyData!AF86</f>
        <v>652.06666666666683</v>
      </c>
      <c r="G86">
        <f>MonthlyData!BP86</f>
        <v>0</v>
      </c>
      <c r="H86" s="4">
        <f>MonthlyData!R86</f>
        <v>702</v>
      </c>
      <c r="I86">
        <f>MonthlyData!BN86</f>
        <v>0</v>
      </c>
      <c r="K86" s="4"/>
      <c r="L86" s="4">
        <f t="shared" ca="1" si="16"/>
        <v>91400.917159931676</v>
      </c>
      <c r="M86" s="4"/>
      <c r="N86" s="4"/>
      <c r="O86" s="4"/>
      <c r="P86" s="4">
        <f t="shared" ca="1" si="17"/>
        <v>1925946.3677138779</v>
      </c>
      <c r="Q86" s="4">
        <f t="shared" ca="1" si="11"/>
        <v>91400.917159931734</v>
      </c>
      <c r="R86" s="19">
        <f t="shared" ca="1" si="12"/>
        <v>4.9822105596965705E-2</v>
      </c>
    </row>
    <row r="87" spans="1:18" x14ac:dyDescent="0.35">
      <c r="A87" s="1">
        <f>MonthlyData!A87</f>
        <v>44228</v>
      </c>
      <c r="B87" s="13">
        <f t="shared" si="13"/>
        <v>2021</v>
      </c>
      <c r="C87" s="13">
        <f t="shared" si="14"/>
        <v>2</v>
      </c>
      <c r="D87" s="4">
        <f>MonthlyData!I87</f>
        <v>1818925.427847272</v>
      </c>
      <c r="E87" s="4">
        <f t="shared" ca="1" si="15"/>
        <v>736.10085614037712</v>
      </c>
      <c r="F87" s="3">
        <f>MonthlyData!AF87</f>
        <v>753.49583333333328</v>
      </c>
      <c r="G87">
        <f>MonthlyData!BP87</f>
        <v>0</v>
      </c>
      <c r="H87" s="4">
        <f>MonthlyData!R87</f>
        <v>700</v>
      </c>
      <c r="I87">
        <f>MonthlyData!BN87</f>
        <v>0</v>
      </c>
      <c r="K87" s="4"/>
      <c r="L87" s="4">
        <f t="shared" ca="1" si="16"/>
        <v>-11242.678698559643</v>
      </c>
      <c r="M87" s="4"/>
      <c r="N87" s="4"/>
      <c r="O87" s="4"/>
      <c r="P87" s="4">
        <f t="shared" ca="1" si="17"/>
        <v>1807682.7491487123</v>
      </c>
      <c r="Q87" s="4">
        <f t="shared" ca="1" si="11"/>
        <v>-11242.678698559757</v>
      </c>
      <c r="R87" s="19">
        <f t="shared" ca="1" si="12"/>
        <v>6.1809453683132308E-3</v>
      </c>
    </row>
    <row r="88" spans="1:18" x14ac:dyDescent="0.35">
      <c r="A88" s="1">
        <f>MonthlyData!A88</f>
        <v>44256</v>
      </c>
      <c r="B88" s="13">
        <f t="shared" si="13"/>
        <v>2021</v>
      </c>
      <c r="C88" s="13">
        <f t="shared" si="14"/>
        <v>3</v>
      </c>
      <c r="D88" s="4">
        <f>MonthlyData!I88</f>
        <v>1761238.2654504171</v>
      </c>
      <c r="E88" s="4">
        <f t="shared" ca="1" si="15"/>
        <v>577.21697535249291</v>
      </c>
      <c r="F88" s="3">
        <f>MonthlyData!AF88</f>
        <v>492.00833333333338</v>
      </c>
      <c r="G88">
        <f>MonthlyData!BP88</f>
        <v>0</v>
      </c>
      <c r="H88" s="4">
        <f>MonthlyData!R88</f>
        <v>701</v>
      </c>
      <c r="I88">
        <f>MonthlyData!BN88</f>
        <v>0</v>
      </c>
      <c r="K88" s="4"/>
      <c r="L88" s="4">
        <f t="shared" ca="1" si="16"/>
        <v>55071.839067999244</v>
      </c>
      <c r="M88" s="4"/>
      <c r="N88" s="4"/>
      <c r="O88" s="4"/>
      <c r="P88" s="4">
        <f t="shared" ca="1" si="17"/>
        <v>1816310.1045184163</v>
      </c>
      <c r="Q88" s="4">
        <f t="shared" ca="1" si="11"/>
        <v>55071.839067999274</v>
      </c>
      <c r="R88" s="19">
        <f t="shared" ca="1" si="12"/>
        <v>3.1268818165221535E-2</v>
      </c>
    </row>
    <row r="89" spans="1:18" x14ac:dyDescent="0.35">
      <c r="A89" s="1">
        <f>MonthlyData!A89</f>
        <v>44287</v>
      </c>
      <c r="B89" s="13">
        <f t="shared" si="13"/>
        <v>2021</v>
      </c>
      <c r="C89" s="13">
        <f t="shared" si="14"/>
        <v>4</v>
      </c>
      <c r="D89" s="4">
        <f>MonthlyData!I89</f>
        <v>1831512.198590517</v>
      </c>
      <c r="E89" s="4">
        <f t="shared" ca="1" si="15"/>
        <v>307.33082472275549</v>
      </c>
      <c r="F89" s="3">
        <f>MonthlyData!AF89</f>
        <v>213.375</v>
      </c>
      <c r="G89">
        <f>MonthlyData!BP89</f>
        <v>0</v>
      </c>
      <c r="H89" s="4">
        <f>MonthlyData!R89</f>
        <v>699</v>
      </c>
      <c r="I89">
        <f>MonthlyData!BN89</f>
        <v>0</v>
      </c>
      <c r="K89" s="4"/>
      <c r="L89" s="4">
        <f t="shared" ca="1" si="16"/>
        <v>60725.296589860773</v>
      </c>
      <c r="M89" s="4"/>
      <c r="N89" s="4"/>
      <c r="O89" s="4"/>
      <c r="P89" s="4">
        <f t="shared" ca="1" si="17"/>
        <v>1892237.4951803777</v>
      </c>
      <c r="Q89" s="4">
        <f t="shared" ca="1" si="11"/>
        <v>60725.296589860693</v>
      </c>
      <c r="R89" s="19">
        <f t="shared" ca="1" si="12"/>
        <v>3.3155824261827609E-2</v>
      </c>
    </row>
    <row r="90" spans="1:18" x14ac:dyDescent="0.35">
      <c r="A90" s="1">
        <f>MonthlyData!A90</f>
        <v>44317</v>
      </c>
      <c r="B90" s="13">
        <f t="shared" si="13"/>
        <v>2021</v>
      </c>
      <c r="C90" s="13">
        <f t="shared" si="14"/>
        <v>5</v>
      </c>
      <c r="D90" s="4">
        <f>MonthlyData!I90</f>
        <v>1511642.3028173393</v>
      </c>
      <c r="E90" s="4">
        <f t="shared" ca="1" si="15"/>
        <v>103.00647094808046</v>
      </c>
      <c r="F90" s="3">
        <f>MonthlyData!AF90</f>
        <v>86.762499999999974</v>
      </c>
      <c r="G90">
        <f>MonthlyData!BP90</f>
        <v>0</v>
      </c>
      <c r="H90" s="4">
        <f>MonthlyData!R90</f>
        <v>718</v>
      </c>
      <c r="I90">
        <f>MonthlyData!BN90</f>
        <v>0</v>
      </c>
      <c r="K90" s="4"/>
      <c r="L90" s="4">
        <f t="shared" ca="1" si="16"/>
        <v>10498.763185039286</v>
      </c>
      <c r="M90" s="4"/>
      <c r="N90" s="4"/>
      <c r="O90" s="4"/>
      <c r="P90" s="4">
        <f t="shared" ca="1" si="17"/>
        <v>1522141.0660023787</v>
      </c>
      <c r="Q90" s="4">
        <f t="shared" ca="1" si="11"/>
        <v>10498.763185039395</v>
      </c>
      <c r="R90" s="19">
        <f t="shared" ca="1" si="12"/>
        <v>6.9452695028924599E-3</v>
      </c>
    </row>
    <row r="91" spans="1:18" x14ac:dyDescent="0.35">
      <c r="A91" s="1">
        <f>MonthlyData!A91</f>
        <v>44348</v>
      </c>
      <c r="B91" s="13">
        <f t="shared" si="13"/>
        <v>2021</v>
      </c>
      <c r="C91" s="13">
        <f t="shared" si="14"/>
        <v>6</v>
      </c>
      <c r="D91" s="4">
        <f>MonthlyData!I91</f>
        <v>1474746.1004095075</v>
      </c>
      <c r="E91" s="4">
        <f t="shared" ca="1" si="15"/>
        <v>5.5889105735385218</v>
      </c>
      <c r="F91" s="3">
        <f>MonthlyData!AF91</f>
        <v>2.9166666666666679</v>
      </c>
      <c r="G91">
        <f>MonthlyData!BP91</f>
        <v>0</v>
      </c>
      <c r="H91" s="4">
        <f>MonthlyData!R91</f>
        <v>708</v>
      </c>
      <c r="I91">
        <f>MonthlyData!BN91</f>
        <v>0</v>
      </c>
      <c r="K91" s="4"/>
      <c r="L91" s="4">
        <f t="shared" ca="1" si="16"/>
        <v>1727.1180821846397</v>
      </c>
      <c r="M91" s="4"/>
      <c r="N91" s="4"/>
      <c r="O91" s="4"/>
      <c r="P91" s="4">
        <f t="shared" ca="1" si="17"/>
        <v>1476473.2184916921</v>
      </c>
      <c r="Q91" s="4">
        <f t="shared" ca="1" si="11"/>
        <v>1727.1180821845774</v>
      </c>
      <c r="R91" s="19">
        <f t="shared" ca="1" si="12"/>
        <v>1.1711291060237359E-3</v>
      </c>
    </row>
    <row r="92" spans="1:18" x14ac:dyDescent="0.35">
      <c r="A92" s="1">
        <f>MonthlyData!A92</f>
        <v>44378</v>
      </c>
      <c r="B92" s="13">
        <f t="shared" si="13"/>
        <v>2021</v>
      </c>
      <c r="C92" s="13">
        <f t="shared" si="14"/>
        <v>7</v>
      </c>
      <c r="D92" s="4">
        <f>MonthlyData!I92</f>
        <v>1425605.6503695406</v>
      </c>
      <c r="E92" s="4">
        <f t="shared" ca="1" si="15"/>
        <v>0.28709633857318684</v>
      </c>
      <c r="F92" s="3">
        <f>MonthlyData!AF92</f>
        <v>2.104755252394658</v>
      </c>
      <c r="G92">
        <f>MonthlyData!BP92</f>
        <v>0</v>
      </c>
      <c r="H92" s="4">
        <f>MonthlyData!R92</f>
        <v>707</v>
      </c>
      <c r="I92">
        <f>MonthlyData!BN92</f>
        <v>0</v>
      </c>
      <c r="K92" s="4"/>
      <c r="L92" s="4">
        <f t="shared" ca="1" si="16"/>
        <v>-1174.7848200653409</v>
      </c>
      <c r="M92" s="4"/>
      <c r="N92" s="4"/>
      <c r="O92" s="4"/>
      <c r="P92" s="4">
        <f t="shared" ca="1" si="17"/>
        <v>1424430.8655494752</v>
      </c>
      <c r="Q92" s="4">
        <f t="shared" ca="1" si="11"/>
        <v>-1174.784820065368</v>
      </c>
      <c r="R92" s="19">
        <f t="shared" ca="1" si="12"/>
        <v>8.2406015980705772E-4</v>
      </c>
    </row>
    <row r="93" spans="1:18" x14ac:dyDescent="0.35">
      <c r="A93" s="1">
        <f>MonthlyData!A93</f>
        <v>44409</v>
      </c>
      <c r="B93" s="13">
        <f t="shared" si="13"/>
        <v>2021</v>
      </c>
      <c r="C93" s="13">
        <f t="shared" si="14"/>
        <v>8</v>
      </c>
      <c r="D93" s="4">
        <f>MonthlyData!I93</f>
        <v>1522148.8955182382</v>
      </c>
      <c r="E93" s="4">
        <f t="shared" ca="1" si="15"/>
        <v>1.6761707873342053</v>
      </c>
      <c r="F93" s="3">
        <f>MonthlyData!AF93</f>
        <v>0</v>
      </c>
      <c r="G93">
        <f>MonthlyData!BP93</f>
        <v>0</v>
      </c>
      <c r="H93" s="4">
        <f>MonthlyData!R93</f>
        <v>705</v>
      </c>
      <c r="I93">
        <f>MonthlyData!BN93</f>
        <v>0</v>
      </c>
      <c r="K93" s="4"/>
      <c r="L93" s="4">
        <f t="shared" ca="1" si="16"/>
        <v>1083.3385635907057</v>
      </c>
      <c r="M93" s="4"/>
      <c r="N93" s="4"/>
      <c r="O93" s="4"/>
      <c r="P93" s="4">
        <f t="shared" ca="1" si="17"/>
        <v>1523232.234081829</v>
      </c>
      <c r="Q93" s="4">
        <f t="shared" ca="1" si="11"/>
        <v>1083.3385635907762</v>
      </c>
      <c r="R93" s="19">
        <f t="shared" ca="1" si="12"/>
        <v>7.1171655202754492E-4</v>
      </c>
    </row>
    <row r="94" spans="1:18" x14ac:dyDescent="0.35">
      <c r="A94" s="1">
        <f>MonthlyData!A94</f>
        <v>44440</v>
      </c>
      <c r="B94" s="13">
        <f t="shared" si="13"/>
        <v>2021</v>
      </c>
      <c r="C94" s="13">
        <f t="shared" si="14"/>
        <v>9</v>
      </c>
      <c r="D94" s="4">
        <f>MonthlyData!I94</f>
        <v>1594979.7956060998</v>
      </c>
      <c r="E94" s="4">
        <f t="shared" ca="1" si="15"/>
        <v>28.222326899712005</v>
      </c>
      <c r="F94" s="3">
        <f>MonthlyData!AF94</f>
        <v>22.32083333333334</v>
      </c>
      <c r="G94">
        <f>MonthlyData!BP94</f>
        <v>0</v>
      </c>
      <c r="H94" s="4">
        <f>MonthlyData!R94</f>
        <v>703</v>
      </c>
      <c r="I94">
        <f>MonthlyData!BN94</f>
        <v>0</v>
      </c>
      <c r="K94" s="4"/>
      <c r="L94" s="4">
        <f t="shared" ca="1" si="16"/>
        <v>3814.2387467618569</v>
      </c>
      <c r="M94" s="4"/>
      <c r="N94" s="4"/>
      <c r="O94" s="4"/>
      <c r="P94" s="4">
        <f t="shared" ca="1" si="17"/>
        <v>1598794.0343528616</v>
      </c>
      <c r="Q94" s="4">
        <f t="shared" ca="1" si="11"/>
        <v>3814.23874676181</v>
      </c>
      <c r="R94" s="19">
        <f t="shared" ca="1" si="12"/>
        <v>2.3914025477121369E-3</v>
      </c>
    </row>
    <row r="95" spans="1:18" x14ac:dyDescent="0.35">
      <c r="A95" s="1">
        <f>MonthlyData!A95</f>
        <v>44470</v>
      </c>
      <c r="B95" s="13">
        <f t="shared" si="13"/>
        <v>2021</v>
      </c>
      <c r="C95" s="13">
        <f t="shared" si="14"/>
        <v>10</v>
      </c>
      <c r="D95" s="4">
        <f>MonthlyData!I95</f>
        <v>1422657.9661976707</v>
      </c>
      <c r="E95" s="4">
        <f t="shared" ca="1" si="15"/>
        <v>178.0244559176316</v>
      </c>
      <c r="F95" s="3">
        <f>MonthlyData!AF95</f>
        <v>99.116666666666674</v>
      </c>
      <c r="G95">
        <f>MonthlyData!BP95</f>
        <v>1</v>
      </c>
      <c r="H95" s="4">
        <f>MonthlyData!R95</f>
        <v>711</v>
      </c>
      <c r="I95">
        <f>MonthlyData!BN95</f>
        <v>0</v>
      </c>
      <c r="K95" s="4"/>
      <c r="L95" s="4">
        <f t="shared" ca="1" si="16"/>
        <v>50999.487468226696</v>
      </c>
      <c r="M95" s="4"/>
      <c r="N95" s="4"/>
      <c r="O95" s="4"/>
      <c r="P95" s="4">
        <f t="shared" ca="1" si="17"/>
        <v>1473657.4536658973</v>
      </c>
      <c r="Q95" s="4">
        <f t="shared" ca="1" si="11"/>
        <v>50999.48746822658</v>
      </c>
      <c r="R95" s="19">
        <f t="shared" ca="1" si="12"/>
        <v>3.5848031417229961E-2</v>
      </c>
    </row>
    <row r="96" spans="1:18" x14ac:dyDescent="0.35">
      <c r="A96" s="1">
        <f>MonthlyData!A96</f>
        <v>44501</v>
      </c>
      <c r="B96" s="13">
        <f t="shared" si="13"/>
        <v>2021</v>
      </c>
      <c r="C96" s="13">
        <f t="shared" si="14"/>
        <v>11</v>
      </c>
      <c r="D96" s="4">
        <f>MonthlyData!I96</f>
        <v>1410769.7058828673</v>
      </c>
      <c r="E96" s="4">
        <f t="shared" ca="1" si="15"/>
        <v>403.99833333333333</v>
      </c>
      <c r="F96" s="3">
        <f>MonthlyData!AF96</f>
        <v>364.64166666666665</v>
      </c>
      <c r="G96">
        <f>MonthlyData!BP96</f>
        <v>1</v>
      </c>
      <c r="H96" s="4">
        <f>MonthlyData!R96</f>
        <v>707</v>
      </c>
      <c r="I96">
        <f>MonthlyData!BN96</f>
        <v>0</v>
      </c>
      <c r="K96" s="4"/>
      <c r="L96" s="4">
        <f t="shared" ca="1" si="16"/>
        <v>25436.903599897752</v>
      </c>
      <c r="M96" s="4"/>
      <c r="N96" s="4"/>
      <c r="O96" s="4"/>
      <c r="P96" s="4">
        <f t="shared" ca="1" si="17"/>
        <v>1436206.6094827652</v>
      </c>
      <c r="Q96" s="4">
        <f t="shared" ca="1" si="11"/>
        <v>25436.903599897865</v>
      </c>
      <c r="R96" s="19">
        <f t="shared" ca="1" si="12"/>
        <v>1.8030514472933988E-2</v>
      </c>
    </row>
    <row r="97" spans="1:18" x14ac:dyDescent="0.35">
      <c r="A97" s="1">
        <f>MonthlyData!A97</f>
        <v>44531</v>
      </c>
      <c r="B97" s="13">
        <f t="shared" si="13"/>
        <v>2021</v>
      </c>
      <c r="C97" s="13">
        <f t="shared" si="14"/>
        <v>12</v>
      </c>
      <c r="D97" s="4">
        <f>MonthlyData!I97</f>
        <v>1668067.6510135117</v>
      </c>
      <c r="E97" s="4">
        <f t="shared" ca="1" si="15"/>
        <v>629.70466952460959</v>
      </c>
      <c r="F97" s="3">
        <f>MonthlyData!AF97</f>
        <v>683.00833333333321</v>
      </c>
      <c r="G97">
        <f>MonthlyData!BP97</f>
        <v>0</v>
      </c>
      <c r="H97" s="4">
        <f>MonthlyData!R97</f>
        <v>709</v>
      </c>
      <c r="I97">
        <f>MonthlyData!BN97</f>
        <v>1</v>
      </c>
      <c r="K97" s="4"/>
      <c r="L97" s="4">
        <f t="shared" ca="1" si="16"/>
        <v>-34451.092347519123</v>
      </c>
      <c r="M97" s="4"/>
      <c r="N97" s="4"/>
      <c r="O97" s="4"/>
      <c r="P97" s="4">
        <f t="shared" ca="1" si="17"/>
        <v>1633616.5586659927</v>
      </c>
      <c r="Q97" s="4">
        <f t="shared" ca="1" si="11"/>
        <v>-34451.092347519007</v>
      </c>
      <c r="R97" s="19">
        <f t="shared" ca="1" si="12"/>
        <v>2.0653294443176002E-2</v>
      </c>
    </row>
    <row r="98" spans="1:18" x14ac:dyDescent="0.35">
      <c r="A98" s="1">
        <f>MonthlyData!A98</f>
        <v>44562</v>
      </c>
      <c r="B98" s="13">
        <f t="shared" si="13"/>
        <v>2022</v>
      </c>
      <c r="C98" s="13">
        <f t="shared" si="14"/>
        <v>1</v>
      </c>
      <c r="D98" s="4">
        <f>MonthlyData!I98</f>
        <v>1926907.4134284349</v>
      </c>
      <c r="E98" s="4">
        <f t="shared" ca="1" si="15"/>
        <v>793.4846429373913</v>
      </c>
      <c r="F98" s="3">
        <f>MonthlyData!AF98</f>
        <v>990.57499999999993</v>
      </c>
      <c r="G98">
        <f>MonthlyData!BP98</f>
        <v>0</v>
      </c>
      <c r="H98" s="4">
        <f>MonthlyData!R98</f>
        <v>709</v>
      </c>
      <c r="I98">
        <f>MonthlyData!BN98</f>
        <v>0</v>
      </c>
      <c r="K98" s="4"/>
      <c r="L98" s="4">
        <f t="shared" ca="1" si="16"/>
        <v>-127382.95281793005</v>
      </c>
      <c r="M98" s="4"/>
      <c r="N98" s="4"/>
      <c r="O98" s="4"/>
      <c r="P98" s="4">
        <f t="shared" ca="1" si="17"/>
        <v>1799524.4606105047</v>
      </c>
      <c r="Q98" s="4">
        <f t="shared" ref="Q98:Q121" ca="1" si="18">P98-D98</f>
        <v>-127382.95281793014</v>
      </c>
      <c r="R98" s="19">
        <f t="shared" ref="R98:R121" ca="1" si="19">ABS(Q98/D98)</f>
        <v>6.6107458993727691E-2</v>
      </c>
    </row>
    <row r="99" spans="1:18" x14ac:dyDescent="0.35">
      <c r="A99" s="1">
        <f>MonthlyData!A99</f>
        <v>44593</v>
      </c>
      <c r="B99" s="13">
        <f t="shared" si="13"/>
        <v>2022</v>
      </c>
      <c r="C99" s="13">
        <f t="shared" si="14"/>
        <v>2</v>
      </c>
      <c r="D99" s="4">
        <f>MonthlyData!I99</f>
        <v>2160827.4711737516</v>
      </c>
      <c r="E99" s="4">
        <f t="shared" ca="1" si="15"/>
        <v>736.10085614037712</v>
      </c>
      <c r="F99" s="3">
        <f>MonthlyData!AF99</f>
        <v>803.72083333333319</v>
      </c>
      <c r="G99">
        <f>MonthlyData!BP99</f>
        <v>0</v>
      </c>
      <c r="H99" s="4">
        <f>MonthlyData!R99</f>
        <v>709</v>
      </c>
      <c r="I99">
        <f>MonthlyData!BN99</f>
        <v>0</v>
      </c>
      <c r="K99" s="4"/>
      <c r="L99" s="4">
        <f t="shared" ca="1" si="16"/>
        <v>-43703.976656674196</v>
      </c>
      <c r="M99" s="4"/>
      <c r="N99" s="4"/>
      <c r="O99" s="4"/>
      <c r="P99" s="4">
        <f t="shared" ca="1" si="17"/>
        <v>2117123.4945170772</v>
      </c>
      <c r="Q99" s="4">
        <f t="shared" ca="1" si="18"/>
        <v>-43703.976656674407</v>
      </c>
      <c r="R99" s="19">
        <f t="shared" ca="1" si="19"/>
        <v>2.0225574341173388E-2</v>
      </c>
    </row>
    <row r="100" spans="1:18" x14ac:dyDescent="0.35">
      <c r="A100" s="1">
        <f>MonthlyData!A100</f>
        <v>44621</v>
      </c>
      <c r="B100" s="13">
        <f t="shared" si="13"/>
        <v>2022</v>
      </c>
      <c r="C100" s="13">
        <f t="shared" si="14"/>
        <v>3</v>
      </c>
      <c r="D100" s="4">
        <f>MonthlyData!I100</f>
        <v>1932746.0266007786</v>
      </c>
      <c r="E100" s="4">
        <f t="shared" ca="1" si="15"/>
        <v>577.21697535249291</v>
      </c>
      <c r="F100" s="3">
        <f>MonthlyData!AF100</f>
        <v>555.07083333333333</v>
      </c>
      <c r="G100">
        <f>MonthlyData!BP100</f>
        <v>0</v>
      </c>
      <c r="H100" s="4">
        <f>MonthlyData!R100</f>
        <v>705</v>
      </c>
      <c r="I100">
        <f>MonthlyData!BN100</f>
        <v>0</v>
      </c>
      <c r="K100" s="4"/>
      <c r="L100" s="4">
        <f t="shared" ca="1" si="16"/>
        <v>14313.439814965877</v>
      </c>
      <c r="M100" s="4"/>
      <c r="N100" s="4"/>
      <c r="O100" s="4"/>
      <c r="P100" s="4">
        <f t="shared" ca="1" si="17"/>
        <v>1947059.4664157445</v>
      </c>
      <c r="Q100" s="4">
        <f t="shared" ca="1" si="18"/>
        <v>14313.439814965939</v>
      </c>
      <c r="R100" s="19">
        <f t="shared" ca="1" si="19"/>
        <v>7.4057530673803705E-3</v>
      </c>
    </row>
    <row r="101" spans="1:18" x14ac:dyDescent="0.35">
      <c r="A101" s="1">
        <f>MonthlyData!A101</f>
        <v>44652</v>
      </c>
      <c r="B101" s="13">
        <f t="shared" si="13"/>
        <v>2022</v>
      </c>
      <c r="C101" s="13">
        <f t="shared" si="14"/>
        <v>4</v>
      </c>
      <c r="D101" s="4">
        <f>MonthlyData!I101</f>
        <v>1912363.8713649923</v>
      </c>
      <c r="E101" s="4">
        <f t="shared" ca="1" si="15"/>
        <v>307.33082472275549</v>
      </c>
      <c r="F101" s="3">
        <f>MonthlyData!AF101</f>
        <v>269.69166666666661</v>
      </c>
      <c r="G101">
        <f>MonthlyData!BP101</f>
        <v>0</v>
      </c>
      <c r="H101" s="4">
        <f>MonthlyData!R101</f>
        <v>709</v>
      </c>
      <c r="I101">
        <f>MonthlyData!BN101</f>
        <v>0</v>
      </c>
      <c r="K101" s="4"/>
      <c r="L101" s="4">
        <f t="shared" ca="1" si="16"/>
        <v>24326.847676481262</v>
      </c>
      <c r="M101" s="4"/>
      <c r="N101" s="4"/>
      <c r="O101" s="4"/>
      <c r="P101" s="4">
        <f t="shared" ca="1" si="17"/>
        <v>1936690.7190414737</v>
      </c>
      <c r="Q101" s="4">
        <f t="shared" ca="1" si="18"/>
        <v>24326.847676481353</v>
      </c>
      <c r="R101" s="19">
        <f t="shared" ca="1" si="19"/>
        <v>1.2720825801377185E-2</v>
      </c>
    </row>
    <row r="102" spans="1:18" x14ac:dyDescent="0.35">
      <c r="A102" s="1">
        <f>MonthlyData!A102</f>
        <v>44682</v>
      </c>
      <c r="B102" s="13">
        <f t="shared" si="13"/>
        <v>2022</v>
      </c>
      <c r="C102" s="13">
        <f t="shared" si="14"/>
        <v>5</v>
      </c>
      <c r="D102" s="4">
        <f>MonthlyData!I102</f>
        <v>1582272.1607022141</v>
      </c>
      <c r="E102" s="4">
        <f t="shared" ca="1" si="15"/>
        <v>103.00647094808046</v>
      </c>
      <c r="F102" s="3">
        <f>MonthlyData!AF102</f>
        <v>37.020833333333329</v>
      </c>
      <c r="G102">
        <f>MonthlyData!BP102</f>
        <v>0</v>
      </c>
      <c r="H102" s="4">
        <f>MonthlyData!R102</f>
        <v>712</v>
      </c>
      <c r="I102">
        <f>MonthlyData!BN102</f>
        <v>0</v>
      </c>
      <c r="K102" s="4"/>
      <c r="L102" s="4">
        <f t="shared" ca="1" si="16"/>
        <v>42647.674336853794</v>
      </c>
      <c r="M102" s="4"/>
      <c r="N102" s="4"/>
      <c r="O102" s="4"/>
      <c r="P102" s="4">
        <f t="shared" ca="1" si="17"/>
        <v>1624919.835039068</v>
      </c>
      <c r="Q102" s="4">
        <f t="shared" ca="1" si="18"/>
        <v>42647.674336853903</v>
      </c>
      <c r="R102" s="19">
        <f t="shared" ca="1" si="19"/>
        <v>2.6953437844679524E-2</v>
      </c>
    </row>
    <row r="103" spans="1:18" x14ac:dyDescent="0.35">
      <c r="A103" s="1">
        <f>MonthlyData!A103</f>
        <v>44713</v>
      </c>
      <c r="B103" s="13">
        <f t="shared" si="13"/>
        <v>2022</v>
      </c>
      <c r="C103" s="13">
        <f t="shared" si="14"/>
        <v>6</v>
      </c>
      <c r="D103" s="4">
        <f>MonthlyData!I103</f>
        <v>1463034.5311222468</v>
      </c>
      <c r="E103" s="4">
        <f t="shared" ca="1" si="15"/>
        <v>5.5889105735385218</v>
      </c>
      <c r="F103" s="3">
        <f>MonthlyData!AF103</f>
        <v>0.58750000000000036</v>
      </c>
      <c r="G103">
        <f>MonthlyData!BP103</f>
        <v>0</v>
      </c>
      <c r="H103" s="4">
        <f>MonthlyData!R103</f>
        <v>715</v>
      </c>
      <c r="I103">
        <f>MonthlyData!BN103</f>
        <v>0</v>
      </c>
      <c r="K103" s="4"/>
      <c r="L103" s="4">
        <f t="shared" ca="1" si="16"/>
        <v>3232.4993297859401</v>
      </c>
      <c r="M103" s="4"/>
      <c r="N103" s="4"/>
      <c r="O103" s="4"/>
      <c r="P103" s="4">
        <f t="shared" ca="1" si="17"/>
        <v>1466267.0304520328</v>
      </c>
      <c r="Q103" s="4">
        <f t="shared" ca="1" si="18"/>
        <v>3232.4993297860492</v>
      </c>
      <c r="R103" s="19">
        <f t="shared" ca="1" si="19"/>
        <v>2.2094484176709778E-3</v>
      </c>
    </row>
    <row r="104" spans="1:18" x14ac:dyDescent="0.35">
      <c r="A104" s="1">
        <f>MonthlyData!A104</f>
        <v>44743</v>
      </c>
      <c r="B104" s="13">
        <f t="shared" si="13"/>
        <v>2022</v>
      </c>
      <c r="C104" s="13">
        <f t="shared" si="14"/>
        <v>7</v>
      </c>
      <c r="D104" s="4">
        <f>MonthlyData!I104</f>
        <v>1413022.3318274003</v>
      </c>
      <c r="E104" s="4">
        <f t="shared" ca="1" si="15"/>
        <v>0.28709633857318684</v>
      </c>
      <c r="F104" s="3">
        <f>MonthlyData!AF104</f>
        <v>0.76620813333721038</v>
      </c>
      <c r="G104">
        <f>MonthlyData!BP104</f>
        <v>0</v>
      </c>
      <c r="H104" s="4">
        <f>MonthlyData!R104</f>
        <v>715</v>
      </c>
      <c r="I104">
        <f>MonthlyData!BN104</f>
        <v>0</v>
      </c>
      <c r="K104" s="4"/>
      <c r="L104" s="4">
        <f t="shared" ca="1" si="16"/>
        <v>-309.65835191800943</v>
      </c>
      <c r="M104" s="4"/>
      <c r="N104" s="4"/>
      <c r="O104" s="4"/>
      <c r="P104" s="4">
        <f t="shared" ca="1" si="17"/>
        <v>1412712.6734754823</v>
      </c>
      <c r="Q104" s="4">
        <f t="shared" ca="1" si="18"/>
        <v>-309.65835191798396</v>
      </c>
      <c r="R104" s="19">
        <f t="shared" ca="1" si="19"/>
        <v>2.1914611322350179E-4</v>
      </c>
    </row>
    <row r="105" spans="1:18" x14ac:dyDescent="0.35">
      <c r="A105" s="1">
        <f>MonthlyData!A105</f>
        <v>44774</v>
      </c>
      <c r="B105" s="13">
        <f t="shared" si="13"/>
        <v>2022</v>
      </c>
      <c r="C105" s="13">
        <f t="shared" si="14"/>
        <v>8</v>
      </c>
      <c r="D105" s="4">
        <f>MonthlyData!I105</f>
        <v>1444023.7846525921</v>
      </c>
      <c r="E105" s="4">
        <f t="shared" ca="1" si="15"/>
        <v>1.6761707873342053</v>
      </c>
      <c r="F105" s="3">
        <f>MonthlyData!AF105</f>
        <v>1.0791666666666657</v>
      </c>
      <c r="G105">
        <f>MonthlyData!BP105</f>
        <v>0</v>
      </c>
      <c r="H105" s="4">
        <f>MonthlyData!R105</f>
        <v>715</v>
      </c>
      <c r="I105">
        <f>MonthlyData!BN105</f>
        <v>0</v>
      </c>
      <c r="K105" s="4"/>
      <c r="L105" s="4">
        <f t="shared" ca="1" si="16"/>
        <v>385.8542288344691</v>
      </c>
      <c r="M105" s="4"/>
      <c r="N105" s="4"/>
      <c r="O105" s="4"/>
      <c r="P105" s="4">
        <f t="shared" ca="1" si="17"/>
        <v>1444409.6388814265</v>
      </c>
      <c r="Q105" s="4">
        <f t="shared" ca="1" si="18"/>
        <v>385.85422883438878</v>
      </c>
      <c r="R105" s="19">
        <f t="shared" ca="1" si="19"/>
        <v>2.6720766855458603E-4</v>
      </c>
    </row>
    <row r="106" spans="1:18" x14ac:dyDescent="0.35">
      <c r="A106" s="1">
        <f>MonthlyData!A106</f>
        <v>44805</v>
      </c>
      <c r="B106" s="13">
        <f t="shared" si="13"/>
        <v>2022</v>
      </c>
      <c r="C106" s="13">
        <f t="shared" si="14"/>
        <v>9</v>
      </c>
      <c r="D106" s="4">
        <f>MonthlyData!I106</f>
        <v>1459452.2654821102</v>
      </c>
      <c r="E106" s="4">
        <f t="shared" ca="1" si="15"/>
        <v>28.222326899712005</v>
      </c>
      <c r="F106" s="3">
        <f>MonthlyData!AF106</f>
        <v>23.4375</v>
      </c>
      <c r="G106">
        <f>MonthlyData!BP106</f>
        <v>0</v>
      </c>
      <c r="H106" s="4">
        <f>MonthlyData!R106</f>
        <v>715</v>
      </c>
      <c r="I106">
        <f>MonthlyData!BN106</f>
        <v>0</v>
      </c>
      <c r="K106" s="4"/>
      <c r="L106" s="4">
        <f t="shared" ca="1" si="16"/>
        <v>3092.5175046202721</v>
      </c>
      <c r="M106" s="4"/>
      <c r="N106" s="4"/>
      <c r="O106" s="4"/>
      <c r="P106" s="4">
        <f t="shared" ca="1" si="17"/>
        <v>1462544.7829867306</v>
      </c>
      <c r="Q106" s="4">
        <f t="shared" ca="1" si="18"/>
        <v>3092.5175046203658</v>
      </c>
      <c r="R106" s="19">
        <f t="shared" ca="1" si="19"/>
        <v>2.1189576238718534E-3</v>
      </c>
    </row>
    <row r="107" spans="1:18" x14ac:dyDescent="0.35">
      <c r="A107" s="1">
        <f>MonthlyData!A107</f>
        <v>44835</v>
      </c>
      <c r="B107" s="13">
        <f t="shared" si="13"/>
        <v>2022</v>
      </c>
      <c r="C107" s="13">
        <f t="shared" si="14"/>
        <v>10</v>
      </c>
      <c r="D107" s="4">
        <f>MonthlyData!I107</f>
        <v>1385483.647600366</v>
      </c>
      <c r="E107" s="4">
        <f t="shared" ca="1" si="15"/>
        <v>178.0244559176316</v>
      </c>
      <c r="F107" s="3">
        <f>MonthlyData!AF107</f>
        <v>133.35833333333338</v>
      </c>
      <c r="G107">
        <f>MonthlyData!BP107</f>
        <v>1</v>
      </c>
      <c r="H107" s="4">
        <f>MonthlyData!R107</f>
        <v>714</v>
      </c>
      <c r="I107">
        <f>MonthlyData!BN107</f>
        <v>0</v>
      </c>
      <c r="K107" s="4"/>
      <c r="L107" s="4">
        <f t="shared" ca="1" si="16"/>
        <v>28868.498035690925</v>
      </c>
      <c r="M107" s="4"/>
      <c r="N107" s="4"/>
      <c r="O107" s="4"/>
      <c r="P107" s="4">
        <f t="shared" ca="1" si="17"/>
        <v>1414352.145636057</v>
      </c>
      <c r="Q107" s="4">
        <f t="shared" ca="1" si="18"/>
        <v>28868.49803569098</v>
      </c>
      <c r="R107" s="19">
        <f t="shared" ca="1" si="19"/>
        <v>2.0836404735408261E-2</v>
      </c>
    </row>
    <row r="108" spans="1:18" x14ac:dyDescent="0.35">
      <c r="A108" s="1">
        <f>MonthlyData!A108</f>
        <v>44866</v>
      </c>
      <c r="B108" s="13">
        <f t="shared" si="13"/>
        <v>2022</v>
      </c>
      <c r="C108" s="13">
        <f t="shared" si="14"/>
        <v>11</v>
      </c>
      <c r="D108" s="4">
        <f>MonthlyData!I108</f>
        <v>1494225.9685888838</v>
      </c>
      <c r="E108" s="4">
        <f t="shared" ca="1" si="15"/>
        <v>403.99833333333333</v>
      </c>
      <c r="F108" s="3">
        <f>MonthlyData!AF108</f>
        <v>355.58750000000009</v>
      </c>
      <c r="G108">
        <f>MonthlyData!BP108</f>
        <v>1</v>
      </c>
      <c r="H108" s="4">
        <f>MonthlyData!R108</f>
        <v>713</v>
      </c>
      <c r="I108">
        <f>MonthlyData!BN108</f>
        <v>0</v>
      </c>
      <c r="K108" s="4"/>
      <c r="L108" s="4">
        <f t="shared" ca="1" si="16"/>
        <v>31288.770238605419</v>
      </c>
      <c r="M108" s="4"/>
      <c r="N108" s="4"/>
      <c r="O108" s="4"/>
      <c r="P108" s="4">
        <f t="shared" ca="1" si="17"/>
        <v>1525514.7388274891</v>
      </c>
      <c r="Q108" s="4">
        <f t="shared" ca="1" si="18"/>
        <v>31288.770238605328</v>
      </c>
      <c r="R108" s="19">
        <f t="shared" ca="1" si="19"/>
        <v>2.0939784809223868E-2</v>
      </c>
    </row>
    <row r="109" spans="1:18" x14ac:dyDescent="0.35">
      <c r="A109" s="1">
        <f>MonthlyData!A109</f>
        <v>44896</v>
      </c>
      <c r="B109" s="13">
        <f t="shared" si="13"/>
        <v>2022</v>
      </c>
      <c r="C109" s="13">
        <f t="shared" si="14"/>
        <v>12</v>
      </c>
      <c r="D109" s="4">
        <f>MonthlyData!I109</f>
        <v>1680449.1749027357</v>
      </c>
      <c r="E109" s="4">
        <f t="shared" ca="1" si="15"/>
        <v>629.70466952460959</v>
      </c>
      <c r="F109" s="3">
        <f>MonthlyData!AF109</f>
        <v>628.47916666666674</v>
      </c>
      <c r="G109">
        <f>MonthlyData!BP109</f>
        <v>0</v>
      </c>
      <c r="H109" s="4">
        <f>MonthlyData!R109</f>
        <v>715</v>
      </c>
      <c r="I109">
        <f>MonthlyData!BN109</f>
        <v>1</v>
      </c>
      <c r="K109" s="4"/>
      <c r="L109" s="4">
        <f t="shared" ca="1" si="16"/>
        <v>792.06398049185896</v>
      </c>
      <c r="M109" s="4"/>
      <c r="N109" s="4"/>
      <c r="O109" s="4"/>
      <c r="P109" s="4">
        <f t="shared" ca="1" si="17"/>
        <v>1681241.2388832276</v>
      </c>
      <c r="Q109" s="4">
        <f t="shared" ca="1" si="18"/>
        <v>792.0639804918319</v>
      </c>
      <c r="R109" s="19">
        <f t="shared" ca="1" si="19"/>
        <v>4.7134063458817579E-4</v>
      </c>
    </row>
    <row r="110" spans="1:18" x14ac:dyDescent="0.35">
      <c r="A110" s="1">
        <f>MonthlyData!A110</f>
        <v>44927</v>
      </c>
      <c r="B110" s="13">
        <f t="shared" si="13"/>
        <v>2023</v>
      </c>
      <c r="C110" s="13">
        <f t="shared" si="14"/>
        <v>1</v>
      </c>
      <c r="D110" s="4">
        <f>MonthlyData!I110</f>
        <v>1905264.2219758234</v>
      </c>
      <c r="E110" s="4">
        <f t="shared" ca="1" si="15"/>
        <v>793.4846429373913</v>
      </c>
      <c r="F110" s="3">
        <f>MonthlyData!AF110</f>
        <v>694.54583333333335</v>
      </c>
      <c r="G110">
        <f>MonthlyData!BP110</f>
        <v>0</v>
      </c>
      <c r="H110" s="4">
        <f>MonthlyData!R110</f>
        <v>718</v>
      </c>
      <c r="I110">
        <f>MonthlyData!BN110</f>
        <v>0</v>
      </c>
      <c r="K110" s="4"/>
      <c r="L110" s="4">
        <f t="shared" ca="1" si="16"/>
        <v>63945.887071747071</v>
      </c>
      <c r="M110" s="4"/>
      <c r="N110" s="4"/>
      <c r="O110" s="4"/>
      <c r="P110" s="4">
        <f t="shared" ca="1" si="17"/>
        <v>1969210.1090475705</v>
      </c>
      <c r="Q110" s="4">
        <f t="shared" ca="1" si="18"/>
        <v>63945.8870717471</v>
      </c>
      <c r="R110" s="19">
        <f t="shared" ca="1" si="19"/>
        <v>3.3562739663180706E-2</v>
      </c>
    </row>
    <row r="111" spans="1:18" x14ac:dyDescent="0.35">
      <c r="A111" s="1">
        <f>MonthlyData!A111</f>
        <v>44958</v>
      </c>
      <c r="B111" s="13">
        <f t="shared" si="13"/>
        <v>2023</v>
      </c>
      <c r="C111" s="13">
        <f t="shared" si="14"/>
        <v>2</v>
      </c>
      <c r="D111" s="4">
        <f>MonthlyData!I111</f>
        <v>1974339.2236516613</v>
      </c>
      <c r="E111" s="4">
        <f t="shared" ca="1" si="15"/>
        <v>736.10085614037712</v>
      </c>
      <c r="F111" s="3">
        <f>MonthlyData!AF111</f>
        <v>671.62500000000023</v>
      </c>
      <c r="G111">
        <f>MonthlyData!BP111</f>
        <v>0</v>
      </c>
      <c r="H111" s="4">
        <f>MonthlyData!R111</f>
        <v>716</v>
      </c>
      <c r="I111">
        <f>MonthlyData!BN111</f>
        <v>0</v>
      </c>
      <c r="K111" s="4"/>
      <c r="L111" s="4">
        <f t="shared" ca="1" si="16"/>
        <v>41671.876103082286</v>
      </c>
      <c r="M111" s="4"/>
      <c r="N111" s="4"/>
      <c r="O111" s="4"/>
      <c r="P111" s="4">
        <f t="shared" ca="1" si="17"/>
        <v>2016011.0997547435</v>
      </c>
      <c r="Q111" s="4">
        <f t="shared" ca="1" si="18"/>
        <v>41671.876103082206</v>
      </c>
      <c r="R111" s="19">
        <f t="shared" ca="1" si="19"/>
        <v>2.1106745793160873E-2</v>
      </c>
    </row>
    <row r="112" spans="1:18" x14ac:dyDescent="0.35">
      <c r="A112" s="1">
        <f>MonthlyData!A112</f>
        <v>44986</v>
      </c>
      <c r="B112" s="13">
        <f t="shared" si="13"/>
        <v>2023</v>
      </c>
      <c r="C112" s="13">
        <f t="shared" si="14"/>
        <v>3</v>
      </c>
      <c r="D112" s="4">
        <f>MonthlyData!I112</f>
        <v>1882647.2363357965</v>
      </c>
      <c r="E112" s="4">
        <f t="shared" ca="1" si="15"/>
        <v>577.21697535249291</v>
      </c>
      <c r="F112" s="3">
        <f>MonthlyData!AF112</f>
        <v>598.18749999999989</v>
      </c>
      <c r="G112">
        <f>MonthlyData!BP112</f>
        <v>0</v>
      </c>
      <c r="H112" s="4">
        <f>MonthlyData!R112</f>
        <v>719</v>
      </c>
      <c r="I112">
        <f>MonthlyData!BN112</f>
        <v>0</v>
      </c>
      <c r="K112" s="4"/>
      <c r="L112" s="4">
        <f t="shared" ca="1" si="16"/>
        <v>-13553.617698769744</v>
      </c>
      <c r="M112" s="4"/>
      <c r="N112" s="4"/>
      <c r="O112" s="4"/>
      <c r="P112" s="4">
        <f t="shared" ca="1" si="17"/>
        <v>1869093.6186370268</v>
      </c>
      <c r="Q112" s="4">
        <f t="shared" ca="1" si="18"/>
        <v>-13553.617698769784</v>
      </c>
      <c r="R112" s="19">
        <f t="shared" ca="1" si="19"/>
        <v>7.1992338432712655E-3</v>
      </c>
    </row>
    <row r="113" spans="1:18" x14ac:dyDescent="0.35">
      <c r="A113" s="1">
        <f>MonthlyData!A113</f>
        <v>45017</v>
      </c>
      <c r="B113" s="13">
        <f t="shared" si="13"/>
        <v>2023</v>
      </c>
      <c r="C113" s="13">
        <f t="shared" si="14"/>
        <v>4</v>
      </c>
      <c r="D113" s="4">
        <f>MonthlyData!I113</f>
        <v>1867618.501662056</v>
      </c>
      <c r="E113" s="4">
        <f t="shared" ca="1" si="15"/>
        <v>307.33082472275549</v>
      </c>
      <c r="F113" s="3">
        <f>MonthlyData!AF113</f>
        <v>288.91250000000008</v>
      </c>
      <c r="G113">
        <f>MonthlyData!BP113</f>
        <v>0</v>
      </c>
      <c r="H113" s="4">
        <f>MonthlyData!R113</f>
        <v>714</v>
      </c>
      <c r="I113">
        <f>MonthlyData!BN113</f>
        <v>0</v>
      </c>
      <c r="K113" s="4"/>
      <c r="L113" s="4">
        <f t="shared" ca="1" si="16"/>
        <v>11904.086146633592</v>
      </c>
      <c r="M113" s="4"/>
      <c r="N113" s="4"/>
      <c r="O113" s="4"/>
      <c r="P113" s="4">
        <f t="shared" ca="1" si="17"/>
        <v>1879522.5878086896</v>
      </c>
      <c r="Q113" s="4">
        <f t="shared" ca="1" si="18"/>
        <v>11904.086146633606</v>
      </c>
      <c r="R113" s="19">
        <f t="shared" ca="1" si="19"/>
        <v>6.3739388617320737E-3</v>
      </c>
    </row>
    <row r="114" spans="1:18" x14ac:dyDescent="0.35">
      <c r="A114" s="1">
        <f>MonthlyData!A114</f>
        <v>45047</v>
      </c>
      <c r="B114" s="13">
        <f t="shared" si="13"/>
        <v>2023</v>
      </c>
      <c r="C114" s="13">
        <f t="shared" si="14"/>
        <v>5</v>
      </c>
      <c r="D114" s="4">
        <f>MonthlyData!I114</f>
        <v>1578145.3866843837</v>
      </c>
      <c r="E114" s="4">
        <f t="shared" ca="1" si="15"/>
        <v>103.00647094808046</v>
      </c>
      <c r="F114" s="3">
        <f>MonthlyData!AF114</f>
        <v>53.558333333333323</v>
      </c>
      <c r="G114">
        <f>MonthlyData!BP114</f>
        <v>0</v>
      </c>
      <c r="H114" s="4">
        <f>MonthlyData!R114</f>
        <v>714</v>
      </c>
      <c r="I114">
        <f>MonthlyData!BN114</f>
        <v>0</v>
      </c>
      <c r="K114" s="4"/>
      <c r="L114" s="4">
        <f t="shared" ca="1" si="16"/>
        <v>31959.198179913619</v>
      </c>
      <c r="M114" s="4"/>
      <c r="N114" s="4"/>
      <c r="O114" s="4"/>
      <c r="P114" s="4">
        <f t="shared" ca="1" si="17"/>
        <v>1610104.5848642974</v>
      </c>
      <c r="Q114" s="4">
        <f t="shared" ca="1" si="18"/>
        <v>31959.198179913685</v>
      </c>
      <c r="R114" s="19">
        <f t="shared" ca="1" si="19"/>
        <v>2.0251111494270245E-2</v>
      </c>
    </row>
    <row r="115" spans="1:18" x14ac:dyDescent="0.35">
      <c r="A115" s="1">
        <f>MonthlyData!A115</f>
        <v>45078</v>
      </c>
      <c r="B115" s="13">
        <f t="shared" si="13"/>
        <v>2023</v>
      </c>
      <c r="C115" s="13">
        <f t="shared" si="14"/>
        <v>6</v>
      </c>
      <c r="D115" s="4">
        <f>MonthlyData!I115</f>
        <v>1492657.8417762832</v>
      </c>
      <c r="E115" s="4">
        <f t="shared" ca="1" si="15"/>
        <v>5.5889105735385218</v>
      </c>
      <c r="F115" s="3">
        <f>MonthlyData!AF115</f>
        <v>1.0041666666666664</v>
      </c>
      <c r="G115">
        <f>MonthlyData!BP115</f>
        <v>0</v>
      </c>
      <c r="H115" s="4">
        <f>MonthlyData!R115</f>
        <v>720</v>
      </c>
      <c r="I115">
        <f>MonthlyData!BN115</f>
        <v>0</v>
      </c>
      <c r="K115" s="4"/>
      <c r="L115" s="4">
        <f t="shared" ca="1" si="16"/>
        <v>2963.200358837586</v>
      </c>
      <c r="M115" s="4"/>
      <c r="N115" s="4"/>
      <c r="O115" s="4"/>
      <c r="P115" s="4">
        <f t="shared" ca="1" si="17"/>
        <v>1495621.0421351208</v>
      </c>
      <c r="Q115" s="4">
        <f t="shared" ca="1" si="18"/>
        <v>2963.2003588376101</v>
      </c>
      <c r="R115" s="19">
        <f t="shared" ca="1" si="19"/>
        <v>1.9851839288978386E-3</v>
      </c>
    </row>
    <row r="116" spans="1:18" x14ac:dyDescent="0.35">
      <c r="A116" s="1">
        <f>MonthlyData!A116</f>
        <v>45108</v>
      </c>
      <c r="B116" s="13">
        <f t="shared" si="13"/>
        <v>2023</v>
      </c>
      <c r="C116" s="13">
        <f t="shared" si="14"/>
        <v>7</v>
      </c>
      <c r="D116" s="4">
        <f>MonthlyData!I116</f>
        <v>1469523.6742042131</v>
      </c>
      <c r="E116" s="4">
        <f t="shared" ca="1" si="15"/>
        <v>0.28709633857318684</v>
      </c>
      <c r="F116" s="3">
        <f>MonthlyData!AF116</f>
        <v>0</v>
      </c>
      <c r="G116">
        <f>MonthlyData!BP116</f>
        <v>0</v>
      </c>
      <c r="H116" s="4">
        <f>MonthlyData!R116</f>
        <v>720</v>
      </c>
      <c r="I116">
        <f>MonthlyData!BN116</f>
        <v>0</v>
      </c>
      <c r="K116" s="4"/>
      <c r="L116" s="4">
        <f t="shared" ca="1" si="16"/>
        <v>185.55539649791879</v>
      </c>
      <c r="M116" s="4"/>
      <c r="N116" s="4"/>
      <c r="O116" s="4"/>
      <c r="P116" s="4">
        <f t="shared" ca="1" si="17"/>
        <v>1469709.229600711</v>
      </c>
      <c r="Q116" s="4">
        <f t="shared" ca="1" si="18"/>
        <v>185.5553964979481</v>
      </c>
      <c r="R116" s="19">
        <f t="shared" ca="1" si="19"/>
        <v>1.2626907599731687E-4</v>
      </c>
    </row>
    <row r="117" spans="1:18" x14ac:dyDescent="0.35">
      <c r="A117" s="1">
        <f>MonthlyData!A117</f>
        <v>45139</v>
      </c>
      <c r="B117" s="13">
        <f t="shared" si="13"/>
        <v>2023</v>
      </c>
      <c r="C117" s="13">
        <f t="shared" si="14"/>
        <v>8</v>
      </c>
      <c r="D117" s="4">
        <f>MonthlyData!I117</f>
        <v>1469068.243886916</v>
      </c>
      <c r="E117" s="4">
        <f t="shared" ca="1" si="15"/>
        <v>1.6761707873342053</v>
      </c>
      <c r="F117" s="3">
        <f>MonthlyData!AF117</f>
        <v>2.44166666666667</v>
      </c>
      <c r="G117">
        <f>MonthlyData!BP117</f>
        <v>0</v>
      </c>
      <c r="H117" s="4">
        <f>MonthlyData!R117</f>
        <v>714</v>
      </c>
      <c r="I117">
        <f>MonthlyData!BN117</f>
        <v>0</v>
      </c>
      <c r="K117" s="4"/>
      <c r="L117" s="4">
        <f t="shared" ca="1" si="16"/>
        <v>-494.7534061666517</v>
      </c>
      <c r="M117" s="4"/>
      <c r="N117" s="4"/>
      <c r="O117" s="4"/>
      <c r="P117" s="4">
        <f t="shared" ca="1" si="17"/>
        <v>1468573.4904807494</v>
      </c>
      <c r="Q117" s="4">
        <f t="shared" ca="1" si="18"/>
        <v>-494.75340616656467</v>
      </c>
      <c r="R117" s="19">
        <f t="shared" ca="1" si="19"/>
        <v>3.3678041045767047E-4</v>
      </c>
    </row>
    <row r="118" spans="1:18" x14ac:dyDescent="0.35">
      <c r="A118" s="1">
        <f>MonthlyData!A118</f>
        <v>45170</v>
      </c>
      <c r="B118" s="13">
        <f t="shared" si="13"/>
        <v>2023</v>
      </c>
      <c r="C118" s="13">
        <f t="shared" si="14"/>
        <v>9</v>
      </c>
      <c r="D118" s="4">
        <f>MonthlyData!I118</f>
        <v>1397330.2603077565</v>
      </c>
      <c r="E118" s="4">
        <f t="shared" ca="1" si="15"/>
        <v>28.222326899712005</v>
      </c>
      <c r="F118" s="3">
        <f>MonthlyData!AF118</f>
        <v>13.108333333333334</v>
      </c>
      <c r="G118">
        <f>MonthlyData!BP118</f>
        <v>0</v>
      </c>
      <c r="H118" s="4">
        <f>MonthlyData!R118</f>
        <v>714</v>
      </c>
      <c r="I118">
        <f>MonthlyData!BN118</f>
        <v>0</v>
      </c>
      <c r="K118" s="4"/>
      <c r="L118" s="4">
        <f t="shared" ca="1" si="16"/>
        <v>9768.438994429971</v>
      </c>
      <c r="M118" s="4"/>
      <c r="N118" s="4"/>
      <c r="O118" s="4"/>
      <c r="P118" s="4">
        <f t="shared" ca="1" si="17"/>
        <v>1407098.6993021865</v>
      </c>
      <c r="Q118" s="4">
        <f t="shared" ca="1" si="18"/>
        <v>9768.4389944300056</v>
      </c>
      <c r="R118" s="19">
        <f t="shared" ca="1" si="19"/>
        <v>6.9907875553189159E-3</v>
      </c>
    </row>
    <row r="119" spans="1:18" x14ac:dyDescent="0.35">
      <c r="A119" s="1">
        <f>MonthlyData!A119</f>
        <v>45200</v>
      </c>
      <c r="B119" s="13">
        <f t="shared" si="13"/>
        <v>2023</v>
      </c>
      <c r="C119" s="13">
        <f t="shared" si="14"/>
        <v>10</v>
      </c>
      <c r="D119" s="4">
        <f>MonthlyData!I119</f>
        <v>1335558.5748998993</v>
      </c>
      <c r="E119" s="4">
        <f t="shared" ca="1" si="15"/>
        <v>178.0244559176316</v>
      </c>
      <c r="F119" s="3">
        <f>MonthlyData!AF119</f>
        <v>167.78333333333333</v>
      </c>
      <c r="G119">
        <f>MonthlyData!BP119</f>
        <v>1</v>
      </c>
      <c r="H119" s="4">
        <f>MonthlyData!R119</f>
        <v>712</v>
      </c>
      <c r="I119">
        <f>MonthlyData!BN119</f>
        <v>0</v>
      </c>
      <c r="K119" s="4"/>
      <c r="L119" s="4">
        <f t="shared" ca="1" si="16"/>
        <v>6619.0170559379349</v>
      </c>
      <c r="M119" s="4"/>
      <c r="N119" s="4"/>
      <c r="O119" s="4"/>
      <c r="P119" s="4">
        <f t="shared" ca="1" si="17"/>
        <v>1342177.5919558373</v>
      </c>
      <c r="Q119" s="4">
        <f t="shared" ca="1" si="18"/>
        <v>6619.0170559380203</v>
      </c>
      <c r="R119" s="19">
        <f t="shared" ca="1" si="19"/>
        <v>4.9559915830978199E-3</v>
      </c>
    </row>
    <row r="120" spans="1:18" x14ac:dyDescent="0.35">
      <c r="A120" s="1">
        <f>MonthlyData!A120</f>
        <v>45231</v>
      </c>
      <c r="B120" s="13">
        <f t="shared" si="13"/>
        <v>2023</v>
      </c>
      <c r="C120" s="13">
        <f t="shared" si="14"/>
        <v>11</v>
      </c>
      <c r="D120" s="4">
        <f>MonthlyData!I120</f>
        <v>1471313.5202568101</v>
      </c>
      <c r="E120" s="4">
        <f t="shared" ca="1" si="15"/>
        <v>403.99833333333333</v>
      </c>
      <c r="F120" s="3">
        <f>MonthlyData!AF120</f>
        <v>406.07916666666671</v>
      </c>
      <c r="G120">
        <f>MonthlyData!BP120</f>
        <v>1</v>
      </c>
      <c r="H120" s="4">
        <f>MonthlyData!R120</f>
        <v>716</v>
      </c>
      <c r="I120">
        <f>MonthlyData!BN120</f>
        <v>0</v>
      </c>
      <c r="K120" s="4"/>
      <c r="L120" s="4">
        <f t="shared" ca="1" si="16"/>
        <v>-1344.8790609161067</v>
      </c>
      <c r="M120" s="4"/>
      <c r="N120" s="4"/>
      <c r="O120" s="4"/>
      <c r="P120" s="4">
        <f t="shared" ca="1" si="17"/>
        <v>1469968.641195894</v>
      </c>
      <c r="Q120" s="4">
        <f t="shared" ca="1" si="18"/>
        <v>-1344.879060916137</v>
      </c>
      <c r="R120" s="19">
        <f t="shared" ca="1" si="19"/>
        <v>9.1406694929398549E-4</v>
      </c>
    </row>
    <row r="121" spans="1:18" x14ac:dyDescent="0.35">
      <c r="A121" s="1">
        <f>MonthlyData!A121</f>
        <v>45261</v>
      </c>
      <c r="B121" s="13">
        <f t="shared" si="13"/>
        <v>2023</v>
      </c>
      <c r="C121" s="13">
        <f t="shared" si="14"/>
        <v>12</v>
      </c>
      <c r="D121" s="4">
        <f>MonthlyData!I121</f>
        <v>1677752.5646037958</v>
      </c>
      <c r="E121" s="4">
        <f t="shared" ca="1" si="15"/>
        <v>629.70466952460959</v>
      </c>
      <c r="F121" s="3">
        <f>MonthlyData!AF121</f>
        <v>471.83333333333337</v>
      </c>
      <c r="G121">
        <f>MonthlyData!BP121</f>
        <v>0</v>
      </c>
      <c r="H121" s="4">
        <f>MonthlyData!R121</f>
        <v>714</v>
      </c>
      <c r="I121">
        <f>MonthlyData!BN121</f>
        <v>1</v>
      </c>
      <c r="K121" s="4"/>
      <c r="L121" s="4">
        <f t="shared" ca="1" si="16"/>
        <v>102035.01210852563</v>
      </c>
      <c r="M121" s="4"/>
      <c r="N121" s="4"/>
      <c r="O121" s="4"/>
      <c r="P121" s="4">
        <f t="shared" ca="1" si="17"/>
        <v>1779787.5767123215</v>
      </c>
      <c r="Q121" s="4">
        <f t="shared" ca="1" si="18"/>
        <v>102035.01210852573</v>
      </c>
      <c r="R121" s="19">
        <f t="shared" ca="1" si="19"/>
        <v>6.0816484063978452E-2</v>
      </c>
    </row>
    <row r="122" spans="1:18" x14ac:dyDescent="0.35">
      <c r="A122" s="1">
        <f>EOMONTH(A121,0)+1</f>
        <v>45292</v>
      </c>
      <c r="B122" s="13">
        <f t="shared" si="13"/>
        <v>2024</v>
      </c>
      <c r="C122" s="13">
        <f t="shared" si="14"/>
        <v>1</v>
      </c>
      <c r="D122" s="4">
        <f>MonthlyData!I122</f>
        <v>1776466.2983720335</v>
      </c>
      <c r="E122" s="13">
        <f t="shared" ca="1" si="15"/>
        <v>793.4846429373913</v>
      </c>
      <c r="F122" s="3">
        <f>MonthlyData!AF122</f>
        <v>684.4</v>
      </c>
      <c r="G122">
        <f t="shared" si="15"/>
        <v>0</v>
      </c>
      <c r="H122" s="4">
        <f>'Customer Count'!G48</f>
        <v>710</v>
      </c>
      <c r="I122">
        <f t="shared" si="15"/>
        <v>0</v>
      </c>
      <c r="K122" s="4"/>
      <c r="L122" s="4">
        <f t="shared" ref="L122:L131" ca="1" si="20">(E122-F122)*$U$8</f>
        <v>70503.317014339511</v>
      </c>
      <c r="M122" s="4"/>
      <c r="N122" s="4"/>
      <c r="O122" s="4"/>
      <c r="P122" s="4">
        <f t="shared" ref="P122:P131" ca="1" si="21">D122+L122</f>
        <v>1846969.6153863731</v>
      </c>
      <c r="Q122" s="4">
        <f t="shared" ref="Q122:Q131" ca="1" si="22">P122-D122</f>
        <v>70503.317014339613</v>
      </c>
      <c r="R122" s="19">
        <f ca="1">AVERAGE(R2:R121)</f>
        <v>1.634489533805901E-2</v>
      </c>
    </row>
    <row r="123" spans="1:18" x14ac:dyDescent="0.35">
      <c r="A123" s="1">
        <f t="shared" ref="A123:A145" si="23">EOMONTH(A122,0)+1</f>
        <v>45323</v>
      </c>
      <c r="B123" s="13">
        <f t="shared" si="13"/>
        <v>2024</v>
      </c>
      <c r="C123" s="13">
        <f t="shared" si="14"/>
        <v>2</v>
      </c>
      <c r="D123" s="4">
        <f>MonthlyData!I123</f>
        <v>1933374.5475966891</v>
      </c>
      <c r="E123" s="13">
        <f t="shared" ref="E123:G138" ca="1" si="24">E111</f>
        <v>736.10085614037712</v>
      </c>
      <c r="F123" s="3">
        <f>MonthlyData!AF123</f>
        <v>592.89999999999986</v>
      </c>
      <c r="G123">
        <f t="shared" si="24"/>
        <v>0</v>
      </c>
      <c r="H123" s="4">
        <f>'Customer Count'!G49</f>
        <v>711</v>
      </c>
      <c r="I123">
        <f t="shared" ref="I123:I145" si="25">I111</f>
        <v>0</v>
      </c>
      <c r="K123" s="4"/>
      <c r="L123" s="4">
        <f t="shared" ca="1" si="20"/>
        <v>92553.22367406456</v>
      </c>
      <c r="M123" s="4"/>
      <c r="N123" s="4"/>
      <c r="O123" s="4"/>
      <c r="P123" s="4">
        <f t="shared" ca="1" si="21"/>
        <v>2025927.7712707536</v>
      </c>
      <c r="Q123" s="4">
        <f t="shared" ca="1" si="22"/>
        <v>92553.223674064502</v>
      </c>
    </row>
    <row r="124" spans="1:18" x14ac:dyDescent="0.35">
      <c r="A124" s="1">
        <f t="shared" si="23"/>
        <v>45352</v>
      </c>
      <c r="B124" s="13">
        <f t="shared" si="13"/>
        <v>2024</v>
      </c>
      <c r="C124" s="13">
        <f t="shared" si="14"/>
        <v>3</v>
      </c>
      <c r="D124" s="4">
        <f>MonthlyData!I124</f>
        <v>1755628.7968213446</v>
      </c>
      <c r="E124" s="13">
        <f t="shared" ca="1" si="24"/>
        <v>577.21697535249291</v>
      </c>
      <c r="F124" s="3">
        <f>MonthlyData!AF124</f>
        <v>461.4</v>
      </c>
      <c r="G124">
        <f t="shared" si="24"/>
        <v>0</v>
      </c>
      <c r="H124" s="4">
        <f>'Customer Count'!G50</f>
        <v>714</v>
      </c>
      <c r="I124">
        <f t="shared" si="25"/>
        <v>0</v>
      </c>
      <c r="K124" s="4"/>
      <c r="L124" s="4">
        <f t="shared" ca="1" si="20"/>
        <v>74854.541473865378</v>
      </c>
      <c r="M124" s="4"/>
      <c r="N124" s="4"/>
      <c r="O124" s="4"/>
      <c r="P124" s="4">
        <f t="shared" ca="1" si="21"/>
        <v>1830483.3382952099</v>
      </c>
      <c r="Q124" s="4">
        <f t="shared" ca="1" si="22"/>
        <v>74854.541473865276</v>
      </c>
    </row>
    <row r="125" spans="1:18" x14ac:dyDescent="0.35">
      <c r="A125" s="1">
        <f t="shared" si="23"/>
        <v>45383</v>
      </c>
      <c r="B125" s="13">
        <f t="shared" si="13"/>
        <v>2024</v>
      </c>
      <c r="C125" s="13">
        <f t="shared" si="14"/>
        <v>4</v>
      </c>
      <c r="D125" s="4">
        <f>MonthlyData!I125</f>
        <v>1729157.0460460004</v>
      </c>
      <c r="E125" s="13">
        <f t="shared" ca="1" si="24"/>
        <v>307.33082472275549</v>
      </c>
      <c r="F125" s="3">
        <f>MonthlyData!AF125</f>
        <v>221.40000000000003</v>
      </c>
      <c r="G125">
        <f t="shared" si="24"/>
        <v>0</v>
      </c>
      <c r="H125" s="4">
        <f>'Customer Count'!G51</f>
        <v>713</v>
      </c>
      <c r="I125">
        <f t="shared" si="25"/>
        <v>0</v>
      </c>
      <c r="K125" s="4"/>
      <c r="L125" s="4">
        <f t="shared" ca="1" si="20"/>
        <v>55538.598409395447</v>
      </c>
      <c r="M125" s="4"/>
      <c r="N125" s="4"/>
      <c r="O125" s="4"/>
      <c r="P125" s="4">
        <f t="shared" ca="1" si="21"/>
        <v>1784695.6444553959</v>
      </c>
      <c r="Q125" s="4">
        <f t="shared" ca="1" si="22"/>
        <v>55538.598409395432</v>
      </c>
    </row>
    <row r="126" spans="1:18" x14ac:dyDescent="0.35">
      <c r="A126" s="1">
        <f t="shared" si="23"/>
        <v>45413</v>
      </c>
      <c r="B126" s="13">
        <f t="shared" si="13"/>
        <v>2024</v>
      </c>
      <c r="C126" s="13">
        <f t="shared" si="14"/>
        <v>5</v>
      </c>
      <c r="D126" s="4">
        <f>MonthlyData!I126</f>
        <v>1542403.295270656</v>
      </c>
      <c r="E126" s="13">
        <f t="shared" ca="1" si="24"/>
        <v>103.00647094808046</v>
      </c>
      <c r="F126" s="3">
        <f>MonthlyData!AF126</f>
        <v>36.300000000000004</v>
      </c>
      <c r="G126">
        <f t="shared" si="24"/>
        <v>0</v>
      </c>
      <c r="H126" s="4">
        <f>'Customer Count'!G52</f>
        <v>717</v>
      </c>
      <c r="I126">
        <f t="shared" si="25"/>
        <v>0</v>
      </c>
      <c r="K126" s="4"/>
      <c r="L126" s="4">
        <f t="shared" ca="1" si="20"/>
        <v>43113.561556594446</v>
      </c>
      <c r="M126" s="4"/>
      <c r="N126" s="4"/>
      <c r="O126" s="4"/>
      <c r="P126" s="4">
        <f t="shared" ca="1" si="21"/>
        <v>1585516.8568272504</v>
      </c>
      <c r="Q126" s="4">
        <f t="shared" ca="1" si="22"/>
        <v>43113.561556594446</v>
      </c>
    </row>
    <row r="127" spans="1:18" x14ac:dyDescent="0.35">
      <c r="A127" s="1">
        <f t="shared" si="23"/>
        <v>45444</v>
      </c>
      <c r="B127" s="13">
        <f t="shared" si="13"/>
        <v>2024</v>
      </c>
      <c r="C127" s="13">
        <f t="shared" si="14"/>
        <v>6</v>
      </c>
      <c r="D127" s="4">
        <f>MonthlyData!I127</f>
        <v>1408141.5444953116</v>
      </c>
      <c r="E127" s="13">
        <f t="shared" ca="1" si="24"/>
        <v>5.5889105735385218</v>
      </c>
      <c r="F127" s="3">
        <f>MonthlyData!AF127</f>
        <v>4</v>
      </c>
      <c r="G127">
        <f t="shared" si="24"/>
        <v>0</v>
      </c>
      <c r="H127" s="4">
        <f>'Customer Count'!G53</f>
        <v>718</v>
      </c>
      <c r="I127">
        <f t="shared" si="25"/>
        <v>0</v>
      </c>
      <c r="K127" s="4"/>
      <c r="L127" s="4">
        <f t="shared" ca="1" si="20"/>
        <v>1026.9407577189195</v>
      </c>
      <c r="M127" s="4"/>
      <c r="N127" s="4"/>
      <c r="O127" s="4"/>
      <c r="P127" s="4">
        <f t="shared" ca="1" si="21"/>
        <v>1409168.4852530304</v>
      </c>
      <c r="Q127" s="4">
        <f t="shared" ca="1" si="22"/>
        <v>1026.9407577188686</v>
      </c>
    </row>
    <row r="128" spans="1:18" x14ac:dyDescent="0.35">
      <c r="A128" s="1">
        <f t="shared" si="23"/>
        <v>45474</v>
      </c>
      <c r="B128" s="13">
        <f t="shared" si="13"/>
        <v>2024</v>
      </c>
      <c r="C128" s="13">
        <f t="shared" si="14"/>
        <v>7</v>
      </c>
      <c r="D128" s="4">
        <f>MonthlyData!I128</f>
        <v>1393341.7937199674</v>
      </c>
      <c r="E128" s="13">
        <f t="shared" ca="1" si="24"/>
        <v>0.28709633857318684</v>
      </c>
      <c r="F128" s="3">
        <f>MonthlyData!AF128</f>
        <v>0</v>
      </c>
      <c r="G128">
        <f t="shared" si="24"/>
        <v>0</v>
      </c>
      <c r="H128" s="4">
        <f>'Customer Count'!G54</f>
        <v>716</v>
      </c>
      <c r="I128">
        <f t="shared" si="25"/>
        <v>0</v>
      </c>
      <c r="K128" s="4"/>
      <c r="L128" s="4">
        <f t="shared" ca="1" si="20"/>
        <v>185.55539649791879</v>
      </c>
      <c r="M128" s="4"/>
      <c r="N128" s="4"/>
      <c r="O128" s="4"/>
      <c r="P128" s="4">
        <f t="shared" ca="1" si="21"/>
        <v>1393527.3491164653</v>
      </c>
      <c r="Q128" s="4">
        <f t="shared" ca="1" si="22"/>
        <v>185.5553964979481</v>
      </c>
    </row>
    <row r="129" spans="1:17" x14ac:dyDescent="0.35">
      <c r="A129" s="1">
        <f t="shared" si="23"/>
        <v>45505</v>
      </c>
      <c r="B129" s="13">
        <f t="shared" si="13"/>
        <v>2024</v>
      </c>
      <c r="C129" s="13">
        <f t="shared" si="14"/>
        <v>8</v>
      </c>
      <c r="D129" s="4">
        <f>MonthlyData!I129</f>
        <v>1473943.0429446229</v>
      </c>
      <c r="E129" s="13">
        <f t="shared" ca="1" si="24"/>
        <v>1.6761707873342053</v>
      </c>
      <c r="F129" s="3">
        <f>MonthlyData!AF129</f>
        <v>0</v>
      </c>
      <c r="G129">
        <f t="shared" si="24"/>
        <v>0</v>
      </c>
      <c r="H129" s="4">
        <f>'Customer Count'!G55</f>
        <v>716</v>
      </c>
      <c r="I129">
        <f t="shared" si="25"/>
        <v>0</v>
      </c>
      <c r="K129" s="4"/>
      <c r="L129" s="4">
        <f t="shared" ca="1" si="20"/>
        <v>1083.3385635907057</v>
      </c>
      <c r="M129" s="4"/>
      <c r="N129" s="4"/>
      <c r="O129" s="4"/>
      <c r="P129" s="4">
        <f t="shared" ca="1" si="21"/>
        <v>1475026.3815082137</v>
      </c>
      <c r="Q129" s="4">
        <f t="shared" ca="1" si="22"/>
        <v>1083.3385635907762</v>
      </c>
    </row>
    <row r="130" spans="1:17" x14ac:dyDescent="0.35">
      <c r="A130" s="1">
        <f t="shared" si="23"/>
        <v>45536</v>
      </c>
      <c r="B130" s="13">
        <f t="shared" si="13"/>
        <v>2024</v>
      </c>
      <c r="C130" s="13">
        <f t="shared" si="14"/>
        <v>9</v>
      </c>
      <c r="D130" s="4">
        <f>MonthlyData!I130</f>
        <v>1425748.2921692787</v>
      </c>
      <c r="E130" s="13">
        <f t="shared" ca="1" si="24"/>
        <v>28.222326899712005</v>
      </c>
      <c r="F130" s="3">
        <f>MonthlyData!AF130</f>
        <v>9.8999999999999986</v>
      </c>
      <c r="G130">
        <f t="shared" si="24"/>
        <v>0</v>
      </c>
      <c r="H130" s="4">
        <f>'Customer Count'!G56</f>
        <v>717</v>
      </c>
      <c r="I130">
        <f t="shared" si="25"/>
        <v>0</v>
      </c>
      <c r="K130" s="4"/>
      <c r="L130" s="4">
        <f t="shared" ca="1" si="20"/>
        <v>11842.041070732299</v>
      </c>
      <c r="M130" s="4"/>
      <c r="N130" s="4"/>
      <c r="O130" s="4"/>
      <c r="P130" s="4">
        <f t="shared" ca="1" si="21"/>
        <v>1437590.333240011</v>
      </c>
      <c r="Q130" s="4">
        <f t="shared" ca="1" si="22"/>
        <v>11842.041070732288</v>
      </c>
    </row>
    <row r="131" spans="1:17" x14ac:dyDescent="0.35">
      <c r="A131" s="1">
        <f t="shared" si="23"/>
        <v>45566</v>
      </c>
      <c r="B131" s="13">
        <f t="shared" ref="B131:B145" si="26">YEAR(A131)</f>
        <v>2024</v>
      </c>
      <c r="C131" s="13">
        <f t="shared" ref="C131:C145" si="27">MONTH(A131)</f>
        <v>10</v>
      </c>
      <c r="D131" s="4">
        <f>MonthlyData!I131</f>
        <v>1349574.5413939343</v>
      </c>
      <c r="E131" s="13">
        <f t="shared" ca="1" si="24"/>
        <v>178.0244559176316</v>
      </c>
      <c r="F131" s="3">
        <f>MonthlyData!AF131</f>
        <v>132.70000000000005</v>
      </c>
      <c r="G131">
        <f t="shared" si="24"/>
        <v>1</v>
      </c>
      <c r="H131" s="4">
        <f>'Customer Count'!G57</f>
        <v>715</v>
      </c>
      <c r="I131">
        <f t="shared" si="25"/>
        <v>0</v>
      </c>
      <c r="K131" s="4"/>
      <c r="L131" s="4">
        <f t="shared" ca="1" si="20"/>
        <v>29293.990409789323</v>
      </c>
      <c r="M131" s="4"/>
      <c r="N131" s="4"/>
      <c r="O131" s="4"/>
      <c r="P131" s="4">
        <f t="shared" ca="1" si="21"/>
        <v>1378868.5318037237</v>
      </c>
      <c r="Q131" s="4">
        <f t="shared" ca="1" si="22"/>
        <v>29293.990409789374</v>
      </c>
    </row>
    <row r="132" spans="1:17" x14ac:dyDescent="0.35">
      <c r="A132" s="1">
        <f t="shared" si="23"/>
        <v>45597</v>
      </c>
      <c r="B132" s="13">
        <f t="shared" si="26"/>
        <v>2024</v>
      </c>
      <c r="C132" s="13">
        <f t="shared" si="27"/>
        <v>11</v>
      </c>
      <c r="E132" s="13">
        <f t="shared" ca="1" si="24"/>
        <v>403.99833333333333</v>
      </c>
      <c r="F132" s="3">
        <f>MonthlyData!AF132</f>
        <v>0</v>
      </c>
      <c r="G132">
        <f t="shared" si="24"/>
        <v>1</v>
      </c>
      <c r="H132" s="4">
        <f>'Customer Count'!G58</f>
        <v>715.63260866503299</v>
      </c>
      <c r="I132">
        <f t="shared" si="25"/>
        <v>0</v>
      </c>
      <c r="K132" s="4">
        <f t="shared" ref="K132:K145" si="28">$U$7</f>
        <v>231360.027765729</v>
      </c>
      <c r="L132" s="4">
        <f t="shared" ref="L132:L145" ca="1" si="29">E132*$U$8</f>
        <v>261111.20503564039</v>
      </c>
      <c r="M132" s="4">
        <f t="shared" ref="M132:M145" si="30">G132*$U$9</f>
        <v>-257897.88627322801</v>
      </c>
      <c r="N132" s="4">
        <f t="shared" ref="N132:N145" si="31">H132*$U$10</f>
        <v>1266093.905418088</v>
      </c>
      <c r="O132" s="4">
        <f t="shared" ref="O132:O145" si="32">I132*$U$11</f>
        <v>0</v>
      </c>
      <c r="P132" s="4">
        <f t="shared" ref="P132:P145" ca="1" si="33">SUM(K132:O132)</f>
        <v>1500667.2519462293</v>
      </c>
      <c r="Q132" s="4"/>
    </row>
    <row r="133" spans="1:17" x14ac:dyDescent="0.35">
      <c r="A133" s="1">
        <f t="shared" si="23"/>
        <v>45627</v>
      </c>
      <c r="B133" s="13">
        <f t="shared" si="26"/>
        <v>2024</v>
      </c>
      <c r="C133" s="13">
        <f t="shared" si="27"/>
        <v>12</v>
      </c>
      <c r="E133" s="13">
        <f t="shared" ca="1" si="24"/>
        <v>629.70466952460959</v>
      </c>
      <c r="F133" s="3">
        <f>MonthlyData!AF133</f>
        <v>0</v>
      </c>
      <c r="G133">
        <f t="shared" si="24"/>
        <v>0</v>
      </c>
      <c r="H133" s="4">
        <f>'Customer Count'!G59</f>
        <v>715.81537889625304</v>
      </c>
      <c r="I133">
        <f t="shared" si="25"/>
        <v>1</v>
      </c>
      <c r="K133" s="4">
        <f t="shared" si="28"/>
        <v>231360.027765729</v>
      </c>
      <c r="L133" s="4">
        <f t="shared" ca="1" si="29"/>
        <v>406989.16681044188</v>
      </c>
      <c r="M133" s="4">
        <f t="shared" si="30"/>
        <v>0</v>
      </c>
      <c r="N133" s="4">
        <f t="shared" si="31"/>
        <v>1266417.2616668637</v>
      </c>
      <c r="O133" s="4">
        <f t="shared" si="32"/>
        <v>-216631.706472586</v>
      </c>
      <c r="P133" s="4">
        <f t="shared" ca="1" si="33"/>
        <v>1688134.7497704485</v>
      </c>
      <c r="Q133" s="4"/>
    </row>
    <row r="134" spans="1:17" x14ac:dyDescent="0.35">
      <c r="A134" s="1">
        <f t="shared" si="23"/>
        <v>45658</v>
      </c>
      <c r="B134" s="13">
        <f t="shared" si="26"/>
        <v>2025</v>
      </c>
      <c r="C134" s="13">
        <f t="shared" si="27"/>
        <v>1</v>
      </c>
      <c r="E134" s="13">
        <f t="shared" ca="1" si="24"/>
        <v>793.4846429373913</v>
      </c>
      <c r="F134" s="3">
        <f>MonthlyData!AF134</f>
        <v>0</v>
      </c>
      <c r="G134">
        <f t="shared" si="24"/>
        <v>0</v>
      </c>
      <c r="H134" s="4">
        <f>'Customer Count'!G60</f>
        <v>715.99819580639326</v>
      </c>
      <c r="I134">
        <f t="shared" si="25"/>
        <v>0</v>
      </c>
      <c r="K134" s="4">
        <f t="shared" si="28"/>
        <v>231360.027765729</v>
      </c>
      <c r="L134" s="4">
        <f t="shared" ca="1" si="29"/>
        <v>512843.0347352681</v>
      </c>
      <c r="M134" s="4">
        <f t="shared" si="30"/>
        <v>0</v>
      </c>
      <c r="N134" s="4">
        <f t="shared" si="31"/>
        <v>1266740.7004997695</v>
      </c>
      <c r="O134" s="4">
        <f t="shared" si="32"/>
        <v>0</v>
      </c>
      <c r="P134" s="4">
        <f t="shared" ca="1" si="33"/>
        <v>2010943.7630007667</v>
      </c>
      <c r="Q134" s="4"/>
    </row>
    <row r="135" spans="1:17" x14ac:dyDescent="0.35">
      <c r="A135" s="1">
        <f t="shared" si="23"/>
        <v>45689</v>
      </c>
      <c r="B135" s="13">
        <f t="shared" si="26"/>
        <v>2025</v>
      </c>
      <c r="C135" s="13">
        <f t="shared" si="27"/>
        <v>2</v>
      </c>
      <c r="E135" s="13">
        <f t="shared" ca="1" si="24"/>
        <v>736.10085614037712</v>
      </c>
      <c r="F135" s="3">
        <f>MonthlyData!AF135</f>
        <v>0</v>
      </c>
      <c r="G135">
        <f t="shared" si="24"/>
        <v>0</v>
      </c>
      <c r="H135" s="4">
        <f>'Customer Count'!G61</f>
        <v>716.1810594073753</v>
      </c>
      <c r="I135">
        <f t="shared" si="25"/>
        <v>0</v>
      </c>
      <c r="K135" s="4">
        <f t="shared" si="28"/>
        <v>231360.027765729</v>
      </c>
      <c r="L135" s="4">
        <f t="shared" ca="1" si="29"/>
        <v>475754.88737473451</v>
      </c>
      <c r="M135" s="4">
        <f t="shared" si="30"/>
        <v>0</v>
      </c>
      <c r="N135" s="4">
        <f t="shared" si="31"/>
        <v>1267064.2219378969</v>
      </c>
      <c r="O135" s="4">
        <f t="shared" si="32"/>
        <v>0</v>
      </c>
      <c r="P135" s="4">
        <f t="shared" ca="1" si="33"/>
        <v>1974179.1370783604</v>
      </c>
      <c r="Q135" s="4"/>
    </row>
    <row r="136" spans="1:17" x14ac:dyDescent="0.35">
      <c r="A136" s="1">
        <f t="shared" si="23"/>
        <v>45717</v>
      </c>
      <c r="B136" s="13">
        <f t="shared" si="26"/>
        <v>2025</v>
      </c>
      <c r="C136" s="13">
        <f t="shared" si="27"/>
        <v>3</v>
      </c>
      <c r="E136" s="13">
        <f t="shared" ca="1" si="24"/>
        <v>577.21697535249291</v>
      </c>
      <c r="F136" s="3">
        <f>MonthlyData!AF136</f>
        <v>0</v>
      </c>
      <c r="G136">
        <f t="shared" si="24"/>
        <v>0</v>
      </c>
      <c r="H136" s="4">
        <f>'Customer Count'!G62</f>
        <v>716.3639697111239</v>
      </c>
      <c r="I136">
        <f t="shared" si="25"/>
        <v>0</v>
      </c>
      <c r="K136" s="4">
        <f t="shared" si="28"/>
        <v>231360.027765729</v>
      </c>
      <c r="L136" s="4">
        <f t="shared" ca="1" si="29"/>
        <v>373065.44994323485</v>
      </c>
      <c r="M136" s="4">
        <f t="shared" si="30"/>
        <v>0</v>
      </c>
      <c r="N136" s="4">
        <f t="shared" si="31"/>
        <v>1267387.8260023431</v>
      </c>
      <c r="O136" s="4">
        <f t="shared" si="32"/>
        <v>0</v>
      </c>
      <c r="P136" s="4">
        <f t="shared" ca="1" si="33"/>
        <v>1871813.303711307</v>
      </c>
      <c r="Q136" s="4"/>
    </row>
    <row r="137" spans="1:17" x14ac:dyDescent="0.35">
      <c r="A137" s="1">
        <f t="shared" si="23"/>
        <v>45748</v>
      </c>
      <c r="B137" s="13">
        <f t="shared" si="26"/>
        <v>2025</v>
      </c>
      <c r="C137" s="13">
        <f t="shared" si="27"/>
        <v>4</v>
      </c>
      <c r="E137" s="13">
        <f t="shared" ca="1" si="24"/>
        <v>307.33082472275549</v>
      </c>
      <c r="F137" s="3">
        <f>MonthlyData!AF137</f>
        <v>0</v>
      </c>
      <c r="G137">
        <f t="shared" si="24"/>
        <v>0</v>
      </c>
      <c r="H137" s="4">
        <f>'Customer Count'!G63</f>
        <v>716.54692672956674</v>
      </c>
      <c r="I137">
        <f t="shared" si="25"/>
        <v>0</v>
      </c>
      <c r="K137" s="4">
        <f t="shared" si="28"/>
        <v>231360.027765729</v>
      </c>
      <c r="L137" s="4">
        <f t="shared" ca="1" si="29"/>
        <v>198633.29961251293</v>
      </c>
      <c r="M137" s="4">
        <f t="shared" si="30"/>
        <v>0</v>
      </c>
      <c r="N137" s="4">
        <f t="shared" si="31"/>
        <v>1267711.5127142107</v>
      </c>
      <c r="O137" s="4">
        <f t="shared" si="32"/>
        <v>0</v>
      </c>
      <c r="P137" s="4">
        <f t="shared" ca="1" si="33"/>
        <v>1697704.8400924527</v>
      </c>
      <c r="Q137" s="4"/>
    </row>
    <row r="138" spans="1:17" x14ac:dyDescent="0.35">
      <c r="A138" s="1">
        <f t="shared" si="23"/>
        <v>45778</v>
      </c>
      <c r="B138" s="13">
        <f t="shared" si="26"/>
        <v>2025</v>
      </c>
      <c r="C138" s="13">
        <f t="shared" si="27"/>
        <v>5</v>
      </c>
      <c r="E138" s="13">
        <f t="shared" ca="1" si="24"/>
        <v>103.00647094808046</v>
      </c>
      <c r="F138" s="3">
        <f>MonthlyData!AF138</f>
        <v>0</v>
      </c>
      <c r="G138">
        <f t="shared" si="24"/>
        <v>0</v>
      </c>
      <c r="H138" s="4">
        <f>'Customer Count'!G64</f>
        <v>716.72993047463456</v>
      </c>
      <c r="I138">
        <f t="shared" si="25"/>
        <v>0</v>
      </c>
      <c r="K138" s="4">
        <f t="shared" si="28"/>
        <v>231360.027765729</v>
      </c>
      <c r="L138" s="4">
        <f t="shared" ca="1" si="29"/>
        <v>66574.887905615062</v>
      </c>
      <c r="M138" s="4">
        <f t="shared" si="30"/>
        <v>0</v>
      </c>
      <c r="N138" s="4">
        <f t="shared" si="31"/>
        <v>1268035.2820946071</v>
      </c>
      <c r="O138" s="4">
        <f t="shared" si="32"/>
        <v>0</v>
      </c>
      <c r="P138" s="4">
        <f t="shared" ca="1" si="33"/>
        <v>1565970.197765951</v>
      </c>
      <c r="Q138" s="4"/>
    </row>
    <row r="139" spans="1:17" x14ac:dyDescent="0.35">
      <c r="A139" s="1">
        <f t="shared" si="23"/>
        <v>45809</v>
      </c>
      <c r="B139" s="13">
        <f t="shared" si="26"/>
        <v>2025</v>
      </c>
      <c r="C139" s="13">
        <f t="shared" si="27"/>
        <v>6</v>
      </c>
      <c r="E139" s="13">
        <f t="shared" ref="E139:G145" ca="1" si="34">E127</f>
        <v>5.5889105735385218</v>
      </c>
      <c r="F139" s="3">
        <f>MonthlyData!AF139</f>
        <v>0</v>
      </c>
      <c r="G139">
        <f t="shared" si="34"/>
        <v>0</v>
      </c>
      <c r="H139" s="4">
        <f>'Customer Count'!G65</f>
        <v>716.9129809582613</v>
      </c>
      <c r="I139">
        <f t="shared" si="25"/>
        <v>0</v>
      </c>
      <c r="K139" s="4">
        <f t="shared" si="28"/>
        <v>231360.027765729</v>
      </c>
      <c r="L139" s="4">
        <f t="shared" ca="1" si="29"/>
        <v>3612.2108788231194</v>
      </c>
      <c r="M139" s="4">
        <f t="shared" si="30"/>
        <v>0</v>
      </c>
      <c r="N139" s="4">
        <f t="shared" si="31"/>
        <v>1268359.1341646463</v>
      </c>
      <c r="O139" s="4">
        <f t="shared" si="32"/>
        <v>0</v>
      </c>
      <c r="P139" s="4">
        <f t="shared" ca="1" si="33"/>
        <v>1503331.3728091985</v>
      </c>
      <c r="Q139" s="4"/>
    </row>
    <row r="140" spans="1:17" x14ac:dyDescent="0.35">
      <c r="A140" s="1">
        <f t="shared" si="23"/>
        <v>45839</v>
      </c>
      <c r="B140" s="13">
        <f t="shared" si="26"/>
        <v>2025</v>
      </c>
      <c r="C140" s="13">
        <f t="shared" si="27"/>
        <v>7</v>
      </c>
      <c r="E140" s="13">
        <f t="shared" ca="1" si="34"/>
        <v>0.28709633857318684</v>
      </c>
      <c r="F140" s="3">
        <f>MonthlyData!AF140</f>
        <v>0</v>
      </c>
      <c r="G140">
        <f t="shared" si="34"/>
        <v>0</v>
      </c>
      <c r="H140" s="4">
        <f>'Customer Count'!G66</f>
        <v>717.09607819238374</v>
      </c>
      <c r="I140">
        <f t="shared" si="25"/>
        <v>0</v>
      </c>
      <c r="K140" s="4">
        <f t="shared" si="28"/>
        <v>231360.027765729</v>
      </c>
      <c r="L140" s="4">
        <f t="shared" ca="1" si="29"/>
        <v>185.55539649791879</v>
      </c>
      <c r="M140" s="4">
        <f t="shared" si="30"/>
        <v>0</v>
      </c>
      <c r="N140" s="4">
        <f t="shared" si="31"/>
        <v>1268683.0689454463</v>
      </c>
      <c r="O140" s="4">
        <f t="shared" si="32"/>
        <v>0</v>
      </c>
      <c r="P140" s="4">
        <f t="shared" ca="1" si="33"/>
        <v>1500228.6521076732</v>
      </c>
      <c r="Q140" s="4"/>
    </row>
    <row r="141" spans="1:17" x14ac:dyDescent="0.35">
      <c r="A141" s="1">
        <f t="shared" si="23"/>
        <v>45870</v>
      </c>
      <c r="B141" s="13">
        <f t="shared" si="26"/>
        <v>2025</v>
      </c>
      <c r="C141" s="13">
        <f t="shared" si="27"/>
        <v>8</v>
      </c>
      <c r="E141" s="13">
        <f t="shared" ca="1" si="34"/>
        <v>1.6761707873342053</v>
      </c>
      <c r="F141" s="3">
        <f>MonthlyData!AF141</f>
        <v>0</v>
      </c>
      <c r="G141">
        <f t="shared" si="34"/>
        <v>0</v>
      </c>
      <c r="H141" s="4">
        <f>'Customer Count'!G67</f>
        <v>717.27922218894184</v>
      </c>
      <c r="I141">
        <f t="shared" si="25"/>
        <v>0</v>
      </c>
      <c r="K141" s="4">
        <f t="shared" si="28"/>
        <v>231360.027765729</v>
      </c>
      <c r="L141" s="4">
        <f t="shared" ca="1" si="29"/>
        <v>1083.3385635907057</v>
      </c>
      <c r="M141" s="4">
        <f t="shared" si="30"/>
        <v>0</v>
      </c>
      <c r="N141" s="4">
        <f t="shared" si="31"/>
        <v>1269007.0864581317</v>
      </c>
      <c r="O141" s="4">
        <f t="shared" si="32"/>
        <v>0</v>
      </c>
      <c r="P141" s="4">
        <f t="shared" ca="1" si="33"/>
        <v>1501450.4527874514</v>
      </c>
      <c r="Q141" s="4"/>
    </row>
    <row r="142" spans="1:17" x14ac:dyDescent="0.35">
      <c r="A142" s="1">
        <f t="shared" si="23"/>
        <v>45901</v>
      </c>
      <c r="B142" s="13">
        <f t="shared" si="26"/>
        <v>2025</v>
      </c>
      <c r="C142" s="13">
        <f t="shared" si="27"/>
        <v>9</v>
      </c>
      <c r="E142" s="13">
        <f t="shared" ca="1" si="34"/>
        <v>28.222326899712005</v>
      </c>
      <c r="F142" s="3">
        <f>MonthlyData!AF142</f>
        <v>0</v>
      </c>
      <c r="G142">
        <f t="shared" si="34"/>
        <v>0</v>
      </c>
      <c r="H142" s="4">
        <f>'Customer Count'!G68</f>
        <v>717.46241295987852</v>
      </c>
      <c r="I142">
        <f t="shared" si="25"/>
        <v>0</v>
      </c>
      <c r="K142" s="4">
        <f t="shared" si="28"/>
        <v>231360.027765729</v>
      </c>
      <c r="L142" s="4">
        <f t="shared" ca="1" si="29"/>
        <v>18240.584620465193</v>
      </c>
      <c r="M142" s="4">
        <f t="shared" si="30"/>
        <v>0</v>
      </c>
      <c r="N142" s="4">
        <f t="shared" si="31"/>
        <v>1269331.1867238313</v>
      </c>
      <c r="O142" s="4">
        <f t="shared" si="32"/>
        <v>0</v>
      </c>
      <c r="P142" s="4">
        <f t="shared" ca="1" si="33"/>
        <v>1518931.7991100256</v>
      </c>
      <c r="Q142" s="4"/>
    </row>
    <row r="143" spans="1:17" x14ac:dyDescent="0.35">
      <c r="A143" s="1">
        <f t="shared" si="23"/>
        <v>45931</v>
      </c>
      <c r="B143" s="13">
        <f t="shared" si="26"/>
        <v>2025</v>
      </c>
      <c r="C143" s="13">
        <f t="shared" si="27"/>
        <v>10</v>
      </c>
      <c r="E143" s="13">
        <f ca="1">E131</f>
        <v>178.0244559176316</v>
      </c>
      <c r="F143" s="3">
        <f>MonthlyData!AF143</f>
        <v>0</v>
      </c>
      <c r="G143">
        <f t="shared" si="34"/>
        <v>1</v>
      </c>
      <c r="H143" s="4">
        <f>'Customer Count'!G69</f>
        <v>717.64565051713987</v>
      </c>
      <c r="I143">
        <f t="shared" si="25"/>
        <v>0</v>
      </c>
      <c r="K143" s="4">
        <f t="shared" si="28"/>
        <v>231360.027765729</v>
      </c>
      <c r="L143" s="4">
        <f t="shared" ca="1" si="29"/>
        <v>115060.32667742118</v>
      </c>
      <c r="M143" s="4">
        <f t="shared" si="30"/>
        <v>-257897.88627322801</v>
      </c>
      <c r="N143" s="4">
        <f t="shared" si="31"/>
        <v>1269655.3697636807</v>
      </c>
      <c r="O143" s="4">
        <f t="shared" si="32"/>
        <v>0</v>
      </c>
      <c r="P143" s="4">
        <f t="shared" ca="1" si="33"/>
        <v>1358177.837933603</v>
      </c>
      <c r="Q143" s="4"/>
    </row>
    <row r="144" spans="1:17" x14ac:dyDescent="0.35">
      <c r="A144" s="1">
        <f t="shared" si="23"/>
        <v>45962</v>
      </c>
      <c r="B144" s="13">
        <f t="shared" si="26"/>
        <v>2025</v>
      </c>
      <c r="C144" s="13">
        <f t="shared" si="27"/>
        <v>11</v>
      </c>
      <c r="E144" s="13">
        <f ca="1">E132</f>
        <v>403.99833333333333</v>
      </c>
      <c r="F144" s="3">
        <f>MonthlyData!AF144</f>
        <v>0</v>
      </c>
      <c r="G144">
        <f t="shared" si="34"/>
        <v>1</v>
      </c>
      <c r="H144" s="4">
        <f>'Customer Count'!G70</f>
        <v>717.82893487267495</v>
      </c>
      <c r="I144">
        <f t="shared" si="25"/>
        <v>0</v>
      </c>
      <c r="K144" s="4">
        <f t="shared" si="28"/>
        <v>231360.027765729</v>
      </c>
      <c r="L144" s="4">
        <f t="shared" ca="1" si="29"/>
        <v>261111.20503564039</v>
      </c>
      <c r="M144" s="4">
        <f t="shared" si="30"/>
        <v>-257897.88627322801</v>
      </c>
      <c r="N144" s="4">
        <f t="shared" si="31"/>
        <v>1269979.6355988197</v>
      </c>
      <c r="O144" s="4">
        <f t="shared" si="32"/>
        <v>0</v>
      </c>
      <c r="P144" s="4">
        <f t="shared" ca="1" si="33"/>
        <v>1504552.982126961</v>
      </c>
      <c r="Q144" s="4"/>
    </row>
    <row r="145" spans="1:18" x14ac:dyDescent="0.35">
      <c r="A145" s="1">
        <f t="shared" si="23"/>
        <v>45992</v>
      </c>
      <c r="B145" s="13">
        <f t="shared" si="26"/>
        <v>2025</v>
      </c>
      <c r="C145" s="13">
        <f t="shared" si="27"/>
        <v>12</v>
      </c>
      <c r="E145" s="13">
        <f ca="1">E133</f>
        <v>629.70466952460959</v>
      </c>
      <c r="F145" s="3">
        <f>MonthlyData!AF145</f>
        <v>0</v>
      </c>
      <c r="G145">
        <f t="shared" si="34"/>
        <v>0</v>
      </c>
      <c r="H145" s="4">
        <f>'Customer Count'!G71</f>
        <v>718.01226603843588</v>
      </c>
      <c r="I145">
        <f t="shared" si="25"/>
        <v>1</v>
      </c>
      <c r="K145" s="4">
        <f t="shared" si="28"/>
        <v>231360.027765729</v>
      </c>
      <c r="L145" s="4">
        <f t="shared" ca="1" si="29"/>
        <v>406989.16681044188</v>
      </c>
      <c r="M145" s="4">
        <f t="shared" si="30"/>
        <v>0</v>
      </c>
      <c r="N145" s="4">
        <f t="shared" si="31"/>
        <v>1270303.9842503939</v>
      </c>
      <c r="O145" s="4">
        <f t="shared" si="32"/>
        <v>-216631.706472586</v>
      </c>
      <c r="P145" s="4">
        <f t="shared" ca="1" si="33"/>
        <v>1692021.472353979</v>
      </c>
      <c r="Q145" s="4"/>
      <c r="R145" s="17">
        <f ca="1">SUM(P134:P145)</f>
        <v>19699305.810877729</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61DED-4D50-4C07-A3A7-306C5274F7C8}">
  <sheetPr codeName="Sheet26">
    <tabColor theme="7" tint="0.59999389629810485"/>
  </sheetPr>
  <dimension ref="A1:V163"/>
  <sheetViews>
    <sheetView topLeftCell="A103" workbookViewId="0">
      <selection activeCell="D115" sqref="D115:P131"/>
    </sheetView>
  </sheetViews>
  <sheetFormatPr defaultRowHeight="14.5" x14ac:dyDescent="0.35"/>
  <cols>
    <col min="1" max="1" width="11.36328125" customWidth="1"/>
    <col min="2" max="3" width="12.453125" customWidth="1"/>
    <col min="4" max="4" width="12.7265625" bestFit="1" customWidth="1"/>
    <col min="12" max="13" width="12.7265625" bestFit="1" customWidth="1"/>
    <col min="14" max="15" width="11.1796875" bestFit="1" customWidth="1"/>
    <col min="16" max="16" width="12.7265625" bestFit="1" customWidth="1"/>
    <col min="19" max="19" width="10.26953125" customWidth="1"/>
  </cols>
  <sheetData>
    <row r="1" spans="1:22" x14ac:dyDescent="0.35">
      <c r="A1" s="1" t="str">
        <f>MonthlyData!A1</f>
        <v>Date</v>
      </c>
      <c r="B1" s="1" t="s">
        <v>1</v>
      </c>
      <c r="C1" s="1" t="s">
        <v>2</v>
      </c>
      <c r="D1" s="4" t="str">
        <f>MonthlyData!L1</f>
        <v>GSgt50_NoCDM</v>
      </c>
      <c r="E1" t="s">
        <v>465</v>
      </c>
      <c r="F1" s="4" t="str">
        <f>MonthlyData!AF1</f>
        <v>HDD10</v>
      </c>
      <c r="G1" t="str">
        <f>MonthlyData!BO1</f>
        <v>Spring</v>
      </c>
      <c r="H1" t="str">
        <f>MonthlyData!BP1</f>
        <v>Fall</v>
      </c>
      <c r="I1" t="str">
        <f>MonthlyData!BU1</f>
        <v>COVID_AM</v>
      </c>
      <c r="J1" t="str">
        <f>MonthlyData!BA1</f>
        <v>TrendLn</v>
      </c>
      <c r="M1" t="str">
        <f>E1</f>
        <v>HDD10Norm</v>
      </c>
      <c r="N1" t="str">
        <f>G1</f>
        <v>Spring</v>
      </c>
      <c r="O1" t="str">
        <f>H1</f>
        <v>Fall</v>
      </c>
    </row>
    <row r="2" spans="1:22" x14ac:dyDescent="0.35">
      <c r="A2" s="1">
        <f>MonthlyData!A2</f>
        <v>41640</v>
      </c>
      <c r="B2" s="13">
        <f>YEAR(A2)</f>
        <v>2014</v>
      </c>
      <c r="C2" s="13">
        <f>MONTH(A2)</f>
        <v>1</v>
      </c>
      <c r="D2" s="4">
        <f>MonthlyData!L2</f>
        <v>6117119.8411308117</v>
      </c>
      <c r="E2" s="215">
        <f ca="1">Weather!CT38</f>
        <v>793.4846429373913</v>
      </c>
      <c r="F2" s="4">
        <f>MonthlyData!AF2</f>
        <v>923.86930657636822</v>
      </c>
      <c r="G2">
        <f>MonthlyData!BO2</f>
        <v>0</v>
      </c>
      <c r="H2">
        <f>MonthlyData!BP2</f>
        <v>0</v>
      </c>
      <c r="I2">
        <f>MonthlyData!BU2</f>
        <v>0</v>
      </c>
      <c r="J2">
        <f>MonthlyData!BA2</f>
        <v>2.3025850929940459</v>
      </c>
      <c r="L2" s="4"/>
      <c r="M2" s="4">
        <f t="shared" ref="M2:M33" ca="1" si="0">(E2-F2)*$S$9</f>
        <v>-174493.0869563146</v>
      </c>
      <c r="N2" s="4"/>
      <c r="O2" s="4"/>
      <c r="P2" s="4">
        <f t="shared" ref="P2:P33" ca="1" si="1">D2+M2</f>
        <v>5942626.754174497</v>
      </c>
      <c r="Q2" s="17"/>
    </row>
    <row r="3" spans="1:22" x14ac:dyDescent="0.35">
      <c r="A3" s="1">
        <f>MonthlyData!A3</f>
        <v>41671</v>
      </c>
      <c r="B3" s="13">
        <f t="shared" ref="B3:B66" si="2">YEAR(A3)</f>
        <v>2014</v>
      </c>
      <c r="C3" s="13">
        <f t="shared" ref="C3:C66" si="3">MONTH(A3)</f>
        <v>2</v>
      </c>
      <c r="D3" s="4">
        <f>MonthlyData!L3</f>
        <v>5492485.6816037511</v>
      </c>
      <c r="E3" s="215">
        <f ca="1">Weather!CT39</f>
        <v>736.10085614037712</v>
      </c>
      <c r="F3" s="4">
        <f>MonthlyData!AF3</f>
        <v>750.36010382542349</v>
      </c>
      <c r="G3">
        <f>MonthlyData!BO3</f>
        <v>0</v>
      </c>
      <c r="H3">
        <f>MonthlyData!BP3</f>
        <v>0</v>
      </c>
      <c r="I3">
        <f>MonthlyData!BU3</f>
        <v>0</v>
      </c>
      <c r="J3">
        <f>MonthlyData!BA3</f>
        <v>2.3978952727983707</v>
      </c>
      <c r="L3" s="4"/>
      <c r="M3" s="4">
        <f t="shared" ca="1" si="0"/>
        <v>-19083.073705108869</v>
      </c>
      <c r="N3" s="4"/>
      <c r="O3" s="4"/>
      <c r="P3" s="4">
        <f t="shared" ca="1" si="1"/>
        <v>5473402.6078986423</v>
      </c>
      <c r="Q3" s="17"/>
      <c r="R3" t="s">
        <v>494</v>
      </c>
    </row>
    <row r="4" spans="1:22" x14ac:dyDescent="0.35">
      <c r="A4" s="1">
        <f>MonthlyData!A4</f>
        <v>41699</v>
      </c>
      <c r="B4" s="13">
        <f t="shared" si="2"/>
        <v>2014</v>
      </c>
      <c r="C4" s="13">
        <f t="shared" si="3"/>
        <v>3</v>
      </c>
      <c r="D4" s="4">
        <f>MonthlyData!L4</f>
        <v>5205253.5514411805</v>
      </c>
      <c r="E4" s="215">
        <f ca="1">Weather!CT40</f>
        <v>577.21697535249291</v>
      </c>
      <c r="F4" s="4">
        <f>MonthlyData!AF4</f>
        <v>718.29098039039206</v>
      </c>
      <c r="G4">
        <f>MonthlyData!BO4</f>
        <v>1</v>
      </c>
      <c r="H4">
        <f>MonthlyData!BP4</f>
        <v>0</v>
      </c>
      <c r="I4">
        <f>MonthlyData!BU4</f>
        <v>0</v>
      </c>
      <c r="J4">
        <f>MonthlyData!BA4</f>
        <v>2.4849066497880004</v>
      </c>
      <c r="L4" s="4"/>
      <c r="M4" s="4">
        <f t="shared" ca="1" si="0"/>
        <v>-188798.57447432887</v>
      </c>
      <c r="N4" s="4"/>
      <c r="O4" s="4"/>
      <c r="P4" s="4">
        <f t="shared" ca="1" si="1"/>
        <v>5016454.9769668514</v>
      </c>
      <c r="Q4" s="17"/>
      <c r="R4" t="s">
        <v>463</v>
      </c>
    </row>
    <row r="5" spans="1:22" x14ac:dyDescent="0.35">
      <c r="A5" s="1">
        <f>MonthlyData!A5</f>
        <v>41730</v>
      </c>
      <c r="B5" s="13">
        <f t="shared" si="2"/>
        <v>2014</v>
      </c>
      <c r="C5" s="13">
        <f t="shared" si="3"/>
        <v>4</v>
      </c>
      <c r="D5" s="4">
        <f>MonthlyData!L5</f>
        <v>5094375.0479953764</v>
      </c>
      <c r="E5" s="215">
        <f ca="1">Weather!CT41</f>
        <v>307.33082472275549</v>
      </c>
      <c r="F5" s="4">
        <f>MonthlyData!AF5</f>
        <v>342.04088813973715</v>
      </c>
      <c r="G5">
        <f>MonthlyData!BO5</f>
        <v>1</v>
      </c>
      <c r="H5">
        <f>MonthlyData!BP5</f>
        <v>0</v>
      </c>
      <c r="I5">
        <f>MonthlyData!BU5</f>
        <v>0</v>
      </c>
      <c r="J5">
        <f>MonthlyData!BA5</f>
        <v>2.5649493574615367</v>
      </c>
      <c r="L5" s="4"/>
      <c r="M5" s="4">
        <f t="shared" ca="1" si="0"/>
        <v>-46452.289288017208</v>
      </c>
      <c r="N5" s="4"/>
      <c r="O5" s="4"/>
      <c r="P5" s="4">
        <f t="shared" ca="1" si="1"/>
        <v>5047922.7587073594</v>
      </c>
      <c r="Q5" s="17"/>
      <c r="R5" t="s">
        <v>495</v>
      </c>
    </row>
    <row r="6" spans="1:22" x14ac:dyDescent="0.35">
      <c r="A6" s="1">
        <f>MonthlyData!A6</f>
        <v>41760</v>
      </c>
      <c r="B6" s="13">
        <f t="shared" si="2"/>
        <v>2014</v>
      </c>
      <c r="C6" s="13">
        <f t="shared" si="3"/>
        <v>5</v>
      </c>
      <c r="D6" s="4">
        <f>MonthlyData!L6</f>
        <v>4503046.7282855595</v>
      </c>
      <c r="E6" s="215">
        <f ca="1">Weather!CT42</f>
        <v>103.00647094808046</v>
      </c>
      <c r="F6" s="4">
        <f>MonthlyData!AF6</f>
        <v>76.76559436311274</v>
      </c>
      <c r="G6">
        <f>MonthlyData!BO6</f>
        <v>1</v>
      </c>
      <c r="H6">
        <f>MonthlyData!BP6</f>
        <v>0</v>
      </c>
      <c r="I6">
        <f>MonthlyData!BU6</f>
        <v>0</v>
      </c>
      <c r="J6">
        <f>MonthlyData!BA6</f>
        <v>2.6390573296152584</v>
      </c>
      <c r="L6" s="4"/>
      <c r="M6" s="4">
        <f t="shared" ca="1" si="0"/>
        <v>35118.022564594787</v>
      </c>
      <c r="N6" s="4"/>
      <c r="O6" s="4"/>
      <c r="P6" s="4">
        <f t="shared" ca="1" si="1"/>
        <v>4538164.7508501541</v>
      </c>
      <c r="Q6" s="17"/>
    </row>
    <row r="7" spans="1:22" x14ac:dyDescent="0.35">
      <c r="A7" s="1">
        <f>MonthlyData!A7</f>
        <v>41791</v>
      </c>
      <c r="B7" s="13">
        <f t="shared" si="2"/>
        <v>2014</v>
      </c>
      <c r="C7" s="13">
        <f t="shared" si="3"/>
        <v>6</v>
      </c>
      <c r="D7" s="4">
        <f>MonthlyData!L7</f>
        <v>4204386.9375196481</v>
      </c>
      <c r="E7" s="215">
        <f ca="1">Weather!CT43</f>
        <v>5.5889105735385218</v>
      </c>
      <c r="F7" s="4">
        <f>MonthlyData!AF7</f>
        <v>0</v>
      </c>
      <c r="G7">
        <f>MonthlyData!BO7</f>
        <v>0</v>
      </c>
      <c r="H7">
        <f>MonthlyData!BP7</f>
        <v>0</v>
      </c>
      <c r="I7">
        <f>MonthlyData!BU7</f>
        <v>0</v>
      </c>
      <c r="J7">
        <f>MonthlyData!BA7</f>
        <v>2.7080502011022101</v>
      </c>
      <c r="L7" s="4"/>
      <c r="M7" s="4">
        <f t="shared" ca="1" si="0"/>
        <v>7479.6086555074817</v>
      </c>
      <c r="N7" s="4"/>
      <c r="O7" s="4"/>
      <c r="P7" s="4">
        <f t="shared" ca="1" si="1"/>
        <v>4211866.5461751558</v>
      </c>
      <c r="Q7" s="17"/>
      <c r="S7" t="s">
        <v>84</v>
      </c>
      <c r="T7" t="s">
        <v>85</v>
      </c>
      <c r="U7" t="s">
        <v>86</v>
      </c>
      <c r="V7" t="s">
        <v>87</v>
      </c>
    </row>
    <row r="8" spans="1:22" x14ac:dyDescent="0.35">
      <c r="A8" s="1">
        <f>MonthlyData!A8</f>
        <v>41821</v>
      </c>
      <c r="B8" s="13">
        <f t="shared" si="2"/>
        <v>2014</v>
      </c>
      <c r="C8" s="13">
        <f t="shared" si="3"/>
        <v>7</v>
      </c>
      <c r="D8" s="4">
        <f>MonthlyData!L8</f>
        <v>3991626.629183203</v>
      </c>
      <c r="E8" s="215">
        <f ca="1">Weather!CT44</f>
        <v>0.28709633857318684</v>
      </c>
      <c r="F8" s="4">
        <f>MonthlyData!AF8</f>
        <v>0</v>
      </c>
      <c r="G8">
        <f>MonthlyData!BO8</f>
        <v>0</v>
      </c>
      <c r="H8">
        <f>MonthlyData!BP8</f>
        <v>0</v>
      </c>
      <c r="I8">
        <f>MonthlyData!BU8</f>
        <v>0</v>
      </c>
      <c r="J8">
        <f>MonthlyData!BA8</f>
        <v>2.7725887222397811</v>
      </c>
      <c r="L8" s="4"/>
      <c r="M8" s="4">
        <f t="shared" ca="1" si="0"/>
        <v>384.21947009199431</v>
      </c>
      <c r="N8" s="4"/>
      <c r="O8" s="4"/>
      <c r="P8" s="4">
        <f t="shared" ca="1" si="1"/>
        <v>3992010.8486532951</v>
      </c>
      <c r="Q8" s="17"/>
      <c r="R8" t="s">
        <v>88</v>
      </c>
      <c r="S8" s="4">
        <v>4628412.7605719203</v>
      </c>
      <c r="T8" s="4">
        <v>62142.900317955697</v>
      </c>
      <c r="U8" s="214">
        <v>74.480153595833698</v>
      </c>
      <c r="V8" s="188">
        <v>4.86875215534634E-106</v>
      </c>
    </row>
    <row r="9" spans="1:22" x14ac:dyDescent="0.35">
      <c r="A9" s="1">
        <f>MonthlyData!A9</f>
        <v>41852</v>
      </c>
      <c r="B9" s="13">
        <f t="shared" si="2"/>
        <v>2014</v>
      </c>
      <c r="C9" s="13">
        <f t="shared" si="3"/>
        <v>8</v>
      </c>
      <c r="D9" s="4">
        <f>MonthlyData!L9</f>
        <v>4021137.5263351826</v>
      </c>
      <c r="E9" s="215">
        <f ca="1">Weather!CT45</f>
        <v>1.6761707873342053</v>
      </c>
      <c r="F9" s="4">
        <f>MonthlyData!AF9</f>
        <v>0.84166666666666856</v>
      </c>
      <c r="G9">
        <f>MonthlyData!BO9</f>
        <v>0</v>
      </c>
      <c r="H9">
        <f>MonthlyData!BP9</f>
        <v>0</v>
      </c>
      <c r="I9">
        <f>MonthlyData!BU9</f>
        <v>0</v>
      </c>
      <c r="J9">
        <f>MonthlyData!BA9</f>
        <v>2.8332133440562162</v>
      </c>
      <c r="L9" s="4"/>
      <c r="M9" s="4">
        <f t="shared" ca="1" si="0"/>
        <v>1116.8123307526289</v>
      </c>
      <c r="N9" s="4"/>
      <c r="O9" s="4"/>
      <c r="P9" s="4">
        <f t="shared" ca="1" si="1"/>
        <v>4022254.3386659352</v>
      </c>
      <c r="Q9" s="17"/>
      <c r="R9" t="s">
        <v>13</v>
      </c>
      <c r="S9" s="4">
        <v>1338.29456690911</v>
      </c>
      <c r="T9" s="4">
        <v>124.727265477841</v>
      </c>
      <c r="U9" s="214">
        <v>10.729767559498599</v>
      </c>
      <c r="V9" s="188">
        <v>1.7764004394930999E-19</v>
      </c>
    </row>
    <row r="10" spans="1:22" x14ac:dyDescent="0.35">
      <c r="A10" s="1">
        <f>MonthlyData!A10</f>
        <v>41883</v>
      </c>
      <c r="B10" s="13">
        <f t="shared" si="2"/>
        <v>2014</v>
      </c>
      <c r="C10" s="13">
        <f t="shared" si="3"/>
        <v>9</v>
      </c>
      <c r="D10" s="4">
        <f>MonthlyData!L10</f>
        <v>3923176.9000426033</v>
      </c>
      <c r="E10" s="215">
        <f ca="1">Weather!CT46</f>
        <v>28.222326899712005</v>
      </c>
      <c r="F10" s="4">
        <f>MonthlyData!AF10</f>
        <v>63.679206155876841</v>
      </c>
      <c r="G10">
        <f>MonthlyData!BO10</f>
        <v>0</v>
      </c>
      <c r="H10">
        <f>MonthlyData!BP10</f>
        <v>0</v>
      </c>
      <c r="I10">
        <f>MonthlyData!BU10</f>
        <v>0</v>
      </c>
      <c r="J10">
        <f>MonthlyData!BA10</f>
        <v>2.8903717578961645</v>
      </c>
      <c r="L10" s="4"/>
      <c r="M10" s="4">
        <f t="shared" ca="1" si="0"/>
        <v>-47451.748868077731</v>
      </c>
      <c r="N10" s="4"/>
      <c r="O10" s="4"/>
      <c r="P10" s="4">
        <f t="shared" ca="1" si="1"/>
        <v>3875725.1511745257</v>
      </c>
      <c r="Q10" s="17"/>
      <c r="R10" t="s">
        <v>61</v>
      </c>
      <c r="S10" s="4">
        <v>168249.31587912</v>
      </c>
      <c r="T10" s="4">
        <v>75878.637107740695</v>
      </c>
      <c r="U10" s="214">
        <v>2.21734762631834</v>
      </c>
      <c r="V10" s="188">
        <v>2.8392270456939699E-2</v>
      </c>
    </row>
    <row r="11" spans="1:22" x14ac:dyDescent="0.35">
      <c r="A11" s="1">
        <f>MonthlyData!A11</f>
        <v>41913</v>
      </c>
      <c r="B11" s="13">
        <f t="shared" si="2"/>
        <v>2014</v>
      </c>
      <c r="C11" s="13">
        <f t="shared" si="3"/>
        <v>10</v>
      </c>
      <c r="D11" s="4">
        <f>MonthlyData!L11</f>
        <v>3978006.4763625823</v>
      </c>
      <c r="E11" s="215">
        <f ca="1">Weather!CT47</f>
        <v>178.0244559176316</v>
      </c>
      <c r="F11" s="4">
        <f>MonthlyData!AF11</f>
        <v>180.10416666666666</v>
      </c>
      <c r="G11">
        <f>MonthlyData!BO11</f>
        <v>0</v>
      </c>
      <c r="H11">
        <f>MonthlyData!BP11</f>
        <v>1</v>
      </c>
      <c r="I11">
        <f>MonthlyData!BU11</f>
        <v>0</v>
      </c>
      <c r="J11">
        <f>MonthlyData!BA11</f>
        <v>2.9444389791664403</v>
      </c>
      <c r="L11" s="4"/>
      <c r="M11" s="4">
        <f t="shared" ca="1" si="0"/>
        <v>-2783.2655961760943</v>
      </c>
      <c r="N11" s="4"/>
      <c r="O11" s="4"/>
      <c r="P11" s="4">
        <f t="shared" ca="1" si="1"/>
        <v>3975223.2107664063</v>
      </c>
      <c r="Q11" s="17"/>
      <c r="R11" t="s">
        <v>62</v>
      </c>
      <c r="S11" s="4">
        <v>-269170.44459088001</v>
      </c>
      <c r="T11" s="4">
        <v>84323.616923397596</v>
      </c>
      <c r="U11" s="214">
        <v>-3.1921121793839098</v>
      </c>
      <c r="V11" s="188">
        <v>1.7835380219746099E-3</v>
      </c>
    </row>
    <row r="12" spans="1:22" x14ac:dyDescent="0.35">
      <c r="A12" s="1">
        <f>MonthlyData!A12</f>
        <v>41944</v>
      </c>
      <c r="B12" s="13">
        <f t="shared" si="2"/>
        <v>2014</v>
      </c>
      <c r="C12" s="13">
        <f t="shared" si="3"/>
        <v>11</v>
      </c>
      <c r="D12" s="4">
        <f>MonthlyData!L12</f>
        <v>4529043.158707262</v>
      </c>
      <c r="E12" s="215">
        <f ca="1">Weather!CT48</f>
        <v>403.99833333333333</v>
      </c>
      <c r="F12" s="4">
        <f>MonthlyData!AF12</f>
        <v>525.22500000000002</v>
      </c>
      <c r="G12">
        <f>MonthlyData!BO12</f>
        <v>0</v>
      </c>
      <c r="H12">
        <f>MonthlyData!BP12</f>
        <v>1</v>
      </c>
      <c r="I12">
        <f>MonthlyData!BU12</f>
        <v>0</v>
      </c>
      <c r="J12">
        <f>MonthlyData!BA12</f>
        <v>2.9957322735539909</v>
      </c>
      <c r="L12" s="4"/>
      <c r="M12" s="4">
        <f t="shared" ca="1" si="0"/>
        <v>-162236.98936450173</v>
      </c>
      <c r="N12" s="4"/>
      <c r="O12" s="4"/>
      <c r="P12" s="4">
        <f t="shared" ca="1" si="1"/>
        <v>4366806.16934276</v>
      </c>
      <c r="Q12" s="17"/>
      <c r="S12" s="4"/>
      <c r="T12" s="4"/>
      <c r="U12" s="214"/>
      <c r="V12" s="188"/>
    </row>
    <row r="13" spans="1:22" x14ac:dyDescent="0.35">
      <c r="A13" s="1">
        <f>MonthlyData!A13</f>
        <v>41974</v>
      </c>
      <c r="B13" s="13">
        <f t="shared" si="2"/>
        <v>2014</v>
      </c>
      <c r="C13" s="13">
        <f t="shared" si="3"/>
        <v>12</v>
      </c>
      <c r="D13" s="4">
        <f>MonthlyData!L13</f>
        <v>4865809.7045213087</v>
      </c>
      <c r="E13" s="215">
        <f ca="1">Weather!CT49</f>
        <v>629.70466952460959</v>
      </c>
      <c r="F13" s="4">
        <f>MonthlyData!AF13</f>
        <v>649.30879458660854</v>
      </c>
      <c r="G13">
        <f>MonthlyData!BO13</f>
        <v>0</v>
      </c>
      <c r="H13">
        <f>MonthlyData!BP13</f>
        <v>0</v>
      </c>
      <c r="I13">
        <f>MonthlyData!BU13</f>
        <v>0</v>
      </c>
      <c r="J13">
        <f>MonthlyData!BA13</f>
        <v>3.044522437723423</v>
      </c>
      <c r="L13" s="4"/>
      <c r="M13" s="4">
        <f t="shared" ca="1" si="0"/>
        <v>-26236.094059479925</v>
      </c>
      <c r="N13" s="4"/>
      <c r="O13" s="4"/>
      <c r="P13" s="4">
        <f t="shared" ca="1" si="1"/>
        <v>4839573.6104618283</v>
      </c>
      <c r="Q13" s="17"/>
      <c r="R13" t="s">
        <v>89</v>
      </c>
    </row>
    <row r="14" spans="1:22" x14ac:dyDescent="0.35">
      <c r="A14" s="1">
        <f>MonthlyData!A14</f>
        <v>42005</v>
      </c>
      <c r="B14" s="13">
        <f t="shared" si="2"/>
        <v>2015</v>
      </c>
      <c r="C14" s="13">
        <f t="shared" si="3"/>
        <v>1</v>
      </c>
      <c r="D14" s="4">
        <f>MonthlyData!L14</f>
        <v>5797411.9584572725</v>
      </c>
      <c r="E14" s="13">
        <f ca="1">E2</f>
        <v>793.4846429373913</v>
      </c>
      <c r="F14" s="4">
        <f>MonthlyData!AF14</f>
        <v>888.83475522239621</v>
      </c>
      <c r="G14">
        <f>MonthlyData!BO14</f>
        <v>0</v>
      </c>
      <c r="H14">
        <f>MonthlyData!BP14</f>
        <v>0</v>
      </c>
      <c r="I14">
        <f>MonthlyData!BU14</f>
        <v>0</v>
      </c>
      <c r="J14">
        <f>MonthlyData!BA14</f>
        <v>3.0910424533583161</v>
      </c>
      <c r="L14" s="4"/>
      <c r="M14" s="4">
        <f t="shared" ca="1" si="0"/>
        <v>-127606.53722519566</v>
      </c>
      <c r="N14" s="4"/>
      <c r="O14" s="4"/>
      <c r="P14" s="4">
        <f t="shared" ca="1" si="1"/>
        <v>5669805.4212320773</v>
      </c>
      <c r="Q14" s="17"/>
      <c r="R14" t="s">
        <v>90</v>
      </c>
      <c r="S14" s="320">
        <v>13128559465496.801</v>
      </c>
      <c r="T14" t="s">
        <v>91</v>
      </c>
      <c r="U14" s="4">
        <v>322792.373504752</v>
      </c>
    </row>
    <row r="15" spans="1:22" x14ac:dyDescent="0.35">
      <c r="A15" s="1">
        <f>MonthlyData!A15</f>
        <v>42036</v>
      </c>
      <c r="B15" s="13">
        <f t="shared" si="2"/>
        <v>2015</v>
      </c>
      <c r="C15" s="13">
        <f t="shared" si="3"/>
        <v>2</v>
      </c>
      <c r="D15" s="4">
        <f>MonthlyData!L15</f>
        <v>5302857.4660439594</v>
      </c>
      <c r="E15" s="13">
        <f t="shared" ref="E15:E78" ca="1" si="4">E3</f>
        <v>736.10085614037712</v>
      </c>
      <c r="F15" s="4">
        <f>MonthlyData!AF15</f>
        <v>925.79933618827647</v>
      </c>
      <c r="G15">
        <f>MonthlyData!BO15</f>
        <v>0</v>
      </c>
      <c r="H15">
        <f>MonthlyData!BP15</f>
        <v>0</v>
      </c>
      <c r="I15">
        <f>MonthlyData!BU15</f>
        <v>0</v>
      </c>
      <c r="J15">
        <f>MonthlyData!BA15</f>
        <v>3.1354942159291497</v>
      </c>
      <c r="L15" s="4"/>
      <c r="M15" s="4">
        <f t="shared" ca="1" si="0"/>
        <v>-253872.44519901992</v>
      </c>
      <c r="N15" s="4"/>
      <c r="O15" s="4"/>
      <c r="P15" s="4">
        <f t="shared" ca="1" si="1"/>
        <v>5048985.0208449392</v>
      </c>
      <c r="Q15" s="17"/>
      <c r="R15" t="s">
        <v>92</v>
      </c>
      <c r="S15" s="2">
        <v>0.69025631248081898</v>
      </c>
      <c r="T15" t="s">
        <v>93</v>
      </c>
      <c r="U15" s="321">
        <v>0.68288146277798101</v>
      </c>
    </row>
    <row r="16" spans="1:22" x14ac:dyDescent="0.35">
      <c r="A16" s="1">
        <f>MonthlyData!A16</f>
        <v>42064</v>
      </c>
      <c r="B16" s="13">
        <f t="shared" si="2"/>
        <v>2015</v>
      </c>
      <c r="C16" s="13">
        <f t="shared" si="3"/>
        <v>3</v>
      </c>
      <c r="D16" s="4">
        <f>MonthlyData!L16</f>
        <v>5678996.0917066708</v>
      </c>
      <c r="E16" s="13">
        <f t="shared" ca="1" si="4"/>
        <v>577.21697535249291</v>
      </c>
      <c r="F16" s="4">
        <f>MonthlyData!AF16</f>
        <v>604.8724417886641</v>
      </c>
      <c r="G16">
        <f>MonthlyData!BO16</f>
        <v>1</v>
      </c>
      <c r="H16">
        <f>MonthlyData!BP16</f>
        <v>0</v>
      </c>
      <c r="I16">
        <f>MonthlyData!BU16</f>
        <v>0</v>
      </c>
      <c r="J16">
        <f>MonthlyData!BA16</f>
        <v>3.1780538303479458</v>
      </c>
      <c r="L16" s="4"/>
      <c r="M16" s="4">
        <f t="shared" ca="1" si="0"/>
        <v>-37011.16047686516</v>
      </c>
      <c r="N16" s="4"/>
      <c r="O16" s="4"/>
      <c r="P16" s="4">
        <f t="shared" ca="1" si="1"/>
        <v>5641984.9312298056</v>
      </c>
      <c r="Q16" s="17"/>
      <c r="R16" t="s">
        <v>490</v>
      </c>
      <c r="S16" s="2">
        <v>59.723873476026199</v>
      </c>
      <c r="T16" t="s">
        <v>94</v>
      </c>
      <c r="U16" s="18">
        <v>4.3500025320380703E-24</v>
      </c>
    </row>
    <row r="17" spans="1:21" x14ac:dyDescent="0.35">
      <c r="A17" s="1">
        <f>MonthlyData!A17</f>
        <v>42095</v>
      </c>
      <c r="B17" s="13">
        <f t="shared" si="2"/>
        <v>2015</v>
      </c>
      <c r="C17" s="13">
        <f t="shared" si="3"/>
        <v>4</v>
      </c>
      <c r="D17" s="4">
        <f>MonthlyData!L17</f>
        <v>5164191.0211993633</v>
      </c>
      <c r="E17" s="13">
        <f t="shared" ca="1" si="4"/>
        <v>307.33082472275549</v>
      </c>
      <c r="F17" s="4">
        <f>MonthlyData!AF17</f>
        <v>309.39652575448434</v>
      </c>
      <c r="G17">
        <f>MonthlyData!BO17</f>
        <v>1</v>
      </c>
      <c r="H17">
        <f>MonthlyData!BP17</f>
        <v>0</v>
      </c>
      <c r="I17">
        <f>MonthlyData!BU17</f>
        <v>0</v>
      </c>
      <c r="J17">
        <f>MonthlyData!BA17</f>
        <v>3.2188758248682006</v>
      </c>
      <c r="L17" s="4"/>
      <c r="M17" s="4">
        <f t="shared" ca="1" si="0"/>
        <v>-2764.5164676212626</v>
      </c>
      <c r="N17" s="4"/>
      <c r="O17" s="4"/>
      <c r="P17" s="4">
        <f t="shared" ca="1" si="1"/>
        <v>5161426.5047317417</v>
      </c>
      <c r="Q17" s="17"/>
      <c r="R17" t="s">
        <v>95</v>
      </c>
      <c r="S17" s="2">
        <v>-0.10256059972904499</v>
      </c>
      <c r="T17" t="s">
        <v>96</v>
      </c>
      <c r="U17" s="322">
        <v>2.2005555350152899</v>
      </c>
    </row>
    <row r="18" spans="1:21" x14ac:dyDescent="0.35">
      <c r="A18" s="1">
        <f>MonthlyData!A18</f>
        <v>42125</v>
      </c>
      <c r="B18" s="13">
        <f t="shared" si="2"/>
        <v>2015</v>
      </c>
      <c r="C18" s="13">
        <f t="shared" si="3"/>
        <v>5</v>
      </c>
      <c r="D18" s="4">
        <f>MonthlyData!L18</f>
        <v>4691005.5488500902</v>
      </c>
      <c r="E18" s="13">
        <f t="shared" ca="1" si="4"/>
        <v>103.00647094808046</v>
      </c>
      <c r="F18" s="4">
        <f>MonthlyData!AF18</f>
        <v>288.41468054388343</v>
      </c>
      <c r="G18">
        <f>MonthlyData!BO18</f>
        <v>1</v>
      </c>
      <c r="H18">
        <f>MonthlyData!BP18</f>
        <v>0</v>
      </c>
      <c r="I18">
        <f>MonthlyData!BU18</f>
        <v>0</v>
      </c>
      <c r="J18">
        <f>MonthlyData!BA18</f>
        <v>3.2580965380214821</v>
      </c>
      <c r="L18" s="4"/>
      <c r="M18" s="4">
        <f t="shared" ca="1" si="0"/>
        <v>-248130.79956240865</v>
      </c>
      <c r="N18" s="4"/>
      <c r="O18" s="4"/>
      <c r="P18" s="4">
        <f t="shared" ca="1" si="1"/>
        <v>4442874.7492876817</v>
      </c>
      <c r="Q18" s="17"/>
    </row>
    <row r="19" spans="1:21" x14ac:dyDescent="0.35">
      <c r="A19" s="1">
        <f>MonthlyData!A19</f>
        <v>42156</v>
      </c>
      <c r="B19" s="13">
        <f t="shared" si="2"/>
        <v>2015</v>
      </c>
      <c r="C19" s="13">
        <f t="shared" si="3"/>
        <v>6</v>
      </c>
      <c r="D19" s="4">
        <f>MonthlyData!L19</f>
        <v>4619803.2723334655</v>
      </c>
      <c r="E19" s="13">
        <f t="shared" ca="1" si="4"/>
        <v>5.5889105735385218</v>
      </c>
      <c r="F19" s="4">
        <f>MonthlyData!AF19</f>
        <v>6.6599390687185451</v>
      </c>
      <c r="G19">
        <f>MonthlyData!BO19</f>
        <v>0</v>
      </c>
      <c r="H19">
        <f>MonthlyData!BP19</f>
        <v>0</v>
      </c>
      <c r="I19">
        <f>MonthlyData!BU19</f>
        <v>0</v>
      </c>
      <c r="J19">
        <f>MonthlyData!BA19</f>
        <v>3.2958368660043291</v>
      </c>
      <c r="L19" s="4"/>
      <c r="M19" s="4">
        <f t="shared" ca="1" si="0"/>
        <v>-1433.3516161042651</v>
      </c>
      <c r="N19" s="4"/>
      <c r="O19" s="4"/>
      <c r="P19" s="4">
        <f t="shared" ca="1" si="1"/>
        <v>4618369.9207173614</v>
      </c>
      <c r="Q19" s="17"/>
      <c r="R19" t="s">
        <v>97</v>
      </c>
    </row>
    <row r="20" spans="1:21" x14ac:dyDescent="0.35">
      <c r="A20" s="1">
        <f>MonthlyData!A20</f>
        <v>42186</v>
      </c>
      <c r="B20" s="13">
        <f t="shared" si="2"/>
        <v>2015</v>
      </c>
      <c r="C20" s="13">
        <f t="shared" si="3"/>
        <v>7</v>
      </c>
      <c r="D20" s="4">
        <f>MonthlyData!L20</f>
        <v>4710061.3520165263</v>
      </c>
      <c r="E20" s="13">
        <f t="shared" ca="1" si="4"/>
        <v>0.28709633857318684</v>
      </c>
      <c r="F20" s="4">
        <f>MonthlyData!AF20</f>
        <v>0</v>
      </c>
      <c r="G20">
        <f>MonthlyData!BO20</f>
        <v>0</v>
      </c>
      <c r="H20">
        <f>MonthlyData!BP20</f>
        <v>0</v>
      </c>
      <c r="I20">
        <f>MonthlyData!BU20</f>
        <v>0</v>
      </c>
      <c r="J20">
        <f>MonthlyData!BA20</f>
        <v>3.3322045101752038</v>
      </c>
      <c r="L20" s="4"/>
      <c r="M20" s="4">
        <f t="shared" ca="1" si="0"/>
        <v>384.21947009199431</v>
      </c>
      <c r="N20" s="4"/>
      <c r="O20" s="4"/>
      <c r="P20" s="4">
        <f t="shared" ca="1" si="1"/>
        <v>4710445.5714866184</v>
      </c>
      <c r="Q20" s="17"/>
      <c r="R20" t="s">
        <v>98</v>
      </c>
      <c r="S20">
        <v>5036988.5663118903</v>
      </c>
      <c r="T20" t="s">
        <v>99</v>
      </c>
      <c r="U20">
        <v>570902.30353270005</v>
      </c>
    </row>
    <row r="21" spans="1:21" x14ac:dyDescent="0.35">
      <c r="A21" s="1">
        <f>MonthlyData!A21</f>
        <v>42217</v>
      </c>
      <c r="B21" s="13">
        <f t="shared" si="2"/>
        <v>2015</v>
      </c>
      <c r="C21" s="13">
        <f t="shared" si="3"/>
        <v>8</v>
      </c>
      <c r="D21" s="4">
        <f>MonthlyData!L21</f>
        <v>4805688.3518873435</v>
      </c>
      <c r="E21" s="13">
        <f t="shared" ca="1" si="4"/>
        <v>1.6761707873342053</v>
      </c>
      <c r="F21" s="4">
        <f>MonthlyData!AF21</f>
        <v>0</v>
      </c>
      <c r="G21">
        <f>MonthlyData!BO21</f>
        <v>0</v>
      </c>
      <c r="H21">
        <f>MonthlyData!BP21</f>
        <v>0</v>
      </c>
      <c r="I21">
        <f>MonthlyData!BU21</f>
        <v>0</v>
      </c>
      <c r="J21">
        <f>MonthlyData!BA21</f>
        <v>3.3672958299864741</v>
      </c>
      <c r="L21" s="4"/>
      <c r="M21" s="4">
        <f t="shared" ca="1" si="0"/>
        <v>2243.2102579011321</v>
      </c>
      <c r="N21" s="4"/>
      <c r="O21" s="4"/>
      <c r="P21" s="4">
        <f t="shared" ca="1" si="1"/>
        <v>4807931.5621452443</v>
      </c>
      <c r="Q21" s="17"/>
    </row>
    <row r="22" spans="1:21" x14ac:dyDescent="0.35">
      <c r="A22" s="1">
        <f>MonthlyData!A22</f>
        <v>42248</v>
      </c>
      <c r="B22" s="13">
        <f t="shared" si="2"/>
        <v>2015</v>
      </c>
      <c r="C22" s="13">
        <f t="shared" si="3"/>
        <v>9</v>
      </c>
      <c r="D22" s="4">
        <f>MonthlyData!L22</f>
        <v>4573653.7213467266</v>
      </c>
      <c r="E22" s="13">
        <f t="shared" ca="1" si="4"/>
        <v>28.222326899712005</v>
      </c>
      <c r="F22" s="4">
        <f>MonthlyData!AF22</f>
        <v>16.877396174576482</v>
      </c>
      <c r="G22">
        <f>MonthlyData!BO22</f>
        <v>0</v>
      </c>
      <c r="H22">
        <f>MonthlyData!BP22</f>
        <v>0</v>
      </c>
      <c r="I22">
        <f>MonthlyData!BU22</f>
        <v>0</v>
      </c>
      <c r="J22">
        <f>MonthlyData!BA22</f>
        <v>3.4011973816621555</v>
      </c>
      <c r="L22" s="4"/>
      <c r="M22" s="4">
        <f t="shared" ca="1" si="0"/>
        <v>15182.8591514091</v>
      </c>
      <c r="N22" s="4"/>
      <c r="O22" s="4"/>
      <c r="P22" s="4">
        <f t="shared" ca="1" si="1"/>
        <v>4588836.5804981356</v>
      </c>
      <c r="Q22" s="17"/>
    </row>
    <row r="23" spans="1:21" x14ac:dyDescent="0.35">
      <c r="A23" s="1">
        <f>MonthlyData!A23</f>
        <v>42278</v>
      </c>
      <c r="B23" s="13">
        <f t="shared" si="2"/>
        <v>2015</v>
      </c>
      <c r="C23" s="13">
        <f t="shared" si="3"/>
        <v>10</v>
      </c>
      <c r="D23" s="4">
        <f>MonthlyData!L23</f>
        <v>4637713.1451860107</v>
      </c>
      <c r="E23" s="13">
        <f t="shared" ca="1" si="4"/>
        <v>178.0244559176316</v>
      </c>
      <c r="F23" s="4">
        <f>MonthlyData!AF23</f>
        <v>212.50558278834421</v>
      </c>
      <c r="G23">
        <f>MonthlyData!BO23</f>
        <v>0</v>
      </c>
      <c r="H23">
        <f>MonthlyData!BP23</f>
        <v>1</v>
      </c>
      <c r="I23">
        <f>MonthlyData!BU23</f>
        <v>0</v>
      </c>
      <c r="J23">
        <f>MonthlyData!BA23</f>
        <v>3.4339872044851463</v>
      </c>
      <c r="L23" s="4"/>
      <c r="M23" s="4">
        <f t="shared" ca="1" si="0"/>
        <v>-46145.904751978414</v>
      </c>
      <c r="N23" s="4"/>
      <c r="O23" s="4"/>
      <c r="P23" s="4">
        <f t="shared" ca="1" si="1"/>
        <v>4591567.2404340319</v>
      </c>
      <c r="Q23" s="17"/>
    </row>
    <row r="24" spans="1:21" x14ac:dyDescent="0.35">
      <c r="A24" s="1">
        <f>MonthlyData!A24</f>
        <v>42309</v>
      </c>
      <c r="B24" s="13">
        <f t="shared" si="2"/>
        <v>2015</v>
      </c>
      <c r="C24" s="13">
        <f t="shared" si="3"/>
        <v>11</v>
      </c>
      <c r="D24" s="4">
        <f>MonthlyData!L24</f>
        <v>5000806.2716847491</v>
      </c>
      <c r="E24" s="13">
        <f t="shared" ca="1" si="4"/>
        <v>403.99833333333333</v>
      </c>
      <c r="F24" s="4">
        <f>MonthlyData!AF24</f>
        <v>296.19166666666666</v>
      </c>
      <c r="G24">
        <f>MonthlyData!BO24</f>
        <v>0</v>
      </c>
      <c r="H24">
        <f>MonthlyData!BP24</f>
        <v>1</v>
      </c>
      <c r="I24">
        <f>MonthlyData!BU24</f>
        <v>0</v>
      </c>
      <c r="J24">
        <f>MonthlyData!BA24</f>
        <v>3.4657359027997265</v>
      </c>
      <c r="L24" s="4"/>
      <c r="M24" s="4">
        <f t="shared" ca="1" si="0"/>
        <v>144277.07627658147</v>
      </c>
      <c r="N24" s="4"/>
      <c r="O24" s="4"/>
      <c r="P24" s="4">
        <f t="shared" ca="1" si="1"/>
        <v>5145083.3479613308</v>
      </c>
      <c r="Q24" s="17"/>
    </row>
    <row r="25" spans="1:21" x14ac:dyDescent="0.35">
      <c r="A25" s="1">
        <f>MonthlyData!A25</f>
        <v>42339</v>
      </c>
      <c r="B25" s="13">
        <f t="shared" si="2"/>
        <v>2015</v>
      </c>
      <c r="C25" s="13">
        <f t="shared" si="3"/>
        <v>12</v>
      </c>
      <c r="D25" s="4">
        <f>MonthlyData!L25</f>
        <v>5163413.1924942695</v>
      </c>
      <c r="E25" s="13">
        <f t="shared" ca="1" si="4"/>
        <v>629.70466952460959</v>
      </c>
      <c r="F25" s="4">
        <f>MonthlyData!AF25</f>
        <v>465.28749999999997</v>
      </c>
      <c r="G25">
        <f>MonthlyData!BO25</f>
        <v>0</v>
      </c>
      <c r="H25">
        <f>MonthlyData!BP25</f>
        <v>0</v>
      </c>
      <c r="I25">
        <f>MonthlyData!BU25</f>
        <v>0</v>
      </c>
      <c r="J25">
        <f>MonthlyData!BA25</f>
        <v>3.4965075614664802</v>
      </c>
      <c r="L25" s="4"/>
      <c r="M25" s="4">
        <f t="shared" ca="1" si="0"/>
        <v>220038.60468135914</v>
      </c>
      <c r="N25" s="4"/>
      <c r="O25" s="4"/>
      <c r="P25" s="4">
        <f t="shared" ca="1" si="1"/>
        <v>5383451.7971756291</v>
      </c>
      <c r="Q25" s="17"/>
    </row>
    <row r="26" spans="1:21" x14ac:dyDescent="0.35">
      <c r="A26" s="1">
        <f>MonthlyData!A26</f>
        <v>42370</v>
      </c>
      <c r="B26" s="13">
        <f t="shared" si="2"/>
        <v>2016</v>
      </c>
      <c r="C26" s="13">
        <f t="shared" si="3"/>
        <v>1</v>
      </c>
      <c r="D26" s="4">
        <f>MonthlyData!L26</f>
        <v>5610843.9789451323</v>
      </c>
      <c r="E26" s="13">
        <f t="shared" ca="1" si="4"/>
        <v>793.4846429373913</v>
      </c>
      <c r="F26" s="4">
        <f>MonthlyData!AF26</f>
        <v>718.46798406531877</v>
      </c>
      <c r="G26">
        <f>MonthlyData!BO26</f>
        <v>0</v>
      </c>
      <c r="H26">
        <f>MonthlyData!BP26</f>
        <v>0</v>
      </c>
      <c r="I26">
        <f>MonthlyData!BU26</f>
        <v>0</v>
      </c>
      <c r="J26">
        <f>MonthlyData!BA26</f>
        <v>3.5263605246161616</v>
      </c>
      <c r="L26" s="4"/>
      <c r="M26" s="4">
        <f t="shared" ca="1" si="0"/>
        <v>100394.38699616875</v>
      </c>
      <c r="N26" s="4"/>
      <c r="O26" s="4"/>
      <c r="P26" s="4">
        <f t="shared" ca="1" si="1"/>
        <v>5711238.365941301</v>
      </c>
      <c r="Q26" s="17"/>
    </row>
    <row r="27" spans="1:21" x14ac:dyDescent="0.35">
      <c r="A27" s="1">
        <f>MonthlyData!A27</f>
        <v>42401</v>
      </c>
      <c r="B27" s="13">
        <f t="shared" si="2"/>
        <v>2016</v>
      </c>
      <c r="C27" s="13">
        <f t="shared" si="3"/>
        <v>2</v>
      </c>
      <c r="D27" s="4">
        <f>MonthlyData!L27</f>
        <v>5938550.2731708772</v>
      </c>
      <c r="E27" s="13">
        <f t="shared" ca="1" si="4"/>
        <v>736.10085614037712</v>
      </c>
      <c r="F27" s="4">
        <f>MonthlyData!AF27</f>
        <v>732.41995472340568</v>
      </c>
      <c r="G27">
        <f>MonthlyData!BO27</f>
        <v>0</v>
      </c>
      <c r="H27">
        <f>MonthlyData!BP27</f>
        <v>0</v>
      </c>
      <c r="I27">
        <f>MonthlyData!BU27</f>
        <v>0</v>
      </c>
      <c r="J27">
        <f>MonthlyData!BA27</f>
        <v>3.5553480614894135</v>
      </c>
      <c r="L27" s="4"/>
      <c r="M27" s="4">
        <f t="shared" ca="1" si="0"/>
        <v>4926.1303676609195</v>
      </c>
      <c r="N27" s="4"/>
      <c r="O27" s="4"/>
      <c r="P27" s="4">
        <f t="shared" ca="1" si="1"/>
        <v>5943476.4035385381</v>
      </c>
      <c r="Q27" s="17"/>
    </row>
    <row r="28" spans="1:21" x14ac:dyDescent="0.35">
      <c r="A28" s="1">
        <f>MonthlyData!A28</f>
        <v>42430</v>
      </c>
      <c r="B28" s="13">
        <f t="shared" si="2"/>
        <v>2016</v>
      </c>
      <c r="C28" s="13">
        <f t="shared" si="3"/>
        <v>3</v>
      </c>
      <c r="D28" s="4">
        <f>MonthlyData!L28</f>
        <v>5861937.9148002611</v>
      </c>
      <c r="E28" s="13">
        <f t="shared" ca="1" si="4"/>
        <v>577.21697535249291</v>
      </c>
      <c r="F28" s="4">
        <f>MonthlyData!AF28</f>
        <v>515.41411900761977</v>
      </c>
      <c r="G28">
        <f>MonthlyData!BO28</f>
        <v>1</v>
      </c>
      <c r="H28">
        <f>MonthlyData!BP28</f>
        <v>0</v>
      </c>
      <c r="I28">
        <f>MonthlyData!BU28</f>
        <v>0</v>
      </c>
      <c r="J28">
        <f>MonthlyData!BA28</f>
        <v>3.5835189384561099</v>
      </c>
      <c r="L28" s="4"/>
      <c r="M28" s="4">
        <f t="shared" ca="1" si="0"/>
        <v>82710.426865807938</v>
      </c>
      <c r="N28" s="4"/>
      <c r="O28" s="4"/>
      <c r="P28" s="4">
        <f t="shared" ca="1" si="1"/>
        <v>5944648.3416660689</v>
      </c>
      <c r="Q28" s="17"/>
    </row>
    <row r="29" spans="1:21" x14ac:dyDescent="0.35">
      <c r="A29" s="1">
        <f>MonthlyData!A29</f>
        <v>42461</v>
      </c>
      <c r="B29" s="13">
        <f t="shared" si="2"/>
        <v>2016</v>
      </c>
      <c r="C29" s="13">
        <f t="shared" si="3"/>
        <v>4</v>
      </c>
      <c r="D29" s="4">
        <f>MonthlyData!L29</f>
        <v>5803468.9371351451</v>
      </c>
      <c r="E29" s="13">
        <f t="shared" ca="1" si="4"/>
        <v>307.33082472275549</v>
      </c>
      <c r="F29" s="4">
        <f>MonthlyData!AF29</f>
        <v>361.875</v>
      </c>
      <c r="G29">
        <f>MonthlyData!BO29</f>
        <v>1</v>
      </c>
      <c r="H29">
        <f>MonthlyData!BP29</f>
        <v>0</v>
      </c>
      <c r="I29">
        <f>MonthlyData!BU29</f>
        <v>0</v>
      </c>
      <c r="J29">
        <f>MonthlyData!BA29</f>
        <v>3.6109179126442243</v>
      </c>
      <c r="L29" s="4"/>
      <c r="M29" s="4">
        <f t="shared" ca="1" si="0"/>
        <v>-72996.173430074516</v>
      </c>
      <c r="N29" s="4"/>
      <c r="O29" s="4"/>
      <c r="P29" s="4">
        <f t="shared" ca="1" si="1"/>
        <v>5730472.7637050701</v>
      </c>
      <c r="Q29" s="17"/>
    </row>
    <row r="30" spans="1:21" x14ac:dyDescent="0.35">
      <c r="A30" s="1">
        <f>MonthlyData!A30</f>
        <v>42491</v>
      </c>
      <c r="B30" s="13">
        <f t="shared" si="2"/>
        <v>2016</v>
      </c>
      <c r="C30" s="13">
        <f t="shared" si="3"/>
        <v>5</v>
      </c>
      <c r="D30" s="4">
        <f>MonthlyData!L30</f>
        <v>4864263.5138979312</v>
      </c>
      <c r="E30" s="13">
        <f t="shared" ca="1" si="4"/>
        <v>103.00647094808046</v>
      </c>
      <c r="F30" s="4">
        <f>MonthlyData!AF30</f>
        <v>72.507170139097227</v>
      </c>
      <c r="G30">
        <f>MonthlyData!BO30</f>
        <v>1</v>
      </c>
      <c r="H30">
        <f>MonthlyData!BP30</f>
        <v>0</v>
      </c>
      <c r="I30">
        <f>MonthlyData!BU30</f>
        <v>0</v>
      </c>
      <c r="J30">
        <f>MonthlyData!BA30</f>
        <v>3.6375861597263857</v>
      </c>
      <c r="L30" s="4"/>
      <c r="M30" s="4">
        <f t="shared" ca="1" si="0"/>
        <v>40817.048567188889</v>
      </c>
      <c r="N30" s="4"/>
      <c r="O30" s="4"/>
      <c r="P30" s="4">
        <f t="shared" ca="1" si="1"/>
        <v>4905080.5624651201</v>
      </c>
      <c r="Q30" s="17"/>
    </row>
    <row r="31" spans="1:21" x14ac:dyDescent="0.35">
      <c r="A31" s="1">
        <f>MonthlyData!A31</f>
        <v>42522</v>
      </c>
      <c r="B31" s="13">
        <f t="shared" si="2"/>
        <v>2016</v>
      </c>
      <c r="C31" s="13">
        <f t="shared" si="3"/>
        <v>6</v>
      </c>
      <c r="D31" s="4">
        <f>MonthlyData!L31</f>
        <v>4805725.6259411508</v>
      </c>
      <c r="E31" s="13">
        <f t="shared" ca="1" si="4"/>
        <v>5.5889105735385218</v>
      </c>
      <c r="F31" s="4">
        <f>MonthlyData!AF31</f>
        <v>10.937500000000002</v>
      </c>
      <c r="G31">
        <f>MonthlyData!BO31</f>
        <v>0</v>
      </c>
      <c r="H31">
        <f>MonthlyData!BP31</f>
        <v>0</v>
      </c>
      <c r="I31">
        <f>MonthlyData!BU31</f>
        <v>0</v>
      </c>
      <c r="J31">
        <f>MonthlyData!BA31</f>
        <v>3.6635616461296463</v>
      </c>
      <c r="L31" s="4"/>
      <c r="M31" s="4">
        <f t="shared" ca="1" si="0"/>
        <v>-7157.9881700609112</v>
      </c>
      <c r="N31" s="4"/>
      <c r="O31" s="4"/>
      <c r="P31" s="4">
        <f t="shared" ca="1" si="1"/>
        <v>4798567.6377710896</v>
      </c>
      <c r="Q31" s="17"/>
    </row>
    <row r="32" spans="1:21" x14ac:dyDescent="0.35">
      <c r="A32" s="1">
        <f>MonthlyData!A32</f>
        <v>42552</v>
      </c>
      <c r="B32" s="13">
        <f t="shared" si="2"/>
        <v>2016</v>
      </c>
      <c r="C32" s="13">
        <f t="shared" si="3"/>
        <v>7</v>
      </c>
      <c r="D32" s="4">
        <f>MonthlyData!L32</f>
        <v>4625937.583049966</v>
      </c>
      <c r="E32" s="13">
        <f t="shared" ca="1" si="4"/>
        <v>0.28709633857318684</v>
      </c>
      <c r="F32" s="4">
        <f>MonthlyData!AF32</f>
        <v>0</v>
      </c>
      <c r="G32">
        <f>MonthlyData!BO32</f>
        <v>0</v>
      </c>
      <c r="H32">
        <f>MonthlyData!BP32</f>
        <v>0</v>
      </c>
      <c r="I32">
        <f>MonthlyData!BU32</f>
        <v>0</v>
      </c>
      <c r="J32">
        <f>MonthlyData!BA32</f>
        <v>3.6888794541139363</v>
      </c>
      <c r="L32" s="4"/>
      <c r="M32" s="4">
        <f t="shared" ca="1" si="0"/>
        <v>384.21947009199431</v>
      </c>
      <c r="N32" s="4"/>
      <c r="O32" s="4"/>
      <c r="P32" s="4">
        <f t="shared" ca="1" si="1"/>
        <v>4626321.8025200581</v>
      </c>
      <c r="Q32" s="17"/>
    </row>
    <row r="33" spans="1:17" x14ac:dyDescent="0.35">
      <c r="A33" s="1">
        <f>MonthlyData!A33</f>
        <v>42583</v>
      </c>
      <c r="B33" s="13">
        <f t="shared" si="2"/>
        <v>2016</v>
      </c>
      <c r="C33" s="13">
        <f t="shared" si="3"/>
        <v>8</v>
      </c>
      <c r="D33" s="4">
        <f>MonthlyData!L33</f>
        <v>4693525.5028378628</v>
      </c>
      <c r="E33" s="13">
        <f t="shared" ca="1" si="4"/>
        <v>1.6761707873342053</v>
      </c>
      <c r="F33" s="4">
        <f>MonthlyData!AF33</f>
        <v>0</v>
      </c>
      <c r="G33">
        <f>MonthlyData!BO33</f>
        <v>0</v>
      </c>
      <c r="H33">
        <f>MonthlyData!BP33</f>
        <v>0</v>
      </c>
      <c r="I33">
        <f>MonthlyData!BU33</f>
        <v>0</v>
      </c>
      <c r="J33">
        <f>MonthlyData!BA33</f>
        <v>3.713572066704308</v>
      </c>
      <c r="L33" s="4"/>
      <c r="M33" s="4">
        <f t="shared" ca="1" si="0"/>
        <v>2243.2102579011321</v>
      </c>
      <c r="N33" s="4"/>
      <c r="O33" s="4"/>
      <c r="P33" s="4">
        <f t="shared" ca="1" si="1"/>
        <v>4695768.7130957637</v>
      </c>
      <c r="Q33" s="17"/>
    </row>
    <row r="34" spans="1:17" x14ac:dyDescent="0.35">
      <c r="A34" s="1">
        <f>MonthlyData!A34</f>
        <v>42614</v>
      </c>
      <c r="B34" s="13">
        <f t="shared" si="2"/>
        <v>2016</v>
      </c>
      <c r="C34" s="13">
        <f t="shared" si="3"/>
        <v>9</v>
      </c>
      <c r="D34" s="4">
        <f>MonthlyData!L34</f>
        <v>4875327.736911172</v>
      </c>
      <c r="E34" s="13">
        <f t="shared" ca="1" si="4"/>
        <v>28.222326899712005</v>
      </c>
      <c r="F34" s="4">
        <f>MonthlyData!AF34</f>
        <v>7.7458333333333318</v>
      </c>
      <c r="G34">
        <f>MonthlyData!BO34</f>
        <v>0</v>
      </c>
      <c r="H34">
        <f>MonthlyData!BP34</f>
        <v>0</v>
      </c>
      <c r="I34">
        <f>MonthlyData!BU34</f>
        <v>0</v>
      </c>
      <c r="J34">
        <f>MonthlyData!BA34</f>
        <v>3.7376696182833684</v>
      </c>
      <c r="L34" s="4"/>
      <c r="M34" s="4">
        <f t="shared" ref="M34:M65" ca="1" si="5">(E34-F34)*$S$9</f>
        <v>27403.580089233921</v>
      </c>
      <c r="N34" s="4"/>
      <c r="O34" s="4"/>
      <c r="P34" s="4">
        <f t="shared" ref="P34:P65" ca="1" si="6">D34+M34</f>
        <v>4902731.3170004059</v>
      </c>
      <c r="Q34" s="17"/>
    </row>
    <row r="35" spans="1:17" x14ac:dyDescent="0.35">
      <c r="A35" s="1">
        <f>MonthlyData!A35</f>
        <v>42644</v>
      </c>
      <c r="B35" s="13">
        <f t="shared" si="2"/>
        <v>2016</v>
      </c>
      <c r="C35" s="13">
        <f t="shared" si="3"/>
        <v>10</v>
      </c>
      <c r="D35" s="4">
        <f>MonthlyData!L35</f>
        <v>4781382.9421369703</v>
      </c>
      <c r="E35" s="13">
        <f t="shared" ca="1" si="4"/>
        <v>178.0244559176316</v>
      </c>
      <c r="F35" s="4">
        <f>MonthlyData!AF35</f>
        <v>165.32732502849939</v>
      </c>
      <c r="G35">
        <f>MonthlyData!BO35</f>
        <v>0</v>
      </c>
      <c r="H35">
        <f>MonthlyData!BP35</f>
        <v>1</v>
      </c>
      <c r="I35">
        <f>MonthlyData!BU35</f>
        <v>0</v>
      </c>
      <c r="J35">
        <f>MonthlyData!BA35</f>
        <v>3.7612001156935624</v>
      </c>
      <c r="L35" s="4"/>
      <c r="M35" s="4">
        <f t="shared" ca="1" si="5"/>
        <v>16992.501284259477</v>
      </c>
      <c r="N35" s="4"/>
      <c r="O35" s="4"/>
      <c r="P35" s="4">
        <f t="shared" ca="1" si="6"/>
        <v>4798375.4434212297</v>
      </c>
      <c r="Q35" s="17"/>
    </row>
    <row r="36" spans="1:17" x14ac:dyDescent="0.35">
      <c r="A36" s="1">
        <f>MonthlyData!A36</f>
        <v>42675</v>
      </c>
      <c r="B36" s="13">
        <f t="shared" si="2"/>
        <v>2016</v>
      </c>
      <c r="C36" s="13">
        <f t="shared" si="3"/>
        <v>11</v>
      </c>
      <c r="D36" s="4">
        <f>MonthlyData!L36</f>
        <v>4951948.8038693545</v>
      </c>
      <c r="E36" s="13">
        <f t="shared" ca="1" si="4"/>
        <v>403.99833333333333</v>
      </c>
      <c r="F36" s="4">
        <f>MonthlyData!AF36</f>
        <v>267.69583333333338</v>
      </c>
      <c r="G36">
        <f>MonthlyData!BO36</f>
        <v>0</v>
      </c>
      <c r="H36">
        <f>MonthlyData!BP36</f>
        <v>1</v>
      </c>
      <c r="I36">
        <f>MonthlyData!BU36</f>
        <v>0</v>
      </c>
      <c r="J36">
        <f>MonthlyData!BA36</f>
        <v>3.784189633918261</v>
      </c>
      <c r="L36" s="4"/>
      <c r="M36" s="4">
        <f t="shared" ca="1" si="5"/>
        <v>182412.89520612892</v>
      </c>
      <c r="N36" s="4"/>
      <c r="O36" s="4"/>
      <c r="P36" s="4">
        <f t="shared" ca="1" si="6"/>
        <v>5134361.6990754837</v>
      </c>
      <c r="Q36" s="17"/>
    </row>
    <row r="37" spans="1:17" x14ac:dyDescent="0.35">
      <c r="A37" s="1">
        <f>MonthlyData!A37</f>
        <v>42705</v>
      </c>
      <c r="B37" s="13">
        <f t="shared" si="2"/>
        <v>2016</v>
      </c>
      <c r="C37" s="13">
        <f t="shared" si="3"/>
        <v>12</v>
      </c>
      <c r="D37" s="4">
        <f>MonthlyData!L37</f>
        <v>5310474.9763673358</v>
      </c>
      <c r="E37" s="13">
        <f t="shared" ca="1" si="4"/>
        <v>629.70466952460959</v>
      </c>
      <c r="F37" s="4">
        <f>MonthlyData!AF37</f>
        <v>649.50833333333321</v>
      </c>
      <c r="G37">
        <f>MonthlyData!BO37</f>
        <v>0</v>
      </c>
      <c r="H37">
        <f>MonthlyData!BP37</f>
        <v>0</v>
      </c>
      <c r="I37">
        <f>MonthlyData!BU37</f>
        <v>0</v>
      </c>
      <c r="J37">
        <f>MonthlyData!BA37</f>
        <v>3.8066624897703196</v>
      </c>
      <c r="L37" s="4"/>
      <c r="M37" s="4">
        <f t="shared" ca="1" si="5"/>
        <v>-26503.135680109401</v>
      </c>
      <c r="N37" s="4"/>
      <c r="O37" s="4"/>
      <c r="P37" s="4">
        <f t="shared" ca="1" si="6"/>
        <v>5283971.8406872265</v>
      </c>
      <c r="Q37" s="17"/>
    </row>
    <row r="38" spans="1:17" x14ac:dyDescent="0.35">
      <c r="A38" s="1">
        <f>MonthlyData!A38</f>
        <v>42736</v>
      </c>
      <c r="B38" s="13">
        <f t="shared" si="2"/>
        <v>2017</v>
      </c>
      <c r="C38" s="13">
        <f t="shared" si="3"/>
        <v>1</v>
      </c>
      <c r="D38" s="4">
        <f>MonthlyData!L38</f>
        <v>5974612.5644854195</v>
      </c>
      <c r="E38" s="13">
        <f t="shared" ca="1" si="4"/>
        <v>793.4846429373913</v>
      </c>
      <c r="F38" s="4">
        <f>MonthlyData!AF38</f>
        <v>625.60416666666674</v>
      </c>
      <c r="G38">
        <f>MonthlyData!BO38</f>
        <v>0</v>
      </c>
      <c r="H38">
        <f>MonthlyData!BP38</f>
        <v>0</v>
      </c>
      <c r="I38">
        <f>MonthlyData!BU38</f>
        <v>0</v>
      </c>
      <c r="J38">
        <f>MonthlyData!BA38</f>
        <v>3.8286413964890951</v>
      </c>
      <c r="L38" s="4"/>
      <c r="M38" s="4">
        <f t="shared" ca="1" si="5"/>
        <v>224673.52928322443</v>
      </c>
      <c r="N38" s="4"/>
      <c r="O38" s="4"/>
      <c r="P38" s="4">
        <f t="shared" ca="1" si="6"/>
        <v>6199286.0937686441</v>
      </c>
      <c r="Q38" s="17"/>
    </row>
    <row r="39" spans="1:17" x14ac:dyDescent="0.35">
      <c r="A39" s="1">
        <f>MonthlyData!A39</f>
        <v>42767</v>
      </c>
      <c r="B39" s="13">
        <f t="shared" si="2"/>
        <v>2017</v>
      </c>
      <c r="C39" s="13">
        <f t="shared" si="3"/>
        <v>2</v>
      </c>
      <c r="D39" s="4">
        <f>MonthlyData!L39</f>
        <v>5686591.1746847741</v>
      </c>
      <c r="E39" s="13">
        <f t="shared" ca="1" si="4"/>
        <v>736.10085614037712</v>
      </c>
      <c r="F39" s="4">
        <f>MonthlyData!AF39</f>
        <v>608.23750000000007</v>
      </c>
      <c r="G39">
        <f>MonthlyData!BO39</f>
        <v>0</v>
      </c>
      <c r="H39">
        <f>MonthlyData!BP39</f>
        <v>0</v>
      </c>
      <c r="I39">
        <f>MonthlyData!BU39</f>
        <v>0</v>
      </c>
      <c r="J39">
        <f>MonthlyData!BA39</f>
        <v>3.8501476017100584</v>
      </c>
      <c r="L39" s="4"/>
      <c r="M39" s="4">
        <f t="shared" ca="1" si="5"/>
        <v>171118.8348294312</v>
      </c>
      <c r="N39" s="4"/>
      <c r="O39" s="4"/>
      <c r="P39" s="4">
        <f t="shared" ca="1" si="6"/>
        <v>5857710.0095142052</v>
      </c>
      <c r="Q39" s="17"/>
    </row>
    <row r="40" spans="1:17" x14ac:dyDescent="0.35">
      <c r="A40" s="1">
        <f>MonthlyData!A40</f>
        <v>42795</v>
      </c>
      <c r="B40" s="13">
        <f t="shared" si="2"/>
        <v>2017</v>
      </c>
      <c r="C40" s="13">
        <f t="shared" si="3"/>
        <v>3</v>
      </c>
      <c r="D40" s="4">
        <f>MonthlyData!L40</f>
        <v>5518508.6786422282</v>
      </c>
      <c r="E40" s="13">
        <f t="shared" ca="1" si="4"/>
        <v>577.21697535249291</v>
      </c>
      <c r="F40" s="4">
        <f>MonthlyData!AF40</f>
        <v>573.71046635567325</v>
      </c>
      <c r="G40">
        <f>MonthlyData!BO40</f>
        <v>1</v>
      </c>
      <c r="H40">
        <f>MonthlyData!BP40</f>
        <v>0</v>
      </c>
      <c r="I40">
        <f>MonthlyData!BU40</f>
        <v>0</v>
      </c>
      <c r="J40">
        <f>MonthlyData!BA40</f>
        <v>3.8712010109078911</v>
      </c>
      <c r="L40" s="4"/>
      <c r="M40" s="4">
        <f t="shared" ca="1" si="5"/>
        <v>4692.7419392616666</v>
      </c>
      <c r="N40" s="4"/>
      <c r="O40" s="4"/>
      <c r="P40" s="4">
        <f t="shared" ca="1" si="6"/>
        <v>5523201.4205814898</v>
      </c>
      <c r="Q40" s="17"/>
    </row>
    <row r="41" spans="1:17" x14ac:dyDescent="0.35">
      <c r="A41" s="1">
        <f>MonthlyData!A41</f>
        <v>42826</v>
      </c>
      <c r="B41" s="13">
        <f t="shared" si="2"/>
        <v>2017</v>
      </c>
      <c r="C41" s="13">
        <f t="shared" si="3"/>
        <v>4</v>
      </c>
      <c r="D41" s="4">
        <f>MonthlyData!L41</f>
        <v>6035869.6654608296</v>
      </c>
      <c r="E41" s="13">
        <f t="shared" ca="1" si="4"/>
        <v>307.33082472275549</v>
      </c>
      <c r="F41" s="4">
        <f>MonthlyData!AF41</f>
        <v>246.73333333333338</v>
      </c>
      <c r="G41">
        <f>MonthlyData!BO41</f>
        <v>1</v>
      </c>
      <c r="H41">
        <f>MonthlyData!BP41</f>
        <v>0</v>
      </c>
      <c r="I41">
        <f>MonthlyData!BU41</f>
        <v>0</v>
      </c>
      <c r="J41">
        <f>MonthlyData!BA41</f>
        <v>3.8918202981106265</v>
      </c>
      <c r="L41" s="4"/>
      <c r="M41" s="4">
        <f t="shared" ca="1" si="5"/>
        <v>81097.29349478519</v>
      </c>
      <c r="N41" s="4"/>
      <c r="O41" s="4"/>
      <c r="P41" s="4">
        <f t="shared" ca="1" si="6"/>
        <v>6116966.9589556148</v>
      </c>
      <c r="Q41" s="17"/>
    </row>
    <row r="42" spans="1:17" x14ac:dyDescent="0.35">
      <c r="A42" s="1">
        <f>MonthlyData!A42</f>
        <v>42856</v>
      </c>
      <c r="B42" s="13">
        <f t="shared" si="2"/>
        <v>2017</v>
      </c>
      <c r="C42" s="13">
        <f t="shared" si="3"/>
        <v>5</v>
      </c>
      <c r="D42" s="4">
        <f>MonthlyData!L42</f>
        <v>4816596.5794345047</v>
      </c>
      <c r="E42" s="13">
        <f t="shared" ca="1" si="4"/>
        <v>103.00647094808046</v>
      </c>
      <c r="F42" s="4">
        <f>MonthlyData!AF42</f>
        <v>94.194629289914161</v>
      </c>
      <c r="G42">
        <f>MonthlyData!BO42</f>
        <v>1</v>
      </c>
      <c r="H42">
        <f>MonthlyData!BP42</f>
        <v>0</v>
      </c>
      <c r="I42">
        <f>MonthlyData!BU42</f>
        <v>0</v>
      </c>
      <c r="J42">
        <f>MonthlyData!BA42</f>
        <v>3.912023005428146</v>
      </c>
      <c r="L42" s="4"/>
      <c r="M42" s="4">
        <f t="shared" ca="1" si="5"/>
        <v>11792.839815587324</v>
      </c>
      <c r="N42" s="4"/>
      <c r="O42" s="4"/>
      <c r="P42" s="4">
        <f t="shared" ca="1" si="6"/>
        <v>4828389.4192500925</v>
      </c>
      <c r="Q42" s="17"/>
    </row>
    <row r="43" spans="1:17" x14ac:dyDescent="0.35">
      <c r="A43" s="1">
        <f>MonthlyData!A43</f>
        <v>42887</v>
      </c>
      <c r="B43" s="13">
        <f t="shared" si="2"/>
        <v>2017</v>
      </c>
      <c r="C43" s="13">
        <f t="shared" si="3"/>
        <v>6</v>
      </c>
      <c r="D43" s="4">
        <f>MonthlyData!L43</f>
        <v>4895140.6478665583</v>
      </c>
      <c r="E43" s="13">
        <f t="shared" ca="1" si="4"/>
        <v>5.5889105735385218</v>
      </c>
      <c r="F43" s="4">
        <f>MonthlyData!AF43</f>
        <v>4.8083333333333345</v>
      </c>
      <c r="G43">
        <f>MonthlyData!BO43</f>
        <v>0</v>
      </c>
      <c r="H43">
        <f>MonthlyData!BP43</f>
        <v>0</v>
      </c>
      <c r="I43">
        <f>MonthlyData!BU43</f>
        <v>0</v>
      </c>
      <c r="J43">
        <f>MonthlyData!BA43</f>
        <v>3.9318256327243257</v>
      </c>
      <c r="L43" s="4"/>
      <c r="M43" s="4">
        <f t="shared" ca="1" si="5"/>
        <v>1044.6422796195095</v>
      </c>
      <c r="N43" s="4"/>
      <c r="O43" s="4"/>
      <c r="P43" s="4">
        <f t="shared" ca="1" si="6"/>
        <v>4896185.2901461776</v>
      </c>
      <c r="Q43" s="17"/>
    </row>
    <row r="44" spans="1:17" x14ac:dyDescent="0.35">
      <c r="A44" s="1">
        <f>MonthlyData!A44</f>
        <v>42917</v>
      </c>
      <c r="B44" s="13">
        <f t="shared" si="2"/>
        <v>2017</v>
      </c>
      <c r="C44" s="13">
        <f t="shared" si="3"/>
        <v>7</v>
      </c>
      <c r="D44" s="4">
        <f>MonthlyData!L44</f>
        <v>4776705.6949543077</v>
      </c>
      <c r="E44" s="13">
        <f t="shared" ca="1" si="4"/>
        <v>0.28709633857318684</v>
      </c>
      <c r="F44" s="4">
        <f>MonthlyData!AF44</f>
        <v>0</v>
      </c>
      <c r="G44">
        <f>MonthlyData!BO44</f>
        <v>0</v>
      </c>
      <c r="H44">
        <f>MonthlyData!BP44</f>
        <v>0</v>
      </c>
      <c r="I44">
        <f>MonthlyData!BU44</f>
        <v>0</v>
      </c>
      <c r="J44">
        <f>MonthlyData!BA44</f>
        <v>3.9512437185814275</v>
      </c>
      <c r="L44" s="4"/>
      <c r="M44" s="4">
        <f t="shared" ca="1" si="5"/>
        <v>384.21947009199431</v>
      </c>
      <c r="N44" s="4"/>
      <c r="O44" s="4"/>
      <c r="P44" s="4">
        <f t="shared" ca="1" si="6"/>
        <v>4777089.9144243998</v>
      </c>
      <c r="Q44" s="17"/>
    </row>
    <row r="45" spans="1:17" x14ac:dyDescent="0.35">
      <c r="A45" s="1">
        <f>MonthlyData!A45</f>
        <v>42948</v>
      </c>
      <c r="B45" s="13">
        <f t="shared" si="2"/>
        <v>2017</v>
      </c>
      <c r="C45" s="13">
        <f t="shared" si="3"/>
        <v>8</v>
      </c>
      <c r="D45" s="4">
        <f>MonthlyData!L45</f>
        <v>4477006.0429346347</v>
      </c>
      <c r="E45" s="13">
        <f t="shared" ca="1" si="4"/>
        <v>1.6761707873342053</v>
      </c>
      <c r="F45" s="4">
        <f>MonthlyData!AF45</f>
        <v>2.2708333333333357</v>
      </c>
      <c r="G45">
        <f>MonthlyData!BO45</f>
        <v>0</v>
      </c>
      <c r="H45">
        <f>MonthlyData!BP45</f>
        <v>0</v>
      </c>
      <c r="I45">
        <f>MonthlyData!BU45</f>
        <v>0</v>
      </c>
      <c r="J45">
        <f>MonthlyData!BA45</f>
        <v>3.970291913552122</v>
      </c>
      <c r="L45" s="4"/>
      <c r="M45" s="4">
        <f t="shared" ca="1" si="5"/>
        <v>-795.83365445497486</v>
      </c>
      <c r="N45" s="4"/>
      <c r="O45" s="4"/>
      <c r="P45" s="4">
        <f t="shared" ca="1" si="6"/>
        <v>4476210.2092801798</v>
      </c>
      <c r="Q45" s="17"/>
    </row>
    <row r="46" spans="1:17" x14ac:dyDescent="0.35">
      <c r="A46" s="1">
        <f>MonthlyData!A46</f>
        <v>42979</v>
      </c>
      <c r="B46" s="13">
        <f t="shared" si="2"/>
        <v>2017</v>
      </c>
      <c r="C46" s="13">
        <f t="shared" si="3"/>
        <v>9</v>
      </c>
      <c r="D46" s="4">
        <f>MonthlyData!L46</f>
        <v>4762597.822750194</v>
      </c>
      <c r="E46" s="13">
        <f t="shared" ca="1" si="4"/>
        <v>28.222326899712005</v>
      </c>
      <c r="F46" s="4">
        <f>MonthlyData!AF46</f>
        <v>19.666666666666668</v>
      </c>
      <c r="G46">
        <f>MonthlyData!BO46</f>
        <v>0</v>
      </c>
      <c r="H46">
        <f>MonthlyData!BP46</f>
        <v>0</v>
      </c>
      <c r="I46">
        <f>MonthlyData!BU46</f>
        <v>0</v>
      </c>
      <c r="J46">
        <f>MonthlyData!BA46</f>
        <v>3.9889840465642745</v>
      </c>
      <c r="L46" s="4"/>
      <c r="M46" s="4">
        <f t="shared" ca="1" si="5"/>
        <v>11449.993606204906</v>
      </c>
      <c r="N46" s="4"/>
      <c r="O46" s="4"/>
      <c r="P46" s="4">
        <f t="shared" ca="1" si="6"/>
        <v>4774047.8163563991</v>
      </c>
      <c r="Q46" s="17"/>
    </row>
    <row r="47" spans="1:17" x14ac:dyDescent="0.35">
      <c r="A47" s="1">
        <f>MonthlyData!A47</f>
        <v>43009</v>
      </c>
      <c r="B47" s="13">
        <f t="shared" si="2"/>
        <v>2017</v>
      </c>
      <c r="C47" s="13">
        <f t="shared" si="3"/>
        <v>10</v>
      </c>
      <c r="D47" s="4">
        <f>MonthlyData!L47</f>
        <v>4648294.240414761</v>
      </c>
      <c r="E47" s="13">
        <f t="shared" ca="1" si="4"/>
        <v>178.0244559176316</v>
      </c>
      <c r="F47" s="4">
        <f>MonthlyData!AF47</f>
        <v>119.86995575588458</v>
      </c>
      <c r="G47">
        <f>MonthlyData!BO47</f>
        <v>0</v>
      </c>
      <c r="H47">
        <f>MonthlyData!BP47</f>
        <v>1</v>
      </c>
      <c r="I47">
        <f>MonthlyData!BU47</f>
        <v>0</v>
      </c>
      <c r="J47">
        <f>MonthlyData!BA47</f>
        <v>4.0073331852324712</v>
      </c>
      <c r="L47" s="4"/>
      <c r="M47" s="4">
        <f t="shared" ca="1" si="5"/>
        <v>77827.851607781005</v>
      </c>
      <c r="N47" s="4"/>
      <c r="O47" s="4"/>
      <c r="P47" s="4">
        <f t="shared" ca="1" si="6"/>
        <v>4726122.0920225419</v>
      </c>
      <c r="Q47" s="17"/>
    </row>
    <row r="48" spans="1:17" x14ac:dyDescent="0.35">
      <c r="A48" s="1">
        <f>MonthlyData!A48</f>
        <v>43040</v>
      </c>
      <c r="B48" s="13">
        <f t="shared" si="2"/>
        <v>2017</v>
      </c>
      <c r="C48" s="13">
        <f t="shared" si="3"/>
        <v>11</v>
      </c>
      <c r="D48" s="4">
        <f>MonthlyData!L48</f>
        <v>4858146.7025721744</v>
      </c>
      <c r="E48" s="13">
        <f t="shared" ca="1" si="4"/>
        <v>403.99833333333333</v>
      </c>
      <c r="F48" s="4">
        <f>MonthlyData!AF48</f>
        <v>468.65833333333336</v>
      </c>
      <c r="G48">
        <f>MonthlyData!BO48</f>
        <v>0</v>
      </c>
      <c r="H48">
        <f>MonthlyData!BP48</f>
        <v>1</v>
      </c>
      <c r="I48">
        <f>MonthlyData!BU48</f>
        <v>0</v>
      </c>
      <c r="J48">
        <f>MonthlyData!BA48</f>
        <v>4.0253516907351496</v>
      </c>
      <c r="L48" s="4"/>
      <c r="M48" s="4">
        <f t="shared" ca="1" si="5"/>
        <v>-86534.126696343083</v>
      </c>
      <c r="N48" s="4"/>
      <c r="O48" s="4"/>
      <c r="P48" s="4">
        <f t="shared" ca="1" si="6"/>
        <v>4771612.5758758308</v>
      </c>
      <c r="Q48" s="17"/>
    </row>
    <row r="49" spans="1:17" x14ac:dyDescent="0.35">
      <c r="A49" s="1">
        <f>MonthlyData!A49</f>
        <v>43070</v>
      </c>
      <c r="B49" s="13">
        <f t="shared" si="2"/>
        <v>2017</v>
      </c>
      <c r="C49" s="13">
        <f t="shared" si="3"/>
        <v>12</v>
      </c>
      <c r="D49" s="4">
        <f>MonthlyData!L49</f>
        <v>5427676.7472727727</v>
      </c>
      <c r="E49" s="13">
        <f t="shared" ca="1" si="4"/>
        <v>629.70466952460959</v>
      </c>
      <c r="F49" s="4">
        <f>MonthlyData!AF49</f>
        <v>807.0920673261536</v>
      </c>
      <c r="G49">
        <f>MonthlyData!BO49</f>
        <v>0</v>
      </c>
      <c r="H49">
        <f>MonthlyData!BP49</f>
        <v>0</v>
      </c>
      <c r="I49">
        <f>MonthlyData!BU49</f>
        <v>0</v>
      </c>
      <c r="J49">
        <f>MonthlyData!BA49</f>
        <v>4.0430512678345503</v>
      </c>
      <c r="L49" s="4"/>
      <c r="M49" s="4">
        <f t="shared" ca="1" si="5"/>
        <v>-237396.59071595134</v>
      </c>
      <c r="N49" s="4"/>
      <c r="O49" s="4"/>
      <c r="P49" s="4">
        <f t="shared" ca="1" si="6"/>
        <v>5190280.1565568214</v>
      </c>
      <c r="Q49" s="17"/>
    </row>
    <row r="50" spans="1:17" x14ac:dyDescent="0.35">
      <c r="A50" s="1">
        <f>MonthlyData!A50</f>
        <v>43101</v>
      </c>
      <c r="B50" s="13">
        <f t="shared" si="2"/>
        <v>2018</v>
      </c>
      <c r="C50" s="13">
        <f t="shared" si="3"/>
        <v>1</v>
      </c>
      <c r="D50" s="4">
        <f>MonthlyData!L50</f>
        <v>6067922.0393510051</v>
      </c>
      <c r="E50" s="13">
        <f t="shared" ca="1" si="4"/>
        <v>793.4846429373913</v>
      </c>
      <c r="F50" s="4">
        <f>MonthlyData!AF50</f>
        <v>810.98333333333335</v>
      </c>
      <c r="G50">
        <f>MonthlyData!BO50</f>
        <v>0</v>
      </c>
      <c r="H50">
        <f>MonthlyData!BP50</f>
        <v>0</v>
      </c>
      <c r="I50">
        <f>MonthlyData!BU50</f>
        <v>0</v>
      </c>
      <c r="J50">
        <f>MonthlyData!BA50</f>
        <v>4.0604430105464191</v>
      </c>
      <c r="L50" s="4"/>
      <c r="M50" s="4">
        <f t="shared" ca="1" si="5"/>
        <v>-23418.402284913867</v>
      </c>
      <c r="N50" s="4"/>
      <c r="O50" s="4"/>
      <c r="P50" s="4">
        <f t="shared" ca="1" si="6"/>
        <v>6044503.6370660914</v>
      </c>
      <c r="Q50" s="17"/>
    </row>
    <row r="51" spans="1:17" x14ac:dyDescent="0.35">
      <c r="A51" s="1">
        <f>MonthlyData!A51</f>
        <v>43132</v>
      </c>
      <c r="B51" s="13">
        <f t="shared" si="2"/>
        <v>2018</v>
      </c>
      <c r="C51" s="13">
        <f t="shared" si="3"/>
        <v>2</v>
      </c>
      <c r="D51" s="4">
        <f>MonthlyData!L51</f>
        <v>6054505.3920587143</v>
      </c>
      <c r="E51" s="13">
        <f t="shared" ca="1" si="4"/>
        <v>736.10085614037712</v>
      </c>
      <c r="F51" s="4">
        <f>MonthlyData!AF51</f>
        <v>705.50416666666672</v>
      </c>
      <c r="G51">
        <f>MonthlyData!BO51</f>
        <v>0</v>
      </c>
      <c r="H51">
        <f>MonthlyData!BP51</f>
        <v>0</v>
      </c>
      <c r="I51">
        <f>MonthlyData!BU51</f>
        <v>0</v>
      </c>
      <c r="J51">
        <f>MonthlyData!BA51</f>
        <v>4.0775374439057197</v>
      </c>
      <c r="L51" s="4"/>
      <c r="M51" s="4">
        <f t="shared" ca="1" si="5"/>
        <v>40947.383288071782</v>
      </c>
      <c r="N51" s="4"/>
      <c r="O51" s="4"/>
      <c r="P51" s="4">
        <f t="shared" ca="1" si="6"/>
        <v>6095452.7753467858</v>
      </c>
      <c r="Q51" s="17"/>
    </row>
    <row r="52" spans="1:17" x14ac:dyDescent="0.35">
      <c r="A52" s="1">
        <f>MonthlyData!A52</f>
        <v>43160</v>
      </c>
      <c r="B52" s="13">
        <f t="shared" si="2"/>
        <v>2018</v>
      </c>
      <c r="C52" s="13">
        <f t="shared" si="3"/>
        <v>3</v>
      </c>
      <c r="D52" s="4">
        <f>MonthlyData!L52</f>
        <v>5678647.4308978431</v>
      </c>
      <c r="E52" s="13">
        <f t="shared" ca="1" si="4"/>
        <v>577.21697535249291</v>
      </c>
      <c r="F52" s="4">
        <f>MonthlyData!AF52</f>
        <v>624.80416666666656</v>
      </c>
      <c r="G52">
        <f>MonthlyData!BO52</f>
        <v>1</v>
      </c>
      <c r="H52">
        <f>MonthlyData!BP52</f>
        <v>0</v>
      </c>
      <c r="I52">
        <f>MonthlyData!BU52</f>
        <v>0</v>
      </c>
      <c r="J52">
        <f>MonthlyData!BA52</f>
        <v>4.0943445622221004</v>
      </c>
      <c r="L52" s="4"/>
      <c r="M52" s="4">
        <f t="shared" ca="1" si="5"/>
        <v>-63685.679590222986</v>
      </c>
      <c r="N52" s="4"/>
      <c r="O52" s="4"/>
      <c r="P52" s="4">
        <f t="shared" ca="1" si="6"/>
        <v>5614961.7513076197</v>
      </c>
      <c r="Q52" s="17"/>
    </row>
    <row r="53" spans="1:17" x14ac:dyDescent="0.35">
      <c r="A53" s="1">
        <f>MonthlyData!A53</f>
        <v>43191</v>
      </c>
      <c r="B53" s="13">
        <f t="shared" si="2"/>
        <v>2018</v>
      </c>
      <c r="C53" s="13">
        <f t="shared" si="3"/>
        <v>4</v>
      </c>
      <c r="D53" s="4">
        <f>MonthlyData!L53</f>
        <v>5796086.4617697932</v>
      </c>
      <c r="E53" s="13">
        <f t="shared" ca="1" si="4"/>
        <v>307.33082472275549</v>
      </c>
      <c r="F53" s="4">
        <f>MonthlyData!AF53</f>
        <v>402.86250000000007</v>
      </c>
      <c r="G53">
        <f>MonthlyData!BO53</f>
        <v>1</v>
      </c>
      <c r="H53">
        <f>MonthlyData!BP53</f>
        <v>0</v>
      </c>
      <c r="I53">
        <f>MonthlyData!BU53</f>
        <v>0</v>
      </c>
      <c r="J53">
        <f>MonthlyData!BA53</f>
        <v>4.1108738641733114</v>
      </c>
      <c r="L53" s="4"/>
      <c r="M53" s="4">
        <f t="shared" ca="1" si="5"/>
        <v>-127849.52199126176</v>
      </c>
      <c r="N53" s="4"/>
      <c r="O53" s="4"/>
      <c r="P53" s="4">
        <f t="shared" ca="1" si="6"/>
        <v>5668236.939778531</v>
      </c>
      <c r="Q53" s="17"/>
    </row>
    <row r="54" spans="1:17" x14ac:dyDescent="0.35">
      <c r="A54" s="1">
        <f>MonthlyData!A54</f>
        <v>43221</v>
      </c>
      <c r="B54" s="13">
        <f t="shared" si="2"/>
        <v>2018</v>
      </c>
      <c r="C54" s="13">
        <f t="shared" si="3"/>
        <v>5</v>
      </c>
      <c r="D54" s="4">
        <f>MonthlyData!L54</f>
        <v>5107267.2261957312</v>
      </c>
      <c r="E54" s="13">
        <f t="shared" ca="1" si="4"/>
        <v>103.00647094808046</v>
      </c>
      <c r="F54" s="4">
        <f>MonthlyData!AF54</f>
        <v>71.978468478130409</v>
      </c>
      <c r="G54">
        <f>MonthlyData!BO54</f>
        <v>1</v>
      </c>
      <c r="H54">
        <f>MonthlyData!BP54</f>
        <v>0</v>
      </c>
      <c r="I54">
        <f>MonthlyData!BU54</f>
        <v>0</v>
      </c>
      <c r="J54">
        <f>MonthlyData!BA54</f>
        <v>4.1271343850450917</v>
      </c>
      <c r="L54" s="4"/>
      <c r="M54" s="4">
        <f t="shared" ca="1" si="5"/>
        <v>41524.607127576601</v>
      </c>
      <c r="N54" s="4"/>
      <c r="O54" s="4"/>
      <c r="P54" s="4">
        <f t="shared" ca="1" si="6"/>
        <v>5148791.8333233073</v>
      </c>
      <c r="Q54" s="17"/>
    </row>
    <row r="55" spans="1:17" x14ac:dyDescent="0.35">
      <c r="A55" s="1">
        <f>MonthlyData!A55</f>
        <v>43252</v>
      </c>
      <c r="B55" s="13">
        <f t="shared" si="2"/>
        <v>2018</v>
      </c>
      <c r="C55" s="13">
        <f t="shared" si="3"/>
        <v>6</v>
      </c>
      <c r="D55" s="4">
        <f>MonthlyData!L55</f>
        <v>4723774.9233967252</v>
      </c>
      <c r="E55" s="13">
        <f t="shared" ca="1" si="4"/>
        <v>5.5889105735385218</v>
      </c>
      <c r="F55" s="4">
        <f>MonthlyData!AF55</f>
        <v>8.1458333333333357</v>
      </c>
      <c r="G55">
        <f>MonthlyData!BO55</f>
        <v>0</v>
      </c>
      <c r="H55">
        <f>MonthlyData!BP55</f>
        <v>0</v>
      </c>
      <c r="I55">
        <f>MonthlyData!BU55</f>
        <v>0</v>
      </c>
      <c r="J55">
        <f>MonthlyData!BA55</f>
        <v>4.1431347263915326</v>
      </c>
      <c r="L55" s="4"/>
      <c r="M55" s="4">
        <f t="shared" ca="1" si="5"/>
        <v>-3421.9158374396466</v>
      </c>
      <c r="N55" s="4"/>
      <c r="O55" s="4"/>
      <c r="P55" s="4">
        <f t="shared" ca="1" si="6"/>
        <v>4720353.0075592855</v>
      </c>
      <c r="Q55" s="17"/>
    </row>
    <row r="56" spans="1:17" x14ac:dyDescent="0.35">
      <c r="A56" s="1">
        <f>MonthlyData!A56</f>
        <v>43282</v>
      </c>
      <c r="B56" s="13">
        <f t="shared" si="2"/>
        <v>2018</v>
      </c>
      <c r="C56" s="13">
        <f t="shared" si="3"/>
        <v>7</v>
      </c>
      <c r="D56" s="4">
        <f>MonthlyData!L56</f>
        <v>4384261.1215946823</v>
      </c>
      <c r="E56" s="13">
        <f t="shared" ca="1" si="4"/>
        <v>0.28709633857318684</v>
      </c>
      <c r="F56" s="4">
        <f>MonthlyData!AF56</f>
        <v>0</v>
      </c>
      <c r="G56">
        <f>MonthlyData!BO56</f>
        <v>0</v>
      </c>
      <c r="H56">
        <f>MonthlyData!BP56</f>
        <v>0</v>
      </c>
      <c r="I56">
        <f>MonthlyData!BU56</f>
        <v>0</v>
      </c>
      <c r="J56">
        <f>MonthlyData!BA56</f>
        <v>4.1588830833596715</v>
      </c>
      <c r="L56" s="4"/>
      <c r="M56" s="4">
        <f t="shared" ca="1" si="5"/>
        <v>384.21947009199431</v>
      </c>
      <c r="N56" s="4"/>
      <c r="O56" s="4"/>
      <c r="P56" s="4">
        <f t="shared" ca="1" si="6"/>
        <v>4384645.3410647744</v>
      </c>
      <c r="Q56" s="17"/>
    </row>
    <row r="57" spans="1:17" x14ac:dyDescent="0.35">
      <c r="A57" s="1">
        <f>MonthlyData!A57</f>
        <v>43313</v>
      </c>
      <c r="B57" s="13">
        <f t="shared" si="2"/>
        <v>2018</v>
      </c>
      <c r="C57" s="13">
        <f t="shared" si="3"/>
        <v>8</v>
      </c>
      <c r="D57" s="4">
        <f>MonthlyData!L57</f>
        <v>4444081.6542579057</v>
      </c>
      <c r="E57" s="13">
        <f t="shared" ca="1" si="4"/>
        <v>1.6761707873342053</v>
      </c>
      <c r="F57" s="4">
        <f>MonthlyData!AF57</f>
        <v>0.77916666666666679</v>
      </c>
      <c r="G57">
        <f>MonthlyData!BO57</f>
        <v>0</v>
      </c>
      <c r="H57">
        <f>MonthlyData!BP57</f>
        <v>0</v>
      </c>
      <c r="I57">
        <f>MonthlyData!BU57</f>
        <v>0</v>
      </c>
      <c r="J57">
        <f>MonthlyData!BA57</f>
        <v>4.1743872698956368</v>
      </c>
      <c r="L57" s="4"/>
      <c r="M57" s="4">
        <f t="shared" ca="1" si="5"/>
        <v>1200.4557411844505</v>
      </c>
      <c r="N57" s="4"/>
      <c r="O57" s="4"/>
      <c r="P57" s="4">
        <f t="shared" ca="1" si="6"/>
        <v>4445282.1099990904</v>
      </c>
      <c r="Q57" s="17"/>
    </row>
    <row r="58" spans="1:17" x14ac:dyDescent="0.35">
      <c r="A58" s="1">
        <f>MonthlyData!A58</f>
        <v>43344</v>
      </c>
      <c r="B58" s="13">
        <f t="shared" si="2"/>
        <v>2018</v>
      </c>
      <c r="C58" s="13">
        <f t="shared" si="3"/>
        <v>9</v>
      </c>
      <c r="D58" s="4">
        <f>MonthlyData!L58</f>
        <v>4714921.4352272935</v>
      </c>
      <c r="E58" s="13">
        <f t="shared" ca="1" si="4"/>
        <v>28.222326899712005</v>
      </c>
      <c r="F58" s="4">
        <f>MonthlyData!AF58</f>
        <v>55.145833333333329</v>
      </c>
      <c r="G58">
        <f>MonthlyData!BO58</f>
        <v>0</v>
      </c>
      <c r="H58">
        <f>MonthlyData!BP58</f>
        <v>0</v>
      </c>
      <c r="I58">
        <f>MonthlyData!BU58</f>
        <v>0</v>
      </c>
      <c r="J58">
        <f>MonthlyData!BA58</f>
        <v>4.1896547420264252</v>
      </c>
      <c r="L58" s="4"/>
      <c r="M58" s="4">
        <f t="shared" ca="1" si="5"/>
        <v>-36031.58238225789</v>
      </c>
      <c r="N58" s="4"/>
      <c r="O58" s="4"/>
      <c r="P58" s="4">
        <f t="shared" ca="1" si="6"/>
        <v>4678889.8528450355</v>
      </c>
      <c r="Q58" s="17"/>
    </row>
    <row r="59" spans="1:17" x14ac:dyDescent="0.35">
      <c r="A59" s="1">
        <f>MonthlyData!A59</f>
        <v>43374</v>
      </c>
      <c r="B59" s="13">
        <f t="shared" si="2"/>
        <v>2018</v>
      </c>
      <c r="C59" s="13">
        <f t="shared" si="3"/>
        <v>10</v>
      </c>
      <c r="D59" s="4">
        <f>MonthlyData!L59</f>
        <v>4166109.5423704027</v>
      </c>
      <c r="E59" s="13">
        <f t="shared" ca="1" si="4"/>
        <v>178.0244559176316</v>
      </c>
      <c r="F59" s="4">
        <f>MonthlyData!AF59</f>
        <v>285.1166956035878</v>
      </c>
      <c r="G59">
        <f>MonthlyData!BO59</f>
        <v>0</v>
      </c>
      <c r="H59">
        <f>MonthlyData!BP59</f>
        <v>1</v>
      </c>
      <c r="I59">
        <f>MonthlyData!BU59</f>
        <v>0</v>
      </c>
      <c r="J59">
        <f>MonthlyData!BA59</f>
        <v>4.2046926193909657</v>
      </c>
      <c r="L59" s="4"/>
      <c r="M59" s="4">
        <f t="shared" ca="1" si="5"/>
        <v>-143320.96252984335</v>
      </c>
      <c r="N59" s="4"/>
      <c r="O59" s="4"/>
      <c r="P59" s="4">
        <f t="shared" ca="1" si="6"/>
        <v>4022788.5798405595</v>
      </c>
      <c r="Q59" s="17"/>
    </row>
    <row r="60" spans="1:17" x14ac:dyDescent="0.35">
      <c r="A60" s="1">
        <f>MonthlyData!A60</f>
        <v>43405</v>
      </c>
      <c r="B60" s="13">
        <f t="shared" si="2"/>
        <v>2018</v>
      </c>
      <c r="C60" s="13">
        <f t="shared" si="3"/>
        <v>11</v>
      </c>
      <c r="D60" s="4">
        <f>MonthlyData!L60</f>
        <v>4966852.9735843306</v>
      </c>
      <c r="E60" s="13">
        <f t="shared" ca="1" si="4"/>
        <v>403.99833333333333</v>
      </c>
      <c r="F60" s="4">
        <f>MonthlyData!AF60</f>
        <v>510.11249999999995</v>
      </c>
      <c r="G60">
        <f>MonthlyData!BO60</f>
        <v>0</v>
      </c>
      <c r="H60">
        <f>MonthlyData!BP60</f>
        <v>1</v>
      </c>
      <c r="I60">
        <f>MonthlyData!BU60</f>
        <v>0</v>
      </c>
      <c r="J60">
        <f>MonthlyData!BA60</f>
        <v>4.219507705176107</v>
      </c>
      <c r="L60" s="4"/>
      <c r="M60" s="4">
        <f t="shared" ca="1" si="5"/>
        <v>-142012.01272208773</v>
      </c>
      <c r="N60" s="4"/>
      <c r="O60" s="4"/>
      <c r="P60" s="4">
        <f t="shared" ca="1" si="6"/>
        <v>4824840.9608622426</v>
      </c>
      <c r="Q60" s="17"/>
    </row>
    <row r="61" spans="1:17" x14ac:dyDescent="0.35">
      <c r="A61" s="1">
        <f>MonthlyData!A61</f>
        <v>43435</v>
      </c>
      <c r="B61" s="13">
        <f t="shared" si="2"/>
        <v>2018</v>
      </c>
      <c r="C61" s="13">
        <f t="shared" si="3"/>
        <v>12</v>
      </c>
      <c r="D61" s="4">
        <f>MonthlyData!L61</f>
        <v>5752417.2097672923</v>
      </c>
      <c r="E61" s="13">
        <f t="shared" ca="1" si="4"/>
        <v>629.70466952460959</v>
      </c>
      <c r="F61" s="4">
        <f>MonthlyData!AF61</f>
        <v>622.70000000000005</v>
      </c>
      <c r="G61">
        <f>MonthlyData!BO61</f>
        <v>0</v>
      </c>
      <c r="H61">
        <f>MonthlyData!BP61</f>
        <v>0</v>
      </c>
      <c r="I61">
        <f>MonthlyData!BU61</f>
        <v>0</v>
      </c>
      <c r="J61">
        <f>MonthlyData!BA61</f>
        <v>4.2341065045972597</v>
      </c>
      <c r="L61" s="4"/>
      <c r="M61" s="4">
        <f t="shared" ca="1" si="5"/>
        <v>9374.3111677787656</v>
      </c>
      <c r="N61" s="4"/>
      <c r="O61" s="4"/>
      <c r="P61" s="4">
        <f t="shared" ca="1" si="6"/>
        <v>5761791.5209350707</v>
      </c>
      <c r="Q61" s="17"/>
    </row>
    <row r="62" spans="1:17" x14ac:dyDescent="0.35">
      <c r="A62" s="1">
        <f>MonthlyData!A62</f>
        <v>43466</v>
      </c>
      <c r="B62" s="13">
        <f t="shared" si="2"/>
        <v>2019</v>
      </c>
      <c r="C62" s="13">
        <f t="shared" si="3"/>
        <v>1</v>
      </c>
      <c r="D62" s="4">
        <f>MonthlyData!L62</f>
        <v>5619320.0183224855</v>
      </c>
      <c r="E62" s="13">
        <f t="shared" ca="1" si="4"/>
        <v>793.4846429373913</v>
      </c>
      <c r="F62" s="4">
        <f>MonthlyData!AF62</f>
        <v>937.74938350982984</v>
      </c>
      <c r="G62">
        <f>MonthlyData!BO62</f>
        <v>0</v>
      </c>
      <c r="H62">
        <f>MonthlyData!BP62</f>
        <v>0</v>
      </c>
      <c r="I62">
        <f>MonthlyData!BU62</f>
        <v>0</v>
      </c>
      <c r="J62">
        <f>MonthlyData!BA62</f>
        <v>4.2484952420493594</v>
      </c>
      <c r="L62" s="4"/>
      <c r="M62" s="4">
        <f t="shared" ca="1" si="5"/>
        <v>-193068.71850464673</v>
      </c>
      <c r="N62" s="4"/>
      <c r="O62" s="4"/>
      <c r="P62" s="4">
        <f t="shared" ca="1" si="6"/>
        <v>5426251.2998178387</v>
      </c>
      <c r="Q62" s="17"/>
    </row>
    <row r="63" spans="1:17" x14ac:dyDescent="0.35">
      <c r="A63" s="1">
        <f>MonthlyData!A63</f>
        <v>43497</v>
      </c>
      <c r="B63" s="13">
        <f t="shared" si="2"/>
        <v>2019</v>
      </c>
      <c r="C63" s="13">
        <f t="shared" si="3"/>
        <v>2</v>
      </c>
      <c r="D63" s="4">
        <f>MonthlyData!L63</f>
        <v>6293102.8291401565</v>
      </c>
      <c r="E63" s="13">
        <f t="shared" ca="1" si="4"/>
        <v>736.10085614037712</v>
      </c>
      <c r="F63" s="4">
        <f>MonthlyData!AF63</f>
        <v>755.45416666666677</v>
      </c>
      <c r="G63">
        <f>MonthlyData!BO63</f>
        <v>0</v>
      </c>
      <c r="H63">
        <f>MonthlyData!BP63</f>
        <v>0</v>
      </c>
      <c r="I63">
        <f>MonthlyData!BU63</f>
        <v>0</v>
      </c>
      <c r="J63">
        <f>MonthlyData!BA63</f>
        <v>4.2626798770413155</v>
      </c>
      <c r="L63" s="4"/>
      <c r="M63" s="4">
        <f t="shared" ca="1" si="5"/>
        <v>-25900.430329038321</v>
      </c>
      <c r="N63" s="4"/>
      <c r="O63" s="4"/>
      <c r="P63" s="4">
        <f t="shared" ca="1" si="6"/>
        <v>6267202.3988111177</v>
      </c>
      <c r="Q63" s="17"/>
    </row>
    <row r="64" spans="1:17" x14ac:dyDescent="0.35">
      <c r="A64" s="1">
        <f>MonthlyData!A64</f>
        <v>43525</v>
      </c>
      <c r="B64" s="13">
        <f t="shared" si="2"/>
        <v>2019</v>
      </c>
      <c r="C64" s="13">
        <f t="shared" si="3"/>
        <v>3</v>
      </c>
      <c r="D64" s="4">
        <f>MonthlyData!L64</f>
        <v>5737769.1887990432</v>
      </c>
      <c r="E64" s="13">
        <f t="shared" ca="1" si="4"/>
        <v>577.21697535249291</v>
      </c>
      <c r="F64" s="4">
        <f>MonthlyData!AF64</f>
        <v>574.84424598258033</v>
      </c>
      <c r="G64">
        <f>MonthlyData!BO64</f>
        <v>1</v>
      </c>
      <c r="H64">
        <f>MonthlyData!BP64</f>
        <v>0</v>
      </c>
      <c r="I64">
        <f>MonthlyData!BU64</f>
        <v>0</v>
      </c>
      <c r="J64">
        <f>MonthlyData!BA64</f>
        <v>4.2766661190160553</v>
      </c>
      <c r="L64" s="4"/>
      <c r="M64" s="4">
        <f t="shared" ca="1" si="5"/>
        <v>3175.4108244996773</v>
      </c>
      <c r="N64" s="4"/>
      <c r="O64" s="4"/>
      <c r="P64" s="4">
        <f t="shared" ca="1" si="6"/>
        <v>5740944.5996235432</v>
      </c>
      <c r="Q64" s="17"/>
    </row>
    <row r="65" spans="1:17" x14ac:dyDescent="0.35">
      <c r="A65" s="1">
        <f>MonthlyData!A65</f>
        <v>43556</v>
      </c>
      <c r="B65" s="13">
        <f t="shared" si="2"/>
        <v>2019</v>
      </c>
      <c r="C65" s="13">
        <f t="shared" si="3"/>
        <v>4</v>
      </c>
      <c r="D65" s="4">
        <f>MonthlyData!L65</f>
        <v>5580365.3857868137</v>
      </c>
      <c r="E65" s="13">
        <f t="shared" ca="1" si="4"/>
        <v>307.33082472275549</v>
      </c>
      <c r="F65" s="4">
        <f>MonthlyData!AF65</f>
        <v>295.23333333333335</v>
      </c>
      <c r="G65">
        <f>MonthlyData!BO65</f>
        <v>1</v>
      </c>
      <c r="H65">
        <f>MonthlyData!BP65</f>
        <v>0</v>
      </c>
      <c r="I65">
        <f>MonthlyData!BU65</f>
        <v>0</v>
      </c>
      <c r="J65">
        <f>MonthlyData!BA65</f>
        <v>4.290459441148391</v>
      </c>
      <c r="L65" s="4"/>
      <c r="M65" s="4">
        <f t="shared" ca="1" si="5"/>
        <v>16190.006999693398</v>
      </c>
      <c r="N65" s="4"/>
      <c r="O65" s="4"/>
      <c r="P65" s="4">
        <f t="shared" ca="1" si="6"/>
        <v>5596555.3927865075</v>
      </c>
      <c r="Q65" s="17"/>
    </row>
    <row r="66" spans="1:17" x14ac:dyDescent="0.35">
      <c r="A66" s="1">
        <f>MonthlyData!A66</f>
        <v>43586</v>
      </c>
      <c r="B66" s="13">
        <f t="shared" si="2"/>
        <v>2019</v>
      </c>
      <c r="C66" s="13">
        <f t="shared" si="3"/>
        <v>5</v>
      </c>
      <c r="D66" s="4">
        <f>MonthlyData!L66</f>
        <v>5019865.4864886878</v>
      </c>
      <c r="E66" s="13">
        <f t="shared" ca="1" si="4"/>
        <v>103.00647094808046</v>
      </c>
      <c r="F66" s="4">
        <f>MonthlyData!AF66</f>
        <v>95.812499999999957</v>
      </c>
      <c r="G66">
        <f>MonthlyData!BO66</f>
        <v>1</v>
      </c>
      <c r="H66">
        <f>MonthlyData!BP66</f>
        <v>0</v>
      </c>
      <c r="I66">
        <f>MonthlyData!BU66</f>
        <v>0</v>
      </c>
      <c r="J66">
        <f>MonthlyData!BA66</f>
        <v>4.3040650932041702</v>
      </c>
      <c r="L66" s="4"/>
      <c r="M66" s="4">
        <f t="shared" ref="M66:M97" ca="1" si="7">(E66-F66)*$S$9</f>
        <v>9627.6522343181186</v>
      </c>
      <c r="N66" s="4"/>
      <c r="O66" s="4"/>
      <c r="P66" s="4">
        <f t="shared" ref="P66:P97" ca="1" si="8">D66+M66</f>
        <v>5029493.1387230055</v>
      </c>
      <c r="Q66" s="17"/>
    </row>
    <row r="67" spans="1:17" x14ac:dyDescent="0.35">
      <c r="A67" s="1">
        <f>MonthlyData!A67</f>
        <v>43617</v>
      </c>
      <c r="B67" s="13">
        <f t="shared" ref="B67:B130" si="9">YEAR(A67)</f>
        <v>2019</v>
      </c>
      <c r="C67" s="13">
        <f t="shared" ref="C67:C130" si="10">MONTH(A67)</f>
        <v>6</v>
      </c>
      <c r="D67" s="4">
        <f>MonthlyData!L67</f>
        <v>5035624.0087944865</v>
      </c>
      <c r="E67" s="13">
        <f t="shared" ca="1" si="4"/>
        <v>5.5889105735385218</v>
      </c>
      <c r="F67" s="4">
        <f>MonthlyData!AF67</f>
        <v>10.320833333333335</v>
      </c>
      <c r="G67">
        <f>MonthlyData!BO67</f>
        <v>0</v>
      </c>
      <c r="H67">
        <f>MonthlyData!BP67</f>
        <v>0</v>
      </c>
      <c r="I67">
        <f>MonthlyData!BU67</f>
        <v>0</v>
      </c>
      <c r="J67">
        <f>MonthlyData!BA67</f>
        <v>4.3174881135363101</v>
      </c>
      <c r="L67" s="4"/>
      <c r="M67" s="4">
        <f t="shared" ca="1" si="7"/>
        <v>-6332.7065204669598</v>
      </c>
      <c r="N67" s="4"/>
      <c r="O67" s="4"/>
      <c r="P67" s="4">
        <f t="shared" ca="1" si="8"/>
        <v>5029291.3022740195</v>
      </c>
      <c r="Q67" s="17"/>
    </row>
    <row r="68" spans="1:17" x14ac:dyDescent="0.35">
      <c r="A68" s="1">
        <f>MonthlyData!A68</f>
        <v>43647</v>
      </c>
      <c r="B68" s="13">
        <f t="shared" si="9"/>
        <v>2019</v>
      </c>
      <c r="C68" s="13">
        <f t="shared" si="10"/>
        <v>7</v>
      </c>
      <c r="D68" s="4">
        <f>MonthlyData!L68</f>
        <v>4601912.966500056</v>
      </c>
      <c r="E68" s="13">
        <f t="shared" ca="1" si="4"/>
        <v>0.28709633857318684</v>
      </c>
      <c r="F68" s="4">
        <f>MonthlyData!AF68</f>
        <v>0</v>
      </c>
      <c r="G68">
        <f>MonthlyData!BO68</f>
        <v>0</v>
      </c>
      <c r="H68">
        <f>MonthlyData!BP68</f>
        <v>0</v>
      </c>
      <c r="I68">
        <f>MonthlyData!BU68</f>
        <v>0</v>
      </c>
      <c r="J68">
        <f>MonthlyData!BA68</f>
        <v>4.3307333402863311</v>
      </c>
      <c r="L68" s="4"/>
      <c r="M68" s="4">
        <f t="shared" ca="1" si="7"/>
        <v>384.21947009199431</v>
      </c>
      <c r="N68" s="4"/>
      <c r="O68" s="4"/>
      <c r="P68" s="4">
        <f t="shared" ca="1" si="8"/>
        <v>4602297.1859701481</v>
      </c>
      <c r="Q68" s="17"/>
    </row>
    <row r="69" spans="1:17" x14ac:dyDescent="0.35">
      <c r="A69" s="1">
        <f>MonthlyData!A69</f>
        <v>43678</v>
      </c>
      <c r="B69" s="13">
        <f t="shared" si="9"/>
        <v>2019</v>
      </c>
      <c r="C69" s="13">
        <f t="shared" si="10"/>
        <v>8</v>
      </c>
      <c r="D69" s="4">
        <f>MonthlyData!L69</f>
        <v>4567173.0698700938</v>
      </c>
      <c r="E69" s="13">
        <f t="shared" ca="1" si="4"/>
        <v>1.6761707873342053</v>
      </c>
      <c r="F69" s="4">
        <f>MonthlyData!AF69</f>
        <v>9.3492078733420492</v>
      </c>
      <c r="G69">
        <f>MonthlyData!BO69</f>
        <v>0</v>
      </c>
      <c r="H69">
        <f>MonthlyData!BP69</f>
        <v>0</v>
      </c>
      <c r="I69">
        <f>MonthlyData!BU69</f>
        <v>0</v>
      </c>
      <c r="J69">
        <f>MonthlyData!BA69</f>
        <v>4.3438054218536841</v>
      </c>
      <c r="L69" s="4"/>
      <c r="M69" s="4">
        <f t="shared" ca="1" si="7"/>
        <v>-10268.783843896406</v>
      </c>
      <c r="N69" s="4"/>
      <c r="O69" s="4"/>
      <c r="P69" s="4">
        <f t="shared" ca="1" si="8"/>
        <v>4556904.2860261975</v>
      </c>
      <c r="Q69" s="17"/>
    </row>
    <row r="70" spans="1:17" x14ac:dyDescent="0.35">
      <c r="A70" s="1">
        <f>MonthlyData!A70</f>
        <v>43709</v>
      </c>
      <c r="B70" s="13">
        <f t="shared" si="9"/>
        <v>2019</v>
      </c>
      <c r="C70" s="13">
        <f t="shared" si="10"/>
        <v>9</v>
      </c>
      <c r="D70" s="4">
        <f>MonthlyData!L70</f>
        <v>4770770.9067169838</v>
      </c>
      <c r="E70" s="13">
        <f t="shared" ca="1" si="4"/>
        <v>28.222326899712005</v>
      </c>
      <c r="F70" s="4">
        <f>MonthlyData!AF70</f>
        <v>29.270833333333339</v>
      </c>
      <c r="G70">
        <f>MonthlyData!BO70</f>
        <v>0</v>
      </c>
      <c r="H70">
        <f>MonthlyData!BP70</f>
        <v>0</v>
      </c>
      <c r="I70">
        <f>MonthlyData!BU70</f>
        <v>0</v>
      </c>
      <c r="J70">
        <f>MonthlyData!BA70</f>
        <v>4.3567088266895917</v>
      </c>
      <c r="L70" s="4"/>
      <c r="M70" s="4">
        <f t="shared" ca="1" si="7"/>
        <v>-1403.2104634846789</v>
      </c>
      <c r="N70" s="4"/>
      <c r="O70" s="4"/>
      <c r="P70" s="4">
        <f t="shared" ca="1" si="8"/>
        <v>4769367.696253499</v>
      </c>
      <c r="Q70" s="17"/>
    </row>
    <row r="71" spans="1:17" x14ac:dyDescent="0.35">
      <c r="A71" s="1">
        <f>MonthlyData!A71</f>
        <v>43739</v>
      </c>
      <c r="B71" s="13">
        <f t="shared" si="9"/>
        <v>2019</v>
      </c>
      <c r="C71" s="13">
        <f t="shared" si="10"/>
        <v>10</v>
      </c>
      <c r="D71" s="4">
        <f>MonthlyData!L71</f>
        <v>4752557.0164826857</v>
      </c>
      <c r="E71" s="13">
        <f t="shared" ca="1" si="4"/>
        <v>178.0244559176316</v>
      </c>
      <c r="F71" s="4">
        <f>MonthlyData!AF71</f>
        <v>151.38749999999999</v>
      </c>
      <c r="G71">
        <f>MonthlyData!BO71</f>
        <v>0</v>
      </c>
      <c r="H71">
        <f>MonthlyData!BP71</f>
        <v>1</v>
      </c>
      <c r="I71">
        <f>MonthlyData!BU71</f>
        <v>0</v>
      </c>
      <c r="J71">
        <f>MonthlyData!BA71</f>
        <v>4.3694478524670215</v>
      </c>
      <c r="L71" s="4"/>
      <c r="M71" s="4">
        <f t="shared" ca="1" si="7"/>
        <v>35648.09338356385</v>
      </c>
      <c r="N71" s="4"/>
      <c r="O71" s="4"/>
      <c r="P71" s="4">
        <f t="shared" ca="1" si="8"/>
        <v>4788205.1098662494</v>
      </c>
      <c r="Q71" s="17"/>
    </row>
    <row r="72" spans="1:17" x14ac:dyDescent="0.35">
      <c r="A72" s="1">
        <f>MonthlyData!A72</f>
        <v>43770</v>
      </c>
      <c r="B72" s="13">
        <f t="shared" si="9"/>
        <v>2019</v>
      </c>
      <c r="C72" s="13">
        <f t="shared" si="10"/>
        <v>11</v>
      </c>
      <c r="D72" s="4">
        <f>MonthlyData!L72</f>
        <v>5188220.5067362906</v>
      </c>
      <c r="E72" s="13">
        <f t="shared" ca="1" si="4"/>
        <v>403.99833333333333</v>
      </c>
      <c r="F72" s="4">
        <f>MonthlyData!AF72</f>
        <v>493.48750000000007</v>
      </c>
      <c r="G72">
        <f>MonthlyData!BO72</f>
        <v>0</v>
      </c>
      <c r="H72">
        <f>MonthlyData!BP72</f>
        <v>1</v>
      </c>
      <c r="I72">
        <f>MonthlyData!BU72</f>
        <v>0</v>
      </c>
      <c r="J72">
        <f>MonthlyData!BA72</f>
        <v>4.3820266346738812</v>
      </c>
      <c r="L72" s="4"/>
      <c r="M72" s="4">
        <f t="shared" ca="1" si="7"/>
        <v>-119762.86554722392</v>
      </c>
      <c r="N72" s="4"/>
      <c r="O72" s="4"/>
      <c r="P72" s="4">
        <f t="shared" ca="1" si="8"/>
        <v>5068457.6411890667</v>
      </c>
      <c r="Q72" s="17"/>
    </row>
    <row r="73" spans="1:17" x14ac:dyDescent="0.35">
      <c r="A73" s="1">
        <f>MonthlyData!A73</f>
        <v>43800</v>
      </c>
      <c r="B73" s="13">
        <f t="shared" si="9"/>
        <v>2019</v>
      </c>
      <c r="C73" s="13">
        <f t="shared" si="10"/>
        <v>12</v>
      </c>
      <c r="D73" s="4">
        <f>MonthlyData!L73</f>
        <v>5666153.8645248832</v>
      </c>
      <c r="E73" s="13">
        <f t="shared" ca="1" si="4"/>
        <v>629.70466952460959</v>
      </c>
      <c r="F73" s="4">
        <f>MonthlyData!AF73</f>
        <v>702.36249999999995</v>
      </c>
      <c r="G73">
        <f>MonthlyData!BO73</f>
        <v>0</v>
      </c>
      <c r="H73">
        <f>MonthlyData!BP73</f>
        <v>0</v>
      </c>
      <c r="I73">
        <f>MonthlyData!BU73</f>
        <v>0</v>
      </c>
      <c r="J73">
        <f>MonthlyData!BA73</f>
        <v>4.3944491546724391</v>
      </c>
      <c r="L73" s="4"/>
      <c r="M73" s="4">
        <f t="shared" ca="1" si="7"/>
        <v>-97237.579768618089</v>
      </c>
      <c r="N73" s="4"/>
      <c r="O73" s="4"/>
      <c r="P73" s="4">
        <f t="shared" ca="1" si="8"/>
        <v>5568916.2847562656</v>
      </c>
      <c r="Q73" s="17"/>
    </row>
    <row r="74" spans="1:17" x14ac:dyDescent="0.35">
      <c r="A74" s="1">
        <f>MonthlyData!A74</f>
        <v>43831</v>
      </c>
      <c r="B74" s="13">
        <f t="shared" si="9"/>
        <v>2020</v>
      </c>
      <c r="C74" s="13">
        <f t="shared" si="10"/>
        <v>1</v>
      </c>
      <c r="D74" s="4">
        <f>MonthlyData!L74</f>
        <v>5783244.659481544</v>
      </c>
      <c r="E74" s="13">
        <f t="shared" ca="1" si="4"/>
        <v>793.4846429373913</v>
      </c>
      <c r="F74" s="4">
        <f>MonthlyData!AF74</f>
        <v>692.15</v>
      </c>
      <c r="G74">
        <f>MonthlyData!BO74</f>
        <v>0</v>
      </c>
      <c r="H74">
        <f>MonthlyData!BP74</f>
        <v>0</v>
      </c>
      <c r="I74">
        <f>MonthlyData!BU74</f>
        <v>0</v>
      </c>
      <c r="J74">
        <f>MonthlyData!BA74</f>
        <v>4.4067192472642533</v>
      </c>
      <c r="L74" s="4"/>
      <c r="M74" s="4">
        <f t="shared" ca="1" si="7"/>
        <v>135615.60208278542</v>
      </c>
      <c r="N74" s="4"/>
      <c r="O74" s="4"/>
      <c r="P74" s="4">
        <f t="shared" ca="1" si="8"/>
        <v>5918860.2615643293</v>
      </c>
      <c r="Q74" s="17"/>
    </row>
    <row r="75" spans="1:17" x14ac:dyDescent="0.35">
      <c r="A75" s="1">
        <f>MonthlyData!A75</f>
        <v>43862</v>
      </c>
      <c r="B75" s="13">
        <f t="shared" si="9"/>
        <v>2020</v>
      </c>
      <c r="C75" s="13">
        <f t="shared" si="10"/>
        <v>2</v>
      </c>
      <c r="D75" s="4">
        <f>MonthlyData!L75</f>
        <v>6074809.6295420974</v>
      </c>
      <c r="E75" s="13">
        <f t="shared" ca="1" si="4"/>
        <v>736.10085614037712</v>
      </c>
      <c r="F75" s="4">
        <f>MonthlyData!AF75</f>
        <v>654.39166666666677</v>
      </c>
      <c r="G75">
        <f>MonthlyData!BO75</f>
        <v>0</v>
      </c>
      <c r="H75">
        <f>MonthlyData!BP75</f>
        <v>0</v>
      </c>
      <c r="I75">
        <f>MonthlyData!BU75</f>
        <v>0</v>
      </c>
      <c r="J75">
        <f>MonthlyData!BA75</f>
        <v>4.4188406077965983</v>
      </c>
      <c r="L75" s="4"/>
      <c r="M75" s="4">
        <f t="shared" ca="1" si="7"/>
        <v>109350.96433921361</v>
      </c>
      <c r="N75" s="4"/>
      <c r="O75" s="4"/>
      <c r="P75" s="4">
        <f t="shared" ca="1" si="8"/>
        <v>6184160.5938813109</v>
      </c>
      <c r="Q75" s="17"/>
    </row>
    <row r="76" spans="1:17" x14ac:dyDescent="0.35">
      <c r="A76" s="1">
        <f>MonthlyData!A76</f>
        <v>43891</v>
      </c>
      <c r="B76" s="13">
        <f t="shared" si="9"/>
        <v>2020</v>
      </c>
      <c r="C76" s="13">
        <f t="shared" si="10"/>
        <v>3</v>
      </c>
      <c r="D76" s="4">
        <f>MonthlyData!L76</f>
        <v>5595180.8261402976</v>
      </c>
      <c r="E76" s="13">
        <f t="shared" ca="1" si="4"/>
        <v>577.21697535249291</v>
      </c>
      <c r="F76" s="4">
        <f>MonthlyData!AF76</f>
        <v>514.9666666666667</v>
      </c>
      <c r="G76">
        <f>MonthlyData!BO76</f>
        <v>1</v>
      </c>
      <c r="H76">
        <f>MonthlyData!BP76</f>
        <v>0</v>
      </c>
      <c r="I76">
        <f>MonthlyData!BU76</f>
        <v>0.5</v>
      </c>
      <c r="J76">
        <f>MonthlyData!BA76</f>
        <v>4.4308167988433134</v>
      </c>
      <c r="L76" s="4"/>
      <c r="M76" s="4">
        <f t="shared" ca="1" si="7"/>
        <v>83309.2499026562</v>
      </c>
      <c r="N76" s="4"/>
      <c r="O76" s="4"/>
      <c r="P76" s="4">
        <f t="shared" ca="1" si="8"/>
        <v>5678490.0760429539</v>
      </c>
      <c r="Q76" s="17"/>
    </row>
    <row r="77" spans="1:17" x14ac:dyDescent="0.35">
      <c r="A77" s="1">
        <f>MonthlyData!A77</f>
        <v>43922</v>
      </c>
      <c r="B77" s="13">
        <f t="shared" si="9"/>
        <v>2020</v>
      </c>
      <c r="C77" s="13">
        <f t="shared" si="10"/>
        <v>4</v>
      </c>
      <c r="D77" s="4">
        <f>MonthlyData!L77</f>
        <v>5479916.7884697942</v>
      </c>
      <c r="E77" s="13">
        <f t="shared" ca="1" si="4"/>
        <v>307.33082472275549</v>
      </c>
      <c r="F77" s="4">
        <f>MonthlyData!AF77</f>
        <v>343.1875</v>
      </c>
      <c r="G77">
        <f>MonthlyData!BO77</f>
        <v>1</v>
      </c>
      <c r="H77">
        <f>MonthlyData!BP77</f>
        <v>0</v>
      </c>
      <c r="I77">
        <f>MonthlyData!BU77</f>
        <v>1</v>
      </c>
      <c r="J77">
        <f>MonthlyData!BA77</f>
        <v>4.4426512564903167</v>
      </c>
      <c r="L77" s="4"/>
      <c r="M77" s="4">
        <f t="shared" ca="1" si="7"/>
        <v>-47986.793710960526</v>
      </c>
      <c r="N77" s="4"/>
      <c r="O77" s="4"/>
      <c r="P77" s="4">
        <f t="shared" ca="1" si="8"/>
        <v>5431929.9947588341</v>
      </c>
      <c r="Q77" s="17"/>
    </row>
    <row r="78" spans="1:17" x14ac:dyDescent="0.35">
      <c r="A78" s="1">
        <f>MonthlyData!A78</f>
        <v>43952</v>
      </c>
      <c r="B78" s="13">
        <f t="shared" si="9"/>
        <v>2020</v>
      </c>
      <c r="C78" s="13">
        <f t="shared" si="10"/>
        <v>5</v>
      </c>
      <c r="D78" s="4">
        <f>MonthlyData!L78</f>
        <v>3953654.2126647015</v>
      </c>
      <c r="E78" s="13">
        <f t="shared" ca="1" si="4"/>
        <v>103.00647094808046</v>
      </c>
      <c r="F78" s="4">
        <f>MonthlyData!AF78</f>
        <v>153.04999999999995</v>
      </c>
      <c r="G78">
        <f>MonthlyData!BO78</f>
        <v>1</v>
      </c>
      <c r="H78">
        <f>MonthlyData!BP78</f>
        <v>0</v>
      </c>
      <c r="I78">
        <f>MonthlyData!BU78</f>
        <v>1</v>
      </c>
      <c r="J78">
        <f>MonthlyData!BA78</f>
        <v>4.4543472962535073</v>
      </c>
      <c r="L78" s="4"/>
      <c r="M78" s="4">
        <f t="shared" ca="1" si="7"/>
        <v>-66972.983039142055</v>
      </c>
      <c r="N78" s="4"/>
      <c r="O78" s="4"/>
      <c r="P78" s="4">
        <f t="shared" ca="1" si="8"/>
        <v>3886681.2296255594</v>
      </c>
      <c r="Q78" s="17"/>
    </row>
    <row r="79" spans="1:17" x14ac:dyDescent="0.35">
      <c r="A79" s="1">
        <f>MonthlyData!A79</f>
        <v>43983</v>
      </c>
      <c r="B79" s="13">
        <f t="shared" si="9"/>
        <v>2020</v>
      </c>
      <c r="C79" s="13">
        <f t="shared" si="10"/>
        <v>6</v>
      </c>
      <c r="D79" s="4">
        <f>MonthlyData!L79</f>
        <v>4582175.1819470329</v>
      </c>
      <c r="E79" s="13">
        <f t="shared" ref="E79:E121" ca="1" si="11">E67</f>
        <v>5.5889105735385218</v>
      </c>
      <c r="F79" s="4">
        <f>MonthlyData!AF79</f>
        <v>10.508333333333333</v>
      </c>
      <c r="G79">
        <f>MonthlyData!BO79</f>
        <v>0</v>
      </c>
      <c r="H79">
        <f>MonthlyData!BP79</f>
        <v>0</v>
      </c>
      <c r="I79">
        <f>MonthlyData!BU79</f>
        <v>0.5</v>
      </c>
      <c r="J79">
        <f>MonthlyData!BA79</f>
        <v>4.4659081186545837</v>
      </c>
      <c r="L79" s="4"/>
      <c r="M79" s="4">
        <f t="shared" ca="1" si="7"/>
        <v>-6583.6367517624158</v>
      </c>
      <c r="N79" s="4"/>
      <c r="O79" s="4"/>
      <c r="P79" s="4">
        <f t="shared" ca="1" si="8"/>
        <v>4575591.5451952703</v>
      </c>
      <c r="Q79" s="17"/>
    </row>
    <row r="80" spans="1:17" x14ac:dyDescent="0.35">
      <c r="A80" s="1">
        <f>MonthlyData!A80</f>
        <v>44013</v>
      </c>
      <c r="B80" s="13">
        <f t="shared" si="9"/>
        <v>2020</v>
      </c>
      <c r="C80" s="13">
        <f t="shared" si="10"/>
        <v>7</v>
      </c>
      <c r="D80" s="4">
        <f>MonthlyData!L80</f>
        <v>4424200.142252977</v>
      </c>
      <c r="E80" s="13">
        <f t="shared" ca="1" si="11"/>
        <v>0.28709633857318684</v>
      </c>
      <c r="F80" s="4">
        <f>MonthlyData!AF80</f>
        <v>0</v>
      </c>
      <c r="G80">
        <f>MonthlyData!BO80</f>
        <v>0</v>
      </c>
      <c r="H80">
        <f>MonthlyData!BP80</f>
        <v>0</v>
      </c>
      <c r="I80">
        <f>MonthlyData!BU80</f>
        <v>0.5</v>
      </c>
      <c r="J80">
        <f>MonthlyData!BA80</f>
        <v>4.4773368144782069</v>
      </c>
      <c r="L80" s="4"/>
      <c r="M80" s="4">
        <f t="shared" ca="1" si="7"/>
        <v>384.21947009199431</v>
      </c>
      <c r="N80" s="4"/>
      <c r="O80" s="4"/>
      <c r="P80" s="4">
        <f t="shared" ca="1" si="8"/>
        <v>4424584.3617230691</v>
      </c>
      <c r="Q80" s="17"/>
    </row>
    <row r="81" spans="1:17" x14ac:dyDescent="0.35">
      <c r="A81" s="1">
        <f>MonthlyData!A81</f>
        <v>44044</v>
      </c>
      <c r="B81" s="13">
        <f t="shared" si="9"/>
        <v>2020</v>
      </c>
      <c r="C81" s="13">
        <f t="shared" si="10"/>
        <v>8</v>
      </c>
      <c r="D81" s="4">
        <f>MonthlyData!L81</f>
        <v>4632337.9153375532</v>
      </c>
      <c r="E81" s="13">
        <f t="shared" ca="1" si="11"/>
        <v>1.6761707873342053</v>
      </c>
      <c r="F81" s="4">
        <f>MonthlyData!AF81</f>
        <v>0</v>
      </c>
      <c r="G81">
        <f>MonthlyData!BO81</f>
        <v>0</v>
      </c>
      <c r="H81">
        <f>MonthlyData!BP81</f>
        <v>0</v>
      </c>
      <c r="I81">
        <f>MonthlyData!BU81</f>
        <v>0.5</v>
      </c>
      <c r="J81">
        <f>MonthlyData!BA81</f>
        <v>4.4886363697321396</v>
      </c>
      <c r="L81" s="4"/>
      <c r="M81" s="4">
        <f t="shared" ca="1" si="7"/>
        <v>2243.2102579011321</v>
      </c>
      <c r="N81" s="4"/>
      <c r="O81" s="4"/>
      <c r="P81" s="4">
        <f t="shared" ca="1" si="8"/>
        <v>4634581.1255954541</v>
      </c>
      <c r="Q81" s="17"/>
    </row>
    <row r="82" spans="1:17" x14ac:dyDescent="0.35">
      <c r="A82" s="1">
        <f>MonthlyData!A82</f>
        <v>44075</v>
      </c>
      <c r="B82" s="13">
        <f t="shared" si="9"/>
        <v>2020</v>
      </c>
      <c r="C82" s="13">
        <f t="shared" si="10"/>
        <v>9</v>
      </c>
      <c r="D82" s="4">
        <f>MonthlyData!L82</f>
        <v>4495832.7199474238</v>
      </c>
      <c r="E82" s="13">
        <f t="shared" ca="1" si="11"/>
        <v>28.222326899712005</v>
      </c>
      <c r="F82" s="4">
        <f>MonthlyData!AF82</f>
        <v>30.970833333333331</v>
      </c>
      <c r="G82">
        <f>MonthlyData!BO82</f>
        <v>0</v>
      </c>
      <c r="H82">
        <f>MonthlyData!BP82</f>
        <v>0</v>
      </c>
      <c r="I82">
        <f>MonthlyData!BU82</f>
        <v>0.5</v>
      </c>
      <c r="J82">
        <f>MonthlyData!BA82</f>
        <v>4.499809670330265</v>
      </c>
      <c r="L82" s="4"/>
      <c r="M82" s="4">
        <f t="shared" ca="1" si="7"/>
        <v>-3678.3112272301555</v>
      </c>
      <c r="N82" s="4"/>
      <c r="O82" s="4"/>
      <c r="P82" s="4">
        <f t="shared" ca="1" si="8"/>
        <v>4492154.4087201934</v>
      </c>
      <c r="Q82" s="17"/>
    </row>
    <row r="83" spans="1:17" x14ac:dyDescent="0.35">
      <c r="A83" s="1">
        <f>MonthlyData!A83</f>
        <v>44105</v>
      </c>
      <c r="B83" s="13">
        <f t="shared" si="9"/>
        <v>2020</v>
      </c>
      <c r="C83" s="13">
        <f t="shared" si="10"/>
        <v>10</v>
      </c>
      <c r="D83" s="4">
        <f>MonthlyData!L83</f>
        <v>4685720.8249840857</v>
      </c>
      <c r="E83" s="13">
        <f t="shared" ca="1" si="11"/>
        <v>178.0244559176316</v>
      </c>
      <c r="F83" s="4">
        <f>MonthlyData!AF83</f>
        <v>265.67500000000001</v>
      </c>
      <c r="G83">
        <f>MonthlyData!BO83</f>
        <v>0</v>
      </c>
      <c r="H83">
        <f>MonthlyData!BP83</f>
        <v>1</v>
      </c>
      <c r="I83">
        <f>MonthlyData!BU83</f>
        <v>0.5</v>
      </c>
      <c r="J83">
        <f>MonthlyData!BA83</f>
        <v>4.5108595065168497</v>
      </c>
      <c r="L83" s="4"/>
      <c r="M83" s="4">
        <f t="shared" ca="1" si="7"/>
        <v>-117302.24693206108</v>
      </c>
      <c r="N83" s="4"/>
      <c r="O83" s="4"/>
      <c r="P83" s="4">
        <f t="shared" ca="1" si="8"/>
        <v>4568418.5780520244</v>
      </c>
      <c r="Q83" s="17"/>
    </row>
    <row r="84" spans="1:17" x14ac:dyDescent="0.35">
      <c r="A84" s="1">
        <f>MonthlyData!A84</f>
        <v>44136</v>
      </c>
      <c r="B84" s="13">
        <f t="shared" si="9"/>
        <v>2020</v>
      </c>
      <c r="C84" s="13">
        <f t="shared" si="10"/>
        <v>11</v>
      </c>
      <c r="D84" s="4">
        <f>MonthlyData!L84</f>
        <v>5123217.0537212081</v>
      </c>
      <c r="E84" s="13">
        <f t="shared" ca="1" si="11"/>
        <v>403.99833333333333</v>
      </c>
      <c r="F84" s="4">
        <f>MonthlyData!AF84</f>
        <v>352.30416666666673</v>
      </c>
      <c r="G84">
        <f>MonthlyData!BO84</f>
        <v>0</v>
      </c>
      <c r="H84">
        <f>MonthlyData!BP84</f>
        <v>1</v>
      </c>
      <c r="I84">
        <f>MonthlyData!BU84</f>
        <v>0.5</v>
      </c>
      <c r="J84">
        <f>MonthlyData!BA84</f>
        <v>4.5217885770490405</v>
      </c>
      <c r="L84" s="4"/>
      <c r="M84" s="4">
        <f t="shared" ca="1" si="7"/>
        <v>69182.022390893937</v>
      </c>
      <c r="N84" s="4"/>
      <c r="O84" s="4"/>
      <c r="P84" s="4">
        <f t="shared" ca="1" si="8"/>
        <v>5192399.0761121018</v>
      </c>
      <c r="Q84" s="17"/>
    </row>
    <row r="85" spans="1:17" x14ac:dyDescent="0.35">
      <c r="A85" s="1">
        <f>MonthlyData!A85</f>
        <v>44166</v>
      </c>
      <c r="B85" s="13">
        <f t="shared" si="9"/>
        <v>2020</v>
      </c>
      <c r="C85" s="13">
        <f t="shared" si="10"/>
        <v>12</v>
      </c>
      <c r="D85" s="4">
        <f>MonthlyData!L85</f>
        <v>5344161.435734394</v>
      </c>
      <c r="E85" s="13">
        <f t="shared" ca="1" si="11"/>
        <v>629.70466952460959</v>
      </c>
      <c r="F85" s="4">
        <f>MonthlyData!AF85</f>
        <v>617.46666666666681</v>
      </c>
      <c r="G85">
        <f>MonthlyData!BO85</f>
        <v>0</v>
      </c>
      <c r="H85">
        <f>MonthlyData!BP85</f>
        <v>0</v>
      </c>
      <c r="I85">
        <f>MonthlyData!BU85</f>
        <v>0.5</v>
      </c>
      <c r="J85">
        <f>MonthlyData!BA85</f>
        <v>4.5325994931532563</v>
      </c>
      <c r="L85" s="4"/>
      <c r="M85" s="4">
        <f t="shared" ca="1" si="7"/>
        <v>16378.052734602976</v>
      </c>
      <c r="N85" s="4"/>
      <c r="O85" s="4"/>
      <c r="P85" s="4">
        <f t="shared" ca="1" si="8"/>
        <v>5360539.4884689972</v>
      </c>
      <c r="Q85" s="17"/>
    </row>
    <row r="86" spans="1:17" x14ac:dyDescent="0.35">
      <c r="A86" s="1">
        <f>MonthlyData!A86</f>
        <v>44197</v>
      </c>
      <c r="B86" s="13">
        <f t="shared" si="9"/>
        <v>2021</v>
      </c>
      <c r="C86" s="13">
        <f t="shared" si="10"/>
        <v>1</v>
      </c>
      <c r="D86" s="4">
        <f>MonthlyData!L86</f>
        <v>5631606.8919931315</v>
      </c>
      <c r="E86" s="13">
        <f t="shared" ca="1" si="11"/>
        <v>793.4846429373913</v>
      </c>
      <c r="F86" s="4">
        <f>MonthlyData!AF86</f>
        <v>652.06666666666683</v>
      </c>
      <c r="G86">
        <f>MonthlyData!BO86</f>
        <v>0</v>
      </c>
      <c r="H86">
        <f>MonthlyData!BP86</f>
        <v>0</v>
      </c>
      <c r="I86">
        <f>MonthlyData!BU86</f>
        <v>0.5</v>
      </c>
      <c r="J86">
        <f>MonthlyData!BA86</f>
        <v>4.5432947822700038</v>
      </c>
      <c r="L86" s="4"/>
      <c r="M86" s="4">
        <f t="shared" ca="1" si="7"/>
        <v>189258.90930639199</v>
      </c>
      <c r="N86" s="4"/>
      <c r="O86" s="4"/>
      <c r="P86" s="4">
        <f t="shared" ca="1" si="8"/>
        <v>5820865.8012995236</v>
      </c>
      <c r="Q86" s="17"/>
    </row>
    <row r="87" spans="1:17" x14ac:dyDescent="0.35">
      <c r="A87" s="1">
        <f>MonthlyData!A87</f>
        <v>44228</v>
      </c>
      <c r="B87" s="13">
        <f t="shared" si="9"/>
        <v>2021</v>
      </c>
      <c r="C87" s="13">
        <f t="shared" si="10"/>
        <v>2</v>
      </c>
      <c r="D87" s="4">
        <f>MonthlyData!L87</f>
        <v>5903126.1220111931</v>
      </c>
      <c r="E87" s="13">
        <f t="shared" ca="1" si="11"/>
        <v>736.10085614037712</v>
      </c>
      <c r="F87" s="4">
        <f>MonthlyData!AF87</f>
        <v>753.49583333333328</v>
      </c>
      <c r="G87">
        <f>MonthlyData!BO87</f>
        <v>0</v>
      </c>
      <c r="H87">
        <f>MonthlyData!BP87</f>
        <v>0</v>
      </c>
      <c r="I87">
        <f>MonthlyData!BU87</f>
        <v>0.5</v>
      </c>
      <c r="J87">
        <f>MonthlyData!BA87</f>
        <v>4.5538768916005408</v>
      </c>
      <c r="L87" s="4"/>
      <c r="M87" s="4">
        <f t="shared" ca="1" si="7"/>
        <v>-23279.603468841113</v>
      </c>
      <c r="N87" s="4"/>
      <c r="O87" s="4"/>
      <c r="P87" s="4">
        <f t="shared" ca="1" si="8"/>
        <v>5879846.5185423521</v>
      </c>
      <c r="Q87" s="17"/>
    </row>
    <row r="88" spans="1:17" x14ac:dyDescent="0.35">
      <c r="A88" s="1">
        <f>MonthlyData!A88</f>
        <v>44256</v>
      </c>
      <c r="B88" s="13">
        <f t="shared" si="9"/>
        <v>2021</v>
      </c>
      <c r="C88" s="13">
        <f t="shared" si="10"/>
        <v>3</v>
      </c>
      <c r="D88" s="4">
        <f>MonthlyData!L88</f>
        <v>5657786.5802215142</v>
      </c>
      <c r="E88" s="13">
        <f t="shared" ca="1" si="11"/>
        <v>577.21697535249291</v>
      </c>
      <c r="F88" s="4">
        <f>MonthlyData!AF88</f>
        <v>492.00833333333338</v>
      </c>
      <c r="G88">
        <f>MonthlyData!BO88</f>
        <v>1</v>
      </c>
      <c r="H88">
        <f>MonthlyData!BP88</f>
        <v>0</v>
      </c>
      <c r="I88">
        <f>MonthlyData!BU88</f>
        <v>0.5</v>
      </c>
      <c r="J88">
        <f>MonthlyData!BA88</f>
        <v>4.5643481914678361</v>
      </c>
      <c r="L88" s="4"/>
      <c r="M88" s="4">
        <f t="shared" ca="1" si="7"/>
        <v>114034.26266794449</v>
      </c>
      <c r="N88" s="4"/>
      <c r="O88" s="4"/>
      <c r="P88" s="4">
        <f t="shared" ca="1" si="8"/>
        <v>5771820.8428894589</v>
      </c>
      <c r="Q88" s="17"/>
    </row>
    <row r="89" spans="1:17" x14ac:dyDescent="0.35">
      <c r="A89" s="1">
        <f>MonthlyData!A89</f>
        <v>44287</v>
      </c>
      <c r="B89" s="13">
        <f t="shared" si="9"/>
        <v>2021</v>
      </c>
      <c r="C89" s="13">
        <f t="shared" si="10"/>
        <v>4</v>
      </c>
      <c r="D89" s="4">
        <f>MonthlyData!L89</f>
        <v>5843753.9774524868</v>
      </c>
      <c r="E89" s="13">
        <f t="shared" ca="1" si="11"/>
        <v>307.33082472275549</v>
      </c>
      <c r="F89" s="4">
        <f>MonthlyData!AF89</f>
        <v>213.375</v>
      </c>
      <c r="G89">
        <f>MonthlyData!BO89</f>
        <v>1</v>
      </c>
      <c r="H89">
        <f>MonthlyData!BP89</f>
        <v>0</v>
      </c>
      <c r="I89">
        <f>MonthlyData!BU89</f>
        <v>0.5</v>
      </c>
      <c r="J89">
        <f>MonthlyData!BA89</f>
        <v>4.5747109785033828</v>
      </c>
      <c r="L89" s="4"/>
      <c r="M89" s="4">
        <f t="shared" ca="1" si="7"/>
        <v>125740.56975592831</v>
      </c>
      <c r="N89" s="4"/>
      <c r="O89" s="4"/>
      <c r="P89" s="4">
        <f t="shared" ca="1" si="8"/>
        <v>5969494.5472084153</v>
      </c>
      <c r="Q89" s="17"/>
    </row>
    <row r="90" spans="1:17" x14ac:dyDescent="0.35">
      <c r="A90" s="1">
        <f>MonthlyData!A90</f>
        <v>44317</v>
      </c>
      <c r="B90" s="13">
        <f t="shared" si="9"/>
        <v>2021</v>
      </c>
      <c r="C90" s="13">
        <f t="shared" si="10"/>
        <v>5</v>
      </c>
      <c r="D90" s="4">
        <f>MonthlyData!L90</f>
        <v>4706391.2374353502</v>
      </c>
      <c r="E90" s="13">
        <f t="shared" ca="1" si="11"/>
        <v>103.00647094808046</v>
      </c>
      <c r="F90" s="4">
        <f>MonthlyData!AF90</f>
        <v>86.762499999999974</v>
      </c>
      <c r="G90">
        <f>MonthlyData!BO90</f>
        <v>1</v>
      </c>
      <c r="H90">
        <f>MonthlyData!BP90</f>
        <v>0</v>
      </c>
      <c r="I90">
        <f>MonthlyData!BU90</f>
        <v>0.5</v>
      </c>
      <c r="J90">
        <f>MonthlyData!BA90</f>
        <v>4.5849674786705723</v>
      </c>
      <c r="L90" s="4"/>
      <c r="M90" s="4">
        <f t="shared" ca="1" si="7"/>
        <v>21739.218064845543</v>
      </c>
      <c r="N90" s="4"/>
      <c r="O90" s="4"/>
      <c r="P90" s="4">
        <f t="shared" ca="1" si="8"/>
        <v>4728130.4555001957</v>
      </c>
      <c r="Q90" s="17"/>
    </row>
    <row r="91" spans="1:17" x14ac:dyDescent="0.35">
      <c r="A91" s="1">
        <f>MonthlyData!A91</f>
        <v>44348</v>
      </c>
      <c r="B91" s="13">
        <f t="shared" si="9"/>
        <v>2021</v>
      </c>
      <c r="C91" s="13">
        <f t="shared" si="10"/>
        <v>6</v>
      </c>
      <c r="D91" s="4">
        <f>MonthlyData!L91</f>
        <v>4371857.8014126103</v>
      </c>
      <c r="E91" s="13">
        <f t="shared" ca="1" si="11"/>
        <v>5.5889105735385218</v>
      </c>
      <c r="F91" s="4">
        <f>MonthlyData!AF91</f>
        <v>2.9166666666666679</v>
      </c>
      <c r="G91">
        <f>MonthlyData!BO91</f>
        <v>0</v>
      </c>
      <c r="H91">
        <f>MonthlyData!BP91</f>
        <v>0</v>
      </c>
      <c r="I91">
        <f>MonthlyData!BU91</f>
        <v>0.5</v>
      </c>
      <c r="J91">
        <f>MonthlyData!BA91</f>
        <v>4.5951198501345898</v>
      </c>
      <c r="L91" s="4"/>
      <c r="M91" s="4">
        <f t="shared" ca="1" si="7"/>
        <v>3576.2495020225761</v>
      </c>
      <c r="N91" s="4"/>
      <c r="O91" s="4"/>
      <c r="P91" s="4">
        <f t="shared" ca="1" si="8"/>
        <v>4375434.0509146331</v>
      </c>
      <c r="Q91" s="17"/>
    </row>
    <row r="92" spans="1:17" x14ac:dyDescent="0.35">
      <c r="A92" s="1">
        <f>MonthlyData!A92</f>
        <v>44378</v>
      </c>
      <c r="B92" s="13">
        <f t="shared" si="9"/>
        <v>2021</v>
      </c>
      <c r="C92" s="13">
        <f t="shared" si="10"/>
        <v>7</v>
      </c>
      <c r="D92" s="4">
        <f>MonthlyData!L92</f>
        <v>4404224.692593568</v>
      </c>
      <c r="E92" s="13">
        <f t="shared" ca="1" si="11"/>
        <v>0.28709633857318684</v>
      </c>
      <c r="F92" s="4">
        <f>MonthlyData!AF92</f>
        <v>2.104755252394658</v>
      </c>
      <c r="G92">
        <f>MonthlyData!BO92</f>
        <v>0</v>
      </c>
      <c r="H92">
        <f>MonthlyData!BP92</f>
        <v>0</v>
      </c>
      <c r="I92">
        <f>MonthlyData!BU92</f>
        <v>0.5</v>
      </c>
      <c r="J92">
        <f>MonthlyData!BA92</f>
        <v>4.6051701859880918</v>
      </c>
      <c r="L92" s="4"/>
      <c r="M92" s="4">
        <f t="shared" ca="1" si="7"/>
        <v>-2432.5630488611891</v>
      </c>
      <c r="N92" s="4"/>
      <c r="O92" s="4"/>
      <c r="P92" s="4">
        <f t="shared" ca="1" si="8"/>
        <v>4401792.129544707</v>
      </c>
      <c r="Q92" s="17"/>
    </row>
    <row r="93" spans="1:17" x14ac:dyDescent="0.35">
      <c r="A93" s="1">
        <f>MonthlyData!A93</f>
        <v>44409</v>
      </c>
      <c r="B93" s="13">
        <f t="shared" si="9"/>
        <v>2021</v>
      </c>
      <c r="C93" s="13">
        <f t="shared" si="10"/>
        <v>8</v>
      </c>
      <c r="D93" s="4">
        <f>MonthlyData!L93</f>
        <v>4384173.3824236318</v>
      </c>
      <c r="E93" s="13">
        <f t="shared" ca="1" si="11"/>
        <v>1.6761707873342053</v>
      </c>
      <c r="F93" s="4">
        <f>MonthlyData!AF93</f>
        <v>0</v>
      </c>
      <c r="G93">
        <f>MonthlyData!BO93</f>
        <v>0</v>
      </c>
      <c r="H93">
        <f>MonthlyData!BP93</f>
        <v>0</v>
      </c>
      <c r="I93">
        <f>MonthlyData!BU93</f>
        <v>0.5</v>
      </c>
      <c r="J93">
        <f>MonthlyData!BA93</f>
        <v>4.6151205168412597</v>
      </c>
      <c r="L93" s="4"/>
      <c r="M93" s="4">
        <f t="shared" ca="1" si="7"/>
        <v>2243.2102579011321</v>
      </c>
      <c r="N93" s="4"/>
      <c r="O93" s="4"/>
      <c r="P93" s="4">
        <f t="shared" ca="1" si="8"/>
        <v>4386416.5926815327</v>
      </c>
      <c r="Q93" s="17"/>
    </row>
    <row r="94" spans="1:17" x14ac:dyDescent="0.35">
      <c r="A94" s="1">
        <f>MonthlyData!A94</f>
        <v>44440</v>
      </c>
      <c r="B94" s="13">
        <f t="shared" si="9"/>
        <v>2021</v>
      </c>
      <c r="C94" s="13">
        <f t="shared" si="10"/>
        <v>9</v>
      </c>
      <c r="D94" s="4">
        <f>MonthlyData!L94</f>
        <v>4556985.8262357311</v>
      </c>
      <c r="E94" s="13">
        <f t="shared" ca="1" si="11"/>
        <v>28.222326899712005</v>
      </c>
      <c r="F94" s="4">
        <f>MonthlyData!AF94</f>
        <v>22.32083333333334</v>
      </c>
      <c r="G94">
        <f>MonthlyData!BO94</f>
        <v>0</v>
      </c>
      <c r="H94">
        <f>MonthlyData!BP94</f>
        <v>0</v>
      </c>
      <c r="I94">
        <f>MonthlyData!BU94</f>
        <v>0.5</v>
      </c>
      <c r="J94">
        <f>MonthlyData!BA94</f>
        <v>4.6249728132842707</v>
      </c>
      <c r="L94" s="4"/>
      <c r="M94" s="4">
        <f t="shared" ca="1" si="7"/>
        <v>7897.9367765336347</v>
      </c>
      <c r="N94" s="4"/>
      <c r="O94" s="4"/>
      <c r="P94" s="4">
        <f t="shared" ca="1" si="8"/>
        <v>4564883.7630122649</v>
      </c>
      <c r="Q94" s="17"/>
    </row>
    <row r="95" spans="1:17" x14ac:dyDescent="0.35">
      <c r="A95" s="1">
        <f>MonthlyData!A95</f>
        <v>44470</v>
      </c>
      <c r="B95" s="13">
        <f t="shared" si="9"/>
        <v>2021</v>
      </c>
      <c r="C95" s="13">
        <f t="shared" si="10"/>
        <v>10</v>
      </c>
      <c r="D95" s="4">
        <f>MonthlyData!L95</f>
        <v>4517829.4914550968</v>
      </c>
      <c r="E95" s="13">
        <f t="shared" ca="1" si="11"/>
        <v>178.0244559176316</v>
      </c>
      <c r="F95" s="4">
        <f>MonthlyData!AF95</f>
        <v>99.116666666666674</v>
      </c>
      <c r="G95">
        <f>MonthlyData!BO95</f>
        <v>0</v>
      </c>
      <c r="H95">
        <f>MonthlyData!BP95</f>
        <v>1</v>
      </c>
      <c r="I95">
        <f>MonthlyData!BU95</f>
        <v>0.5</v>
      </c>
      <c r="J95">
        <f>MonthlyData!BA95</f>
        <v>4.6347289882296359</v>
      </c>
      <c r="L95" s="4"/>
      <c r="M95" s="4">
        <f t="shared" ca="1" si="7"/>
        <v>105601.86564137544</v>
      </c>
      <c r="N95" s="4"/>
      <c r="O95" s="4"/>
      <c r="P95" s="4">
        <f t="shared" ca="1" si="8"/>
        <v>4623431.3570964718</v>
      </c>
      <c r="Q95" s="17"/>
    </row>
    <row r="96" spans="1:17" x14ac:dyDescent="0.35">
      <c r="A96" s="1">
        <f>MonthlyData!A96</f>
        <v>44501</v>
      </c>
      <c r="B96" s="13">
        <f t="shared" si="9"/>
        <v>2021</v>
      </c>
      <c r="C96" s="13">
        <f t="shared" si="10"/>
        <v>11</v>
      </c>
      <c r="D96" s="4">
        <f>MonthlyData!L96</f>
        <v>4808667.3949651532</v>
      </c>
      <c r="E96" s="13">
        <f t="shared" ca="1" si="11"/>
        <v>403.99833333333333</v>
      </c>
      <c r="F96" s="4">
        <f>MonthlyData!AF96</f>
        <v>364.64166666666665</v>
      </c>
      <c r="G96">
        <f>MonthlyData!BO96</f>
        <v>0</v>
      </c>
      <c r="H96">
        <f>MonthlyData!BP96</f>
        <v>1</v>
      </c>
      <c r="I96">
        <f>MonthlyData!BU96</f>
        <v>0.5</v>
      </c>
      <c r="J96">
        <f>MonthlyData!BA96</f>
        <v>4.6443908991413725</v>
      </c>
      <c r="L96" s="4"/>
      <c r="M96" s="4">
        <f t="shared" ca="1" si="7"/>
        <v>52670.813171652895</v>
      </c>
      <c r="N96" s="4"/>
      <c r="O96" s="4"/>
      <c r="P96" s="4">
        <f t="shared" ca="1" si="8"/>
        <v>4861338.2081368063</v>
      </c>
      <c r="Q96" s="17"/>
    </row>
    <row r="97" spans="1:17" x14ac:dyDescent="0.35">
      <c r="A97" s="1">
        <f>MonthlyData!A97</f>
        <v>44531</v>
      </c>
      <c r="B97" s="13">
        <f t="shared" si="9"/>
        <v>2021</v>
      </c>
      <c r="C97" s="13">
        <f t="shared" si="10"/>
        <v>12</v>
      </c>
      <c r="D97" s="4">
        <f>MonthlyData!L97</f>
        <v>5207208.4077626746</v>
      </c>
      <c r="E97" s="13">
        <f t="shared" ca="1" si="11"/>
        <v>629.70466952460959</v>
      </c>
      <c r="F97" s="4">
        <f>MonthlyData!AF97</f>
        <v>683.00833333333321</v>
      </c>
      <c r="G97">
        <f>MonthlyData!BO97</f>
        <v>0</v>
      </c>
      <c r="H97">
        <f>MonthlyData!BP97</f>
        <v>0</v>
      </c>
      <c r="I97">
        <f>MonthlyData!BU97</f>
        <v>0.5</v>
      </c>
      <c r="J97">
        <f>MonthlyData!BA97</f>
        <v>4.6539603501575231</v>
      </c>
      <c r="L97" s="4"/>
      <c r="M97" s="4">
        <f t="shared" ca="1" si="7"/>
        <v>-71336.003671564584</v>
      </c>
      <c r="N97" s="4"/>
      <c r="O97" s="4"/>
      <c r="P97" s="4">
        <f t="shared" ca="1" si="8"/>
        <v>5135872.4040911105</v>
      </c>
      <c r="Q97" s="17"/>
    </row>
    <row r="98" spans="1:17" x14ac:dyDescent="0.35">
      <c r="A98" s="1">
        <f>MonthlyData!A98</f>
        <v>44562</v>
      </c>
      <c r="B98" s="13">
        <f t="shared" si="9"/>
        <v>2022</v>
      </c>
      <c r="C98" s="13">
        <f t="shared" si="10"/>
        <v>1</v>
      </c>
      <c r="D98" s="4">
        <f>MonthlyData!L98</f>
        <v>5515070.7865821905</v>
      </c>
      <c r="E98" s="13">
        <f t="shared" ca="1" si="11"/>
        <v>793.4846429373913</v>
      </c>
      <c r="F98" s="4">
        <f>MonthlyData!AF98</f>
        <v>990.57499999999993</v>
      </c>
      <c r="G98">
        <f>MonthlyData!BO98</f>
        <v>0</v>
      </c>
      <c r="H98">
        <f>MonthlyData!BP98</f>
        <v>0</v>
      </c>
      <c r="I98">
        <f>MonthlyData!BU98</f>
        <v>0.25</v>
      </c>
      <c r="J98">
        <f>MonthlyData!BA98</f>
        <v>4.6634390941120669</v>
      </c>
      <c r="L98" s="4"/>
      <c r="M98" s="4">
        <f t="shared" ref="M98:M121" ca="1" si="12">(E98-F98)*$S$9</f>
        <v>-263764.95404706569</v>
      </c>
      <c r="N98" s="4"/>
      <c r="O98" s="4"/>
      <c r="P98" s="4">
        <f t="shared" ref="P98:P121" ca="1" si="13">D98+M98</f>
        <v>5251305.8325351253</v>
      </c>
      <c r="Q98" s="17"/>
    </row>
    <row r="99" spans="1:17" x14ac:dyDescent="0.35">
      <c r="A99" s="1">
        <f>MonthlyData!A99</f>
        <v>44593</v>
      </c>
      <c r="B99" s="13">
        <f t="shared" si="9"/>
        <v>2022</v>
      </c>
      <c r="C99" s="13">
        <f t="shared" si="10"/>
        <v>2</v>
      </c>
      <c r="D99" s="4">
        <f>MonthlyData!L99</f>
        <v>5999044.6652609417</v>
      </c>
      <c r="E99" s="13">
        <f t="shared" ca="1" si="11"/>
        <v>736.10085614037712</v>
      </c>
      <c r="F99" s="4">
        <f>MonthlyData!AF99</f>
        <v>803.72083333333319</v>
      </c>
      <c r="G99">
        <f>MonthlyData!BO99</f>
        <v>0</v>
      </c>
      <c r="H99">
        <f>MonthlyData!BP99</f>
        <v>0</v>
      </c>
      <c r="I99">
        <f>MonthlyData!BU99</f>
        <v>0.25</v>
      </c>
      <c r="J99">
        <f>MonthlyData!BA99</f>
        <v>4.6728288344619058</v>
      </c>
      <c r="L99" s="4"/>
      <c r="M99" s="4">
        <f t="shared" ca="1" si="12"/>
        <v>-90495.448091851038</v>
      </c>
      <c r="N99" s="4"/>
      <c r="O99" s="4"/>
      <c r="P99" s="4">
        <f t="shared" ca="1" si="13"/>
        <v>5908549.2171690911</v>
      </c>
      <c r="Q99" s="17"/>
    </row>
    <row r="100" spans="1:17" x14ac:dyDescent="0.35">
      <c r="A100" s="1">
        <f>MonthlyData!A100</f>
        <v>44621</v>
      </c>
      <c r="B100" s="13">
        <f t="shared" si="9"/>
        <v>2022</v>
      </c>
      <c r="C100" s="13">
        <f t="shared" si="10"/>
        <v>3</v>
      </c>
      <c r="D100" s="4">
        <f>MonthlyData!L100</f>
        <v>5477369.7664209213</v>
      </c>
      <c r="E100" s="13">
        <f t="shared" ca="1" si="11"/>
        <v>577.21697535249291</v>
      </c>
      <c r="F100" s="4">
        <f>MonthlyData!AF100</f>
        <v>555.07083333333333</v>
      </c>
      <c r="G100">
        <f>MonthlyData!BO100</f>
        <v>1</v>
      </c>
      <c r="H100">
        <f>MonthlyData!BP100</f>
        <v>0</v>
      </c>
      <c r="I100">
        <f>MonthlyData!BU100</f>
        <v>0.25</v>
      </c>
      <c r="J100">
        <f>MonthlyData!BA100</f>
        <v>4.6821312271242199</v>
      </c>
      <c r="L100" s="4"/>
      <c r="M100" s="4">
        <f t="shared" ca="1" si="12"/>
        <v>29638.061542238818</v>
      </c>
      <c r="N100" s="4"/>
      <c r="O100" s="4"/>
      <c r="P100" s="4">
        <f t="shared" ca="1" si="13"/>
        <v>5507007.8279631604</v>
      </c>
      <c r="Q100" s="17"/>
    </row>
    <row r="101" spans="1:17" x14ac:dyDescent="0.35">
      <c r="A101" s="1">
        <f>MonthlyData!A101</f>
        <v>44652</v>
      </c>
      <c r="B101" s="13">
        <f t="shared" si="9"/>
        <v>2022</v>
      </c>
      <c r="C101" s="13">
        <f t="shared" si="10"/>
        <v>4</v>
      </c>
      <c r="D101" s="4">
        <f>MonthlyData!L101</f>
        <v>5659412.8678707657</v>
      </c>
      <c r="E101" s="13">
        <f t="shared" ca="1" si="11"/>
        <v>307.33082472275549</v>
      </c>
      <c r="F101" s="4">
        <f>MonthlyData!AF101</f>
        <v>269.69166666666661</v>
      </c>
      <c r="G101">
        <f>MonthlyData!BO101</f>
        <v>1</v>
      </c>
      <c r="H101">
        <f>MonthlyData!BP101</f>
        <v>0</v>
      </c>
      <c r="I101">
        <f>MonthlyData!BU101</f>
        <v>0.25</v>
      </c>
      <c r="J101">
        <f>MonthlyData!BA101</f>
        <v>4.6913478822291435</v>
      </c>
      <c r="L101" s="4"/>
      <c r="M101" s="4">
        <f t="shared" ca="1" si="12"/>
        <v>50372.280729497019</v>
      </c>
      <c r="N101" s="4"/>
      <c r="O101" s="4"/>
      <c r="P101" s="4">
        <f t="shared" ca="1" si="13"/>
        <v>5709785.1486002626</v>
      </c>
      <c r="Q101" s="17"/>
    </row>
    <row r="102" spans="1:17" x14ac:dyDescent="0.35">
      <c r="A102" s="1">
        <f>MonthlyData!A102</f>
        <v>44682</v>
      </c>
      <c r="B102" s="13">
        <f t="shared" si="9"/>
        <v>2022</v>
      </c>
      <c r="C102" s="13">
        <f t="shared" si="10"/>
        <v>5</v>
      </c>
      <c r="D102" s="4">
        <f>MonthlyData!L102</f>
        <v>4902437.2248681234</v>
      </c>
      <c r="E102" s="13">
        <f t="shared" ca="1" si="11"/>
        <v>103.00647094808046</v>
      </c>
      <c r="F102" s="4">
        <f>MonthlyData!AF102</f>
        <v>37.020833333333329</v>
      </c>
      <c r="G102">
        <f>MonthlyData!BO102</f>
        <v>1</v>
      </c>
      <c r="H102">
        <f>MonthlyData!BP102</f>
        <v>0</v>
      </c>
      <c r="I102">
        <f>MonthlyData!BU102</f>
        <v>0.25</v>
      </c>
      <c r="J102">
        <f>MonthlyData!BA102</f>
        <v>4.7004803657924166</v>
      </c>
      <c r="L102" s="4"/>
      <c r="M102" s="4">
        <f t="shared" ca="1" si="12"/>
        <v>88308.220313849495</v>
      </c>
      <c r="N102" s="4"/>
      <c r="O102" s="4"/>
      <c r="P102" s="4">
        <f t="shared" ca="1" si="13"/>
        <v>4990745.4451819733</v>
      </c>
      <c r="Q102" s="17"/>
    </row>
    <row r="103" spans="1:17" x14ac:dyDescent="0.35">
      <c r="A103" s="1">
        <f>MonthlyData!A103</f>
        <v>44713</v>
      </c>
      <c r="B103" s="13">
        <f t="shared" si="9"/>
        <v>2022</v>
      </c>
      <c r="C103" s="13">
        <f t="shared" si="10"/>
        <v>6</v>
      </c>
      <c r="D103" s="4">
        <f>MonthlyData!L103</f>
        <v>4899970.4473683499</v>
      </c>
      <c r="E103" s="13">
        <f t="shared" ca="1" si="11"/>
        <v>5.5889105735385218</v>
      </c>
      <c r="F103" s="4">
        <f>MonthlyData!AF103</f>
        <v>0.58750000000000036</v>
      </c>
      <c r="G103">
        <f>MonthlyData!BO103</f>
        <v>0</v>
      </c>
      <c r="H103">
        <f>MonthlyData!BP103</f>
        <v>0</v>
      </c>
      <c r="I103">
        <f>MonthlyData!BU103</f>
        <v>0.25</v>
      </c>
      <c r="J103">
        <f>MonthlyData!BA103</f>
        <v>4.7095302013123339</v>
      </c>
      <c r="L103" s="4"/>
      <c r="M103" s="4">
        <f t="shared" ca="1" si="12"/>
        <v>6693.3605974483789</v>
      </c>
      <c r="N103" s="4"/>
      <c r="O103" s="4"/>
      <c r="P103" s="4">
        <f t="shared" ca="1" si="13"/>
        <v>4906663.8079657983</v>
      </c>
      <c r="Q103" s="17"/>
    </row>
    <row r="104" spans="1:17" x14ac:dyDescent="0.35">
      <c r="A104" s="1">
        <f>MonthlyData!A104</f>
        <v>44743</v>
      </c>
      <c r="B104" s="13">
        <f t="shared" si="9"/>
        <v>2022</v>
      </c>
      <c r="C104" s="13">
        <f t="shared" si="10"/>
        <v>7</v>
      </c>
      <c r="D104" s="4">
        <f>MonthlyData!L104</f>
        <v>4582845.8076719521</v>
      </c>
      <c r="E104" s="13">
        <f t="shared" ca="1" si="11"/>
        <v>0.28709633857318684</v>
      </c>
      <c r="F104" s="4">
        <f>MonthlyData!AF104</f>
        <v>0.76620813333721038</v>
      </c>
      <c r="G104">
        <f>MonthlyData!BO104</f>
        <v>0</v>
      </c>
      <c r="H104">
        <f>MonthlyData!BP104</f>
        <v>0</v>
      </c>
      <c r="I104">
        <f>MonthlyData!BU104</f>
        <v>0.25</v>
      </c>
      <c r="J104">
        <f>MonthlyData!BA104</f>
        <v>4.7184988712950942</v>
      </c>
      <c r="L104" s="4"/>
      <c r="M104" s="4">
        <f t="shared" ca="1" si="12"/>
        <v>-641.19271187476534</v>
      </c>
      <c r="N104" s="4"/>
      <c r="O104" s="4"/>
      <c r="P104" s="4">
        <f t="shared" ca="1" si="13"/>
        <v>4582204.6149600772</v>
      </c>
      <c r="Q104" s="17"/>
    </row>
    <row r="105" spans="1:17" x14ac:dyDescent="0.35">
      <c r="A105" s="1">
        <f>MonthlyData!A105</f>
        <v>44774</v>
      </c>
      <c r="B105" s="13">
        <f t="shared" si="9"/>
        <v>2022</v>
      </c>
      <c r="C105" s="13">
        <f t="shared" si="10"/>
        <v>8</v>
      </c>
      <c r="D105" s="4">
        <f>MonthlyData!L105</f>
        <v>4383637.8491329644</v>
      </c>
      <c r="E105" s="13">
        <f t="shared" ca="1" si="11"/>
        <v>1.6761707873342053</v>
      </c>
      <c r="F105" s="4">
        <f>MonthlyData!AF105</f>
        <v>1.0791666666666657</v>
      </c>
      <c r="G105">
        <f>MonthlyData!BO105</f>
        <v>0</v>
      </c>
      <c r="H105">
        <f>MonthlyData!BP105</f>
        <v>0</v>
      </c>
      <c r="I105">
        <f>MonthlyData!BU105</f>
        <v>0.25</v>
      </c>
      <c r="J105">
        <f>MonthlyData!BA105</f>
        <v>4.7273878187123408</v>
      </c>
      <c r="L105" s="4"/>
      <c r="M105" s="4">
        <f t="shared" ca="1" si="12"/>
        <v>798.96737111171899</v>
      </c>
      <c r="N105" s="4"/>
      <c r="O105" s="4"/>
      <c r="P105" s="4">
        <f t="shared" ca="1" si="13"/>
        <v>4384436.8165040761</v>
      </c>
      <c r="Q105" s="17"/>
    </row>
    <row r="106" spans="1:17" x14ac:dyDescent="0.35">
      <c r="A106" s="1">
        <f>MonthlyData!A106</f>
        <v>44805</v>
      </c>
      <c r="B106" s="13">
        <f t="shared" si="9"/>
        <v>2022</v>
      </c>
      <c r="C106" s="13">
        <f t="shared" si="10"/>
        <v>9</v>
      </c>
      <c r="D106" s="4">
        <f>MonthlyData!L106</f>
        <v>4398549.3566141417</v>
      </c>
      <c r="E106" s="13">
        <f t="shared" ca="1" si="11"/>
        <v>28.222326899712005</v>
      </c>
      <c r="F106" s="4">
        <f>MonthlyData!AF106</f>
        <v>23.4375</v>
      </c>
      <c r="G106">
        <f>MonthlyData!BO106</f>
        <v>0</v>
      </c>
      <c r="H106">
        <f>MonthlyData!BP106</f>
        <v>0</v>
      </c>
      <c r="I106">
        <f>MonthlyData!BU106</f>
        <v>0.25</v>
      </c>
      <c r="J106">
        <f>MonthlyData!BA106</f>
        <v>4.7361984483944957</v>
      </c>
      <c r="L106" s="4"/>
      <c r="M106" s="4">
        <f t="shared" ca="1" si="12"/>
        <v>6403.5078434851375</v>
      </c>
      <c r="N106" s="4"/>
      <c r="O106" s="4"/>
      <c r="P106" s="4">
        <f t="shared" ca="1" si="13"/>
        <v>4404952.8644576268</v>
      </c>
      <c r="Q106" s="17"/>
    </row>
    <row r="107" spans="1:17" x14ac:dyDescent="0.35">
      <c r="A107" s="1">
        <f>MonthlyData!A107</f>
        <v>44835</v>
      </c>
      <c r="B107" s="13">
        <f t="shared" si="9"/>
        <v>2022</v>
      </c>
      <c r="C107" s="13">
        <f t="shared" si="10"/>
        <v>10</v>
      </c>
      <c r="D107" s="4">
        <f>MonthlyData!L107</f>
        <v>4372734.9886369808</v>
      </c>
      <c r="E107" s="13">
        <f t="shared" ca="1" si="11"/>
        <v>178.0244559176316</v>
      </c>
      <c r="F107" s="4">
        <f>MonthlyData!AF107</f>
        <v>133.35833333333338</v>
      </c>
      <c r="G107">
        <f>MonthlyData!BO107</f>
        <v>0</v>
      </c>
      <c r="H107">
        <f>MonthlyData!BP107</f>
        <v>1</v>
      </c>
      <c r="I107">
        <f>MonthlyData!BU107</f>
        <v>0.25</v>
      </c>
      <c r="J107">
        <f>MonthlyData!BA107</f>
        <v>4.7449321283632502</v>
      </c>
      <c r="L107" s="4"/>
      <c r="M107" s="4">
        <f t="shared" ca="1" si="12"/>
        <v>59776.429179462604</v>
      </c>
      <c r="N107" s="4"/>
      <c r="O107" s="4"/>
      <c r="P107" s="4">
        <f t="shared" ca="1" si="13"/>
        <v>4432511.4178164434</v>
      </c>
      <c r="Q107" s="17"/>
    </row>
    <row r="108" spans="1:17" x14ac:dyDescent="0.35">
      <c r="A108" s="1">
        <f>MonthlyData!A108</f>
        <v>44866</v>
      </c>
      <c r="B108" s="13">
        <f t="shared" si="9"/>
        <v>2022</v>
      </c>
      <c r="C108" s="13">
        <f t="shared" si="10"/>
        <v>11</v>
      </c>
      <c r="D108" s="4">
        <f>MonthlyData!L108</f>
        <v>4649123.1824785406</v>
      </c>
      <c r="E108" s="13">
        <f t="shared" ca="1" si="11"/>
        <v>403.99833333333333</v>
      </c>
      <c r="F108" s="4">
        <f>MonthlyData!AF108</f>
        <v>355.58750000000009</v>
      </c>
      <c r="G108">
        <f>MonthlyData!BO108</f>
        <v>0</v>
      </c>
      <c r="H108">
        <f>MonthlyData!BP108</f>
        <v>1</v>
      </c>
      <c r="I108">
        <f>MonthlyData!BU108</f>
        <v>0.25</v>
      </c>
      <c r="J108">
        <f>MonthlyData!BA108</f>
        <v>4.7535901911063645</v>
      </c>
      <c r="L108" s="4"/>
      <c r="M108" s="4">
        <f t="shared" ca="1" si="12"/>
        <v>64787.95522954232</v>
      </c>
      <c r="N108" s="4"/>
      <c r="O108" s="4"/>
      <c r="P108" s="4">
        <f t="shared" ca="1" si="13"/>
        <v>4713911.1377080828</v>
      </c>
      <c r="Q108" s="17"/>
    </row>
    <row r="109" spans="1:17" x14ac:dyDescent="0.35">
      <c r="A109" s="1">
        <f>MonthlyData!A109</f>
        <v>44896</v>
      </c>
      <c r="B109" s="13">
        <f t="shared" si="9"/>
        <v>2022</v>
      </c>
      <c r="C109" s="13">
        <f t="shared" si="10"/>
        <v>12</v>
      </c>
      <c r="D109" s="4">
        <f>MonthlyData!L109</f>
        <v>4821079.3921188647</v>
      </c>
      <c r="E109" s="13">
        <f t="shared" ca="1" si="11"/>
        <v>629.70466952460959</v>
      </c>
      <c r="F109" s="4">
        <f>MonthlyData!AF109</f>
        <v>628.47916666666674</v>
      </c>
      <c r="G109">
        <f>MonthlyData!BO109</f>
        <v>0</v>
      </c>
      <c r="H109">
        <f>MonthlyData!BP109</f>
        <v>0</v>
      </c>
      <c r="I109">
        <f>MonthlyData!BU109</f>
        <v>0.25</v>
      </c>
      <c r="J109">
        <f>MonthlyData!BA109</f>
        <v>4.7621739347977563</v>
      </c>
      <c r="L109" s="4"/>
      <c r="M109" s="4">
        <f t="shared" ca="1" si="12"/>
        <v>1640.0838165164932</v>
      </c>
      <c r="N109" s="4"/>
      <c r="O109" s="4"/>
      <c r="P109" s="4">
        <f t="shared" ca="1" si="13"/>
        <v>4822719.4759353809</v>
      </c>
      <c r="Q109" s="17"/>
    </row>
    <row r="110" spans="1:17" x14ac:dyDescent="0.35">
      <c r="A110" s="1">
        <f>MonthlyData!A110</f>
        <v>44927</v>
      </c>
      <c r="B110" s="13">
        <f t="shared" si="9"/>
        <v>2023</v>
      </c>
      <c r="C110" s="13">
        <f t="shared" si="10"/>
        <v>1</v>
      </c>
      <c r="D110" s="4">
        <f>MonthlyData!L110</f>
        <v>5083404.0129136732</v>
      </c>
      <c r="E110" s="13">
        <f t="shared" ca="1" si="11"/>
        <v>793.4846429373913</v>
      </c>
      <c r="F110" s="4">
        <f>MonthlyData!AF110</f>
        <v>694.54583333333335</v>
      </c>
      <c r="G110">
        <f>MonthlyData!BO110</f>
        <v>0</v>
      </c>
      <c r="H110">
        <f>MonthlyData!BP110</f>
        <v>0</v>
      </c>
      <c r="I110">
        <f>MonthlyData!BU110</f>
        <v>0</v>
      </c>
      <c r="J110">
        <f>MonthlyData!BA110</f>
        <v>4.7706846244656651</v>
      </c>
      <c r="L110" s="4"/>
      <c r="M110" s="4">
        <f t="shared" ca="1" si="12"/>
        <v>132409.27134956562</v>
      </c>
      <c r="N110" s="4"/>
      <c r="O110" s="4"/>
      <c r="P110" s="4">
        <f t="shared" ca="1" si="13"/>
        <v>5215813.2842632392</v>
      </c>
      <c r="Q110" s="17"/>
    </row>
    <row r="111" spans="1:17" x14ac:dyDescent="0.35">
      <c r="A111" s="1">
        <f>MonthlyData!A111</f>
        <v>44958</v>
      </c>
      <c r="B111" s="13">
        <f t="shared" si="9"/>
        <v>2023</v>
      </c>
      <c r="C111" s="13">
        <f t="shared" si="10"/>
        <v>2</v>
      </c>
      <c r="D111" s="4">
        <f>MonthlyData!L111</f>
        <v>5802911.0811732169</v>
      </c>
      <c r="E111" s="13">
        <f t="shared" ca="1" si="11"/>
        <v>736.10085614037712</v>
      </c>
      <c r="F111" s="4">
        <f>MonthlyData!AF111</f>
        <v>671.62500000000023</v>
      </c>
      <c r="G111">
        <f>MonthlyData!BO111</f>
        <v>0</v>
      </c>
      <c r="H111">
        <f>MonthlyData!BP111</f>
        <v>0</v>
      </c>
      <c r="I111">
        <f>MonthlyData!BU111</f>
        <v>0</v>
      </c>
      <c r="J111">
        <f>MonthlyData!BA111</f>
        <v>4.7791234931115296</v>
      </c>
      <c r="L111" s="4"/>
      <c r="M111" s="4">
        <f t="shared" ca="1" si="12"/>
        <v>86287.687969479768</v>
      </c>
      <c r="N111" s="4"/>
      <c r="O111" s="4"/>
      <c r="P111" s="4">
        <f t="shared" ca="1" si="13"/>
        <v>5889198.7691426966</v>
      </c>
      <c r="Q111" s="17"/>
    </row>
    <row r="112" spans="1:17" x14ac:dyDescent="0.35">
      <c r="A112" s="1">
        <f>MonthlyData!A112</f>
        <v>44986</v>
      </c>
      <c r="B112" s="13">
        <f t="shared" si="9"/>
        <v>2023</v>
      </c>
      <c r="C112" s="13">
        <f t="shared" si="10"/>
        <v>3</v>
      </c>
      <c r="D112" s="4">
        <f>MonthlyData!L112</f>
        <v>5162215.5231142556</v>
      </c>
      <c r="E112" s="13">
        <f t="shared" ca="1" si="11"/>
        <v>577.21697535249291</v>
      </c>
      <c r="F112" s="4">
        <f>MonthlyData!AF112</f>
        <v>598.18749999999989</v>
      </c>
      <c r="G112">
        <f>MonthlyData!BO112</f>
        <v>1</v>
      </c>
      <c r="H112">
        <f>MonthlyData!BP112</f>
        <v>0</v>
      </c>
      <c r="I112">
        <f>MonthlyData!BU112</f>
        <v>0</v>
      </c>
      <c r="J112">
        <f>MonthlyData!BA112</f>
        <v>4.7874917427820458</v>
      </c>
      <c r="L112" s="4"/>
      <c r="M112" s="4">
        <f t="shared" ca="1" si="12"/>
        <v>-28064.739200992168</v>
      </c>
      <c r="N112" s="4"/>
      <c r="O112" s="4"/>
      <c r="P112" s="4">
        <f t="shared" ca="1" si="13"/>
        <v>5134150.7839132631</v>
      </c>
      <c r="Q112" s="17"/>
    </row>
    <row r="113" spans="1:17" x14ac:dyDescent="0.35">
      <c r="A113" s="1">
        <f>MonthlyData!A113</f>
        <v>45017</v>
      </c>
      <c r="B113" s="13">
        <f t="shared" si="9"/>
        <v>2023</v>
      </c>
      <c r="C113" s="13">
        <f t="shared" si="10"/>
        <v>4</v>
      </c>
      <c r="D113" s="4">
        <f>MonthlyData!L113</f>
        <v>5591662.3006220125</v>
      </c>
      <c r="E113" s="13">
        <f t="shared" ca="1" si="11"/>
        <v>307.33082472275549</v>
      </c>
      <c r="F113" s="4">
        <f>MonthlyData!AF113</f>
        <v>288.91250000000008</v>
      </c>
      <c r="G113">
        <f>MonthlyData!BO113</f>
        <v>1</v>
      </c>
      <c r="H113">
        <f>MonthlyData!BP113</f>
        <v>0</v>
      </c>
      <c r="I113">
        <f>MonthlyData!BU113</f>
        <v>0</v>
      </c>
      <c r="J113">
        <f>MonthlyData!BA113</f>
        <v>4.7957905455967413</v>
      </c>
      <c r="L113" s="4"/>
      <c r="M113" s="4">
        <f t="shared" ca="1" si="12"/>
        <v>24649.14390803131</v>
      </c>
      <c r="N113" s="4"/>
      <c r="O113" s="4"/>
      <c r="P113" s="4">
        <f t="shared" ca="1" si="13"/>
        <v>5616311.4445300438</v>
      </c>
      <c r="Q113" s="17"/>
    </row>
    <row r="114" spans="1:17" x14ac:dyDescent="0.35">
      <c r="A114" s="1">
        <f>MonthlyData!A114</f>
        <v>45047</v>
      </c>
      <c r="B114" s="13">
        <f t="shared" si="9"/>
        <v>2023</v>
      </c>
      <c r="C114" s="13">
        <f t="shared" si="10"/>
        <v>5</v>
      </c>
      <c r="D114" s="4">
        <f>MonthlyData!L114</f>
        <v>4784228.5932504898</v>
      </c>
      <c r="E114" s="13">
        <f t="shared" ca="1" si="11"/>
        <v>103.00647094808046</v>
      </c>
      <c r="F114" s="4">
        <f>MonthlyData!AF114</f>
        <v>53.558333333333323</v>
      </c>
      <c r="G114">
        <f>MonthlyData!BO114</f>
        <v>1</v>
      </c>
      <c r="H114">
        <f>MonthlyData!BP114</f>
        <v>0</v>
      </c>
      <c r="I114">
        <f>MonthlyData!BU114</f>
        <v>0</v>
      </c>
      <c r="J114">
        <f>MonthlyData!BA114</f>
        <v>4.8040210447332568</v>
      </c>
      <c r="L114" s="4"/>
      <c r="M114" s="4">
        <f t="shared" ca="1" si="12"/>
        <v>66176.173913590101</v>
      </c>
      <c r="N114" s="4"/>
      <c r="O114" s="4"/>
      <c r="P114" s="4">
        <f t="shared" ca="1" si="13"/>
        <v>4850404.7671640795</v>
      </c>
      <c r="Q114" s="17"/>
    </row>
    <row r="115" spans="1:17" x14ac:dyDescent="0.35">
      <c r="A115" s="1">
        <f>MonthlyData!A115</f>
        <v>45078</v>
      </c>
      <c r="B115" s="13">
        <f t="shared" si="9"/>
        <v>2023</v>
      </c>
      <c r="C115" s="13">
        <f t="shared" si="10"/>
        <v>6</v>
      </c>
      <c r="D115" s="4">
        <f>MonthlyData!L115</f>
        <v>4836719.6993777948</v>
      </c>
      <c r="E115" s="13">
        <f t="shared" ca="1" si="11"/>
        <v>5.5889105735385218</v>
      </c>
      <c r="F115" s="4">
        <f>MonthlyData!AF115</f>
        <v>1.0041666666666664</v>
      </c>
      <c r="G115">
        <f>MonthlyData!BO115</f>
        <v>0</v>
      </c>
      <c r="H115">
        <f>MonthlyData!BP115</f>
        <v>0</v>
      </c>
      <c r="I115">
        <f>MonthlyData!BU115</f>
        <v>0</v>
      </c>
      <c r="J115">
        <f>MonthlyData!BA115</f>
        <v>4.8121843553724171</v>
      </c>
      <c r="L115" s="4"/>
      <c r="M115" s="4">
        <f t="shared" ca="1" si="12"/>
        <v>6135.7378612362509</v>
      </c>
      <c r="N115" s="4"/>
      <c r="O115" s="4"/>
      <c r="P115" s="4">
        <f t="shared" ca="1" si="13"/>
        <v>4842855.4372390313</v>
      </c>
      <c r="Q115" s="17"/>
    </row>
    <row r="116" spans="1:17" x14ac:dyDescent="0.35">
      <c r="A116" s="1">
        <f>MonthlyData!A116</f>
        <v>45108</v>
      </c>
      <c r="B116" s="13">
        <f t="shared" si="9"/>
        <v>2023</v>
      </c>
      <c r="C116" s="13">
        <f t="shared" si="10"/>
        <v>7</v>
      </c>
      <c r="D116" s="4">
        <f>MonthlyData!L116</f>
        <v>4482605.3983117854</v>
      </c>
      <c r="E116" s="13">
        <f t="shared" ca="1" si="11"/>
        <v>0.28709633857318684</v>
      </c>
      <c r="F116" s="4">
        <f>MonthlyData!AF116</f>
        <v>0</v>
      </c>
      <c r="G116">
        <f>MonthlyData!BO116</f>
        <v>0</v>
      </c>
      <c r="H116">
        <f>MonthlyData!BP116</f>
        <v>0</v>
      </c>
      <c r="I116">
        <f>MonthlyData!BU116</f>
        <v>0</v>
      </c>
      <c r="J116">
        <f>MonthlyData!BA116</f>
        <v>4.8202815656050371</v>
      </c>
      <c r="L116" s="4"/>
      <c r="M116" s="4">
        <f t="shared" ca="1" si="12"/>
        <v>384.21947009199431</v>
      </c>
      <c r="N116" s="4"/>
      <c r="O116" s="4"/>
      <c r="P116" s="4">
        <f t="shared" ca="1" si="13"/>
        <v>4482989.6177818775</v>
      </c>
      <c r="Q116" s="17"/>
    </row>
    <row r="117" spans="1:17" x14ac:dyDescent="0.35">
      <c r="A117" s="1">
        <f>MonthlyData!A117</f>
        <v>45139</v>
      </c>
      <c r="B117" s="13">
        <f t="shared" si="9"/>
        <v>2023</v>
      </c>
      <c r="C117" s="13">
        <f t="shared" si="10"/>
        <v>8</v>
      </c>
      <c r="D117" s="4">
        <f>MonthlyData!L117</f>
        <v>4212166.9383942354</v>
      </c>
      <c r="E117" s="13">
        <f t="shared" ca="1" si="11"/>
        <v>1.6761707873342053</v>
      </c>
      <c r="F117" s="4">
        <f>MonthlyData!AF117</f>
        <v>2.44166666666667</v>
      </c>
      <c r="G117">
        <f>MonthlyData!BO117</f>
        <v>0</v>
      </c>
      <c r="H117">
        <f>MonthlyData!BP117</f>
        <v>0</v>
      </c>
      <c r="I117">
        <f>MonthlyData!BU117</f>
        <v>0</v>
      </c>
      <c r="J117">
        <f>MonthlyData!BA117</f>
        <v>4.8283137373023015</v>
      </c>
      <c r="L117" s="4"/>
      <c r="M117" s="4">
        <f t="shared" ca="1" si="12"/>
        <v>-1024.4589763019492</v>
      </c>
      <c r="N117" s="4"/>
      <c r="O117" s="4"/>
      <c r="P117" s="4">
        <f t="shared" ca="1" si="13"/>
        <v>4211142.4794179332</v>
      </c>
      <c r="Q117" s="17"/>
    </row>
    <row r="118" spans="1:17" x14ac:dyDescent="0.35">
      <c r="A118" s="1">
        <f>MonthlyData!A118</f>
        <v>45170</v>
      </c>
      <c r="B118" s="13">
        <f t="shared" si="9"/>
        <v>2023</v>
      </c>
      <c r="C118" s="13">
        <f t="shared" si="10"/>
        <v>9</v>
      </c>
      <c r="D118" s="4">
        <f>MonthlyData!L118</f>
        <v>4586011.5348508442</v>
      </c>
      <c r="E118" s="13">
        <f t="shared" ca="1" si="11"/>
        <v>28.222326899712005</v>
      </c>
      <c r="F118" s="4">
        <f>MonthlyData!AF118</f>
        <v>13.108333333333334</v>
      </c>
      <c r="G118">
        <f>MonthlyData!BO118</f>
        <v>0</v>
      </c>
      <c r="H118">
        <f>MonthlyData!BP118</f>
        <v>0</v>
      </c>
      <c r="I118">
        <f>MonthlyData!BU118</f>
        <v>0</v>
      </c>
      <c r="J118">
        <f>MonthlyData!BA118</f>
        <v>4.836281906951478</v>
      </c>
      <c r="L118" s="4"/>
      <c r="M118" s="4">
        <f t="shared" ca="1" si="12"/>
        <v>20226.975474183819</v>
      </c>
      <c r="N118" s="4"/>
      <c r="O118" s="4"/>
      <c r="P118" s="4">
        <f t="shared" ca="1" si="13"/>
        <v>4606238.5103250276</v>
      </c>
      <c r="Q118" s="17"/>
    </row>
    <row r="119" spans="1:17" x14ac:dyDescent="0.35">
      <c r="A119" s="1">
        <f>MonthlyData!A119</f>
        <v>45200</v>
      </c>
      <c r="B119" s="13">
        <f t="shared" si="9"/>
        <v>2023</v>
      </c>
      <c r="C119" s="13">
        <f t="shared" si="10"/>
        <v>10</v>
      </c>
      <c r="D119" s="4">
        <f>MonthlyData!L119</f>
        <v>4443897.0188826909</v>
      </c>
      <c r="E119" s="13">
        <f t="shared" ca="1" si="11"/>
        <v>178.0244559176316</v>
      </c>
      <c r="F119" s="4">
        <f>MonthlyData!AF119</f>
        <v>167.78333333333333</v>
      </c>
      <c r="G119">
        <f>MonthlyData!BO119</f>
        <v>0</v>
      </c>
      <c r="H119">
        <f>MonthlyData!BP119</f>
        <v>1</v>
      </c>
      <c r="I119">
        <f>MonthlyData!BU119</f>
        <v>0</v>
      </c>
      <c r="J119">
        <f>MonthlyData!BA119</f>
        <v>4.8441870864585912</v>
      </c>
      <c r="L119" s="4"/>
      <c r="M119" s="4">
        <f t="shared" ca="1" si="12"/>
        <v>13705.638713616556</v>
      </c>
      <c r="N119" s="4"/>
      <c r="O119" s="4"/>
      <c r="P119" s="4">
        <f t="shared" ca="1" si="13"/>
        <v>4457602.6575963078</v>
      </c>
      <c r="Q119" s="17"/>
    </row>
    <row r="120" spans="1:17" x14ac:dyDescent="0.35">
      <c r="A120" s="1">
        <f>MonthlyData!A120</f>
        <v>45231</v>
      </c>
      <c r="B120" s="13">
        <f t="shared" si="9"/>
        <v>2023</v>
      </c>
      <c r="C120" s="13">
        <f t="shared" si="10"/>
        <v>11</v>
      </c>
      <c r="D120" s="4">
        <f>MonthlyData!L120</f>
        <v>4840223.0731529696</v>
      </c>
      <c r="E120" s="13">
        <f t="shared" ca="1" si="11"/>
        <v>403.99833333333333</v>
      </c>
      <c r="F120" s="4">
        <f>MonthlyData!AF120</f>
        <v>406.07916666666671</v>
      </c>
      <c r="G120">
        <f>MonthlyData!BO120</f>
        <v>0</v>
      </c>
      <c r="H120">
        <f>MonthlyData!BP120</f>
        <v>1</v>
      </c>
      <c r="I120">
        <f>MonthlyData!BU120</f>
        <v>0</v>
      </c>
      <c r="J120">
        <f>MonthlyData!BA120</f>
        <v>4.8520302639196169</v>
      </c>
      <c r="L120" s="4"/>
      <c r="M120" s="4">
        <f t="shared" ca="1" si="12"/>
        <v>-2784.7679446434267</v>
      </c>
      <c r="N120" s="4"/>
      <c r="O120" s="4"/>
      <c r="P120" s="4">
        <f t="shared" ca="1" si="13"/>
        <v>4837438.3052083263</v>
      </c>
      <c r="Q120" s="17"/>
    </row>
    <row r="121" spans="1:17" x14ac:dyDescent="0.35">
      <c r="A121" s="1">
        <f>MonthlyData!A121</f>
        <v>45261</v>
      </c>
      <c r="B121" s="13">
        <f t="shared" si="9"/>
        <v>2023</v>
      </c>
      <c r="C121" s="13">
        <f t="shared" si="10"/>
        <v>12</v>
      </c>
      <c r="D121" s="4">
        <f>MonthlyData!L121</f>
        <v>5321691.4129834976</v>
      </c>
      <c r="E121" s="13">
        <f t="shared" ca="1" si="11"/>
        <v>629.70466952460959</v>
      </c>
      <c r="F121" s="4">
        <f>MonthlyData!AF121</f>
        <v>471.83333333333337</v>
      </c>
      <c r="G121">
        <f>MonthlyData!BO121</f>
        <v>0</v>
      </c>
      <c r="H121">
        <f>MonthlyData!BP121</f>
        <v>0</v>
      </c>
      <c r="I121">
        <f>MonthlyData!BU121</f>
        <v>0</v>
      </c>
      <c r="J121">
        <f>MonthlyData!BA121</f>
        <v>4.8598124043616719</v>
      </c>
      <c r="L121" s="4"/>
      <c r="M121" s="4">
        <f t="shared" ca="1" si="12"/>
        <v>211278.35149546652</v>
      </c>
      <c r="N121" s="4"/>
      <c r="O121" s="4"/>
      <c r="P121" s="4">
        <f t="shared" ca="1" si="13"/>
        <v>5532969.7644789638</v>
      </c>
      <c r="Q121" s="17"/>
    </row>
    <row r="122" spans="1:17" x14ac:dyDescent="0.35">
      <c r="A122" s="1">
        <f>EOMONTH(A121,0)+1</f>
        <v>45292</v>
      </c>
      <c r="B122" s="13">
        <f t="shared" si="9"/>
        <v>2024</v>
      </c>
      <c r="C122" s="13">
        <f t="shared" si="10"/>
        <v>1</v>
      </c>
      <c r="D122" s="4">
        <f>MonthlyData!L122</f>
        <v>5191252.9068947835</v>
      </c>
      <c r="E122" s="13">
        <f t="shared" ref="E122" ca="1" si="14">E110</f>
        <v>793.4846429373913</v>
      </c>
      <c r="F122" s="4">
        <f>MonthlyData!AF122</f>
        <v>684.4</v>
      </c>
      <c r="G122">
        <f>MonthlyData!BO122</f>
        <v>0</v>
      </c>
      <c r="H122">
        <f>MonthlyData!BP122</f>
        <v>0</v>
      </c>
      <c r="I122">
        <f>MonthlyData!BU122</f>
        <v>0</v>
      </c>
      <c r="J122">
        <f>MonthlyData!BA122</f>
        <v>4.8675344504555822</v>
      </c>
      <c r="L122" s="4"/>
      <c r="M122" s="4">
        <f t="shared" ref="M122:M131" ca="1" si="15">(E122-F122)*$S$9</f>
        <v>145987.38497633103</v>
      </c>
      <c r="N122" s="4"/>
      <c r="O122" s="4"/>
      <c r="P122" s="4">
        <f t="shared" ref="P122:P131" ca="1" si="16">D122+M122</f>
        <v>5337240.2918711146</v>
      </c>
    </row>
    <row r="123" spans="1:17" x14ac:dyDescent="0.35">
      <c r="A123" s="1">
        <f t="shared" ref="A123:A145" si="17">EOMONTH(A122,0)+1</f>
        <v>45323</v>
      </c>
      <c r="B123" s="13">
        <f t="shared" si="9"/>
        <v>2024</v>
      </c>
      <c r="C123" s="13">
        <f t="shared" si="10"/>
        <v>2</v>
      </c>
      <c r="D123" s="4">
        <f>MonthlyData!L123</f>
        <v>5721499.9924026718</v>
      </c>
      <c r="E123" s="13">
        <f t="shared" ref="E123" ca="1" si="18">E111</f>
        <v>736.10085614037712</v>
      </c>
      <c r="F123" s="4">
        <f>MonthlyData!AF123</f>
        <v>592.89999999999986</v>
      </c>
      <c r="G123">
        <f>MonthlyData!BO123</f>
        <v>0</v>
      </c>
      <c r="H123">
        <f>MonthlyData!BP123</f>
        <v>0</v>
      </c>
      <c r="I123">
        <f>MonthlyData!BU123</f>
        <v>0</v>
      </c>
      <c r="J123">
        <f>MonthlyData!BA123</f>
        <v>4.8751973232011512</v>
      </c>
      <c r="L123" s="4"/>
      <c r="M123" s="4">
        <f t="shared" ca="1" si="15"/>
        <v>191644.92774939994</v>
      </c>
      <c r="N123" s="4"/>
      <c r="O123" s="4"/>
      <c r="P123" s="4">
        <f t="shared" ca="1" si="16"/>
        <v>5913144.9201520719</v>
      </c>
    </row>
    <row r="124" spans="1:17" x14ac:dyDescent="0.35">
      <c r="A124" s="1">
        <f t="shared" si="17"/>
        <v>45352</v>
      </c>
      <c r="B124" s="13">
        <f t="shared" si="9"/>
        <v>2024</v>
      </c>
      <c r="C124" s="13">
        <f t="shared" si="10"/>
        <v>3</v>
      </c>
      <c r="D124" s="4">
        <f>MonthlyData!L124</f>
        <v>5706334.0779105602</v>
      </c>
      <c r="E124" s="13">
        <f t="shared" ref="E124" ca="1" si="19">E112</f>
        <v>577.21697535249291</v>
      </c>
      <c r="F124" s="4">
        <f>MonthlyData!AF124</f>
        <v>461.4</v>
      </c>
      <c r="G124">
        <f>MonthlyData!BO124</f>
        <v>1</v>
      </c>
      <c r="H124">
        <f>MonthlyData!BP124</f>
        <v>0</v>
      </c>
      <c r="I124">
        <f>MonthlyData!BU124</f>
        <v>0</v>
      </c>
      <c r="J124">
        <f>MonthlyData!BA124</f>
        <v>4.8828019225863706</v>
      </c>
      <c r="L124" s="4"/>
      <c r="M124" s="4">
        <f t="shared" ca="1" si="15"/>
        <v>154997.22887008759</v>
      </c>
      <c r="N124" s="4"/>
      <c r="O124" s="4"/>
      <c r="P124" s="4">
        <f t="shared" ca="1" si="16"/>
        <v>5861331.3067806475</v>
      </c>
    </row>
    <row r="125" spans="1:17" x14ac:dyDescent="0.35">
      <c r="A125" s="1">
        <f t="shared" si="17"/>
        <v>45383</v>
      </c>
      <c r="B125" s="13">
        <f t="shared" si="9"/>
        <v>2024</v>
      </c>
      <c r="C125" s="13">
        <f t="shared" si="10"/>
        <v>4</v>
      </c>
      <c r="D125" s="4">
        <f>MonthlyData!L125</f>
        <v>5709519.1634184485</v>
      </c>
      <c r="E125" s="13">
        <f t="shared" ref="E125" ca="1" si="20">E113</f>
        <v>307.33082472275549</v>
      </c>
      <c r="F125" s="4">
        <f>MonthlyData!AF125</f>
        <v>221.40000000000003</v>
      </c>
      <c r="G125">
        <f>MonthlyData!BO125</f>
        <v>1</v>
      </c>
      <c r="H125">
        <f>MonthlyData!BP125</f>
        <v>0</v>
      </c>
      <c r="I125">
        <f>MonthlyData!BU125</f>
        <v>0</v>
      </c>
      <c r="J125">
        <f>MonthlyData!BA125</f>
        <v>4.8903491282217537</v>
      </c>
      <c r="L125" s="4"/>
      <c r="M125" s="4">
        <f t="shared" ca="1" si="15"/>
        <v>115000.75585648266</v>
      </c>
      <c r="N125" s="4"/>
      <c r="O125" s="4"/>
      <c r="P125" s="4">
        <f t="shared" ca="1" si="16"/>
        <v>5824519.9192749308</v>
      </c>
    </row>
    <row r="126" spans="1:17" x14ac:dyDescent="0.35">
      <c r="A126" s="1">
        <f t="shared" si="17"/>
        <v>45413</v>
      </c>
      <c r="B126" s="13">
        <f t="shared" si="9"/>
        <v>2024</v>
      </c>
      <c r="C126" s="13">
        <f t="shared" si="10"/>
        <v>5</v>
      </c>
      <c r="D126" s="4">
        <f>MonthlyData!L126</f>
        <v>5430698.2489263369</v>
      </c>
      <c r="E126" s="13">
        <f t="shared" ref="E126" ca="1" si="21">E114</f>
        <v>103.00647094808046</v>
      </c>
      <c r="F126" s="4">
        <f>MonthlyData!AF126</f>
        <v>36.300000000000004</v>
      </c>
      <c r="G126">
        <f>MonthlyData!BO126</f>
        <v>1</v>
      </c>
      <c r="H126">
        <f>MonthlyData!BP126</f>
        <v>0</v>
      </c>
      <c r="I126">
        <f>MonthlyData!BU126</f>
        <v>0</v>
      </c>
      <c r="J126">
        <f>MonthlyData!BA126</f>
        <v>4.8978397999509111</v>
      </c>
      <c r="L126" s="4"/>
      <c r="M126" s="4">
        <f t="shared" ca="1" si="15"/>
        <v>89272.907647496482</v>
      </c>
      <c r="N126" s="4"/>
      <c r="O126" s="4"/>
      <c r="P126" s="4">
        <f t="shared" ca="1" si="16"/>
        <v>5519971.156573833</v>
      </c>
    </row>
    <row r="127" spans="1:17" x14ac:dyDescent="0.35">
      <c r="A127" s="1">
        <f t="shared" si="17"/>
        <v>45444</v>
      </c>
      <c r="B127" s="13">
        <f t="shared" si="9"/>
        <v>2024</v>
      </c>
      <c r="C127" s="13">
        <f t="shared" si="10"/>
        <v>6</v>
      </c>
      <c r="D127" s="4">
        <f>MonthlyData!L127</f>
        <v>5108824.3344342252</v>
      </c>
      <c r="E127" s="13">
        <f t="shared" ref="E127" ca="1" si="22">E115</f>
        <v>5.5889105735385218</v>
      </c>
      <c r="F127" s="4">
        <f>MonthlyData!AF127</f>
        <v>4</v>
      </c>
      <c r="G127">
        <f>MonthlyData!BO127</f>
        <v>0</v>
      </c>
      <c r="H127">
        <f>MonthlyData!BP127</f>
        <v>0</v>
      </c>
      <c r="I127">
        <f>MonthlyData!BU127</f>
        <v>0</v>
      </c>
      <c r="J127">
        <f>MonthlyData!BA127</f>
        <v>4.9052747784384296</v>
      </c>
      <c r="L127" s="4"/>
      <c r="M127" s="4">
        <f t="shared" ca="1" si="15"/>
        <v>2126.4303878710416</v>
      </c>
      <c r="N127" s="4"/>
      <c r="O127" s="4"/>
      <c r="P127" s="4">
        <f t="shared" ca="1" si="16"/>
        <v>5110950.7648220966</v>
      </c>
    </row>
    <row r="128" spans="1:17" x14ac:dyDescent="0.35">
      <c r="A128" s="1">
        <f t="shared" si="17"/>
        <v>45474</v>
      </c>
      <c r="B128" s="13">
        <f t="shared" si="9"/>
        <v>2024</v>
      </c>
      <c r="C128" s="13">
        <f t="shared" si="10"/>
        <v>7</v>
      </c>
      <c r="D128" s="4">
        <f>MonthlyData!L128</f>
        <v>4751604.4199421136</v>
      </c>
      <c r="E128" s="13">
        <f t="shared" ref="E128" ca="1" si="23">E116</f>
        <v>0.28709633857318684</v>
      </c>
      <c r="F128" s="4">
        <f>MonthlyData!AF128</f>
        <v>0</v>
      </c>
      <c r="G128">
        <f>MonthlyData!BO128</f>
        <v>0</v>
      </c>
      <c r="H128">
        <f>MonthlyData!BP128</f>
        <v>0</v>
      </c>
      <c r="I128">
        <f>MonthlyData!BU128</f>
        <v>0</v>
      </c>
      <c r="J128">
        <f>MonthlyData!BA128</f>
        <v>4.9126548857360524</v>
      </c>
      <c r="L128" s="4"/>
      <c r="M128" s="4">
        <f t="shared" ca="1" si="15"/>
        <v>384.21947009199431</v>
      </c>
      <c r="N128" s="4"/>
      <c r="O128" s="4"/>
      <c r="P128" s="4">
        <f t="shared" ca="1" si="16"/>
        <v>4751988.6394122057</v>
      </c>
    </row>
    <row r="129" spans="1:16" x14ac:dyDescent="0.35">
      <c r="A129" s="1">
        <f t="shared" si="17"/>
        <v>45505</v>
      </c>
      <c r="B129" s="13">
        <f t="shared" si="9"/>
        <v>2024</v>
      </c>
      <c r="C129" s="13">
        <f t="shared" si="10"/>
        <v>8</v>
      </c>
      <c r="D129" s="4">
        <f>MonthlyData!L129</f>
        <v>4863179.505450001</v>
      </c>
      <c r="E129" s="13">
        <f t="shared" ref="E129" ca="1" si="24">E117</f>
        <v>1.6761707873342053</v>
      </c>
      <c r="F129" s="4">
        <f>MonthlyData!AF129</f>
        <v>0</v>
      </c>
      <c r="G129">
        <f>MonthlyData!BO129</f>
        <v>0</v>
      </c>
      <c r="H129">
        <f>MonthlyData!BP129</f>
        <v>0</v>
      </c>
      <c r="I129">
        <f>MonthlyData!BU129</f>
        <v>0</v>
      </c>
      <c r="J129">
        <f>MonthlyData!BA129</f>
        <v>4.9199809258281251</v>
      </c>
      <c r="L129" s="4"/>
      <c r="M129" s="4">
        <f t="shared" ca="1" si="15"/>
        <v>2243.2102579011321</v>
      </c>
      <c r="N129" s="4"/>
      <c r="O129" s="4"/>
      <c r="P129" s="4">
        <f t="shared" ca="1" si="16"/>
        <v>4865422.7157079019</v>
      </c>
    </row>
    <row r="130" spans="1:16" x14ac:dyDescent="0.35">
      <c r="A130" s="1">
        <f t="shared" si="17"/>
        <v>45536</v>
      </c>
      <c r="B130" s="13">
        <f t="shared" si="9"/>
        <v>2024</v>
      </c>
      <c r="C130" s="13">
        <f t="shared" si="10"/>
        <v>9</v>
      </c>
      <c r="D130" s="4">
        <f>MonthlyData!L130</f>
        <v>4225940.5909578893</v>
      </c>
      <c r="E130" s="13">
        <f t="shared" ref="E130" ca="1" si="25">E118</f>
        <v>28.222326899712005</v>
      </c>
      <c r="F130" s="4">
        <f>MonthlyData!AF130</f>
        <v>9.8999999999999986</v>
      </c>
      <c r="G130">
        <f>MonthlyData!BO130</f>
        <v>0</v>
      </c>
      <c r="H130">
        <f>MonthlyData!BP130</f>
        <v>0</v>
      </c>
      <c r="I130">
        <f>MonthlyData!BU130</f>
        <v>0</v>
      </c>
      <c r="J130">
        <f>MonthlyData!BA130</f>
        <v>4.9272536851572051</v>
      </c>
      <c r="L130" s="4"/>
      <c r="M130" s="4">
        <f t="shared" ca="1" si="15"/>
        <v>24520.670543017215</v>
      </c>
      <c r="N130" s="4"/>
      <c r="O130" s="4"/>
      <c r="P130" s="4">
        <f t="shared" ca="1" si="16"/>
        <v>4250461.2615009062</v>
      </c>
    </row>
    <row r="131" spans="1:16" x14ac:dyDescent="0.35">
      <c r="A131" s="1">
        <f t="shared" si="17"/>
        <v>45566</v>
      </c>
      <c r="B131" s="13">
        <f t="shared" ref="B131:B145" si="26">YEAR(A131)</f>
        <v>2024</v>
      </c>
      <c r="C131" s="13">
        <f t="shared" ref="C131:C145" si="27">MONTH(A131)</f>
        <v>10</v>
      </c>
      <c r="D131" s="4">
        <f>MonthlyData!L131</f>
        <v>4360697.6764657777</v>
      </c>
      <c r="E131" s="13">
        <f t="shared" ref="E131" ca="1" si="28">E119</f>
        <v>178.0244559176316</v>
      </c>
      <c r="F131" s="4">
        <f>MonthlyData!AF131</f>
        <v>132.70000000000005</v>
      </c>
      <c r="G131">
        <f>MonthlyData!BO131</f>
        <v>0</v>
      </c>
      <c r="H131">
        <f>MonthlyData!BP131</f>
        <v>1</v>
      </c>
      <c r="I131">
        <f>MonthlyData!BU131</f>
        <v>0</v>
      </c>
      <c r="J131">
        <f>MonthlyData!BA131</f>
        <v>4.9344739331306915</v>
      </c>
      <c r="L131" s="4"/>
      <c r="M131" s="4">
        <f t="shared" ca="1" si="15"/>
        <v>60657.473102677766</v>
      </c>
      <c r="N131" s="4"/>
      <c r="O131" s="4"/>
      <c r="P131" s="4">
        <f t="shared" ca="1" si="16"/>
        <v>4421355.1495684553</v>
      </c>
    </row>
    <row r="132" spans="1:16" x14ac:dyDescent="0.35">
      <c r="A132" s="1">
        <f t="shared" si="17"/>
        <v>45597</v>
      </c>
      <c r="B132" s="13">
        <f t="shared" si="26"/>
        <v>2024</v>
      </c>
      <c r="C132" s="13">
        <f t="shared" si="27"/>
        <v>11</v>
      </c>
      <c r="D132" s="4"/>
      <c r="E132" s="13">
        <f t="shared" ref="E132:H138" ca="1" si="29">E120</f>
        <v>403.99833333333333</v>
      </c>
      <c r="F132" s="4">
        <f>MonthlyData!AF132</f>
        <v>0</v>
      </c>
      <c r="G132">
        <f t="shared" si="29"/>
        <v>0</v>
      </c>
      <c r="H132">
        <f t="shared" si="29"/>
        <v>1</v>
      </c>
      <c r="I132">
        <f>MonthlyData!BU132</f>
        <v>0</v>
      </c>
      <c r="J132">
        <f t="shared" ref="J132:J145" si="30">LN(EXP(J131)+1)</f>
        <v>4.9416424226093039</v>
      </c>
      <c r="L132" s="4">
        <f t="shared" ref="L132:L145" si="31">$S$8</f>
        <v>4628412.7605719203</v>
      </c>
      <c r="M132" s="4">
        <f t="shared" ref="M132:M145" ca="1" si="32">E132*$S$9</f>
        <v>540668.77454033564</v>
      </c>
      <c r="N132" s="4">
        <f t="shared" ref="N132:N145" si="33">G132*$S$10</f>
        <v>0</v>
      </c>
      <c r="O132" s="4">
        <f t="shared" ref="O132:O145" si="34">H132*$S$11</f>
        <v>-269170.44459088001</v>
      </c>
      <c r="P132" s="4">
        <f t="shared" ref="P132:P145" ca="1" si="35">SUM(L132:O132)</f>
        <v>4899911.0905213766</v>
      </c>
    </row>
    <row r="133" spans="1:16" x14ac:dyDescent="0.35">
      <c r="A133" s="1">
        <f t="shared" si="17"/>
        <v>45627</v>
      </c>
      <c r="B133" s="13">
        <f t="shared" si="26"/>
        <v>2024</v>
      </c>
      <c r="C133" s="13">
        <f t="shared" si="27"/>
        <v>12</v>
      </c>
      <c r="D133" s="4"/>
      <c r="E133" s="13">
        <f t="shared" ca="1" si="29"/>
        <v>629.70466952460959</v>
      </c>
      <c r="F133" s="4">
        <f>MonthlyData!AF133</f>
        <v>0</v>
      </c>
      <c r="G133">
        <f t="shared" si="29"/>
        <v>0</v>
      </c>
      <c r="H133">
        <f t="shared" si="29"/>
        <v>0</v>
      </c>
      <c r="I133">
        <f>MonthlyData!BU133</f>
        <v>0</v>
      </c>
      <c r="J133">
        <f t="shared" si="30"/>
        <v>4.9487598903781675</v>
      </c>
      <c r="L133" s="4">
        <f t="shared" si="31"/>
        <v>4628412.7605719203</v>
      </c>
      <c r="M133" s="4">
        <f t="shared" ca="1" si="32"/>
        <v>842730.33798208169</v>
      </c>
      <c r="N133" s="4">
        <f t="shared" si="33"/>
        <v>0</v>
      </c>
      <c r="O133" s="4">
        <f t="shared" si="34"/>
        <v>0</v>
      </c>
      <c r="P133" s="4">
        <f t="shared" ca="1" si="35"/>
        <v>5471143.0985540021</v>
      </c>
    </row>
    <row r="134" spans="1:16" x14ac:dyDescent="0.35">
      <c r="A134" s="1">
        <f t="shared" si="17"/>
        <v>45658</v>
      </c>
      <c r="B134" s="13">
        <f t="shared" si="26"/>
        <v>2025</v>
      </c>
      <c r="C134" s="13">
        <f t="shared" si="27"/>
        <v>1</v>
      </c>
      <c r="D134" s="4"/>
      <c r="E134" s="13">
        <f t="shared" ca="1" si="29"/>
        <v>793.4846429373913</v>
      </c>
      <c r="F134" s="4">
        <f>MonthlyData!AF134</f>
        <v>0</v>
      </c>
      <c r="G134">
        <f t="shared" si="29"/>
        <v>0</v>
      </c>
      <c r="H134">
        <f t="shared" si="29"/>
        <v>0</v>
      </c>
      <c r="I134">
        <f>MonthlyData!BU134</f>
        <v>0</v>
      </c>
      <c r="J134">
        <f t="shared" si="30"/>
        <v>4.95582705760126</v>
      </c>
      <c r="L134" s="4">
        <f t="shared" si="31"/>
        <v>4628412.7605719203</v>
      </c>
      <c r="M134" s="4">
        <f t="shared" ca="1" si="32"/>
        <v>1061916.1865689259</v>
      </c>
      <c r="N134" s="4">
        <f t="shared" si="33"/>
        <v>0</v>
      </c>
      <c r="O134" s="4">
        <f t="shared" si="34"/>
        <v>0</v>
      </c>
      <c r="P134" s="4">
        <f t="shared" ca="1" si="35"/>
        <v>5690328.9471408464</v>
      </c>
    </row>
    <row r="135" spans="1:16" x14ac:dyDescent="0.35">
      <c r="A135" s="1">
        <f t="shared" si="17"/>
        <v>45689</v>
      </c>
      <c r="B135" s="13">
        <f t="shared" si="26"/>
        <v>2025</v>
      </c>
      <c r="C135" s="13">
        <f t="shared" si="27"/>
        <v>2</v>
      </c>
      <c r="D135" s="4"/>
      <c r="E135" s="13">
        <f t="shared" ca="1" si="29"/>
        <v>736.10085614037712</v>
      </c>
      <c r="F135" s="4">
        <f>MonthlyData!AF135</f>
        <v>0</v>
      </c>
      <c r="G135">
        <f t="shared" si="29"/>
        <v>0</v>
      </c>
      <c r="H135">
        <f t="shared" si="29"/>
        <v>0</v>
      </c>
      <c r="I135">
        <f>MonthlyData!BU135</f>
        <v>0</v>
      </c>
      <c r="J135">
        <f t="shared" si="30"/>
        <v>4.9628446302599061</v>
      </c>
      <c r="L135" s="4">
        <f t="shared" si="31"/>
        <v>4628412.7605719203</v>
      </c>
      <c r="M135" s="4">
        <f t="shared" ca="1" si="32"/>
        <v>985119.7764698111</v>
      </c>
      <c r="N135" s="4">
        <f t="shared" si="33"/>
        <v>0</v>
      </c>
      <c r="O135" s="4">
        <f t="shared" si="34"/>
        <v>0</v>
      </c>
      <c r="P135" s="4">
        <f t="shared" ca="1" si="35"/>
        <v>5613532.5370417312</v>
      </c>
    </row>
    <row r="136" spans="1:16" x14ac:dyDescent="0.35">
      <c r="A136" s="1">
        <f t="shared" si="17"/>
        <v>45717</v>
      </c>
      <c r="B136" s="13">
        <f t="shared" si="26"/>
        <v>2025</v>
      </c>
      <c r="C136" s="13">
        <f t="shared" si="27"/>
        <v>3</v>
      </c>
      <c r="D136" s="4"/>
      <c r="E136" s="13">
        <f t="shared" ca="1" si="29"/>
        <v>577.21697535249291</v>
      </c>
      <c r="F136" s="4">
        <f>MonthlyData!AF136</f>
        <v>0</v>
      </c>
      <c r="G136">
        <f t="shared" si="29"/>
        <v>1</v>
      </c>
      <c r="H136">
        <f t="shared" si="29"/>
        <v>0</v>
      </c>
      <c r="I136">
        <f>MonthlyData!BU136</f>
        <v>0</v>
      </c>
      <c r="J136">
        <f t="shared" si="30"/>
        <v>4.9698132995759998</v>
      </c>
      <c r="L136" s="4">
        <f t="shared" si="31"/>
        <v>4628412.7605719203</v>
      </c>
      <c r="M136" s="4">
        <f t="shared" ca="1" si="32"/>
        <v>772486.34204195091</v>
      </c>
      <c r="N136" s="4">
        <f t="shared" si="33"/>
        <v>168249.31587912</v>
      </c>
      <c r="O136" s="4">
        <f t="shared" si="34"/>
        <v>0</v>
      </c>
      <c r="P136" s="4">
        <f t="shared" ca="1" si="35"/>
        <v>5569148.4184929905</v>
      </c>
    </row>
    <row r="137" spans="1:16" x14ac:dyDescent="0.35">
      <c r="A137" s="1">
        <f t="shared" si="17"/>
        <v>45748</v>
      </c>
      <c r="B137" s="13">
        <f t="shared" si="26"/>
        <v>2025</v>
      </c>
      <c r="C137" s="13">
        <f t="shared" si="27"/>
        <v>4</v>
      </c>
      <c r="D137" s="4"/>
      <c r="E137" s="13">
        <f t="shared" ca="1" si="29"/>
        <v>307.33082472275549</v>
      </c>
      <c r="F137" s="4">
        <f>MonthlyData!AF137</f>
        <v>0</v>
      </c>
      <c r="G137">
        <f t="shared" si="29"/>
        <v>1</v>
      </c>
      <c r="H137">
        <f t="shared" si="29"/>
        <v>0</v>
      </c>
      <c r="I137">
        <f>MonthlyData!BU137</f>
        <v>0</v>
      </c>
      <c r="J137">
        <f t="shared" si="30"/>
        <v>4.9767337424205733</v>
      </c>
      <c r="L137" s="4">
        <f t="shared" si="31"/>
        <v>4628412.7605719203</v>
      </c>
      <c r="M137" s="4">
        <f t="shared" ca="1" si="32"/>
        <v>411299.17297015968</v>
      </c>
      <c r="N137" s="4">
        <f t="shared" si="33"/>
        <v>168249.31587912</v>
      </c>
      <c r="O137" s="4">
        <f t="shared" si="34"/>
        <v>0</v>
      </c>
      <c r="P137" s="4">
        <f t="shared" ca="1" si="35"/>
        <v>5207961.2494211998</v>
      </c>
    </row>
    <row r="138" spans="1:16" x14ac:dyDescent="0.35">
      <c r="A138" s="1">
        <f t="shared" si="17"/>
        <v>45778</v>
      </c>
      <c r="B138" s="13">
        <f t="shared" si="26"/>
        <v>2025</v>
      </c>
      <c r="C138" s="13">
        <f t="shared" si="27"/>
        <v>5</v>
      </c>
      <c r="D138" s="4"/>
      <c r="E138" s="13">
        <f t="shared" ca="1" si="29"/>
        <v>103.00647094808046</v>
      </c>
      <c r="F138" s="4">
        <f>MonthlyData!AF138</f>
        <v>0</v>
      </c>
      <c r="G138">
        <f t="shared" si="29"/>
        <v>1</v>
      </c>
      <c r="H138">
        <f t="shared" si="29"/>
        <v>0</v>
      </c>
      <c r="I138">
        <f>MonthlyData!BU138</f>
        <v>0</v>
      </c>
      <c r="J138">
        <f t="shared" si="30"/>
        <v>4.9836066217083355</v>
      </c>
      <c r="L138" s="4">
        <f t="shared" si="31"/>
        <v>4628412.7605719203</v>
      </c>
      <c r="M138" s="4">
        <f t="shared" ca="1" si="32"/>
        <v>137853.00042629716</v>
      </c>
      <c r="N138" s="4">
        <f t="shared" si="33"/>
        <v>168249.31587912</v>
      </c>
      <c r="O138" s="4">
        <f t="shared" si="34"/>
        <v>0</v>
      </c>
      <c r="P138" s="4">
        <f t="shared" ca="1" si="35"/>
        <v>4934515.0768773369</v>
      </c>
    </row>
    <row r="139" spans="1:16" x14ac:dyDescent="0.35">
      <c r="A139" s="1">
        <f t="shared" si="17"/>
        <v>45809</v>
      </c>
      <c r="B139" s="13">
        <f t="shared" si="26"/>
        <v>2025</v>
      </c>
      <c r="C139" s="13">
        <f t="shared" si="27"/>
        <v>6</v>
      </c>
      <c r="D139" s="4"/>
      <c r="E139" s="13">
        <f t="shared" ref="E139:H145" ca="1" si="36">E127</f>
        <v>5.5889105735385218</v>
      </c>
      <c r="F139" s="4">
        <f>MonthlyData!AF139</f>
        <v>0</v>
      </c>
      <c r="G139">
        <f t="shared" si="36"/>
        <v>0</v>
      </c>
      <c r="H139">
        <f t="shared" si="36"/>
        <v>0</v>
      </c>
      <c r="I139">
        <f>MonthlyData!BU139</f>
        <v>0</v>
      </c>
      <c r="J139">
        <f t="shared" si="30"/>
        <v>4.9904325867787351</v>
      </c>
      <c r="L139" s="4">
        <f t="shared" si="31"/>
        <v>4628412.7605719203</v>
      </c>
      <c r="M139" s="4">
        <f t="shared" ca="1" si="32"/>
        <v>7479.6086555074817</v>
      </c>
      <c r="N139" s="4">
        <f t="shared" si="33"/>
        <v>0</v>
      </c>
      <c r="O139" s="4">
        <f t="shared" si="34"/>
        <v>0</v>
      </c>
      <c r="P139" s="4">
        <f t="shared" ca="1" si="35"/>
        <v>4635892.369227428</v>
      </c>
    </row>
    <row r="140" spans="1:16" x14ac:dyDescent="0.35">
      <c r="A140" s="1">
        <f t="shared" si="17"/>
        <v>45839</v>
      </c>
      <c r="B140" s="13">
        <f t="shared" si="26"/>
        <v>2025</v>
      </c>
      <c r="C140" s="13">
        <f t="shared" si="27"/>
        <v>7</v>
      </c>
      <c r="D140" s="4"/>
      <c r="E140" s="13">
        <f t="shared" ca="1" si="36"/>
        <v>0.28709633857318684</v>
      </c>
      <c r="F140" s="4">
        <f>MonthlyData!AF140</f>
        <v>0</v>
      </c>
      <c r="G140">
        <f t="shared" si="36"/>
        <v>0</v>
      </c>
      <c r="H140">
        <f t="shared" si="36"/>
        <v>0</v>
      </c>
      <c r="I140">
        <f>MonthlyData!BU140</f>
        <v>0</v>
      </c>
      <c r="J140">
        <f t="shared" si="30"/>
        <v>4.9972122737641138</v>
      </c>
      <c r="L140" s="4">
        <f t="shared" si="31"/>
        <v>4628412.7605719203</v>
      </c>
      <c r="M140" s="4">
        <f t="shared" ca="1" si="32"/>
        <v>384.21947009199431</v>
      </c>
      <c r="N140" s="4">
        <f t="shared" si="33"/>
        <v>0</v>
      </c>
      <c r="O140" s="4">
        <f t="shared" si="34"/>
        <v>0</v>
      </c>
      <c r="P140" s="4">
        <f t="shared" ca="1" si="35"/>
        <v>4628796.9800420124</v>
      </c>
    </row>
    <row r="141" spans="1:16" x14ac:dyDescent="0.35">
      <c r="A141" s="1">
        <f t="shared" si="17"/>
        <v>45870</v>
      </c>
      <c r="B141" s="13">
        <f t="shared" si="26"/>
        <v>2025</v>
      </c>
      <c r="C141" s="13">
        <f t="shared" si="27"/>
        <v>8</v>
      </c>
      <c r="D141" s="4"/>
      <c r="E141" s="13">
        <f t="shared" ca="1" si="36"/>
        <v>1.6761707873342053</v>
      </c>
      <c r="F141" s="4">
        <f>MonthlyData!AF141</f>
        <v>0</v>
      </c>
      <c r="G141">
        <f t="shared" si="36"/>
        <v>0</v>
      </c>
      <c r="H141">
        <f t="shared" si="36"/>
        <v>0</v>
      </c>
      <c r="I141">
        <f>MonthlyData!BU141</f>
        <v>0</v>
      </c>
      <c r="J141">
        <f t="shared" si="30"/>
        <v>5.0039463059454574</v>
      </c>
      <c r="L141" s="4">
        <f t="shared" si="31"/>
        <v>4628412.7605719203</v>
      </c>
      <c r="M141" s="4">
        <f t="shared" ca="1" si="32"/>
        <v>2243.2102579011321</v>
      </c>
      <c r="N141" s="4">
        <f t="shared" si="33"/>
        <v>0</v>
      </c>
      <c r="O141" s="4">
        <f t="shared" si="34"/>
        <v>0</v>
      </c>
      <c r="P141" s="4">
        <f t="shared" ca="1" si="35"/>
        <v>4630655.9708298212</v>
      </c>
    </row>
    <row r="142" spans="1:16" x14ac:dyDescent="0.35">
      <c r="A142" s="1">
        <f t="shared" si="17"/>
        <v>45901</v>
      </c>
      <c r="B142" s="13">
        <f t="shared" si="26"/>
        <v>2025</v>
      </c>
      <c r="C142" s="13">
        <f t="shared" si="27"/>
        <v>9</v>
      </c>
      <c r="D142" s="4"/>
      <c r="E142" s="13">
        <f t="shared" ca="1" si="36"/>
        <v>28.222326899712005</v>
      </c>
      <c r="F142" s="4">
        <f>MonthlyData!AF142</f>
        <v>0</v>
      </c>
      <c r="G142">
        <f t="shared" si="36"/>
        <v>0</v>
      </c>
      <c r="H142">
        <f t="shared" si="36"/>
        <v>0</v>
      </c>
      <c r="I142">
        <f>MonthlyData!BU142</f>
        <v>0</v>
      </c>
      <c r="J142">
        <f t="shared" si="30"/>
        <v>5.0106352940962537</v>
      </c>
      <c r="L142" s="4">
        <f t="shared" si="31"/>
        <v>4628412.7605719203</v>
      </c>
      <c r="M142" s="4">
        <f t="shared" ca="1" si="32"/>
        <v>37769.786755417401</v>
      </c>
      <c r="N142" s="4">
        <f t="shared" si="33"/>
        <v>0</v>
      </c>
      <c r="O142" s="4">
        <f t="shared" si="34"/>
        <v>0</v>
      </c>
      <c r="P142" s="4">
        <f t="shared" ca="1" si="35"/>
        <v>4666182.5473273378</v>
      </c>
    </row>
    <row r="143" spans="1:16" x14ac:dyDescent="0.35">
      <c r="A143" s="1">
        <f t="shared" si="17"/>
        <v>45931</v>
      </c>
      <c r="B143" s="13">
        <f t="shared" si="26"/>
        <v>2025</v>
      </c>
      <c r="C143" s="13">
        <f t="shared" si="27"/>
        <v>10</v>
      </c>
      <c r="D143" s="4"/>
      <c r="E143" s="13">
        <f ca="1">E131</f>
        <v>178.0244559176316</v>
      </c>
      <c r="F143" s="4">
        <f>MonthlyData!AF143</f>
        <v>0</v>
      </c>
      <c r="G143">
        <f t="shared" si="36"/>
        <v>0</v>
      </c>
      <c r="H143">
        <f t="shared" si="36"/>
        <v>1</v>
      </c>
      <c r="I143">
        <f>MonthlyData!BU143</f>
        <v>0</v>
      </c>
      <c r="J143">
        <f t="shared" si="30"/>
        <v>5.0172798368149225</v>
      </c>
      <c r="L143" s="4">
        <f t="shared" si="31"/>
        <v>4628412.7605719203</v>
      </c>
      <c r="M143" s="4">
        <f t="shared" ca="1" si="32"/>
        <v>238249.16213151673</v>
      </c>
      <c r="N143" s="4">
        <f t="shared" si="33"/>
        <v>0</v>
      </c>
      <c r="O143" s="4">
        <f t="shared" si="34"/>
        <v>-269170.44459088001</v>
      </c>
      <c r="P143" s="4">
        <f t="shared" ca="1" si="35"/>
        <v>4597491.4781125579</v>
      </c>
    </row>
    <row r="144" spans="1:16" x14ac:dyDescent="0.35">
      <c r="A144" s="1">
        <f t="shared" si="17"/>
        <v>45962</v>
      </c>
      <c r="B144" s="13">
        <f t="shared" si="26"/>
        <v>2025</v>
      </c>
      <c r="C144" s="13">
        <f t="shared" si="27"/>
        <v>11</v>
      </c>
      <c r="D144" s="4"/>
      <c r="E144" s="13">
        <f ca="1">E132</f>
        <v>403.99833333333333</v>
      </c>
      <c r="F144" s="4">
        <f>MonthlyData!AF144</f>
        <v>0</v>
      </c>
      <c r="G144">
        <f t="shared" si="36"/>
        <v>0</v>
      </c>
      <c r="H144">
        <f t="shared" si="36"/>
        <v>1</v>
      </c>
      <c r="I144">
        <f>MonthlyData!BU144</f>
        <v>0</v>
      </c>
      <c r="J144">
        <f t="shared" si="30"/>
        <v>5.0238805208462747</v>
      </c>
      <c r="L144" s="4">
        <f t="shared" si="31"/>
        <v>4628412.7605719203</v>
      </c>
      <c r="M144" s="4">
        <f t="shared" ca="1" si="32"/>
        <v>540668.77454033564</v>
      </c>
      <c r="N144" s="4">
        <f t="shared" si="33"/>
        <v>0</v>
      </c>
      <c r="O144" s="4">
        <f t="shared" si="34"/>
        <v>-269170.44459088001</v>
      </c>
      <c r="P144" s="4">
        <f t="shared" ca="1" si="35"/>
        <v>4899911.0905213766</v>
      </c>
    </row>
    <row r="145" spans="1:16" x14ac:dyDescent="0.35">
      <c r="A145" s="1">
        <f t="shared" si="17"/>
        <v>45992</v>
      </c>
      <c r="B145" s="13">
        <f t="shared" si="26"/>
        <v>2025</v>
      </c>
      <c r="C145" s="13">
        <f t="shared" si="27"/>
        <v>12</v>
      </c>
      <c r="D145" s="4"/>
      <c r="E145" s="13">
        <f ca="1">E133</f>
        <v>629.70466952460959</v>
      </c>
      <c r="F145" s="4">
        <f>MonthlyData!AF145</f>
        <v>0</v>
      </c>
      <c r="G145">
        <f t="shared" si="36"/>
        <v>0</v>
      </c>
      <c r="H145">
        <f t="shared" si="36"/>
        <v>0</v>
      </c>
      <c r="I145">
        <f>MonthlyData!BU145</f>
        <v>0</v>
      </c>
      <c r="J145">
        <f t="shared" si="30"/>
        <v>5.0304379213924335</v>
      </c>
      <c r="L145" s="4">
        <f t="shared" si="31"/>
        <v>4628412.7605719203</v>
      </c>
      <c r="M145" s="4">
        <f t="shared" ca="1" si="32"/>
        <v>842730.33798208169</v>
      </c>
      <c r="N145" s="4">
        <f t="shared" si="33"/>
        <v>0</v>
      </c>
      <c r="O145" s="4">
        <f t="shared" si="34"/>
        <v>0</v>
      </c>
      <c r="P145" s="4">
        <f t="shared" ca="1" si="35"/>
        <v>5471143.0985540021</v>
      </c>
    </row>
    <row r="146" spans="1:16" x14ac:dyDescent="0.35">
      <c r="A146" s="1"/>
      <c r="D146" s="4"/>
    </row>
    <row r="147" spans="1:16" x14ac:dyDescent="0.35">
      <c r="A147" s="1"/>
      <c r="D147" s="4"/>
    </row>
    <row r="148" spans="1:16" x14ac:dyDescent="0.35">
      <c r="A148" s="1"/>
      <c r="D148" s="4"/>
    </row>
    <row r="149" spans="1:16" x14ac:dyDescent="0.35">
      <c r="A149" s="1"/>
      <c r="D149" s="4"/>
    </row>
    <row r="150" spans="1:16" x14ac:dyDescent="0.35">
      <c r="A150" s="1"/>
      <c r="D150" s="4"/>
    </row>
    <row r="151" spans="1:16" x14ac:dyDescent="0.35">
      <c r="A151" s="1"/>
      <c r="D151" s="4"/>
    </row>
    <row r="152" spans="1:16" x14ac:dyDescent="0.35">
      <c r="A152" s="1"/>
      <c r="D152" s="4"/>
    </row>
    <row r="153" spans="1:16" x14ac:dyDescent="0.35">
      <c r="A153" s="1"/>
      <c r="D153" s="4"/>
    </row>
    <row r="154" spans="1:16" x14ac:dyDescent="0.35">
      <c r="A154" s="1"/>
      <c r="D154" s="4"/>
    </row>
    <row r="155" spans="1:16" x14ac:dyDescent="0.35">
      <c r="A155" s="1"/>
      <c r="D155" s="4"/>
    </row>
    <row r="156" spans="1:16" x14ac:dyDescent="0.35">
      <c r="A156" s="1"/>
      <c r="D156" s="4"/>
    </row>
    <row r="157" spans="1:16" x14ac:dyDescent="0.35">
      <c r="A157" s="1"/>
      <c r="D157" s="4"/>
    </row>
    <row r="158" spans="1:16" x14ac:dyDescent="0.35">
      <c r="A158" s="1"/>
      <c r="D158" s="4"/>
    </row>
    <row r="159" spans="1:16" x14ac:dyDescent="0.35">
      <c r="A159" s="1"/>
      <c r="D159" s="4"/>
    </row>
    <row r="160" spans="1:16" x14ac:dyDescent="0.35">
      <c r="A160" s="1"/>
      <c r="D160" s="4"/>
    </row>
    <row r="161" spans="1:4" x14ac:dyDescent="0.35">
      <c r="A161" s="1"/>
      <c r="D161" s="4"/>
    </row>
    <row r="162" spans="1:4" x14ac:dyDescent="0.35">
      <c r="A162" s="1"/>
      <c r="D162" s="4"/>
    </row>
    <row r="163" spans="1:4" x14ac:dyDescent="0.35">
      <c r="A163" s="1"/>
      <c r="D163" s="4"/>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6E59-A596-42E4-9DD8-F2C9868A4D31}">
  <sheetPr codeName="Sheet27">
    <tabColor theme="7" tint="0.39997558519241921"/>
  </sheetPr>
  <dimension ref="B2:AS25"/>
  <sheetViews>
    <sheetView topLeftCell="A43" workbookViewId="0">
      <selection activeCell="AV21" sqref="AV21"/>
    </sheetView>
  </sheetViews>
  <sheetFormatPr defaultRowHeight="14.5" x14ac:dyDescent="0.35"/>
  <cols>
    <col min="3" max="3" width="11.7265625" customWidth="1"/>
    <col min="4" max="4" width="11.1796875" customWidth="1"/>
    <col min="5" max="5" width="12.26953125" customWidth="1"/>
    <col min="6" max="6" width="3.08984375" customWidth="1"/>
    <col min="7" max="7" width="11.453125" customWidth="1"/>
    <col min="8" max="8" width="13.36328125" customWidth="1"/>
    <col min="9" max="9" width="9.90625" bestFit="1" customWidth="1"/>
    <col min="11" max="11" width="12.54296875" bestFit="1" customWidth="1"/>
    <col min="14" max="14" width="9.90625" bestFit="1" customWidth="1"/>
    <col min="15" max="15" width="10.7265625" customWidth="1"/>
    <col min="16" max="16" width="11.08984375" customWidth="1"/>
    <col min="17" max="17" width="3.08984375" customWidth="1"/>
    <col min="18" max="18" width="11" customWidth="1"/>
    <col min="19" max="19" width="10.81640625" customWidth="1"/>
    <col min="20" max="20" width="11" customWidth="1"/>
    <col min="22" max="22" width="10.90625" customWidth="1"/>
    <col min="25" max="25" width="9.90625" bestFit="1" customWidth="1"/>
    <col min="27" max="27" width="11.90625" customWidth="1"/>
    <col min="28" max="28" width="2.1796875" customWidth="1"/>
    <col min="29" max="29" width="11.1796875" customWidth="1"/>
    <col min="30" max="30" width="10.6328125" customWidth="1"/>
    <col min="31" max="31" width="10.90625" customWidth="1"/>
    <col min="32" max="32" width="10.36328125" customWidth="1"/>
    <col min="33" max="33" width="10.90625" customWidth="1"/>
    <col min="36" max="36" width="8.90625" bestFit="1" customWidth="1"/>
  </cols>
  <sheetData>
    <row r="2" spans="2:45" x14ac:dyDescent="0.35">
      <c r="B2" s="455" t="s">
        <v>39</v>
      </c>
      <c r="C2" s="455"/>
      <c r="D2" s="455"/>
      <c r="E2" s="455"/>
      <c r="F2" s="455"/>
      <c r="G2" s="455"/>
      <c r="H2" s="455"/>
      <c r="I2" s="455"/>
      <c r="J2" s="455"/>
      <c r="K2" s="455"/>
      <c r="M2" s="455" t="s">
        <v>224</v>
      </c>
      <c r="N2" s="455"/>
      <c r="O2" s="455"/>
      <c r="P2" s="455"/>
      <c r="Q2" s="455"/>
      <c r="R2" s="455"/>
      <c r="S2" s="455"/>
      <c r="T2" s="455"/>
      <c r="U2" s="455"/>
      <c r="V2" s="455"/>
      <c r="X2" s="455" t="s">
        <v>225</v>
      </c>
      <c r="Y2" s="455"/>
      <c r="Z2" s="455"/>
      <c r="AA2" s="455"/>
      <c r="AB2" s="455"/>
      <c r="AC2" s="455"/>
      <c r="AD2" s="455"/>
      <c r="AE2" s="455"/>
      <c r="AF2" s="455"/>
      <c r="AG2" s="455"/>
      <c r="AI2" s="455" t="s">
        <v>108</v>
      </c>
      <c r="AJ2" s="455"/>
      <c r="AK2" s="455"/>
      <c r="AL2" s="455"/>
      <c r="AM2" s="455"/>
      <c r="AO2" s="455" t="s">
        <v>105</v>
      </c>
      <c r="AP2" s="455"/>
      <c r="AQ2" s="455"/>
      <c r="AR2" s="455"/>
      <c r="AS2" s="455"/>
    </row>
    <row r="3" spans="2:45" ht="50" x14ac:dyDescent="0.35">
      <c r="B3" s="191" t="s">
        <v>1</v>
      </c>
      <c r="C3" s="191" t="s">
        <v>109</v>
      </c>
      <c r="D3" s="191" t="s">
        <v>226</v>
      </c>
      <c r="E3" s="191" t="s">
        <v>227</v>
      </c>
      <c r="F3" s="191"/>
      <c r="G3" s="191" t="s">
        <v>470</v>
      </c>
      <c r="H3" s="191" t="s">
        <v>226</v>
      </c>
      <c r="I3" s="191" t="s">
        <v>229</v>
      </c>
      <c r="J3" s="191" t="s">
        <v>230</v>
      </c>
      <c r="K3" s="191" t="s">
        <v>231</v>
      </c>
      <c r="L3" s="30"/>
      <c r="M3" s="191" t="s">
        <v>1</v>
      </c>
      <c r="N3" s="191" t="s">
        <v>109</v>
      </c>
      <c r="O3" s="191" t="s">
        <v>226</v>
      </c>
      <c r="P3" s="191" t="s">
        <v>227</v>
      </c>
      <c r="Q3" s="191"/>
      <c r="R3" s="191" t="s">
        <v>470</v>
      </c>
      <c r="S3" s="191" t="s">
        <v>226</v>
      </c>
      <c r="T3" s="191" t="s">
        <v>229</v>
      </c>
      <c r="U3" s="191" t="s">
        <v>230</v>
      </c>
      <c r="V3" s="191" t="s">
        <v>231</v>
      </c>
      <c r="W3" s="30"/>
      <c r="X3" s="191" t="s">
        <v>1</v>
      </c>
      <c r="Y3" s="191" t="s">
        <v>109</v>
      </c>
      <c r="Z3" s="191" t="s">
        <v>226</v>
      </c>
      <c r="AA3" s="191" t="s">
        <v>227</v>
      </c>
      <c r="AB3" s="191"/>
      <c r="AC3" s="191" t="s">
        <v>228</v>
      </c>
      <c r="AD3" s="191" t="s">
        <v>226</v>
      </c>
      <c r="AE3" s="191" t="s">
        <v>229</v>
      </c>
      <c r="AF3" s="191" t="s">
        <v>233</v>
      </c>
      <c r="AG3" s="191" t="s">
        <v>231</v>
      </c>
      <c r="AI3" s="28" t="s">
        <v>1</v>
      </c>
      <c r="AJ3" s="29" t="s">
        <v>109</v>
      </c>
      <c r="AK3" s="29" t="s">
        <v>110</v>
      </c>
      <c r="AL3" s="29" t="s">
        <v>111</v>
      </c>
      <c r="AM3" s="29" t="s">
        <v>112</v>
      </c>
      <c r="AN3" s="30"/>
      <c r="AO3" s="28" t="s">
        <v>1</v>
      </c>
      <c r="AP3" s="28" t="s">
        <v>109</v>
      </c>
      <c r="AQ3" s="28" t="s">
        <v>107</v>
      </c>
      <c r="AR3" s="29" t="s">
        <v>111</v>
      </c>
      <c r="AS3" s="29" t="s">
        <v>112</v>
      </c>
    </row>
    <row r="4" spans="2:45" x14ac:dyDescent="0.35">
      <c r="B4" s="192"/>
      <c r="C4" s="192" t="s">
        <v>113</v>
      </c>
      <c r="D4" s="192" t="s">
        <v>114</v>
      </c>
      <c r="E4" s="192" t="s">
        <v>234</v>
      </c>
      <c r="F4" s="192"/>
      <c r="G4" s="192" t="s">
        <v>158</v>
      </c>
      <c r="H4" s="192" t="s">
        <v>235</v>
      </c>
      <c r="I4" s="192" t="s">
        <v>236</v>
      </c>
      <c r="J4" s="192" t="s">
        <v>161</v>
      </c>
      <c r="K4" s="192" t="s">
        <v>237</v>
      </c>
      <c r="M4" s="192"/>
      <c r="N4" s="192" t="s">
        <v>113</v>
      </c>
      <c r="O4" s="192" t="s">
        <v>114</v>
      </c>
      <c r="P4" s="192" t="s">
        <v>234</v>
      </c>
      <c r="Q4" s="192"/>
      <c r="R4" s="192" t="s">
        <v>158</v>
      </c>
      <c r="S4" s="192" t="s">
        <v>235</v>
      </c>
      <c r="T4" s="192" t="s">
        <v>236</v>
      </c>
      <c r="U4" s="192" t="s">
        <v>161</v>
      </c>
      <c r="V4" s="192" t="s">
        <v>237</v>
      </c>
      <c r="X4" s="192"/>
      <c r="Y4" s="192" t="s">
        <v>113</v>
      </c>
      <c r="Z4" s="192" t="s">
        <v>114</v>
      </c>
      <c r="AA4" s="192" t="s">
        <v>234</v>
      </c>
      <c r="AB4" s="192"/>
      <c r="AC4" s="192" t="s">
        <v>158</v>
      </c>
      <c r="AD4" s="192" t="s">
        <v>235</v>
      </c>
      <c r="AE4" s="192" t="s">
        <v>236</v>
      </c>
      <c r="AF4" s="192" t="s">
        <v>161</v>
      </c>
      <c r="AG4" s="192" t="s">
        <v>237</v>
      </c>
      <c r="AI4" s="21"/>
      <c r="AJ4" s="21" t="s">
        <v>113</v>
      </c>
      <c r="AK4" s="21" t="s">
        <v>114</v>
      </c>
      <c r="AL4" s="21" t="s">
        <v>115</v>
      </c>
      <c r="AM4" s="21" t="s">
        <v>116</v>
      </c>
      <c r="AO4" s="21"/>
      <c r="AP4" s="21" t="s">
        <v>113</v>
      </c>
      <c r="AQ4" s="21" t="s">
        <v>114</v>
      </c>
      <c r="AR4" s="21" t="s">
        <v>115</v>
      </c>
      <c r="AS4" s="21" t="s">
        <v>116</v>
      </c>
    </row>
    <row r="5" spans="2:45" x14ac:dyDescent="0.35">
      <c r="B5" s="31">
        <v>2014</v>
      </c>
      <c r="C5" s="32">
        <f>SUMIF(MonthlyData!$B:$B,B5,MonthlyData!D:D)</f>
        <v>43480804</v>
      </c>
      <c r="D5" s="32">
        <f>SUMIF(MonthlyData!$B:$B,B5,MonthlyData!E:E)</f>
        <v>383972.97660165495</v>
      </c>
      <c r="E5" s="32">
        <f t="shared" ref="E5:E14" si="0">C5+D5</f>
        <v>43864776.976601653</v>
      </c>
      <c r="F5" s="32"/>
      <c r="G5" s="32">
        <f ca="1">SUMIFS('Res Normalized WN'!N:N,'Res Normalized WN'!B:B,'Normalized Annual Summary WN'!B5)</f>
        <v>42983669.107363716</v>
      </c>
      <c r="H5" s="32">
        <f t="shared" ref="H5:H14" si="1">D5</f>
        <v>383972.97660165495</v>
      </c>
      <c r="I5" s="32">
        <f t="shared" ref="I5:I16" ca="1" si="2">G5-H5</f>
        <v>42599696.130762063</v>
      </c>
      <c r="J5" s="32"/>
      <c r="K5" s="32">
        <f t="shared" ref="K5:K16" ca="1" si="3">I5+J5</f>
        <v>42599696.130762063</v>
      </c>
      <c r="M5" s="31">
        <f>B5</f>
        <v>2014</v>
      </c>
      <c r="N5" s="32">
        <f>SUMIF(MonthlyData!$B:$B,M5,MonthlyData!G:G)</f>
        <v>20165300</v>
      </c>
      <c r="O5" s="32">
        <f>SUMIF(MonthlyData!$B:$B,M5,MonthlyData!H:H)</f>
        <v>1304823.4673604672</v>
      </c>
      <c r="P5" s="32">
        <f t="shared" ref="P5:P14" si="4">N5+O5</f>
        <v>21470123.467360467</v>
      </c>
      <c r="Q5" s="32"/>
      <c r="R5" s="32">
        <f ca="1">SUMIFS('GS &lt; 50 Normalized WN'!P:P,'GS &lt; 50 Normalized WN'!B:B,'Normalized Annual Summary WN'!M5)</f>
        <v>21169040.340658661</v>
      </c>
      <c r="S5" s="32">
        <f t="shared" ref="S5:S14" si="5">O5</f>
        <v>1304823.4673604672</v>
      </c>
      <c r="T5" s="32">
        <f t="shared" ref="T5:T16" ca="1" si="6">R5-S5</f>
        <v>19864216.873298194</v>
      </c>
      <c r="U5" s="32"/>
      <c r="V5" s="32">
        <f t="shared" ref="V5:V16" ca="1" si="7">T5+U5</f>
        <v>19864216.873298194</v>
      </c>
      <c r="X5" s="31">
        <f>M5</f>
        <v>2014</v>
      </c>
      <c r="Y5" s="32">
        <f>SUMIF(MonthlyData!$B:$B,M5,MonthlyData!J:J)</f>
        <v>55514123</v>
      </c>
      <c r="Z5" s="32">
        <f>SUMIF(MonthlyData!$B:$B,M5,MonthlyData!K:K)</f>
        <v>411345.1831284659</v>
      </c>
      <c r="AA5" s="32">
        <f t="shared" ref="AA5:AA14" si="8">Y5+Z5</f>
        <v>55925468.183128469</v>
      </c>
      <c r="AB5" s="32"/>
      <c r="AC5" s="32">
        <f ca="1">SUMIFS('GS &gt; 50 Normalized WN'!P:P,'GS &gt; 50 Normalized WN'!B:B,'Normalized Annual Summary WN'!X5)</f>
        <v>55302031.723837405</v>
      </c>
      <c r="AD5" s="32">
        <f t="shared" ref="AD5:AD14" si="9">Z5</f>
        <v>411345.1831284659</v>
      </c>
      <c r="AE5" s="32">
        <f t="shared" ref="AE5:AE16" ca="1" si="10">AC5-AD5</f>
        <v>54890686.540708937</v>
      </c>
      <c r="AF5" s="32"/>
      <c r="AG5" s="32">
        <f t="shared" ref="AG5:AG16" ca="1" si="11">AE5+AF5</f>
        <v>54890686.540708937</v>
      </c>
      <c r="AI5" s="31">
        <f>X5</f>
        <v>2014</v>
      </c>
      <c r="AJ5" s="32">
        <f>SUMIFS(MonthlyData!M:M,MonthlyData!B:B,'Normalized Annual Summary WN'!AI5)</f>
        <v>1444270</v>
      </c>
      <c r="AK5" s="32">
        <f>'Customer Count'!O4</f>
        <v>1650</v>
      </c>
      <c r="AL5" s="32">
        <f t="shared" ref="AL5:AL14" si="12">AJ5/AK5</f>
        <v>875.31515151515157</v>
      </c>
      <c r="AM5" s="32">
        <f t="shared" ref="AM5:AM16" si="13">AL5*AK5</f>
        <v>1444270</v>
      </c>
      <c r="AO5" s="31">
        <f>AI5</f>
        <v>2014</v>
      </c>
      <c r="AP5" s="32">
        <f>SUMIFS(MonthlyData!N:N,MonthlyData!B:B,'Normalized Annual Summary WN'!AI5)</f>
        <v>157125</v>
      </c>
      <c r="AQ5" s="32">
        <f>'Customer Count'!S4</f>
        <v>22.333333333333332</v>
      </c>
      <c r="AR5" s="22">
        <f t="shared" ref="AR5:AR14" si="14">AP5/AQ5</f>
        <v>7035.4477611940301</v>
      </c>
      <c r="AS5" s="32">
        <f t="shared" ref="AS5:AS16" si="15">AR5*AQ5</f>
        <v>157125</v>
      </c>
    </row>
    <row r="6" spans="2:45" x14ac:dyDescent="0.35">
      <c r="B6" s="31">
        <f t="shared" ref="B6:B16" si="16">B5+1</f>
        <v>2015</v>
      </c>
      <c r="C6" s="32">
        <f>SUMIF(MonthlyData!$B:$B,B6,MonthlyData!D:D)</f>
        <v>41684695.999999993</v>
      </c>
      <c r="D6" s="32">
        <f>SUMIF(MonthlyData!$B:$B,B6,MonthlyData!E:E)</f>
        <v>539617.51842840959</v>
      </c>
      <c r="E6" s="32">
        <f t="shared" si="0"/>
        <v>42224313.5184284</v>
      </c>
      <c r="F6" s="32"/>
      <c r="G6" s="32">
        <f ca="1">SUMIFS('Res Normalized WN'!N:N,'Res Normalized WN'!B:B,'Normalized Annual Summary WN'!B6)</f>
        <v>41751083.168878928</v>
      </c>
      <c r="H6" s="32">
        <f t="shared" si="1"/>
        <v>539617.51842840959</v>
      </c>
      <c r="I6" s="32">
        <f t="shared" ca="1" si="2"/>
        <v>41211465.65045052</v>
      </c>
      <c r="J6" s="32"/>
      <c r="K6" s="32">
        <f t="shared" ca="1" si="3"/>
        <v>41211465.65045052</v>
      </c>
      <c r="M6" s="31">
        <f t="shared" ref="M6:M16" si="17">M5+1</f>
        <v>2015</v>
      </c>
      <c r="N6" s="32">
        <f>SUMIF(MonthlyData!$B:$B,M6,MonthlyData!G:G)</f>
        <v>19810828.000000004</v>
      </c>
      <c r="O6" s="32">
        <f>SUMIF(MonthlyData!$B:$B,M6,MonthlyData!H:H)</f>
        <v>1608023.1836894662</v>
      </c>
      <c r="P6" s="32">
        <f t="shared" si="4"/>
        <v>21418851.183689471</v>
      </c>
      <c r="Q6" s="32"/>
      <c r="R6" s="32">
        <f ca="1">SUMIFS('GS &lt; 50 Normalized WN'!P:P,'GS &lt; 50 Normalized WN'!B:B,'Normalized Annual Summary WN'!M6)</f>
        <v>21257143.771615416</v>
      </c>
      <c r="S6" s="32">
        <f t="shared" si="5"/>
        <v>1608023.1836894662</v>
      </c>
      <c r="T6" s="32">
        <f t="shared" ca="1" si="6"/>
        <v>19649120.587925948</v>
      </c>
      <c r="U6" s="32"/>
      <c r="V6" s="32">
        <f t="shared" ca="1" si="7"/>
        <v>19649120.587925948</v>
      </c>
      <c r="X6" s="31">
        <f t="shared" ref="X6:X16" si="18">X5+1</f>
        <v>2015</v>
      </c>
      <c r="Y6" s="32">
        <f>SUMIF(MonthlyData!$B:$B,M6,MonthlyData!J:J)</f>
        <v>59448871</v>
      </c>
      <c r="Z6" s="32">
        <f>SUMIF(MonthlyData!$B:$B,M6,MonthlyData!K:K)</f>
        <v>696730.39320644853</v>
      </c>
      <c r="AA6" s="32">
        <f t="shared" si="8"/>
        <v>60145601.393206447</v>
      </c>
      <c r="AB6" s="32"/>
      <c r="AC6" s="32">
        <f ca="1">SUMIFS('GS &gt; 50 Normalized WN'!P:P,'GS &gt; 50 Normalized WN'!B:B,'Normalized Annual Summary WN'!X6)</f>
        <v>59810762.647744589</v>
      </c>
      <c r="AD6" s="32">
        <f t="shared" si="9"/>
        <v>696730.39320644853</v>
      </c>
      <c r="AE6" s="32">
        <f t="shared" ca="1" si="10"/>
        <v>59114032.254538141</v>
      </c>
      <c r="AF6" s="32"/>
      <c r="AG6" s="32">
        <f t="shared" ca="1" si="11"/>
        <v>59114032.254538141</v>
      </c>
      <c r="AI6" s="31">
        <f t="shared" ref="AI6:AI14" si="19">AI5+1</f>
        <v>2015</v>
      </c>
      <c r="AJ6" s="32">
        <f>SUMIFS(MonthlyData!M:M,MonthlyData!B:B,'Normalized Annual Summary WN'!AI6)</f>
        <v>664378</v>
      </c>
      <c r="AK6" s="32">
        <f>'Customer Count'!O5</f>
        <v>1650</v>
      </c>
      <c r="AL6" s="32">
        <f t="shared" si="12"/>
        <v>402.65333333333331</v>
      </c>
      <c r="AM6" s="32">
        <f t="shared" si="13"/>
        <v>664378</v>
      </c>
      <c r="AO6" s="31">
        <f t="shared" ref="AO6:AO14" si="20">AO5+1</f>
        <v>2015</v>
      </c>
      <c r="AP6" s="32">
        <f>SUMIFS(MonthlyData!N:N,MonthlyData!B:B,'Normalized Annual Summary WN'!AI6)</f>
        <v>164177.99999999997</v>
      </c>
      <c r="AQ6" s="32">
        <f>'Customer Count'!S5</f>
        <v>23</v>
      </c>
      <c r="AR6" s="32">
        <f t="shared" si="14"/>
        <v>7138.1739130434771</v>
      </c>
      <c r="AS6" s="32">
        <f t="shared" si="15"/>
        <v>164177.99999999997</v>
      </c>
    </row>
    <row r="7" spans="2:45" x14ac:dyDescent="0.35">
      <c r="B7" s="31">
        <f t="shared" si="16"/>
        <v>2016</v>
      </c>
      <c r="C7" s="32">
        <f>SUMIF(MonthlyData!$B:$B,B7,MonthlyData!D:D)</f>
        <v>38772515</v>
      </c>
      <c r="D7" s="32">
        <f>SUMIF(MonthlyData!$B:$B,B7,MonthlyData!E:E)</f>
        <v>804074.91156592034</v>
      </c>
      <c r="E7" s="32">
        <f t="shared" si="0"/>
        <v>39576589.911565922</v>
      </c>
      <c r="F7" s="32"/>
      <c r="G7" s="32">
        <f ca="1">SUMIFS('Res Normalized WN'!N:N,'Res Normalized WN'!B:B,'Normalized Annual Summary WN'!B7)</f>
        <v>40073547.383073039</v>
      </c>
      <c r="H7" s="32">
        <f t="shared" si="1"/>
        <v>804074.91156592034</v>
      </c>
      <c r="I7" s="32">
        <f t="shared" ca="1" si="2"/>
        <v>39269472.471507117</v>
      </c>
      <c r="J7" s="32"/>
      <c r="K7" s="32">
        <f t="shared" ca="1" si="3"/>
        <v>39269472.471507117</v>
      </c>
      <c r="M7" s="31">
        <f t="shared" si="17"/>
        <v>2016</v>
      </c>
      <c r="N7" s="32">
        <f>SUMIF(MonthlyData!$B:$B,M7,MonthlyData!G:G)</f>
        <v>18349612</v>
      </c>
      <c r="O7" s="32">
        <f>SUMIF(MonthlyData!$B:$B,M7,MonthlyData!H:H)</f>
        <v>1693541.2987300951</v>
      </c>
      <c r="P7" s="32">
        <f t="shared" si="4"/>
        <v>20043153.298730094</v>
      </c>
      <c r="Q7" s="32"/>
      <c r="R7" s="32">
        <f ca="1">SUMIFS('GS &lt; 50 Normalized WN'!P:P,'GS &lt; 50 Normalized WN'!B:B,'Normalized Annual Summary WN'!M7)</f>
        <v>20212968.499096651</v>
      </c>
      <c r="S7" s="32">
        <f t="shared" si="5"/>
        <v>1693541.2987300951</v>
      </c>
      <c r="T7" s="32">
        <f t="shared" ca="1" si="6"/>
        <v>18519427.200366557</v>
      </c>
      <c r="U7" s="32"/>
      <c r="V7" s="32">
        <f t="shared" ca="1" si="7"/>
        <v>18519427.200366557</v>
      </c>
      <c r="X7" s="31">
        <f t="shared" si="18"/>
        <v>2016</v>
      </c>
      <c r="Y7" s="32">
        <f>SUMIF(MonthlyData!$B:$B,M7,MonthlyData!J:J)</f>
        <v>60749110</v>
      </c>
      <c r="Z7" s="32">
        <f>SUMIF(MonthlyData!$B:$B,M7,MonthlyData!K:K)</f>
        <v>1374277.7890631584</v>
      </c>
      <c r="AA7" s="32">
        <f t="shared" si="8"/>
        <v>62123387.789063156</v>
      </c>
      <c r="AB7" s="32"/>
      <c r="AC7" s="32">
        <f ca="1">SUMIFS('GS &gt; 50 Normalized WN'!P:P,'GS &gt; 50 Normalized WN'!B:B,'Normalized Annual Summary WN'!X7)</f>
        <v>62475014.89088735</v>
      </c>
      <c r="AD7" s="32">
        <f t="shared" si="9"/>
        <v>1374277.7890631584</v>
      </c>
      <c r="AE7" s="32">
        <f t="shared" ca="1" si="10"/>
        <v>61100737.101824194</v>
      </c>
      <c r="AF7" s="32"/>
      <c r="AG7" s="32">
        <f t="shared" ca="1" si="11"/>
        <v>61100737.101824194</v>
      </c>
      <c r="AI7" s="31">
        <f t="shared" si="19"/>
        <v>2016</v>
      </c>
      <c r="AJ7" s="32">
        <f>SUMIFS(MonthlyData!M:M,MonthlyData!B:B,'Normalized Annual Summary WN'!AI7)</f>
        <v>607008</v>
      </c>
      <c r="AK7" s="32">
        <f>'Customer Count'!O6</f>
        <v>1650</v>
      </c>
      <c r="AL7" s="32">
        <f t="shared" si="12"/>
        <v>367.88363636363636</v>
      </c>
      <c r="AM7" s="32">
        <f t="shared" si="13"/>
        <v>607008</v>
      </c>
      <c r="AO7" s="31">
        <f t="shared" si="20"/>
        <v>2016</v>
      </c>
      <c r="AP7" s="32">
        <f>SUMIFS(MonthlyData!N:N,MonthlyData!B:B,'Normalized Annual Summary WN'!AI7)</f>
        <v>164177.99999999997</v>
      </c>
      <c r="AQ7" s="32">
        <f>'Customer Count'!S6</f>
        <v>23</v>
      </c>
      <c r="AR7" s="32">
        <f t="shared" si="14"/>
        <v>7138.1739130434771</v>
      </c>
      <c r="AS7" s="32">
        <f t="shared" si="15"/>
        <v>164177.99999999997</v>
      </c>
    </row>
    <row r="8" spans="2:45" x14ac:dyDescent="0.35">
      <c r="B8" s="31">
        <f t="shared" si="16"/>
        <v>2017</v>
      </c>
      <c r="C8" s="32">
        <f>SUMIF(MonthlyData!$B:$B,B8,MonthlyData!D:D)</f>
        <v>37483079.333000004</v>
      </c>
      <c r="D8" s="32">
        <f>SUMIF(MonthlyData!$B:$B,B8,MonthlyData!E:E)</f>
        <v>1413616.8545100112</v>
      </c>
      <c r="E8" s="32">
        <f t="shared" si="0"/>
        <v>38896696.187510014</v>
      </c>
      <c r="F8" s="32"/>
      <c r="G8" s="32">
        <f ca="1">SUMIFS('Res Normalized WN'!N:N,'Res Normalized WN'!B:B,'Normalized Annual Summary WN'!B8)</f>
        <v>39263245.298147678</v>
      </c>
      <c r="H8" s="32">
        <f t="shared" si="1"/>
        <v>1413616.8545100112</v>
      </c>
      <c r="I8" s="32">
        <f t="shared" ca="1" si="2"/>
        <v>37849628.443637669</v>
      </c>
      <c r="J8" s="32"/>
      <c r="K8" s="32">
        <f t="shared" ca="1" si="3"/>
        <v>37849628.443637669</v>
      </c>
      <c r="M8" s="31">
        <f t="shared" si="17"/>
        <v>2017</v>
      </c>
      <c r="N8" s="32">
        <f>SUMIF(MonthlyData!$B:$B,M8,MonthlyData!G:G)</f>
        <v>17706302.366</v>
      </c>
      <c r="O8" s="32">
        <f>SUMIF(MonthlyData!$B:$B,M8,MonthlyData!H:H)</f>
        <v>1745077.6084331679</v>
      </c>
      <c r="P8" s="32">
        <f t="shared" si="4"/>
        <v>19451379.974433169</v>
      </c>
      <c r="Q8" s="32"/>
      <c r="R8" s="32">
        <f ca="1">SUMIFS('GS &lt; 50 Normalized WN'!P:P,'GS &lt; 50 Normalized WN'!B:B,'Normalized Annual Summary WN'!M8)</f>
        <v>19576633.369815964</v>
      </c>
      <c r="S8" s="32">
        <f t="shared" si="5"/>
        <v>1745077.6084331679</v>
      </c>
      <c r="T8" s="32">
        <f t="shared" ca="1" si="6"/>
        <v>17831555.761382796</v>
      </c>
      <c r="U8" s="32"/>
      <c r="V8" s="32">
        <f t="shared" ca="1" si="7"/>
        <v>17831555.761382796</v>
      </c>
      <c r="X8" s="31">
        <f t="shared" si="18"/>
        <v>2017</v>
      </c>
      <c r="Y8" s="32">
        <f>SUMIF(MonthlyData!$B:$B,M8,MonthlyData!J:J)</f>
        <v>59958732.662860565</v>
      </c>
      <c r="Z8" s="32">
        <f>SUMIF(MonthlyData!$B:$B,M8,MonthlyData!K:K)</f>
        <v>1919013.8986125889</v>
      </c>
      <c r="AA8" s="32">
        <f t="shared" si="8"/>
        <v>61877746.561473154</v>
      </c>
      <c r="AB8" s="32"/>
      <c r="AC8" s="32">
        <f ca="1">SUMIFS('GS &gt; 50 Normalized WN'!P:P,'GS &gt; 50 Normalized WN'!B:B,'Normalized Annual Summary WN'!X8)</f>
        <v>62137101.9567324</v>
      </c>
      <c r="AD8" s="32">
        <f t="shared" si="9"/>
        <v>1919013.8986125889</v>
      </c>
      <c r="AE8" s="32">
        <f t="shared" ca="1" si="10"/>
        <v>60218088.058119811</v>
      </c>
      <c r="AF8" s="32"/>
      <c r="AG8" s="32">
        <f t="shared" ca="1" si="11"/>
        <v>60218088.058119811</v>
      </c>
      <c r="AI8" s="31">
        <f t="shared" si="19"/>
        <v>2017</v>
      </c>
      <c r="AJ8" s="32">
        <f>SUMIFS(MonthlyData!M:M,MonthlyData!B:B,'Normalized Annual Summary WN'!AI8)</f>
        <v>513973.00000000006</v>
      </c>
      <c r="AK8" s="32">
        <f>'Customer Count'!O7</f>
        <v>1650</v>
      </c>
      <c r="AL8" s="32">
        <f t="shared" si="12"/>
        <v>311.49878787878794</v>
      </c>
      <c r="AM8" s="32">
        <f t="shared" si="13"/>
        <v>513973.00000000012</v>
      </c>
      <c r="AO8" s="31">
        <f t="shared" si="20"/>
        <v>2017</v>
      </c>
      <c r="AP8" s="32">
        <f>SUMIFS(MonthlyData!N:N,MonthlyData!B:B,'Normalized Annual Summary WN'!AI8)</f>
        <v>164177.99999999997</v>
      </c>
      <c r="AQ8" s="32">
        <f>'Customer Count'!S7</f>
        <v>23</v>
      </c>
      <c r="AR8" s="32">
        <f t="shared" si="14"/>
        <v>7138.1739130434771</v>
      </c>
      <c r="AS8" s="32">
        <f t="shared" si="15"/>
        <v>164177.99999999997</v>
      </c>
    </row>
    <row r="9" spans="2:45" x14ac:dyDescent="0.35">
      <c r="B9" s="31">
        <f t="shared" si="16"/>
        <v>2018</v>
      </c>
      <c r="C9" s="32">
        <f>SUMIF(MonthlyData!$B:$B,B9,MonthlyData!D:D)</f>
        <v>38878731</v>
      </c>
      <c r="D9" s="32">
        <f>SUMIF(MonthlyData!$B:$B,B9,MonthlyData!E:E)</f>
        <v>1728989.2096043185</v>
      </c>
      <c r="E9" s="32">
        <f t="shared" si="0"/>
        <v>40607720.209604315</v>
      </c>
      <c r="F9" s="34"/>
      <c r="G9" s="32">
        <f ca="1">SUMIFS('Res Normalized WN'!N:N,'Res Normalized WN'!B:B,'Normalized Annual Summary WN'!B9)</f>
        <v>39976947.891526535</v>
      </c>
      <c r="H9" s="32">
        <f t="shared" si="1"/>
        <v>1728989.2096043185</v>
      </c>
      <c r="I9" s="32">
        <f t="shared" ca="1" si="2"/>
        <v>38247958.68192222</v>
      </c>
      <c r="J9" s="32"/>
      <c r="K9" s="32">
        <f t="shared" ca="1" si="3"/>
        <v>38247958.68192222</v>
      </c>
      <c r="M9" s="31">
        <f t="shared" si="17"/>
        <v>2018</v>
      </c>
      <c r="N9" s="32">
        <f>SUMIF(MonthlyData!$B:$B,M9,MonthlyData!G:G)</f>
        <v>17940823</v>
      </c>
      <c r="O9" s="32">
        <f>SUMIF(MonthlyData!$B:$B,M9,MonthlyData!H:H)</f>
        <v>2372762.8470745124</v>
      </c>
      <c r="P9" s="32">
        <f t="shared" si="4"/>
        <v>20313585.847074512</v>
      </c>
      <c r="Q9" s="34"/>
      <c r="R9" s="32">
        <f ca="1">SUMIFS('GS &lt; 50 Normalized WN'!P:P,'GS &lt; 50 Normalized WN'!B:B,'Normalized Annual Summary WN'!M9)</f>
        <v>20098044.812435851</v>
      </c>
      <c r="S9" s="32">
        <f t="shared" si="5"/>
        <v>2372762.8470745124</v>
      </c>
      <c r="T9" s="32">
        <f t="shared" ca="1" si="6"/>
        <v>17725281.965361338</v>
      </c>
      <c r="U9" s="32"/>
      <c r="V9" s="32">
        <f t="shared" ca="1" si="7"/>
        <v>17725281.965361338</v>
      </c>
      <c r="X9" s="31">
        <f t="shared" si="18"/>
        <v>2018</v>
      </c>
      <c r="Y9" s="32">
        <f>SUMIF(MonthlyData!$B:$B,M9,MonthlyData!J:J)</f>
        <v>59526842.000000007</v>
      </c>
      <c r="Z9" s="32">
        <f>SUMIF(MonthlyData!$B:$B,M9,MonthlyData!K:K)</f>
        <v>2330005.4104717188</v>
      </c>
      <c r="AA9" s="32">
        <f t="shared" si="8"/>
        <v>61856847.410471722</v>
      </c>
      <c r="AB9" s="34"/>
      <c r="AC9" s="32">
        <f ca="1">SUMIFS('GS &gt; 50 Normalized WN'!P:P,'GS &gt; 50 Normalized WN'!B:B,'Normalized Annual Summary WN'!X9)</f>
        <v>61410538.309928395</v>
      </c>
      <c r="AD9" s="32">
        <f t="shared" si="9"/>
        <v>2330005.4104717188</v>
      </c>
      <c r="AE9" s="32">
        <f t="shared" ca="1" si="10"/>
        <v>59080532.89945668</v>
      </c>
      <c r="AF9" s="32"/>
      <c r="AG9" s="32">
        <f t="shared" ca="1" si="11"/>
        <v>59080532.89945668</v>
      </c>
      <c r="AI9" s="31">
        <f t="shared" si="19"/>
        <v>2018</v>
      </c>
      <c r="AJ9" s="32">
        <f>SUMIFS(MonthlyData!M:M,MonthlyData!B:B,'Normalized Annual Summary WN'!AI9)</f>
        <v>517432.00000000006</v>
      </c>
      <c r="AK9" s="32">
        <f>'Customer Count'!O8</f>
        <v>1659.5833333333333</v>
      </c>
      <c r="AL9" s="32">
        <f t="shared" si="12"/>
        <v>311.78428320361542</v>
      </c>
      <c r="AM9" s="32">
        <f t="shared" si="13"/>
        <v>517432.00000000006</v>
      </c>
      <c r="AO9" s="31">
        <f t="shared" si="20"/>
        <v>2018</v>
      </c>
      <c r="AP9" s="32">
        <f>SUMIFS(MonthlyData!N:N,MonthlyData!B:B,'Normalized Annual Summary WN'!AI9)</f>
        <v>164177.99999999997</v>
      </c>
      <c r="AQ9" s="32">
        <f>'Customer Count'!S8</f>
        <v>23</v>
      </c>
      <c r="AR9" s="32">
        <f t="shared" si="14"/>
        <v>7138.1739130434771</v>
      </c>
      <c r="AS9" s="32">
        <f t="shared" si="15"/>
        <v>164177.99999999997</v>
      </c>
    </row>
    <row r="10" spans="2:45" x14ac:dyDescent="0.35">
      <c r="B10" s="31">
        <f t="shared" si="16"/>
        <v>2019</v>
      </c>
      <c r="C10" s="32">
        <f>SUMIF(MonthlyData!$B:$B,B10,MonthlyData!D:D)</f>
        <v>38802690</v>
      </c>
      <c r="D10" s="32">
        <f>SUMIF(MonthlyData!$B:$B,B10,MonthlyData!E:E)</f>
        <v>1836729.2465835006</v>
      </c>
      <c r="E10" s="32">
        <f t="shared" si="0"/>
        <v>40639419.246583499</v>
      </c>
      <c r="F10" s="34"/>
      <c r="G10" s="32">
        <f ca="1">SUMIFS('Res Normalized WN'!N:N,'Res Normalized WN'!B:B,'Normalized Annual Summary WN'!B10)</f>
        <v>40089714.554076597</v>
      </c>
      <c r="H10" s="32">
        <f t="shared" si="1"/>
        <v>1836729.2465835006</v>
      </c>
      <c r="I10" s="32">
        <f t="shared" ca="1" si="2"/>
        <v>38252985.307493098</v>
      </c>
      <c r="J10" s="32"/>
      <c r="K10" s="32">
        <f t="shared" ca="1" si="3"/>
        <v>38252985.307493098</v>
      </c>
      <c r="M10" s="31">
        <f t="shared" si="17"/>
        <v>2019</v>
      </c>
      <c r="N10" s="32">
        <f>SUMIF(MonthlyData!$B:$B,M10,MonthlyData!G:G)</f>
        <v>17709285.999999996</v>
      </c>
      <c r="O10" s="32">
        <f>SUMIF(MonthlyData!$B:$B,M10,MonthlyData!H:H)</f>
        <v>2450850.0391563908</v>
      </c>
      <c r="P10" s="32">
        <f t="shared" si="4"/>
        <v>20160136.039156388</v>
      </c>
      <c r="Q10" s="34"/>
      <c r="R10" s="32">
        <f ca="1">SUMIFS('GS &lt; 50 Normalized WN'!P:P,'GS &lt; 50 Normalized WN'!B:B,'Normalized Annual Summary WN'!M10)</f>
        <v>19972296.600466792</v>
      </c>
      <c r="S10" s="32">
        <f t="shared" si="5"/>
        <v>2450850.0391563908</v>
      </c>
      <c r="T10" s="32">
        <f t="shared" ca="1" si="6"/>
        <v>17521446.561310399</v>
      </c>
      <c r="U10" s="32"/>
      <c r="V10" s="32">
        <f t="shared" ca="1" si="7"/>
        <v>17521446.561310399</v>
      </c>
      <c r="X10" s="31">
        <f t="shared" si="18"/>
        <v>2019</v>
      </c>
      <c r="Y10" s="32">
        <f>SUMIF(MonthlyData!$B:$B,M10,MonthlyData!J:J)</f>
        <v>60254777</v>
      </c>
      <c r="Z10" s="32">
        <f>SUMIF(MonthlyData!$B:$B,M10,MonthlyData!K:K)</f>
        <v>2578058.248162664</v>
      </c>
      <c r="AA10" s="32">
        <f t="shared" si="8"/>
        <v>62832835.248162664</v>
      </c>
      <c r="AB10" s="34"/>
      <c r="AC10" s="32">
        <f ca="1">SUMIFS('GS &gt; 50 Normalized WN'!P:P,'GS &gt; 50 Normalized WN'!B:B,'Normalized Annual Summary WN'!X10)</f>
        <v>62443886.336097457</v>
      </c>
      <c r="AD10" s="32">
        <f t="shared" si="9"/>
        <v>2578058.248162664</v>
      </c>
      <c r="AE10" s="32">
        <f t="shared" ca="1" si="10"/>
        <v>59865828.087934792</v>
      </c>
      <c r="AF10" s="32"/>
      <c r="AG10" s="32">
        <f t="shared" ca="1" si="11"/>
        <v>59865828.087934792</v>
      </c>
      <c r="AI10" s="31">
        <f t="shared" si="19"/>
        <v>2019</v>
      </c>
      <c r="AJ10" s="32">
        <f>SUMIFS(MonthlyData!M:M,MonthlyData!B:B,'Normalized Annual Summary WN'!AI10)</f>
        <v>524449</v>
      </c>
      <c r="AK10" s="32">
        <f>'Customer Count'!O9</f>
        <v>1710</v>
      </c>
      <c r="AL10" s="32">
        <f t="shared" si="12"/>
        <v>306.6953216374269</v>
      </c>
      <c r="AM10" s="32">
        <f t="shared" si="13"/>
        <v>524449</v>
      </c>
      <c r="AO10" s="31">
        <f t="shared" si="20"/>
        <v>2019</v>
      </c>
      <c r="AP10" s="32">
        <f>SUMIFS(MonthlyData!N:N,MonthlyData!B:B,'Normalized Annual Summary WN'!AI10)</f>
        <v>164177.99999999997</v>
      </c>
      <c r="AQ10" s="32">
        <f>'Customer Count'!S9</f>
        <v>23</v>
      </c>
      <c r="AR10" s="32">
        <f t="shared" si="14"/>
        <v>7138.1739130434771</v>
      </c>
      <c r="AS10" s="32">
        <f t="shared" si="15"/>
        <v>164177.99999999997</v>
      </c>
    </row>
    <row r="11" spans="2:45" x14ac:dyDescent="0.35">
      <c r="B11" s="31">
        <f t="shared" si="16"/>
        <v>2020</v>
      </c>
      <c r="C11" s="32">
        <f>SUMIF(MonthlyData!$B:$B,B11,MonthlyData!D:D)</f>
        <v>40126980.999999993</v>
      </c>
      <c r="D11" s="32">
        <f>SUMIF(MonthlyData!$B:$B,B11,MonthlyData!E:E)</f>
        <v>1802376.4005966298</v>
      </c>
      <c r="E11" s="32">
        <f t="shared" si="0"/>
        <v>41929357.400596619</v>
      </c>
      <c r="F11" s="32"/>
      <c r="G11" s="32">
        <f ca="1">SUMIFS('Res Normalized WN'!N:N,'Res Normalized WN'!B:B,'Normalized Annual Summary WN'!B11)</f>
        <v>42175187.312122539</v>
      </c>
      <c r="H11" s="32">
        <f t="shared" si="1"/>
        <v>1802376.4005966298</v>
      </c>
      <c r="I11" s="32">
        <f t="shared" ca="1" si="2"/>
        <v>40372810.911525905</v>
      </c>
      <c r="J11" s="32"/>
      <c r="K11" s="32">
        <f t="shared" ca="1" si="3"/>
        <v>40372810.911525905</v>
      </c>
      <c r="M11" s="31">
        <f t="shared" si="17"/>
        <v>2020</v>
      </c>
      <c r="N11" s="32">
        <f>SUMIF(MonthlyData!$B:$B,M11,MonthlyData!G:G)</f>
        <v>16586732.999999998</v>
      </c>
      <c r="O11" s="32">
        <f>SUMIF(MonthlyData!$B:$B,M11,MonthlyData!H:H)</f>
        <v>2331748.4550660593</v>
      </c>
      <c r="P11" s="32">
        <f t="shared" si="4"/>
        <v>18918481.455066059</v>
      </c>
      <c r="Q11" s="32"/>
      <c r="R11" s="32">
        <f ca="1">SUMIFS('GS &lt; 50 Normalized WN'!P:P,'GS &lt; 50 Normalized WN'!B:B,'Normalized Annual Summary WN'!M11)</f>
        <v>19002483.926253911</v>
      </c>
      <c r="S11" s="32">
        <f t="shared" si="5"/>
        <v>2331748.4550660593</v>
      </c>
      <c r="T11" s="32">
        <f t="shared" ca="1" si="6"/>
        <v>16670735.471187852</v>
      </c>
      <c r="U11" s="32"/>
      <c r="V11" s="32">
        <f t="shared" ca="1" si="7"/>
        <v>16670735.471187852</v>
      </c>
      <c r="X11" s="31">
        <f t="shared" si="18"/>
        <v>2020</v>
      </c>
      <c r="Y11" s="32">
        <f>SUMIF(MonthlyData!$B:$B,M11,MonthlyData!J:J)</f>
        <v>57599230</v>
      </c>
      <c r="Z11" s="32">
        <f>SUMIF(MonthlyData!$B:$B,M11,MonthlyData!K:K)</f>
        <v>2575221.3902231087</v>
      </c>
      <c r="AA11" s="32">
        <f t="shared" si="8"/>
        <v>60174451.390223108</v>
      </c>
      <c r="AB11" s="32"/>
      <c r="AC11" s="32">
        <f ca="1">SUMIFS('GS &gt; 50 Normalized WN'!P:P,'GS &gt; 50 Normalized WN'!B:B,'Normalized Annual Summary WN'!X11)</f>
        <v>60348390.739740096</v>
      </c>
      <c r="AD11" s="32">
        <f t="shared" si="9"/>
        <v>2575221.3902231087</v>
      </c>
      <c r="AE11" s="32">
        <f t="shared" ca="1" si="10"/>
        <v>57773169.349516988</v>
      </c>
      <c r="AF11" s="32"/>
      <c r="AG11" s="32">
        <f t="shared" ca="1" si="11"/>
        <v>57773169.349516988</v>
      </c>
      <c r="AI11" s="31">
        <f t="shared" si="19"/>
        <v>2020</v>
      </c>
      <c r="AJ11" s="32">
        <f>SUMIFS(MonthlyData!M:M,MonthlyData!B:B,'Normalized Annual Summary WN'!AI11)</f>
        <v>526417</v>
      </c>
      <c r="AK11" s="32">
        <f>'Customer Count'!O10</f>
        <v>1710</v>
      </c>
      <c r="AL11" s="32">
        <f t="shared" si="12"/>
        <v>307.84619883040938</v>
      </c>
      <c r="AM11" s="32">
        <f t="shared" si="13"/>
        <v>526417</v>
      </c>
      <c r="AO11" s="31">
        <f t="shared" si="20"/>
        <v>2020</v>
      </c>
      <c r="AP11" s="32">
        <f>SUMIFS(MonthlyData!N:N,MonthlyData!B:B,'Normalized Annual Summary WN'!AI11)</f>
        <v>164177.99999999997</v>
      </c>
      <c r="AQ11" s="32">
        <f>'Customer Count'!S10</f>
        <v>23</v>
      </c>
      <c r="AR11" s="32">
        <f t="shared" si="14"/>
        <v>7138.1739130434771</v>
      </c>
      <c r="AS11" s="32">
        <f t="shared" si="15"/>
        <v>164177.99999999997</v>
      </c>
    </row>
    <row r="12" spans="2:45" x14ac:dyDescent="0.35">
      <c r="B12" s="31">
        <f t="shared" si="16"/>
        <v>2021</v>
      </c>
      <c r="C12" s="32">
        <f>SUMIF(MonthlyData!$B:$B,B12,MonthlyData!D:D)</f>
        <v>39104541</v>
      </c>
      <c r="D12" s="32">
        <f>SUMIF(MonthlyData!$B:$B,B12,MonthlyData!E:E)</f>
        <v>1750816.0127679738</v>
      </c>
      <c r="E12" s="32">
        <f t="shared" si="0"/>
        <v>40855357.012767971</v>
      </c>
      <c r="F12" s="34"/>
      <c r="G12" s="32">
        <f ca="1">SUMIFS('Res Normalized WN'!N:N,'Res Normalized WN'!B:B,'Normalized Annual Summary WN'!B12)</f>
        <v>41598354.149981022</v>
      </c>
      <c r="H12" s="32">
        <f t="shared" si="1"/>
        <v>1750816.0127679738</v>
      </c>
      <c r="I12" s="32">
        <f t="shared" ca="1" si="2"/>
        <v>39847538.137213051</v>
      </c>
      <c r="J12" s="32"/>
      <c r="K12" s="32">
        <f t="shared" ca="1" si="3"/>
        <v>39847538.137213051</v>
      </c>
      <c r="M12" s="31">
        <f t="shared" si="17"/>
        <v>2021</v>
      </c>
      <c r="N12" s="32">
        <f>SUMIF(MonthlyData!$B:$B,M12,MonthlyData!G:G)</f>
        <v>17080206</v>
      </c>
      <c r="O12" s="32">
        <f>SUMIF(MonthlyData!$B:$B,M12,MonthlyData!H:H)</f>
        <v>2196633.4102569288</v>
      </c>
      <c r="P12" s="32">
        <f t="shared" si="4"/>
        <v>19276839.41025693</v>
      </c>
      <c r="Q12" s="34"/>
      <c r="R12" s="32">
        <f ca="1">SUMIFS('GS &lt; 50 Normalized WN'!P:P,'GS &lt; 50 Normalized WN'!B:B,'Normalized Annual Summary WN'!M12)</f>
        <v>19530728.756854273</v>
      </c>
      <c r="S12" s="32">
        <f t="shared" si="5"/>
        <v>2196633.4102569288</v>
      </c>
      <c r="T12" s="32">
        <f t="shared" ca="1" si="6"/>
        <v>17334095.346597344</v>
      </c>
      <c r="U12" s="32"/>
      <c r="V12" s="32">
        <f t="shared" ca="1" si="7"/>
        <v>17334095.346597344</v>
      </c>
      <c r="X12" s="31">
        <f t="shared" si="18"/>
        <v>2021</v>
      </c>
      <c r="Y12" s="32">
        <f>SUMIF(MonthlyData!$B:$B,M12,MonthlyData!J:J)</f>
        <v>57309860.999999985</v>
      </c>
      <c r="Z12" s="32">
        <f>SUMIF(MonthlyData!$B:$B,M12,MonthlyData!K:K)</f>
        <v>2683750.8059621458</v>
      </c>
      <c r="AA12" s="32">
        <f t="shared" si="8"/>
        <v>59993611.80596213</v>
      </c>
      <c r="AB12" s="34"/>
      <c r="AC12" s="32">
        <f ca="1">SUMIFS('GS &gt; 50 Normalized WN'!P:P,'GS &gt; 50 Normalized WN'!B:B,'Normalized Annual Summary WN'!X12)</f>
        <v>60519326.670917474</v>
      </c>
      <c r="AD12" s="32">
        <f t="shared" si="9"/>
        <v>2683750.8059621458</v>
      </c>
      <c r="AE12" s="32">
        <f t="shared" ca="1" si="10"/>
        <v>57835575.864955328</v>
      </c>
      <c r="AF12" s="32"/>
      <c r="AG12" s="32">
        <f t="shared" ca="1" si="11"/>
        <v>57835575.864955328</v>
      </c>
      <c r="AI12" s="31">
        <f t="shared" si="19"/>
        <v>2021</v>
      </c>
      <c r="AJ12" s="32">
        <f>SUMIFS(MonthlyData!M:M,MonthlyData!B:B,'Normalized Annual Summary WN'!AI12)</f>
        <v>531088</v>
      </c>
      <c r="AK12" s="32">
        <f>'Customer Count'!O11</f>
        <v>1710</v>
      </c>
      <c r="AL12" s="32">
        <f t="shared" si="12"/>
        <v>310.57777777777778</v>
      </c>
      <c r="AM12" s="32">
        <f t="shared" si="13"/>
        <v>531088</v>
      </c>
      <c r="AO12" s="31">
        <f t="shared" si="20"/>
        <v>2021</v>
      </c>
      <c r="AP12" s="32">
        <f>SUMIFS(MonthlyData!N:N,MonthlyData!B:B,'Normalized Annual Summary WN'!AI12)</f>
        <v>164159</v>
      </c>
      <c r="AQ12" s="32">
        <f>'Customer Count'!S11</f>
        <v>23</v>
      </c>
      <c r="AR12" s="32">
        <f t="shared" si="14"/>
        <v>7137.347826086957</v>
      </c>
      <c r="AS12" s="32">
        <f t="shared" si="15"/>
        <v>164159</v>
      </c>
    </row>
    <row r="13" spans="2:45" x14ac:dyDescent="0.35">
      <c r="B13" s="31">
        <f t="shared" si="16"/>
        <v>2022</v>
      </c>
      <c r="C13" s="32">
        <f>SUMIF(MonthlyData!$B:$B,B13,MonthlyData!D:D)</f>
        <v>39671263</v>
      </c>
      <c r="D13" s="32">
        <f>SUMIF(MonthlyData!$B:$B,B13,MonthlyData!E:E)</f>
        <v>1759544.0191166112</v>
      </c>
      <c r="E13" s="32">
        <f t="shared" si="0"/>
        <v>41430807.01911661</v>
      </c>
      <c r="F13" s="34"/>
      <c r="G13" s="32">
        <f ca="1">SUMIFS('Res Normalized WN'!N:N,'Res Normalized WN'!B:B,'Normalized Annual Summary WN'!B13)</f>
        <v>41365112.597472429</v>
      </c>
      <c r="H13" s="32">
        <f t="shared" si="1"/>
        <v>1759544.0191166112</v>
      </c>
      <c r="I13" s="32">
        <f t="shared" ca="1" si="2"/>
        <v>39605568.578355819</v>
      </c>
      <c r="J13" s="32"/>
      <c r="K13" s="32">
        <f t="shared" ca="1" si="3"/>
        <v>39605568.578355819</v>
      </c>
      <c r="M13" s="31">
        <f t="shared" si="17"/>
        <v>2022</v>
      </c>
      <c r="N13" s="32">
        <f>SUMIF(MonthlyData!$B:$B,M13,MonthlyData!G:G)</f>
        <v>17769474</v>
      </c>
      <c r="O13" s="32">
        <f>SUMIF(MonthlyData!$B:$B,M13,MonthlyData!H:H)</f>
        <v>2085334.6474465071</v>
      </c>
      <c r="P13" s="32">
        <f t="shared" si="4"/>
        <v>19854808.647446506</v>
      </c>
      <c r="Q13" s="34"/>
      <c r="R13" s="32">
        <f ca="1">SUMIFS('GS &lt; 50 Normalized WN'!P:P,'GS &lt; 50 Normalized WN'!B:B,'Normalized Annual Summary WN'!M13)</f>
        <v>19832360.224766314</v>
      </c>
      <c r="S13" s="32">
        <f t="shared" si="5"/>
        <v>2085334.6474465071</v>
      </c>
      <c r="T13" s="32">
        <f t="shared" ca="1" si="6"/>
        <v>17747025.577319808</v>
      </c>
      <c r="U13" s="32"/>
      <c r="V13" s="32">
        <f t="shared" ca="1" si="7"/>
        <v>17747025.577319808</v>
      </c>
      <c r="X13" s="31">
        <f t="shared" si="18"/>
        <v>2022</v>
      </c>
      <c r="Y13" s="32">
        <f>SUMIF(MonthlyData!$B:$B,M13,MonthlyData!J:J)</f>
        <v>56933855</v>
      </c>
      <c r="Z13" s="32">
        <f>SUMIF(MonthlyData!$B:$B,M13,MonthlyData!K:K)</f>
        <v>2727421.3350247396</v>
      </c>
      <c r="AA13" s="32">
        <f t="shared" si="8"/>
        <v>59661276.335024737</v>
      </c>
      <c r="AB13" s="34"/>
      <c r="AC13" s="32">
        <f ca="1">SUMIFS('GS &gt; 50 Normalized WN'!P:P,'GS &gt; 50 Normalized WN'!B:B,'Normalized Annual Summary WN'!X13)</f>
        <v>59614793.606797099</v>
      </c>
      <c r="AD13" s="32">
        <f t="shared" si="9"/>
        <v>2727421.3350247396</v>
      </c>
      <c r="AE13" s="32">
        <f t="shared" ca="1" si="10"/>
        <v>56887372.271772362</v>
      </c>
      <c r="AF13" s="32"/>
      <c r="AG13" s="32">
        <f t="shared" ca="1" si="11"/>
        <v>56887372.271772362</v>
      </c>
      <c r="AI13" s="31">
        <f t="shared" si="19"/>
        <v>2022</v>
      </c>
      <c r="AJ13" s="32">
        <f>SUMIFS(MonthlyData!M:M,MonthlyData!B:B,'Normalized Annual Summary WN'!AI13)</f>
        <v>492971.99999999994</v>
      </c>
      <c r="AK13" s="32">
        <f>'Customer Count'!O12</f>
        <v>1710</v>
      </c>
      <c r="AL13" s="32">
        <f t="shared" si="12"/>
        <v>288.28771929824558</v>
      </c>
      <c r="AM13" s="32">
        <f t="shared" si="13"/>
        <v>492971.99999999994</v>
      </c>
      <c r="AO13" s="31">
        <f t="shared" si="20"/>
        <v>2022</v>
      </c>
      <c r="AP13" s="32">
        <f>SUMIFS(MonthlyData!N:N,MonthlyData!B:B,'Normalized Annual Summary WN'!AI13)</f>
        <v>163953</v>
      </c>
      <c r="AQ13" s="32">
        <f>'Customer Count'!S12</f>
        <v>22</v>
      </c>
      <c r="AR13" s="32">
        <f t="shared" si="14"/>
        <v>7452.409090909091</v>
      </c>
      <c r="AS13" s="32">
        <f t="shared" si="15"/>
        <v>163953</v>
      </c>
    </row>
    <row r="14" spans="2:45" x14ac:dyDescent="0.35">
      <c r="B14" s="31">
        <f t="shared" si="16"/>
        <v>2023</v>
      </c>
      <c r="C14" s="32">
        <f>SUMIF(MonthlyData!$B:$B,B14,MonthlyData!D:D)</f>
        <v>39128268.20000001</v>
      </c>
      <c r="D14" s="32">
        <f>SUMIF(MonthlyData!$B:$B,B14,MonthlyData!E:E)</f>
        <v>1772842.7825173272</v>
      </c>
      <c r="E14" s="32">
        <f t="shared" si="0"/>
        <v>40901110.982517339</v>
      </c>
      <c r="F14" s="32"/>
      <c r="G14" s="32">
        <f ca="1">SUMIFS('Res Normalized WN'!N:N,'Res Normalized WN'!B:B,'Normalized Annual Summary WN'!B14)</f>
        <v>41649287.002649881</v>
      </c>
      <c r="H14" s="32">
        <f t="shared" si="1"/>
        <v>1772842.7825173272</v>
      </c>
      <c r="I14" s="32">
        <f t="shared" ca="1" si="2"/>
        <v>39876444.220132552</v>
      </c>
      <c r="J14" s="32"/>
      <c r="K14" s="32">
        <f t="shared" ca="1" si="3"/>
        <v>39876444.220132552</v>
      </c>
      <c r="M14" s="31">
        <f t="shared" si="17"/>
        <v>2023</v>
      </c>
      <c r="N14" s="32">
        <f>SUMIF(MonthlyData!$B:$B,M14,MonthlyData!G:G)</f>
        <v>17511886.100000001</v>
      </c>
      <c r="O14" s="32">
        <f>SUMIF(MonthlyData!$B:$B,M14,MonthlyData!H:H)</f>
        <v>2009333.1502453932</v>
      </c>
      <c r="P14" s="32">
        <f t="shared" si="4"/>
        <v>19521219.250245396</v>
      </c>
      <c r="Q14" s="32"/>
      <c r="R14" s="32">
        <f ca="1">SUMIFS('GS &lt; 50 Normalized WN'!P:P,'GS &lt; 50 Normalized WN'!B:B,'Normalized Annual Summary WN'!M14)</f>
        <v>19776878.271495149</v>
      </c>
      <c r="S14" s="32">
        <f t="shared" si="5"/>
        <v>2009333.1502453932</v>
      </c>
      <c r="T14" s="32">
        <f t="shared" ca="1" si="6"/>
        <v>17767545.121249754</v>
      </c>
      <c r="U14" s="32"/>
      <c r="V14" s="32">
        <f t="shared" ca="1" si="7"/>
        <v>17767545.121249754</v>
      </c>
      <c r="X14" s="31">
        <f t="shared" si="18"/>
        <v>2023</v>
      </c>
      <c r="Y14" s="32">
        <f>SUMIF(MonthlyData!$B:$B,M14,MonthlyData!J:J)</f>
        <v>56007213.399999999</v>
      </c>
      <c r="Z14" s="32">
        <f>SUMIF(MonthlyData!$B:$B,M14,MonthlyData!K:K)</f>
        <v>3140523.1870274679</v>
      </c>
      <c r="AA14" s="32">
        <f t="shared" si="8"/>
        <v>59147736.587027468</v>
      </c>
      <c r="AB14" s="32"/>
      <c r="AC14" s="32">
        <f ca="1">SUMIFS('GS &gt; 50 Normalized WN'!P:P,'GS &gt; 50 Normalized WN'!B:B,'Normalized Annual Summary WN'!X14)</f>
        <v>59677115.821060792</v>
      </c>
      <c r="AD14" s="32">
        <f t="shared" si="9"/>
        <v>3140523.1870274679</v>
      </c>
      <c r="AE14" s="32">
        <f t="shared" ca="1" si="10"/>
        <v>56536592.634033322</v>
      </c>
      <c r="AF14" s="32"/>
      <c r="AG14" s="32">
        <f t="shared" ca="1" si="11"/>
        <v>56536592.634033322</v>
      </c>
      <c r="AI14" s="31">
        <f t="shared" si="19"/>
        <v>2023</v>
      </c>
      <c r="AJ14" s="32">
        <f>SUMIFS(MonthlyData!M:M,MonthlyData!B:B,'Normalized Annual Summary WN'!AI14)</f>
        <v>491060.4</v>
      </c>
      <c r="AK14" s="32">
        <f>'Customer Count'!O13</f>
        <v>1710</v>
      </c>
      <c r="AL14" s="32">
        <f t="shared" si="12"/>
        <v>287.16982456140352</v>
      </c>
      <c r="AM14" s="32">
        <f t="shared" si="13"/>
        <v>491060.4</v>
      </c>
      <c r="AO14" s="31">
        <f t="shared" si="20"/>
        <v>2023</v>
      </c>
      <c r="AP14" s="32">
        <f>SUMIFS(MonthlyData!N:N,MonthlyData!B:B,'Normalized Annual Summary WN'!AI14)</f>
        <v>163953</v>
      </c>
      <c r="AQ14" s="32">
        <f>'Customer Count'!S13</f>
        <v>22</v>
      </c>
      <c r="AR14" s="32">
        <f t="shared" si="14"/>
        <v>7452.409090909091</v>
      </c>
      <c r="AS14" s="32">
        <f t="shared" si="15"/>
        <v>163953</v>
      </c>
    </row>
    <row r="15" spans="2:45" x14ac:dyDescent="0.35">
      <c r="B15" s="33">
        <f t="shared" si="16"/>
        <v>2024</v>
      </c>
      <c r="C15" s="34"/>
      <c r="D15" s="34"/>
      <c r="E15" s="34"/>
      <c r="F15" s="34"/>
      <c r="G15" s="32">
        <f ca="1">SUMIFS('Res Normalized WN'!N:N,'Res Normalized WN'!B:B,'Normalized Annual Summary WN'!B15)</f>
        <v>42339139.286595829</v>
      </c>
      <c r="H15" s="34">
        <f>CDM!L30</f>
        <v>1752542.008638843</v>
      </c>
      <c r="I15" s="34">
        <f t="shared" ca="1" si="2"/>
        <v>40586597.277956985</v>
      </c>
      <c r="J15" s="34">
        <f ca="1">'Total Additional Loads'!D12</f>
        <v>109113.9819273871</v>
      </c>
      <c r="K15" s="34">
        <f t="shared" ca="1" si="3"/>
        <v>40695711.259884372</v>
      </c>
      <c r="L15" s="35"/>
      <c r="M15" s="33">
        <f t="shared" si="17"/>
        <v>2024</v>
      </c>
      <c r="N15" s="34"/>
      <c r="O15" s="34"/>
      <c r="P15" s="34"/>
      <c r="Q15" s="34"/>
      <c r="R15" s="32">
        <f ca="1">SUMIFS('GS &lt; 50 Normalized WN'!P:P,'GS &lt; 50 Normalized WN'!B:B,'Normalized Annual Summary WN'!M15)</f>
        <v>19356576.308873102</v>
      </c>
      <c r="S15" s="34">
        <f>CDM!M30</f>
        <v>1745158.3418531928</v>
      </c>
      <c r="T15" s="34">
        <f t="shared" ca="1" si="6"/>
        <v>17611417.967019908</v>
      </c>
      <c r="U15" s="34">
        <f ca="1">'Total Additional Loads'!D13</f>
        <v>41755.75402972001</v>
      </c>
      <c r="V15" s="34">
        <f t="shared" ca="1" si="7"/>
        <v>17653173.721049629</v>
      </c>
      <c r="W15" s="35"/>
      <c r="X15" s="33">
        <f t="shared" si="18"/>
        <v>2024</v>
      </c>
      <c r="Y15" s="34"/>
      <c r="Z15" s="34"/>
      <c r="AA15" s="34"/>
      <c r="AB15" s="34"/>
      <c r="AC15" s="32">
        <f ca="1">SUMIFS('GS &gt; 50 Normalized WN'!P:P,'GS &gt; 50 Normalized WN'!B:B,'Normalized Annual Summary WN'!X15)</f>
        <v>62227440.31473954</v>
      </c>
      <c r="AD15" s="34">
        <f>CDM!N30</f>
        <v>3084013.2682538084</v>
      </c>
      <c r="AE15" s="34">
        <f t="shared" ca="1" si="10"/>
        <v>59143427.04648573</v>
      </c>
      <c r="AF15" s="34">
        <f>'Total Additional Loads'!D14</f>
        <v>13350.454826640038</v>
      </c>
      <c r="AG15" s="34">
        <f t="shared" ca="1" si="11"/>
        <v>59156777.501312368</v>
      </c>
      <c r="AI15" s="33">
        <f>AI14+1</f>
        <v>2024</v>
      </c>
      <c r="AJ15" s="34"/>
      <c r="AK15" s="32">
        <f>'Customer Count'!O14</f>
        <v>1710</v>
      </c>
      <c r="AL15" s="26">
        <f>AL14</f>
        <v>287.16982456140352</v>
      </c>
      <c r="AM15" s="34">
        <f t="shared" si="13"/>
        <v>491060.4</v>
      </c>
      <c r="AN15" s="35"/>
      <c r="AO15" s="33">
        <f>AO14+1</f>
        <v>2024</v>
      </c>
      <c r="AP15" s="34"/>
      <c r="AQ15" s="32">
        <f>'Customer Count'!S14</f>
        <v>22</v>
      </c>
      <c r="AR15" s="34">
        <f>AR14</f>
        <v>7452.409090909091</v>
      </c>
      <c r="AS15" s="34">
        <f t="shared" si="15"/>
        <v>163953</v>
      </c>
    </row>
    <row r="16" spans="2:45" x14ac:dyDescent="0.35">
      <c r="B16" s="33">
        <f t="shared" si="16"/>
        <v>2025</v>
      </c>
      <c r="C16" s="33"/>
      <c r="D16" s="33"/>
      <c r="E16" s="33"/>
      <c r="F16" s="33"/>
      <c r="G16" s="32">
        <f ca="1">SUMIFS('Res Normalized WN'!N:N,'Res Normalized WN'!B:B,'Normalized Annual Summary WN'!B16)</f>
        <v>41212042.214663744</v>
      </c>
      <c r="H16" s="34">
        <f>CDM!L31</f>
        <v>1722969.5923942949</v>
      </c>
      <c r="I16" s="34">
        <f t="shared" ca="1" si="2"/>
        <v>39489072.622269452</v>
      </c>
      <c r="J16" s="34">
        <f ca="1">'Total Additional Loads'!E12</f>
        <v>278933.61051726528</v>
      </c>
      <c r="K16" s="34">
        <f t="shared" ca="1" si="3"/>
        <v>39768006.232786715</v>
      </c>
      <c r="L16" s="193"/>
      <c r="M16" s="33">
        <f t="shared" si="17"/>
        <v>2025</v>
      </c>
      <c r="N16" s="33"/>
      <c r="O16" s="33"/>
      <c r="P16" s="33"/>
      <c r="Q16" s="33"/>
      <c r="R16" s="32">
        <f ca="1">SUMIFS('GS &lt; 50 Normalized WN'!P:P,'GS &lt; 50 Normalized WN'!B:B,'Normalized Annual Summary WN'!M16)</f>
        <v>19699305.810877729</v>
      </c>
      <c r="S16" s="34">
        <f>CDM!M31</f>
        <v>1396904.3499840943</v>
      </c>
      <c r="T16" s="34">
        <f t="shared" ca="1" si="6"/>
        <v>18302401.460893635</v>
      </c>
      <c r="U16" s="34">
        <f ca="1">'Total Additional Loads'!E13</f>
        <v>97787.992663815618</v>
      </c>
      <c r="V16" s="34">
        <f t="shared" ca="1" si="7"/>
        <v>18400189.45355745</v>
      </c>
      <c r="W16" s="35"/>
      <c r="X16" s="33">
        <f t="shared" si="18"/>
        <v>2025</v>
      </c>
      <c r="Y16" s="33"/>
      <c r="Z16" s="33"/>
      <c r="AA16" s="33"/>
      <c r="AB16" s="33"/>
      <c r="AC16" s="32">
        <f ca="1">SUMIFS('GS &gt; 50 Normalized WN'!P:P,'GS &gt; 50 Normalized WN'!B:B,'Normalized Annual Summary WN'!X16)</f>
        <v>60545559.763588637</v>
      </c>
      <c r="AD16" s="34">
        <f>CDM!N31</f>
        <v>2886317.6825086963</v>
      </c>
      <c r="AE16" s="34">
        <f t="shared" ca="1" si="10"/>
        <v>57659242.081079938</v>
      </c>
      <c r="AF16" s="34">
        <f>'Total Additional Loads'!E14</f>
        <v>43195.482890250692</v>
      </c>
      <c r="AG16" s="34">
        <f t="shared" ca="1" si="11"/>
        <v>57702437.563970186</v>
      </c>
      <c r="AI16" s="33">
        <f>AI15+1</f>
        <v>2025</v>
      </c>
      <c r="AJ16" s="33"/>
      <c r="AK16" s="32">
        <f>'Customer Count'!O15</f>
        <v>1710</v>
      </c>
      <c r="AL16" s="26">
        <f>AL15</f>
        <v>287.16982456140352</v>
      </c>
      <c r="AM16" s="34">
        <f t="shared" si="13"/>
        <v>491060.4</v>
      </c>
      <c r="AN16" s="35"/>
      <c r="AO16" s="33">
        <f>AO15+1</f>
        <v>2025</v>
      </c>
      <c r="AP16" s="33"/>
      <c r="AQ16" s="32">
        <f>'Customer Count'!S15</f>
        <v>22</v>
      </c>
      <c r="AR16" s="34">
        <f>AR15</f>
        <v>7452.409090909091</v>
      </c>
      <c r="AS16" s="34">
        <f t="shared" si="15"/>
        <v>163953</v>
      </c>
    </row>
    <row r="17" spans="2:33" x14ac:dyDescent="0.35">
      <c r="B17" s="33"/>
      <c r="C17" s="33"/>
      <c r="D17" s="33"/>
      <c r="E17" s="33"/>
      <c r="F17" s="33"/>
      <c r="G17" s="34"/>
      <c r="H17" s="34"/>
      <c r="I17" s="34"/>
      <c r="J17" s="34"/>
      <c r="K17" s="34"/>
      <c r="L17" s="35"/>
      <c r="M17" s="33"/>
      <c r="N17" s="33"/>
      <c r="O17" s="33"/>
      <c r="P17" s="33"/>
      <c r="Q17" s="33"/>
      <c r="R17" s="34"/>
      <c r="S17" s="34"/>
      <c r="T17" s="34"/>
      <c r="U17" s="34"/>
      <c r="V17" s="34"/>
      <c r="W17" s="35"/>
      <c r="X17" s="33"/>
      <c r="Y17" s="33"/>
      <c r="Z17" s="33"/>
      <c r="AA17" s="33"/>
      <c r="AB17" s="33"/>
      <c r="AC17" s="34"/>
      <c r="AD17" s="34"/>
      <c r="AE17" s="34"/>
      <c r="AF17" s="34"/>
      <c r="AG17" s="34"/>
    </row>
    <row r="21" spans="2:33" x14ac:dyDescent="0.35">
      <c r="C21" s="4"/>
      <c r="D21" s="4"/>
      <c r="E21" s="4"/>
      <c r="F21" s="4"/>
      <c r="G21" s="4"/>
      <c r="H21" s="4"/>
      <c r="I21" s="4"/>
      <c r="J21" s="4"/>
      <c r="K21" s="4"/>
      <c r="L21" s="4"/>
      <c r="M21" s="4"/>
      <c r="N21" s="4"/>
      <c r="O21" s="4"/>
      <c r="P21" s="4"/>
      <c r="Q21" s="4"/>
      <c r="R21" s="4"/>
      <c r="S21" s="4"/>
    </row>
    <row r="22" spans="2:33" x14ac:dyDescent="0.35">
      <c r="C22" s="4"/>
      <c r="D22" s="4"/>
      <c r="E22" s="4"/>
      <c r="F22" s="4"/>
      <c r="G22" s="4"/>
      <c r="H22" s="4"/>
      <c r="I22" s="4"/>
      <c r="J22" s="4"/>
      <c r="K22" s="4"/>
      <c r="L22" s="4"/>
      <c r="M22" s="4"/>
      <c r="N22" s="4"/>
    </row>
    <row r="23" spans="2:33" x14ac:dyDescent="0.35">
      <c r="C23" s="4"/>
      <c r="D23" s="4"/>
      <c r="E23" s="4"/>
      <c r="F23" s="4"/>
      <c r="G23" s="4"/>
      <c r="H23" s="4"/>
      <c r="I23" s="4"/>
      <c r="J23" s="4"/>
      <c r="K23" s="4"/>
      <c r="L23" s="4"/>
      <c r="M23" s="4"/>
      <c r="N23" s="4"/>
    </row>
    <row r="24" spans="2:33" x14ac:dyDescent="0.35">
      <c r="C24" s="4"/>
      <c r="D24" s="4"/>
      <c r="E24" s="4"/>
      <c r="F24" s="4"/>
      <c r="G24" s="4"/>
      <c r="H24" s="4"/>
      <c r="I24" s="4"/>
      <c r="J24" s="4"/>
      <c r="K24" s="4"/>
      <c r="L24" s="4"/>
      <c r="M24" s="4"/>
      <c r="N24" s="4"/>
    </row>
    <row r="25" spans="2:33" x14ac:dyDescent="0.35">
      <c r="C25" s="4"/>
      <c r="D25" s="4"/>
      <c r="E25" s="4"/>
      <c r="F25" s="4"/>
      <c r="G25" s="4"/>
      <c r="H25" s="4"/>
      <c r="I25" s="4"/>
      <c r="J25" s="4"/>
      <c r="K25" s="4"/>
      <c r="L25" s="4"/>
      <c r="M25" s="4"/>
      <c r="N25" s="4"/>
    </row>
  </sheetData>
  <mergeCells count="5">
    <mergeCell ref="B2:K2"/>
    <mergeCell ref="M2:V2"/>
    <mergeCell ref="X2:AG2"/>
    <mergeCell ref="AI2:AM2"/>
    <mergeCell ref="AO2:AS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EE6A-D165-496C-8742-3476D5CA7687}">
  <sheetPr codeName="Sheet28">
    <tabColor theme="7" tint="0.39997558519241921"/>
  </sheetPr>
  <dimension ref="B1:M53"/>
  <sheetViews>
    <sheetView topLeftCell="A36" workbookViewId="0">
      <selection activeCell="H57" sqref="H57"/>
    </sheetView>
  </sheetViews>
  <sheetFormatPr defaultRowHeight="14.5" x14ac:dyDescent="0.35"/>
  <cols>
    <col min="1" max="1" width="8.7265625" style="211"/>
    <col min="2" max="2" width="12.81640625" style="211" customWidth="1"/>
    <col min="3" max="3" width="12.453125" style="211" customWidth="1"/>
    <col min="4" max="4" width="11.1796875" style="211" customWidth="1"/>
    <col min="5" max="5" width="11.7265625" style="211" customWidth="1"/>
    <col min="6" max="9" width="11.1796875" style="211" customWidth="1"/>
    <col min="10" max="10" width="13.08984375" style="211" customWidth="1"/>
    <col min="11" max="11" width="12.54296875" style="211" customWidth="1"/>
    <col min="12" max="12" width="12.7265625" style="211" customWidth="1"/>
    <col min="13" max="15" width="13" style="211" bestFit="1" customWidth="1"/>
    <col min="16" max="16384" width="8.7265625" style="211"/>
  </cols>
  <sheetData>
    <row r="1" spans="2:13" s="31" customFormat="1" ht="16" thickBot="1" x14ac:dyDescent="0.4">
      <c r="B1" s="201" t="s">
        <v>112</v>
      </c>
      <c r="C1" s="201"/>
    </row>
    <row r="2" spans="2:13" s="31" customFormat="1" ht="13" x14ac:dyDescent="0.3">
      <c r="B2" s="330" t="s">
        <v>117</v>
      </c>
      <c r="C2" s="331" t="s">
        <v>247</v>
      </c>
      <c r="D2" s="331" t="s">
        <v>248</v>
      </c>
      <c r="E2" s="331" t="s">
        <v>249</v>
      </c>
      <c r="F2" s="331" t="s">
        <v>250</v>
      </c>
      <c r="G2" s="331" t="s">
        <v>251</v>
      </c>
      <c r="H2" s="331" t="s">
        <v>252</v>
      </c>
      <c r="I2" s="331" t="s">
        <v>253</v>
      </c>
      <c r="J2" s="332" t="s">
        <v>254</v>
      </c>
      <c r="K2" s="331" t="s">
        <v>166</v>
      </c>
      <c r="L2" s="333" t="s">
        <v>167</v>
      </c>
    </row>
    <row r="3" spans="2:13" s="31" customFormat="1" ht="13" x14ac:dyDescent="0.3">
      <c r="B3" s="202" t="s">
        <v>100</v>
      </c>
      <c r="C3" s="32">
        <f ca="1">OFFSET('Normalized Annual Summary WN'!$C$8,COLUMN()-COLUMN($C$3),0)</f>
        <v>37483079.333000004</v>
      </c>
      <c r="D3" s="32">
        <f ca="1">OFFSET('Normalized Annual Summary WN'!$C$8,COLUMN()-COLUMN($C$3),0)</f>
        <v>38878731</v>
      </c>
      <c r="E3" s="32">
        <f ca="1">OFFSET('Normalized Annual Summary WN'!$C$8,COLUMN()-COLUMN($C$3),0)</f>
        <v>38802690</v>
      </c>
      <c r="F3" s="32">
        <f ca="1">OFFSET('Normalized Annual Summary WN'!$C$8,COLUMN()-COLUMN($C$3),0)</f>
        <v>40126980.999999993</v>
      </c>
      <c r="G3" s="32">
        <f ca="1">OFFSET('Normalized Annual Summary WN'!$C$8,COLUMN()-COLUMN($C$3),0)</f>
        <v>39104541</v>
      </c>
      <c r="H3" s="32">
        <f ca="1">OFFSET('Normalized Annual Summary WN'!$C$8,COLUMN()-COLUMN($C$3),0)</f>
        <v>39671263</v>
      </c>
      <c r="I3" s="32">
        <f ca="1">OFFSET('Normalized Annual Summary WN'!$C$8,COLUMN()-COLUMN($C$3),0)</f>
        <v>39128268.20000001</v>
      </c>
      <c r="J3" s="213">
        <f ca="1">'Normalized Annual Summary WN'!K14</f>
        <v>39876444.220132552</v>
      </c>
      <c r="K3" s="213">
        <f ca="1">OFFSET('Normalized Annual Summary WN'!$K$14,COLUMN()-COLUMN($J$3),0)</f>
        <v>40695711.259884372</v>
      </c>
      <c r="L3" s="205">
        <f ca="1">OFFSET('Normalized Annual Summary WN'!$K$14,COLUMN()-COLUMN($J$3),0)</f>
        <v>39768006.232786715</v>
      </c>
      <c r="M3" s="32"/>
    </row>
    <row r="4" spans="2:13" s="31" customFormat="1" ht="13" x14ac:dyDescent="0.3">
      <c r="B4" s="204" t="s">
        <v>102</v>
      </c>
      <c r="C4" s="32">
        <f ca="1">OFFSET('Normalized Annual Summary WN'!$N$8,COLUMN()-COLUMN($C$3),0)</f>
        <v>17706302.366</v>
      </c>
      <c r="D4" s="32">
        <f ca="1">OFFSET('Normalized Annual Summary WN'!$N$8,COLUMN()-COLUMN($C$3),0)</f>
        <v>17940823</v>
      </c>
      <c r="E4" s="32">
        <f ca="1">OFFSET('Normalized Annual Summary WN'!$N$8,COLUMN()-COLUMN($C$3),0)</f>
        <v>17709285.999999996</v>
      </c>
      <c r="F4" s="32">
        <f ca="1">OFFSET('Normalized Annual Summary WN'!$N$8,COLUMN()-COLUMN($C$3),0)</f>
        <v>16586732.999999998</v>
      </c>
      <c r="G4" s="32">
        <f ca="1">OFFSET('Normalized Annual Summary WN'!$N$8,COLUMN()-COLUMN($C$3),0)</f>
        <v>17080206</v>
      </c>
      <c r="H4" s="32">
        <f ca="1">OFFSET('Normalized Annual Summary WN'!$N$8,COLUMN()-COLUMN($C$3),0)</f>
        <v>17769474</v>
      </c>
      <c r="I4" s="32">
        <f ca="1">OFFSET('Normalized Annual Summary WN'!$N$8,COLUMN()-COLUMN($C$3),0)</f>
        <v>17511886.100000001</v>
      </c>
      <c r="J4" s="213">
        <f ca="1">'Normalized Annual Summary WN'!V14</f>
        <v>17767545.121249754</v>
      </c>
      <c r="K4" s="213">
        <f ca="1">OFFSET('Normalized Annual Summary WN'!$V$14,COLUMN()-COLUMN($J$3),0)</f>
        <v>17653173.721049629</v>
      </c>
      <c r="L4" s="205">
        <f ca="1">OFFSET('Normalized Annual Summary WN'!$V$14,COLUMN()-COLUMN($J$3),0)</f>
        <v>18400189.45355745</v>
      </c>
    </row>
    <row r="5" spans="2:13" s="31" customFormat="1" ht="13" x14ac:dyDescent="0.3">
      <c r="B5" s="204" t="s">
        <v>103</v>
      </c>
      <c r="C5" s="32">
        <f ca="1">OFFSET('Normalized Annual Summary WN'!$Y$8,COLUMN()-COLUMN($C$3),0)</f>
        <v>59958732.662860565</v>
      </c>
      <c r="D5" s="32">
        <f ca="1">OFFSET('Normalized Annual Summary WN'!$Y$8,COLUMN()-COLUMN($C$3),0)</f>
        <v>59526842.000000007</v>
      </c>
      <c r="E5" s="32">
        <f ca="1">OFFSET('Normalized Annual Summary WN'!$Y$8,COLUMN()-COLUMN($C$3),0)</f>
        <v>60254777</v>
      </c>
      <c r="F5" s="32">
        <f ca="1">OFFSET('Normalized Annual Summary WN'!$Y$8,COLUMN()-COLUMN($C$3),0)</f>
        <v>57599230</v>
      </c>
      <c r="G5" s="32">
        <f ca="1">OFFSET('Normalized Annual Summary WN'!$Y$8,COLUMN()-COLUMN($C$3),0)</f>
        <v>57309860.999999985</v>
      </c>
      <c r="H5" s="32">
        <f ca="1">OFFSET('Normalized Annual Summary WN'!$Y$8,COLUMN()-COLUMN($C$3),0)</f>
        <v>56933855</v>
      </c>
      <c r="I5" s="32">
        <f ca="1">OFFSET('Normalized Annual Summary WN'!$Y$8,COLUMN()-COLUMN($C$3),0)</f>
        <v>56007213.399999999</v>
      </c>
      <c r="J5" s="213">
        <f ca="1">'Normalized Annual Summary WN'!AG14</f>
        <v>56536592.634033322</v>
      </c>
      <c r="K5" s="213">
        <f ca="1">OFFSET('Normalized Annual Summary WN'!$AG$14,COLUMN()-COLUMN($J$3),0)</f>
        <v>59156777.501312368</v>
      </c>
      <c r="L5" s="205">
        <f ca="1">OFFSET('Normalized Annual Summary WN'!$AG$14,COLUMN()-COLUMN($J$3),0)</f>
        <v>57702437.563970186</v>
      </c>
    </row>
    <row r="6" spans="2:13" s="31" customFormat="1" ht="13" x14ac:dyDescent="0.3">
      <c r="B6" s="204" t="s">
        <v>108</v>
      </c>
      <c r="C6" s="32">
        <f ca="1">OFFSET('Normalized Annual Summary WN'!$AJ$8,COLUMN()-COLUMN($C$3),0)</f>
        <v>513973.00000000006</v>
      </c>
      <c r="D6" s="32">
        <f ca="1">OFFSET('Normalized Annual Summary WN'!$AJ$8,COLUMN()-COLUMN($C$3),0)</f>
        <v>517432.00000000006</v>
      </c>
      <c r="E6" s="32">
        <f ca="1">OFFSET('Normalized Annual Summary WN'!$AJ$8,COLUMN()-COLUMN($C$3),0)</f>
        <v>524449</v>
      </c>
      <c r="F6" s="32">
        <f ca="1">OFFSET('Normalized Annual Summary WN'!$AJ$8,COLUMN()-COLUMN($C$3),0)</f>
        <v>526417</v>
      </c>
      <c r="G6" s="32">
        <f ca="1">OFFSET('Normalized Annual Summary WN'!$AJ$8,COLUMN()-COLUMN($C$3),0)</f>
        <v>531088</v>
      </c>
      <c r="H6" s="32">
        <f ca="1">OFFSET('Normalized Annual Summary WN'!$AJ$8,COLUMN()-COLUMN($C$3),0)</f>
        <v>492971.99999999994</v>
      </c>
      <c r="I6" s="32">
        <f ca="1">OFFSET('Normalized Annual Summary WN'!$AJ$8,COLUMN()-COLUMN($C$3),0)</f>
        <v>491060.4</v>
      </c>
      <c r="J6" s="213">
        <f ca="1">OFFSET('Normalized Annual Summary WN'!$AM$14,COLUMN()-COLUMN($J$3),0)</f>
        <v>491060.4</v>
      </c>
      <c r="K6" s="213">
        <f ca="1">OFFSET('Normalized Annual Summary WN'!$AM$14,COLUMN()-COLUMN($J$3),0)</f>
        <v>491060.4</v>
      </c>
      <c r="L6" s="205">
        <f ca="1">OFFSET('Normalized Annual Summary WN'!$AM$14,COLUMN()-COLUMN($J$3),0)</f>
        <v>491060.4</v>
      </c>
    </row>
    <row r="7" spans="2:13" s="31" customFormat="1" ht="13" x14ac:dyDescent="0.3">
      <c r="B7" s="204" t="s">
        <v>105</v>
      </c>
      <c r="C7" s="32">
        <f ca="1">OFFSET('Normalized Annual Summary WN'!$AP$8,COLUMN()-COLUMN($C$3),0)</f>
        <v>164177.99999999997</v>
      </c>
      <c r="D7" s="32">
        <f ca="1">OFFSET('Normalized Annual Summary WN'!$AP$8,COLUMN()-COLUMN($C$3),0)</f>
        <v>164177.99999999997</v>
      </c>
      <c r="E7" s="32">
        <f ca="1">OFFSET('Normalized Annual Summary WN'!$AP$8,COLUMN()-COLUMN($C$3),0)</f>
        <v>164177.99999999997</v>
      </c>
      <c r="F7" s="32">
        <f ca="1">OFFSET('Normalized Annual Summary WN'!$AP$8,COLUMN()-COLUMN($C$3),0)</f>
        <v>164177.99999999997</v>
      </c>
      <c r="G7" s="32">
        <f ca="1">OFFSET('Normalized Annual Summary WN'!$AP$8,COLUMN()-COLUMN($C$3),0)</f>
        <v>164159</v>
      </c>
      <c r="H7" s="32">
        <f ca="1">OFFSET('Normalized Annual Summary WN'!$AP$8,COLUMN()-COLUMN($C$3),0)</f>
        <v>163953</v>
      </c>
      <c r="I7" s="32">
        <f ca="1">OFFSET('Normalized Annual Summary WN'!$AP$8,COLUMN()-COLUMN($C$3),0)</f>
        <v>163953</v>
      </c>
      <c r="J7" s="213">
        <f ca="1">OFFSET('Normalized Annual Summary WN'!$AS$14,COLUMN()-COLUMN($J$3),0)</f>
        <v>163953</v>
      </c>
      <c r="K7" s="213">
        <f ca="1">OFFSET('Normalized Annual Summary WN'!$AS$14,COLUMN()-COLUMN($J$3),0)</f>
        <v>163953</v>
      </c>
      <c r="L7" s="205">
        <f ca="1">OFFSET('Normalized Annual Summary WN'!$AS$14,COLUMN()-COLUMN($J$3),0)</f>
        <v>163953</v>
      </c>
    </row>
    <row r="8" spans="2:13" s="31" customFormat="1" ht="13.5" thickBot="1" x14ac:dyDescent="0.35">
      <c r="B8" s="334" t="s">
        <v>121</v>
      </c>
      <c r="C8" s="335">
        <f t="shared" ref="C8:L8" ca="1" si="0">SUM(C3:C7)</f>
        <v>115826265.36186057</v>
      </c>
      <c r="D8" s="335">
        <f t="shared" ca="1" si="0"/>
        <v>117028006</v>
      </c>
      <c r="E8" s="335">
        <f t="shared" ca="1" si="0"/>
        <v>117455380</v>
      </c>
      <c r="F8" s="335">
        <f t="shared" ca="1" si="0"/>
        <v>115003539</v>
      </c>
      <c r="G8" s="335">
        <f t="shared" ca="1" si="0"/>
        <v>114189854.99999999</v>
      </c>
      <c r="H8" s="335">
        <f t="shared" ca="1" si="0"/>
        <v>115031517</v>
      </c>
      <c r="I8" s="335">
        <f t="shared" ca="1" si="0"/>
        <v>113302381.10000002</v>
      </c>
      <c r="J8" s="336">
        <f t="shared" ca="1" si="0"/>
        <v>114835595.37541564</v>
      </c>
      <c r="K8" s="335">
        <f t="shared" ca="1" si="0"/>
        <v>118160675.88224638</v>
      </c>
      <c r="L8" s="337">
        <f t="shared" ca="1" si="0"/>
        <v>116525646.65031436</v>
      </c>
    </row>
    <row r="9" spans="2:13" s="31" customFormat="1" ht="12.5" x14ac:dyDescent="0.25"/>
    <row r="10" spans="2:13" s="31" customFormat="1" ht="16" thickBot="1" x14ac:dyDescent="0.4">
      <c r="B10" s="201" t="s">
        <v>255</v>
      </c>
      <c r="C10" s="201"/>
      <c r="G10" s="32"/>
      <c r="H10" s="32"/>
      <c r="I10" s="32"/>
      <c r="J10" s="32"/>
      <c r="K10" s="32"/>
      <c r="L10" s="32"/>
    </row>
    <row r="11" spans="2:13" s="31" customFormat="1" ht="55" customHeight="1" x14ac:dyDescent="0.25">
      <c r="B11" s="338" t="s">
        <v>117</v>
      </c>
      <c r="C11" s="339" t="s">
        <v>258</v>
      </c>
      <c r="D11" s="339" t="s">
        <v>256</v>
      </c>
      <c r="E11" s="340" t="s">
        <v>261</v>
      </c>
      <c r="J11" s="341" t="s">
        <v>259</v>
      </c>
      <c r="K11" s="340" t="s">
        <v>260</v>
      </c>
    </row>
    <row r="12" spans="2:13" s="31" customFormat="1" ht="13" x14ac:dyDescent="0.3">
      <c r="B12" s="202" t="str">
        <f>B3</f>
        <v>Residential</v>
      </c>
      <c r="C12" s="32">
        <f ca="1">L3</f>
        <v>39768006.232786715</v>
      </c>
      <c r="D12" s="32">
        <f>'CDM Adjustment'!N7</f>
        <v>182745.22632333566</v>
      </c>
      <c r="E12" s="203">
        <f ca="1">C12-D12</f>
        <v>39585261.006463379</v>
      </c>
      <c r="F12" s="206"/>
      <c r="J12" s="207">
        <f t="shared" ref="J12:J17" ca="1" si="1">E12/I3-1</f>
        <v>1.1679351719005249E-2</v>
      </c>
      <c r="K12" s="208">
        <f t="shared" ref="K12:K17" ca="1" si="2">E12/J3-1</f>
        <v>-7.3021358690292804E-3</v>
      </c>
    </row>
    <row r="13" spans="2:13" s="31" customFormat="1" ht="13" x14ac:dyDescent="0.3">
      <c r="B13" s="204" t="str">
        <f>B4</f>
        <v>GS &lt; 50</v>
      </c>
      <c r="C13" s="32">
        <f ca="1">L4</f>
        <v>18400189.45355745</v>
      </c>
      <c r="D13" s="32">
        <f>'CDM Adjustment'!N8</f>
        <v>196937.68645577901</v>
      </c>
      <c r="E13" s="203">
        <f ca="1">C13-D13</f>
        <v>18203251.767101672</v>
      </c>
      <c r="J13" s="207">
        <f t="shared" ca="1" si="1"/>
        <v>3.9479794646544164E-2</v>
      </c>
      <c r="K13" s="208">
        <f t="shared" ca="1" si="2"/>
        <v>2.4522613725112663E-2</v>
      </c>
    </row>
    <row r="14" spans="2:13" s="31" customFormat="1" ht="13" x14ac:dyDescent="0.3">
      <c r="B14" s="204" t="str">
        <f>B5</f>
        <v>GS &gt; 50</v>
      </c>
      <c r="C14" s="32">
        <f ca="1">L5</f>
        <v>57702437.563970186</v>
      </c>
      <c r="D14" s="32">
        <f>'CDM Adjustment'!N9</f>
        <v>1057748.5445562056</v>
      </c>
      <c r="E14" s="203">
        <f ca="1">C14-D14</f>
        <v>56644689.019413978</v>
      </c>
      <c r="J14" s="207">
        <f t="shared" ca="1" si="1"/>
        <v>1.1382027076783263E-2</v>
      </c>
      <c r="K14" s="208">
        <f t="shared" ca="1" si="2"/>
        <v>1.9119720581743938E-3</v>
      </c>
    </row>
    <row r="15" spans="2:13" s="31" customFormat="1" ht="13" x14ac:dyDescent="0.3">
      <c r="B15" s="204" t="str">
        <f>B6</f>
        <v>Street Light</v>
      </c>
      <c r="C15" s="32">
        <f ca="1">L6</f>
        <v>491060.4</v>
      </c>
      <c r="D15" s="32"/>
      <c r="E15" s="203">
        <f t="shared" ref="E15:E16" ca="1" si="3">C15-D15</f>
        <v>491060.4</v>
      </c>
      <c r="J15" s="207">
        <f t="shared" ca="1" si="1"/>
        <v>0</v>
      </c>
      <c r="K15" s="208">
        <f t="shared" ca="1" si="2"/>
        <v>0</v>
      </c>
    </row>
    <row r="16" spans="2:13" s="31" customFormat="1" ht="13" x14ac:dyDescent="0.3">
      <c r="B16" s="204" t="str">
        <f>B7</f>
        <v>USL</v>
      </c>
      <c r="C16" s="32">
        <f ca="1">L7</f>
        <v>163953</v>
      </c>
      <c r="D16" s="32"/>
      <c r="E16" s="203">
        <f t="shared" ca="1" si="3"/>
        <v>163953</v>
      </c>
      <c r="J16" s="207">
        <f t="shared" ca="1" si="1"/>
        <v>0</v>
      </c>
      <c r="K16" s="208">
        <f t="shared" ca="1" si="2"/>
        <v>0</v>
      </c>
    </row>
    <row r="17" spans="2:12" s="31" customFormat="1" ht="13.5" thickBot="1" x14ac:dyDescent="0.35">
      <c r="B17" s="334" t="s">
        <v>121</v>
      </c>
      <c r="C17" s="335">
        <f ca="1">SUM(C12:C16)</f>
        <v>116525646.65031436</v>
      </c>
      <c r="D17" s="335">
        <f>SUM(D12:D16)</f>
        <v>1437431.4573353203</v>
      </c>
      <c r="E17" s="337">
        <f ca="1">SUM(E12:E16)</f>
        <v>115088215.19297904</v>
      </c>
      <c r="F17" s="209"/>
      <c r="G17" s="209"/>
      <c r="H17" s="323"/>
      <c r="I17" s="209"/>
      <c r="J17" s="342">
        <f t="shared" ca="1" si="1"/>
        <v>1.5761664279613452E-2</v>
      </c>
      <c r="K17" s="343">
        <f t="shared" ca="1" si="2"/>
        <v>2.1998389675044194E-3</v>
      </c>
    </row>
    <row r="18" spans="2:12" s="31" customFormat="1" ht="12.5" x14ac:dyDescent="0.25">
      <c r="G18" s="210"/>
    </row>
    <row r="19" spans="2:12" s="31" customFormat="1" ht="16" thickBot="1" x14ac:dyDescent="0.4">
      <c r="B19" s="201" t="s">
        <v>112</v>
      </c>
      <c r="C19" s="201"/>
    </row>
    <row r="20" spans="2:12" s="31" customFormat="1" ht="13" x14ac:dyDescent="0.3">
      <c r="B20" s="330" t="s">
        <v>118</v>
      </c>
      <c r="C20" s="331" t="s">
        <v>247</v>
      </c>
      <c r="D20" s="331" t="s">
        <v>248</v>
      </c>
      <c r="E20" s="331" t="s">
        <v>249</v>
      </c>
      <c r="F20" s="331" t="s">
        <v>250</v>
      </c>
      <c r="G20" s="331" t="s">
        <v>251</v>
      </c>
      <c r="H20" s="331" t="s">
        <v>252</v>
      </c>
      <c r="I20" s="331" t="s">
        <v>253</v>
      </c>
      <c r="J20" s="332" t="s">
        <v>254</v>
      </c>
      <c r="K20" s="331" t="s">
        <v>166</v>
      </c>
      <c r="L20" s="333" t="s">
        <v>167</v>
      </c>
    </row>
    <row r="21" spans="2:12" s="31" customFormat="1" ht="13" x14ac:dyDescent="0.3">
      <c r="B21" s="204" t="s">
        <v>103</v>
      </c>
      <c r="C21" s="32">
        <f ca="1">OFFSET('kW Forecast'!$D$9,COLUMN()-COLUMN($C$21),0)</f>
        <v>171235.85000000003</v>
      </c>
      <c r="D21" s="32">
        <f ca="1">OFFSET('kW Forecast'!$D$9,COLUMN()-COLUMN($C$21),0)</f>
        <v>183204.57</v>
      </c>
      <c r="E21" s="32">
        <f ca="1">OFFSET('kW Forecast'!$D$9,COLUMN()-COLUMN($C$21),0)</f>
        <v>171054.99999999997</v>
      </c>
      <c r="F21" s="32">
        <f ca="1">OFFSET('kW Forecast'!$D$9,COLUMN()-COLUMN($C$21),0)</f>
        <v>161087.01</v>
      </c>
      <c r="G21" s="32">
        <f ca="1">OFFSET('kW Forecast'!$D$9,COLUMN()-COLUMN($C$21),0)</f>
        <v>156226.97999999998</v>
      </c>
      <c r="H21" s="32">
        <f ca="1">OFFSET('kW Forecast'!$D$9,COLUMN()-COLUMN($C$21),0)</f>
        <v>155849</v>
      </c>
      <c r="I21" s="32">
        <f ca="1">OFFSET('kW Forecast'!$D$9,COLUMN()-COLUMN($C$21),0)</f>
        <v>151259.79</v>
      </c>
      <c r="J21" s="32">
        <f ca="1">OFFSET('kW Forecast'!$D$24,COLUMN()-COLUMN($J$21),0)</f>
        <v>156036.96420227061</v>
      </c>
      <c r="K21" s="32">
        <f ca="1">OFFSET('kW Forecast'!$D$24,COLUMN()-COLUMN($J$21),0)</f>
        <v>158626.61720690515</v>
      </c>
      <c r="L21" s="203">
        <f ca="1">OFFSET('kW Forecast'!$D$24,COLUMN()-COLUMN($J$21),0)</f>
        <v>159254.61307572696</v>
      </c>
    </row>
    <row r="22" spans="2:12" s="31" customFormat="1" ht="13" x14ac:dyDescent="0.3">
      <c r="B22" s="204" t="s">
        <v>108</v>
      </c>
      <c r="C22" s="32">
        <f ca="1">OFFSET('kW Forecast'!$K$9,COLUMN()-COLUMN($C$21),0)</f>
        <v>1392.24</v>
      </c>
      <c r="D22" s="32">
        <f ca="1">OFFSET('kW Forecast'!$K$9,COLUMN()-COLUMN($C$21),0)</f>
        <v>1421.0400000000002</v>
      </c>
      <c r="E22" s="32">
        <f ca="1">OFFSET('kW Forecast'!$K$9,COLUMN()-COLUMN($C$21),0)</f>
        <v>1463.0400000000002</v>
      </c>
      <c r="F22" s="32">
        <f ca="1">OFFSET('kW Forecast'!$K$9,COLUMN()-COLUMN($C$21),0)</f>
        <v>1500</v>
      </c>
      <c r="G22" s="32">
        <f ca="1">OFFSET('kW Forecast'!$K$9,COLUMN()-COLUMN($C$21),0)</f>
        <v>1532.0400000000002</v>
      </c>
      <c r="H22" s="32">
        <f ca="1">OFFSET('kW Forecast'!$K$9,COLUMN()-COLUMN($C$21),0)</f>
        <v>1517.0400000000002</v>
      </c>
      <c r="I22" s="32">
        <f ca="1">OFFSET('kW Forecast'!$K$9,COLUMN()-COLUMN($C$21),0)</f>
        <v>1424.76</v>
      </c>
      <c r="J22" s="32">
        <f ca="1">OFFSET('kW Forecast'!$K$24,COLUMN()-COLUMN($J$21),0)</f>
        <v>1463.8644806592338</v>
      </c>
      <c r="K22" s="32">
        <f ca="1">OFFSET('kW Forecast'!$K$24,COLUMN()-COLUMN($J$21),0)</f>
        <v>1467.9586831868749</v>
      </c>
      <c r="L22" s="203">
        <f ca="1">OFFSET('kW Forecast'!$K$24,COLUMN()-COLUMN($J$21),0)</f>
        <v>1467.9586831868749</v>
      </c>
    </row>
    <row r="23" spans="2:12" s="31" customFormat="1" ht="13.5" thickBot="1" x14ac:dyDescent="0.35">
      <c r="B23" s="334" t="s">
        <v>121</v>
      </c>
      <c r="C23" s="335">
        <f ca="1">SUM(C21:C22)</f>
        <v>172628.09000000003</v>
      </c>
      <c r="D23" s="335">
        <f t="shared" ref="D23:L23" ca="1" si="4">SUM(D21:D22)</f>
        <v>184625.61000000002</v>
      </c>
      <c r="E23" s="335">
        <f t="shared" ca="1" si="4"/>
        <v>172518.03999999998</v>
      </c>
      <c r="F23" s="335">
        <f t="shared" ca="1" si="4"/>
        <v>162587.01</v>
      </c>
      <c r="G23" s="335">
        <f t="shared" ca="1" si="4"/>
        <v>157759.01999999999</v>
      </c>
      <c r="H23" s="335">
        <f t="shared" ca="1" si="4"/>
        <v>157366.04</v>
      </c>
      <c r="I23" s="335">
        <f t="shared" ca="1" si="4"/>
        <v>152684.55000000002</v>
      </c>
      <c r="J23" s="335">
        <f t="shared" ca="1" si="4"/>
        <v>157500.82868292983</v>
      </c>
      <c r="K23" s="335">
        <f t="shared" ca="1" si="4"/>
        <v>160094.57589009203</v>
      </c>
      <c r="L23" s="337">
        <f t="shared" ca="1" si="4"/>
        <v>160722.57175891384</v>
      </c>
    </row>
    <row r="24" spans="2:12" s="31" customFormat="1" ht="12.5" x14ac:dyDescent="0.25"/>
    <row r="25" spans="2:12" s="31" customFormat="1" ht="16" thickBot="1" x14ac:dyDescent="0.4">
      <c r="B25" s="201" t="s">
        <v>255</v>
      </c>
      <c r="C25" s="201"/>
    </row>
    <row r="26" spans="2:12" s="31" customFormat="1" ht="52" x14ac:dyDescent="0.25">
      <c r="B26" s="338" t="s">
        <v>118</v>
      </c>
      <c r="C26" s="339" t="s">
        <v>258</v>
      </c>
      <c r="D26" s="339" t="s">
        <v>256</v>
      </c>
      <c r="E26" s="340" t="s">
        <v>261</v>
      </c>
    </row>
    <row r="27" spans="2:12" s="31" customFormat="1" ht="13" x14ac:dyDescent="0.3">
      <c r="B27" s="204" t="str">
        <f>B21</f>
        <v>GS &gt; 50</v>
      </c>
      <c r="C27" s="32">
        <f ca="1">L21</f>
        <v>159254.61307572696</v>
      </c>
      <c r="D27" s="32">
        <f ca="1">'CDM Adjustment'!O20</f>
        <v>2924.733984302824</v>
      </c>
      <c r="E27" s="203">
        <f ca="1">C27-D27</f>
        <v>156329.87909142414</v>
      </c>
    </row>
    <row r="28" spans="2:12" s="31" customFormat="1" ht="13" x14ac:dyDescent="0.3">
      <c r="B28" s="204" t="str">
        <f>B22</f>
        <v>Street Light</v>
      </c>
      <c r="C28" s="32">
        <f ca="1">L22</f>
        <v>1467.9586831868749</v>
      </c>
      <c r="D28" s="32"/>
      <c r="E28" s="203">
        <f ca="1">C28-D28</f>
        <v>1467.9586831868749</v>
      </c>
    </row>
    <row r="29" spans="2:12" s="31" customFormat="1" ht="13.5" thickBot="1" x14ac:dyDescent="0.35">
      <c r="B29" s="334" t="s">
        <v>121</v>
      </c>
      <c r="C29" s="335">
        <f ca="1">SUM(C27:C28)</f>
        <v>160722.57175891384</v>
      </c>
      <c r="D29" s="335">
        <f ca="1">SUM(D27:D28)</f>
        <v>2924.733984302824</v>
      </c>
      <c r="E29" s="337">
        <f ca="1">SUM(E27:E28)</f>
        <v>157797.83777461102</v>
      </c>
    </row>
    <row r="30" spans="2:12" s="31" customFormat="1" ht="12.5" x14ac:dyDescent="0.25"/>
    <row r="31" spans="2:12" s="31" customFormat="1" ht="16" thickBot="1" x14ac:dyDescent="0.4">
      <c r="B31" s="201" t="s">
        <v>257</v>
      </c>
      <c r="C31" s="201"/>
    </row>
    <row r="32" spans="2:12" s="31" customFormat="1" ht="13" x14ac:dyDescent="0.3">
      <c r="B32" s="330" t="s">
        <v>106</v>
      </c>
      <c r="C32" s="331" t="s">
        <v>247</v>
      </c>
      <c r="D32" s="331" t="s">
        <v>248</v>
      </c>
      <c r="E32" s="331" t="s">
        <v>249</v>
      </c>
      <c r="F32" s="331" t="s">
        <v>250</v>
      </c>
      <c r="G32" s="331" t="s">
        <v>251</v>
      </c>
      <c r="H32" s="331" t="s">
        <v>252</v>
      </c>
      <c r="I32" s="331" t="s">
        <v>253</v>
      </c>
      <c r="J32" s="332" t="s">
        <v>166</v>
      </c>
      <c r="K32" s="333" t="s">
        <v>167</v>
      </c>
    </row>
    <row r="33" spans="2:11" s="31" customFormat="1" ht="13" x14ac:dyDescent="0.3">
      <c r="B33" s="202" t="str">
        <f>B3</f>
        <v>Residential</v>
      </c>
      <c r="C33" s="32">
        <f ca="1">OFFSET('Customer Count'!$C$7,COLUMN()-COLUMN($C$33),0)</f>
        <v>5201.75</v>
      </c>
      <c r="D33" s="32">
        <f ca="1">OFFSET('Customer Count'!$C$7,COLUMN()-COLUMN($C$33),0)</f>
        <v>5157.25</v>
      </c>
      <c r="E33" s="32">
        <f ca="1">OFFSET('Customer Count'!$C$7,COLUMN()-COLUMN($C$33),0)</f>
        <v>5106.833333333333</v>
      </c>
      <c r="F33" s="32">
        <f ca="1">OFFSET('Customer Count'!$C$7,COLUMN()-COLUMN($C$33),0)</f>
        <v>5154.5</v>
      </c>
      <c r="G33" s="32">
        <f ca="1">OFFSET('Customer Count'!$C$7,COLUMN()-COLUMN($C$33),0)</f>
        <v>5165.916666666667</v>
      </c>
      <c r="H33" s="32">
        <f ca="1">OFFSET('Customer Count'!$C$7,COLUMN()-COLUMN($C$33),0)</f>
        <v>5161.083333333333</v>
      </c>
      <c r="I33" s="32">
        <f ca="1">OFFSET('Customer Count'!$C$7,COLUMN()-COLUMN($C$33),0)</f>
        <v>5194.166666666667</v>
      </c>
      <c r="J33" s="32">
        <f ca="1">OFFSET('Customer Count'!$C$18,COLUMN()-COLUMN($J$33),0)</f>
        <v>5182.4538256744681</v>
      </c>
      <c r="K33" s="205">
        <f ca="1">OFFSET('Customer Count'!$C$18,COLUMN()-COLUMN($J$33),0)</f>
        <v>5181.9975292897507</v>
      </c>
    </row>
    <row r="34" spans="2:11" s="31" customFormat="1" ht="13" x14ac:dyDescent="0.3">
      <c r="B34" s="204" t="str">
        <f>B4</f>
        <v>GS &lt; 50</v>
      </c>
      <c r="C34" s="32">
        <f ca="1">OFFSET('Customer Count'!$G$7,COLUMN()-COLUMN($C$33),0)</f>
        <v>747.08333333333337</v>
      </c>
      <c r="D34" s="32">
        <f ca="1">OFFSET('Customer Count'!$G$7,COLUMN()-COLUMN($C$33),0)</f>
        <v>713.16666666666663</v>
      </c>
      <c r="E34" s="32">
        <f ca="1">OFFSET('Customer Count'!$G$7,COLUMN()-COLUMN($C$33),0)</f>
        <v>742.5</v>
      </c>
      <c r="F34" s="32">
        <f ca="1">OFFSET('Customer Count'!$G$7,COLUMN()-COLUMN($C$33),0)</f>
        <v>717.33333333333337</v>
      </c>
      <c r="G34" s="32">
        <f ca="1">OFFSET('Customer Count'!$G$7,COLUMN()-COLUMN($C$33),0)</f>
        <v>705.83333333333337</v>
      </c>
      <c r="H34" s="32">
        <f ca="1">OFFSET('Customer Count'!$G$7,COLUMN()-COLUMN($C$33),0)</f>
        <v>712.16666666666663</v>
      </c>
      <c r="I34" s="32">
        <f ca="1">OFFSET('Customer Count'!$G$7,COLUMN()-COLUMN($C$33),0)</f>
        <v>715.91666666666663</v>
      </c>
      <c r="J34" s="32">
        <f ca="1">OFFSET('Customer Count'!$G$18,COLUMN()-COLUMN($J$34),0)</f>
        <v>714.87066563010728</v>
      </c>
      <c r="K34" s="205">
        <f ca="1">OFFSET('Customer Count'!$G$18,COLUMN()-COLUMN($J$34),0)</f>
        <v>717.00480232140092</v>
      </c>
    </row>
    <row r="35" spans="2:11" s="31" customFormat="1" ht="13.5" customHeight="1" x14ac:dyDescent="0.3">
      <c r="B35" s="204" t="str">
        <f>B5</f>
        <v>GS &gt; 50</v>
      </c>
      <c r="C35" s="32">
        <f ca="1">OFFSET('Customer Count'!$K$7,COLUMN()-COLUMN($C$33),0)</f>
        <v>54</v>
      </c>
      <c r="D35" s="32">
        <f ca="1">OFFSET('Customer Count'!$K$7,COLUMN()-COLUMN($C$33),0)</f>
        <v>68.666666666666671</v>
      </c>
      <c r="E35" s="32">
        <f ca="1">OFFSET('Customer Count'!$K$7,COLUMN()-COLUMN($C$33),0)</f>
        <v>68.5</v>
      </c>
      <c r="F35" s="32">
        <f ca="1">OFFSET('Customer Count'!$K$7,COLUMN()-COLUMN($C$33),0)</f>
        <v>71.833333333333329</v>
      </c>
      <c r="G35" s="32">
        <f ca="1">OFFSET('Customer Count'!$K$7,COLUMN()-COLUMN($C$33),0)</f>
        <v>70.666666666666671</v>
      </c>
      <c r="H35" s="32">
        <f ca="1">OFFSET('Customer Count'!$K$7,COLUMN()-COLUMN($C$33),0)</f>
        <v>67.75</v>
      </c>
      <c r="I35" s="32">
        <f ca="1">OFFSET('Customer Count'!$K$7,COLUMN()-COLUMN($C$33),0)</f>
        <v>68.833333333333329</v>
      </c>
      <c r="J35" s="32">
        <f ca="1">OFFSET('Customer Count'!$K$18,COLUMN()-COLUMN($J$35),0)</f>
        <v>69.556609848413473</v>
      </c>
      <c r="K35" s="205">
        <f ca="1">OFFSET('Customer Count'!$K$18,COLUMN()-COLUMN($J$35),0)</f>
        <v>70.996992952874038</v>
      </c>
    </row>
    <row r="36" spans="2:11" s="31" customFormat="1" ht="13" x14ac:dyDescent="0.3">
      <c r="B36" s="204" t="str">
        <f>B6</f>
        <v>Street Light</v>
      </c>
      <c r="C36" s="32">
        <f ca="1">OFFSET('Customer Count'!$O$7,COLUMN()-COLUMN($C$33),0)</f>
        <v>1650</v>
      </c>
      <c r="D36" s="32">
        <f ca="1">OFFSET('Customer Count'!$O$7,COLUMN()-COLUMN($C$33),0)</f>
        <v>1659.5833333333333</v>
      </c>
      <c r="E36" s="32">
        <f ca="1">OFFSET('Customer Count'!$O$7,COLUMN()-COLUMN($C$33),0)</f>
        <v>1710</v>
      </c>
      <c r="F36" s="32">
        <f ca="1">OFFSET('Customer Count'!$O$7,COLUMN()-COLUMN($C$33),0)</f>
        <v>1710</v>
      </c>
      <c r="G36" s="32">
        <f ca="1">OFFSET('Customer Count'!$O$7,COLUMN()-COLUMN($C$33),0)</f>
        <v>1710</v>
      </c>
      <c r="H36" s="32">
        <f ca="1">OFFSET('Customer Count'!$O$7,COLUMN()-COLUMN($C$33),0)</f>
        <v>1710</v>
      </c>
      <c r="I36" s="32">
        <f ca="1">OFFSET('Customer Count'!$O$7,COLUMN()-COLUMN($C$33),0)</f>
        <v>1710</v>
      </c>
      <c r="J36" s="32">
        <f ca="1">OFFSET('Customer Count'!$O$18,COLUMN()-COLUMN($J$36),0)</f>
        <v>1710</v>
      </c>
      <c r="K36" s="205">
        <f ca="1">OFFSET('Customer Count'!$O$18,COLUMN()-COLUMN($J$36),0)</f>
        <v>1710</v>
      </c>
    </row>
    <row r="37" spans="2:11" s="31" customFormat="1" ht="13" x14ac:dyDescent="0.3">
      <c r="B37" s="204" t="str">
        <f>B7</f>
        <v>USL</v>
      </c>
      <c r="C37" s="32">
        <f ca="1">OFFSET('Customer Count'!$S$7,COLUMN()-COLUMN($C$33),0)</f>
        <v>23</v>
      </c>
      <c r="D37" s="32">
        <f ca="1">OFFSET('Customer Count'!$S$7,COLUMN()-COLUMN($C$33),0)</f>
        <v>23</v>
      </c>
      <c r="E37" s="32">
        <f ca="1">OFFSET('Customer Count'!$S$7,COLUMN()-COLUMN($C$33),0)</f>
        <v>23</v>
      </c>
      <c r="F37" s="32">
        <f ca="1">OFFSET('Customer Count'!$S$7,COLUMN()-COLUMN($C$33),0)</f>
        <v>23</v>
      </c>
      <c r="G37" s="32">
        <f ca="1">OFFSET('Customer Count'!$S$7,COLUMN()-COLUMN($C$33),0)</f>
        <v>23</v>
      </c>
      <c r="H37" s="32">
        <f ca="1">OFFSET('Customer Count'!$S$7,COLUMN()-COLUMN($C$33),0)</f>
        <v>22</v>
      </c>
      <c r="I37" s="32">
        <f ca="1">OFFSET('Customer Count'!$S$7,COLUMN()-COLUMN($C$33),0)</f>
        <v>22</v>
      </c>
      <c r="J37" s="32">
        <f ca="1">OFFSET('Customer Count'!$S$18,COLUMN()-COLUMN($J$37),0)</f>
        <v>22</v>
      </c>
      <c r="K37" s="205">
        <f ca="1">OFFSET('Customer Count'!$S$18,COLUMN()-COLUMN($J$37),0)</f>
        <v>22</v>
      </c>
    </row>
    <row r="38" spans="2:11" s="31" customFormat="1" ht="13.5" thickBot="1" x14ac:dyDescent="0.35">
      <c r="B38" s="334" t="s">
        <v>121</v>
      </c>
      <c r="C38" s="335">
        <f t="shared" ref="C38:K38" ca="1" si="5">SUM(C33:C37)</f>
        <v>7675.833333333333</v>
      </c>
      <c r="D38" s="335">
        <f t="shared" ca="1" si="5"/>
        <v>7621.666666666667</v>
      </c>
      <c r="E38" s="335">
        <f t="shared" ca="1" si="5"/>
        <v>7650.833333333333</v>
      </c>
      <c r="F38" s="335">
        <f t="shared" ca="1" si="5"/>
        <v>7676.6666666666661</v>
      </c>
      <c r="G38" s="335">
        <f t="shared" ca="1" si="5"/>
        <v>7675.416666666667</v>
      </c>
      <c r="H38" s="335">
        <f t="shared" ca="1" si="5"/>
        <v>7673</v>
      </c>
      <c r="I38" s="335">
        <f t="shared" ca="1" si="5"/>
        <v>7710.916666666667</v>
      </c>
      <c r="J38" s="336">
        <f t="shared" ca="1" si="5"/>
        <v>7698.8811011529888</v>
      </c>
      <c r="K38" s="337">
        <f t="shared" ca="1" si="5"/>
        <v>7701.9993245640262</v>
      </c>
    </row>
    <row r="39" spans="2:11" x14ac:dyDescent="0.35">
      <c r="C39" s="324"/>
      <c r="D39" s="324"/>
      <c r="E39" s="324"/>
      <c r="F39" s="324"/>
      <c r="G39" s="324"/>
      <c r="H39" s="324"/>
      <c r="I39" s="324"/>
      <c r="J39" s="324"/>
      <c r="K39" s="324"/>
    </row>
    <row r="41" spans="2:11" ht="29" x14ac:dyDescent="0.35">
      <c r="B41" s="344">
        <v>2025</v>
      </c>
      <c r="C41" s="344" t="s">
        <v>117</v>
      </c>
      <c r="D41" s="344" t="s">
        <v>118</v>
      </c>
      <c r="E41" s="345" t="s">
        <v>120</v>
      </c>
    </row>
    <row r="42" spans="2:11" x14ac:dyDescent="0.35">
      <c r="B42" s="347" t="s">
        <v>100</v>
      </c>
      <c r="C42" s="212">
        <f ca="1">E12</f>
        <v>39585261.006463379</v>
      </c>
      <c r="D42" s="212"/>
      <c r="E42" s="212">
        <f ca="1">K33</f>
        <v>5181.9975292897507</v>
      </c>
      <c r="G42" s="211">
        <v>39585273.920511141</v>
      </c>
    </row>
    <row r="43" spans="2:11" x14ac:dyDescent="0.35">
      <c r="B43" s="347" t="s">
        <v>102</v>
      </c>
      <c r="C43" s="212">
        <f ca="1">E13</f>
        <v>18203251.767101672</v>
      </c>
      <c r="D43" s="212"/>
      <c r="E43" s="212">
        <f ca="1">K34</f>
        <v>717.00480232140092</v>
      </c>
      <c r="G43" s="326">
        <v>18201771.946804795</v>
      </c>
    </row>
    <row r="44" spans="2:11" x14ac:dyDescent="0.35">
      <c r="B44" s="347" t="s">
        <v>103</v>
      </c>
      <c r="C44" s="212">
        <f ca="1">E14</f>
        <v>56644689.019413978</v>
      </c>
      <c r="D44" s="212">
        <f ca="1">E27</f>
        <v>156329.87909142414</v>
      </c>
      <c r="E44" s="212">
        <f ca="1">K35</f>
        <v>70.996992952874038</v>
      </c>
      <c r="G44" s="326">
        <v>56644689.019413978</v>
      </c>
      <c r="H44" s="328">
        <v>156329.87909142414</v>
      </c>
    </row>
    <row r="45" spans="2:11" x14ac:dyDescent="0.35">
      <c r="B45" s="347" t="s">
        <v>108</v>
      </c>
      <c r="C45" s="212">
        <f ca="1">E15</f>
        <v>491060.4</v>
      </c>
      <c r="D45" s="212">
        <f ca="1">E28</f>
        <v>1467.9586831868749</v>
      </c>
      <c r="E45" s="212">
        <f ca="1">K36</f>
        <v>1710</v>
      </c>
      <c r="G45" s="329">
        <v>491060.4</v>
      </c>
      <c r="H45" s="327">
        <v>1467.9586831868749</v>
      </c>
      <c r="J45" s="325"/>
      <c r="K45" s="325"/>
    </row>
    <row r="46" spans="2:11" x14ac:dyDescent="0.35">
      <c r="B46" s="347" t="s">
        <v>105</v>
      </c>
      <c r="C46" s="212">
        <f ca="1">E16</f>
        <v>163953</v>
      </c>
      <c r="D46" s="212"/>
      <c r="E46" s="212">
        <f ca="1">K37</f>
        <v>22</v>
      </c>
      <c r="G46" s="326">
        <v>163953</v>
      </c>
    </row>
    <row r="47" spans="2:11" x14ac:dyDescent="0.35">
      <c r="B47" s="344" t="s">
        <v>121</v>
      </c>
      <c r="C47" s="346">
        <f ca="1">SUM(C42:C46)</f>
        <v>115088215.19297904</v>
      </c>
      <c r="D47" s="346">
        <f ca="1">SUM(D42:D46)</f>
        <v>157797.83777461102</v>
      </c>
      <c r="E47" s="346">
        <f ca="1">SUM(E42:E46)</f>
        <v>7701.9993245640262</v>
      </c>
    </row>
    <row r="50" spans="3:11" x14ac:dyDescent="0.35">
      <c r="C50" s="324"/>
      <c r="D50" s="324"/>
      <c r="E50" s="324"/>
      <c r="F50" s="324"/>
      <c r="G50" s="324"/>
      <c r="H50" s="324"/>
      <c r="I50" s="324"/>
      <c r="J50" s="324"/>
      <c r="K50" s="324"/>
    </row>
    <row r="53" spans="3:11" x14ac:dyDescent="0.35">
      <c r="K53" s="43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7C2D-D731-4955-84C6-DA7C62E8CD15}">
  <sheetPr codeName="Sheet2">
    <tabColor theme="2"/>
  </sheetPr>
  <dimension ref="A1:AB176"/>
  <sheetViews>
    <sheetView topLeftCell="A134" zoomScaleNormal="100" workbookViewId="0">
      <selection activeCell="M179" sqref="M179"/>
    </sheetView>
  </sheetViews>
  <sheetFormatPr defaultRowHeight="14.5" x14ac:dyDescent="0.35"/>
  <cols>
    <col min="1" max="1" width="10.54296875" bestFit="1" customWidth="1"/>
    <col min="2" max="2" width="10.54296875" customWidth="1"/>
    <col min="3" max="3" width="3.453125" customWidth="1"/>
    <col min="4" max="4" width="19.54296875" bestFit="1" customWidth="1"/>
    <col min="5" max="5" width="16.1796875" bestFit="1" customWidth="1"/>
    <col min="6" max="6" width="17" style="169" customWidth="1"/>
    <col min="7" max="7" width="11.54296875" style="169" bestFit="1" customWidth="1"/>
    <col min="8" max="8" width="10.54296875" style="169" bestFit="1" customWidth="1"/>
    <col min="9" max="10" width="9.7265625" style="169" bestFit="1" customWidth="1"/>
    <col min="11" max="12" width="14.54296875" style="169" customWidth="1"/>
    <col min="13" max="13" width="12.6328125" style="169" customWidth="1"/>
    <col min="14" max="14" width="9.7265625" style="169" customWidth="1"/>
    <col min="15" max="15" width="15.453125" style="169" customWidth="1"/>
    <col min="16" max="16" width="11.54296875" style="169" customWidth="1"/>
    <col min="17" max="21" width="14.81640625" customWidth="1"/>
    <col min="22" max="22" width="9.7265625" bestFit="1" customWidth="1"/>
    <col min="23" max="23" width="10" bestFit="1" customWidth="1"/>
  </cols>
  <sheetData>
    <row r="1" spans="1:28" x14ac:dyDescent="0.35">
      <c r="D1" s="437" t="s">
        <v>191</v>
      </c>
      <c r="E1" s="437"/>
      <c r="F1" s="438" t="s">
        <v>192</v>
      </c>
      <c r="G1" s="438"/>
      <c r="H1" s="438"/>
      <c r="I1" s="438"/>
      <c r="J1" s="438"/>
      <c r="K1" s="168"/>
      <c r="L1" s="168"/>
      <c r="M1" s="168"/>
      <c r="N1" s="168"/>
      <c r="O1" s="438" t="s">
        <v>193</v>
      </c>
      <c r="P1" s="438"/>
    </row>
    <row r="2" spans="1:28" x14ac:dyDescent="0.35">
      <c r="D2" t="s">
        <v>194</v>
      </c>
      <c r="E2" t="s">
        <v>195</v>
      </c>
      <c r="F2" s="169" t="s">
        <v>196</v>
      </c>
      <c r="G2" s="169" t="s">
        <v>197</v>
      </c>
      <c r="H2" s="169" t="s">
        <v>198</v>
      </c>
      <c r="I2" s="169" t="s">
        <v>199</v>
      </c>
      <c r="J2" s="169" t="s">
        <v>200</v>
      </c>
      <c r="K2" t="s">
        <v>441</v>
      </c>
      <c r="L2" t="s">
        <v>442</v>
      </c>
      <c r="M2" t="s">
        <v>443</v>
      </c>
      <c r="N2" t="s">
        <v>444</v>
      </c>
      <c r="O2" s="169" t="s">
        <v>201</v>
      </c>
      <c r="P2" s="169" t="s">
        <v>202</v>
      </c>
      <c r="Q2" s="37" t="s">
        <v>451</v>
      </c>
      <c r="R2" s="37" t="s">
        <v>452</v>
      </c>
    </row>
    <row r="3" spans="1:28" ht="15.5" x14ac:dyDescent="0.35">
      <c r="D3" s="439" t="s">
        <v>203</v>
      </c>
      <c r="E3" s="439"/>
      <c r="F3" s="440" t="s">
        <v>204</v>
      </c>
      <c r="G3" s="440"/>
      <c r="H3" s="440"/>
      <c r="I3" s="440"/>
      <c r="J3" s="440"/>
      <c r="K3" s="440"/>
      <c r="L3" s="440"/>
      <c r="M3" s="440"/>
      <c r="N3" s="440"/>
      <c r="O3" s="438" t="s">
        <v>205</v>
      </c>
      <c r="P3" s="438"/>
      <c r="Q3" s="438"/>
      <c r="R3" s="438"/>
    </row>
    <row r="4" spans="1:28" ht="15.5" x14ac:dyDescent="0.35">
      <c r="A4" s="148">
        <v>41640</v>
      </c>
      <c r="B4">
        <f t="shared" ref="B4:B43" si="0">YEAR(A4)</f>
        <v>2014</v>
      </c>
      <c r="C4" s="148" t="s">
        <v>206</v>
      </c>
      <c r="D4" s="170">
        <v>6812.5</v>
      </c>
      <c r="E4" s="170">
        <v>6770.4</v>
      </c>
      <c r="F4" s="169">
        <v>708787.6</v>
      </c>
      <c r="G4" s="169">
        <v>6474.7</v>
      </c>
      <c r="H4" s="169">
        <v>8082.4</v>
      </c>
      <c r="I4" s="169">
        <v>10.8</v>
      </c>
      <c r="J4" s="169">
        <v>292</v>
      </c>
      <c r="K4" s="169">
        <v>447.4</v>
      </c>
      <c r="L4" s="169">
        <v>291.89999999999998</v>
      </c>
      <c r="M4" s="169">
        <v>1617.3</v>
      </c>
      <c r="N4" s="169">
        <v>2758.5</v>
      </c>
      <c r="O4" s="171">
        <v>699057</v>
      </c>
      <c r="P4" s="171">
        <v>6558</v>
      </c>
      <c r="Q4" s="171">
        <v>3545</v>
      </c>
      <c r="R4" s="171">
        <v>4831</v>
      </c>
      <c r="T4" s="150"/>
    </row>
    <row r="5" spans="1:28" ht="15.5" x14ac:dyDescent="0.35">
      <c r="A5" s="148">
        <v>41671</v>
      </c>
      <c r="B5">
        <f t="shared" si="0"/>
        <v>2014</v>
      </c>
      <c r="C5" s="148" t="s">
        <v>206</v>
      </c>
      <c r="D5" s="170">
        <v>6810.3</v>
      </c>
      <c r="E5" s="170">
        <v>6732.3</v>
      </c>
      <c r="F5" s="169">
        <v>708787.6</v>
      </c>
      <c r="G5" s="169">
        <v>6474.7</v>
      </c>
      <c r="H5" s="169">
        <v>8082.4</v>
      </c>
      <c r="I5" s="169">
        <v>10.8</v>
      </c>
      <c r="J5" s="169">
        <v>292</v>
      </c>
      <c r="K5" s="169">
        <v>447.4</v>
      </c>
      <c r="L5" s="169">
        <v>291.89999999999998</v>
      </c>
      <c r="M5" s="169">
        <v>1617.3</v>
      </c>
      <c r="N5" s="169">
        <v>2758.5</v>
      </c>
      <c r="O5" s="171">
        <v>699057</v>
      </c>
      <c r="P5" s="171">
        <v>6558</v>
      </c>
      <c r="Q5" s="171">
        <v>3545</v>
      </c>
      <c r="R5" s="171">
        <v>4831</v>
      </c>
      <c r="T5" s="150"/>
    </row>
    <row r="6" spans="1:28" ht="15.5" x14ac:dyDescent="0.35">
      <c r="A6" s="148">
        <v>41699</v>
      </c>
      <c r="B6">
        <f t="shared" si="0"/>
        <v>2014</v>
      </c>
      <c r="C6" s="148" t="s">
        <v>206</v>
      </c>
      <c r="D6" s="170">
        <v>6810.9</v>
      </c>
      <c r="E6" s="170">
        <v>6704.5</v>
      </c>
      <c r="F6" s="169">
        <v>708787.6</v>
      </c>
      <c r="G6" s="169">
        <v>6474.7</v>
      </c>
      <c r="H6" s="169">
        <v>8082.4</v>
      </c>
      <c r="I6" s="169">
        <v>10.8</v>
      </c>
      <c r="J6" s="169">
        <v>292</v>
      </c>
      <c r="K6" s="169">
        <v>447.4</v>
      </c>
      <c r="L6" s="169">
        <v>291.89999999999998</v>
      </c>
      <c r="M6" s="169">
        <v>1617.3</v>
      </c>
      <c r="N6" s="169">
        <v>2758.5</v>
      </c>
      <c r="O6" s="171">
        <v>699057</v>
      </c>
      <c r="P6" s="171">
        <v>6558</v>
      </c>
      <c r="Q6" s="171">
        <v>3545</v>
      </c>
      <c r="R6" s="171">
        <v>4831</v>
      </c>
      <c r="T6" s="150"/>
    </row>
    <row r="7" spans="1:28" ht="15.5" x14ac:dyDescent="0.35">
      <c r="A7" s="148">
        <v>41730</v>
      </c>
      <c r="B7">
        <f t="shared" si="0"/>
        <v>2014</v>
      </c>
      <c r="C7" s="148" t="s">
        <v>208</v>
      </c>
      <c r="D7" s="170">
        <v>6819.5</v>
      </c>
      <c r="E7" s="170">
        <v>6732.1</v>
      </c>
      <c r="F7" s="169">
        <v>708787.6</v>
      </c>
      <c r="G7" s="169">
        <v>6474.7</v>
      </c>
      <c r="H7" s="169">
        <v>8082.4</v>
      </c>
      <c r="I7" s="169">
        <v>10.8</v>
      </c>
      <c r="J7" s="169">
        <v>292</v>
      </c>
      <c r="K7" s="169">
        <v>447.4</v>
      </c>
      <c r="L7" s="169">
        <v>291.89999999999998</v>
      </c>
      <c r="M7" s="169">
        <v>1617.3</v>
      </c>
      <c r="N7" s="169">
        <v>2758.5</v>
      </c>
      <c r="O7" s="171">
        <v>705966</v>
      </c>
      <c r="P7" s="171">
        <v>6382</v>
      </c>
      <c r="Q7" s="171">
        <v>3701</v>
      </c>
      <c r="R7" s="171">
        <v>4782</v>
      </c>
      <c r="T7" s="150"/>
    </row>
    <row r="8" spans="1:28" ht="15.5" x14ac:dyDescent="0.35">
      <c r="A8" s="148">
        <v>41760</v>
      </c>
      <c r="B8">
        <f t="shared" si="0"/>
        <v>2014</v>
      </c>
      <c r="C8" s="148" t="s">
        <v>208</v>
      </c>
      <c r="D8" s="170">
        <v>6821.5</v>
      </c>
      <c r="E8" s="170">
        <v>6790.3</v>
      </c>
      <c r="F8" s="169">
        <v>708787.6</v>
      </c>
      <c r="G8" s="169">
        <v>6474.7</v>
      </c>
      <c r="H8" s="169">
        <v>8082.4</v>
      </c>
      <c r="I8" s="169">
        <v>10.8</v>
      </c>
      <c r="J8" s="169">
        <v>292</v>
      </c>
      <c r="K8" s="169">
        <v>447.4</v>
      </c>
      <c r="L8" s="169">
        <v>291.89999999999998</v>
      </c>
      <c r="M8" s="169">
        <v>1617.3</v>
      </c>
      <c r="N8" s="169">
        <v>2758.5</v>
      </c>
      <c r="O8" s="171">
        <v>705966</v>
      </c>
      <c r="P8" s="171">
        <v>6382</v>
      </c>
      <c r="Q8" s="171">
        <v>3701</v>
      </c>
      <c r="R8" s="171">
        <v>4782</v>
      </c>
      <c r="T8" s="150"/>
    </row>
    <row r="9" spans="1:28" ht="15.5" x14ac:dyDescent="0.35">
      <c r="A9" s="148">
        <v>41791</v>
      </c>
      <c r="B9">
        <f t="shared" si="0"/>
        <v>2014</v>
      </c>
      <c r="C9" s="148" t="s">
        <v>208</v>
      </c>
      <c r="D9" s="170">
        <v>6826.1</v>
      </c>
      <c r="E9" s="170">
        <v>6875.4</v>
      </c>
      <c r="F9" s="169">
        <v>708787.6</v>
      </c>
      <c r="G9" s="169">
        <v>6474.7</v>
      </c>
      <c r="H9" s="169">
        <v>8082.4</v>
      </c>
      <c r="I9" s="169">
        <v>10.8</v>
      </c>
      <c r="J9" s="169">
        <v>292</v>
      </c>
      <c r="K9" s="169">
        <v>447.4</v>
      </c>
      <c r="L9" s="169">
        <v>291.89999999999998</v>
      </c>
      <c r="M9" s="169">
        <v>1617.3</v>
      </c>
      <c r="N9" s="169">
        <v>2758.5</v>
      </c>
      <c r="O9" s="171">
        <v>705966</v>
      </c>
      <c r="P9" s="171">
        <v>6382</v>
      </c>
      <c r="Q9" s="171">
        <v>3701</v>
      </c>
      <c r="R9" s="171">
        <v>4782</v>
      </c>
      <c r="T9" s="150"/>
    </row>
    <row r="10" spans="1:28" x14ac:dyDescent="0.35">
      <c r="A10" s="148">
        <v>41821</v>
      </c>
      <c r="B10">
        <f t="shared" si="0"/>
        <v>2014</v>
      </c>
      <c r="C10" s="148" t="s">
        <v>215</v>
      </c>
      <c r="D10" s="170">
        <v>6836.5</v>
      </c>
      <c r="E10" s="170">
        <v>6932</v>
      </c>
      <c r="F10" s="169">
        <v>708787.6</v>
      </c>
      <c r="G10" s="169">
        <v>6474.7</v>
      </c>
      <c r="H10" s="169">
        <v>8082.4</v>
      </c>
      <c r="I10" s="169">
        <v>10.8</v>
      </c>
      <c r="J10" s="169">
        <v>292</v>
      </c>
      <c r="K10" s="169">
        <v>447.4</v>
      </c>
      <c r="L10" s="169">
        <v>291.89999999999998</v>
      </c>
      <c r="M10" s="169">
        <v>1617.3</v>
      </c>
      <c r="N10" s="169">
        <v>2758.5</v>
      </c>
      <c r="O10" s="171">
        <v>713152</v>
      </c>
      <c r="P10" s="171">
        <v>6336</v>
      </c>
      <c r="Q10" s="171">
        <v>3799</v>
      </c>
      <c r="R10" s="171">
        <v>4733</v>
      </c>
      <c r="V10" t="s">
        <v>207</v>
      </c>
    </row>
    <row r="11" spans="1:28" x14ac:dyDescent="0.35">
      <c r="A11" s="148">
        <v>41852</v>
      </c>
      <c r="B11">
        <f t="shared" si="0"/>
        <v>2014</v>
      </c>
      <c r="C11" s="148" t="s">
        <v>215</v>
      </c>
      <c r="D11" s="170">
        <v>6842.5</v>
      </c>
      <c r="E11" s="170">
        <v>6947.8</v>
      </c>
      <c r="F11" s="169">
        <v>708787.6</v>
      </c>
      <c r="G11" s="169">
        <v>6474.7</v>
      </c>
      <c r="H11" s="169">
        <v>8082.4</v>
      </c>
      <c r="I11" s="169">
        <v>10.8</v>
      </c>
      <c r="J11" s="169">
        <v>292</v>
      </c>
      <c r="K11" s="169">
        <v>447.4</v>
      </c>
      <c r="L11" s="169">
        <v>291.89999999999998</v>
      </c>
      <c r="M11" s="169">
        <v>1617.3</v>
      </c>
      <c r="N11" s="169">
        <v>2758.5</v>
      </c>
      <c r="O11" s="171">
        <v>713152</v>
      </c>
      <c r="P11" s="171">
        <v>6336</v>
      </c>
      <c r="Q11" s="171">
        <v>3799</v>
      </c>
      <c r="R11" s="171">
        <v>4733</v>
      </c>
      <c r="AB11" s="159"/>
    </row>
    <row r="12" spans="1:28" x14ac:dyDescent="0.35">
      <c r="A12" s="148">
        <v>41883</v>
      </c>
      <c r="B12">
        <f t="shared" si="0"/>
        <v>2014</v>
      </c>
      <c r="C12" s="148" t="s">
        <v>215</v>
      </c>
      <c r="D12" s="170">
        <v>6853.6</v>
      </c>
      <c r="E12" s="170">
        <v>6917.2</v>
      </c>
      <c r="F12" s="169">
        <v>708787.6</v>
      </c>
      <c r="G12" s="169">
        <v>6474.7</v>
      </c>
      <c r="H12" s="169">
        <v>8082.4</v>
      </c>
      <c r="I12" s="169">
        <v>10.8</v>
      </c>
      <c r="J12" s="169">
        <v>292</v>
      </c>
      <c r="K12" s="169">
        <v>447.4</v>
      </c>
      <c r="L12" s="169">
        <v>291.89999999999998</v>
      </c>
      <c r="M12" s="169">
        <v>1617.3</v>
      </c>
      <c r="N12" s="169">
        <v>2758.5</v>
      </c>
      <c r="O12" s="171">
        <v>713152</v>
      </c>
      <c r="P12" s="171">
        <v>6336</v>
      </c>
      <c r="Q12" s="171">
        <v>3799</v>
      </c>
      <c r="R12" s="171">
        <v>4733</v>
      </c>
      <c r="V12" s="160" t="s">
        <v>209</v>
      </c>
      <c r="W12" s="161" t="s">
        <v>210</v>
      </c>
      <c r="X12" s="161" t="s">
        <v>211</v>
      </c>
      <c r="Y12" s="161" t="s">
        <v>212</v>
      </c>
      <c r="Z12" s="143"/>
      <c r="AA12" t="s">
        <v>213</v>
      </c>
      <c r="AB12" s="12" t="s">
        <v>214</v>
      </c>
    </row>
    <row r="13" spans="1:28" x14ac:dyDescent="0.35">
      <c r="A13" s="148">
        <v>41913</v>
      </c>
      <c r="B13">
        <f t="shared" si="0"/>
        <v>2014</v>
      </c>
      <c r="C13" s="148" t="s">
        <v>217</v>
      </c>
      <c r="D13" s="170">
        <v>6856.6</v>
      </c>
      <c r="E13" s="170">
        <v>6898.9</v>
      </c>
      <c r="F13" s="169">
        <v>708787.6</v>
      </c>
      <c r="G13" s="169">
        <v>6474.7</v>
      </c>
      <c r="H13" s="169">
        <v>8082.4</v>
      </c>
      <c r="I13" s="169">
        <v>10.8</v>
      </c>
      <c r="J13" s="169">
        <v>292</v>
      </c>
      <c r="K13" s="169">
        <v>447.4</v>
      </c>
      <c r="L13" s="169">
        <v>291.89999999999998</v>
      </c>
      <c r="M13" s="169">
        <v>1617.3</v>
      </c>
      <c r="N13" s="169">
        <v>2758.5</v>
      </c>
      <c r="O13" s="171">
        <v>716976</v>
      </c>
      <c r="P13" s="171">
        <v>6623</v>
      </c>
      <c r="Q13" s="171">
        <v>3693</v>
      </c>
      <c r="R13" s="171">
        <v>4821</v>
      </c>
      <c r="V13" s="162">
        <v>45462</v>
      </c>
      <c r="W13" s="162">
        <v>45492</v>
      </c>
      <c r="X13" s="162">
        <v>45491</v>
      </c>
      <c r="Y13" s="162">
        <v>45455</v>
      </c>
      <c r="Z13" s="163"/>
    </row>
    <row r="14" spans="1:28" x14ac:dyDescent="0.35">
      <c r="A14" s="148">
        <v>41944</v>
      </c>
      <c r="B14">
        <f t="shared" si="0"/>
        <v>2014</v>
      </c>
      <c r="C14" s="148" t="s">
        <v>217</v>
      </c>
      <c r="D14" s="170">
        <v>6858.1</v>
      </c>
      <c r="E14" s="170">
        <v>6871.1</v>
      </c>
      <c r="F14" s="169">
        <v>708787.6</v>
      </c>
      <c r="G14" s="169">
        <v>6474.7</v>
      </c>
      <c r="H14" s="169">
        <v>8082.4</v>
      </c>
      <c r="I14" s="169">
        <v>10.8</v>
      </c>
      <c r="J14" s="169">
        <v>292</v>
      </c>
      <c r="K14" s="169">
        <v>447.4</v>
      </c>
      <c r="L14" s="169">
        <v>291.89999999999998</v>
      </c>
      <c r="M14" s="169">
        <v>1617.3</v>
      </c>
      <c r="N14" s="169">
        <v>2758.5</v>
      </c>
      <c r="O14" s="171">
        <v>716976</v>
      </c>
      <c r="P14" s="171">
        <v>6623</v>
      </c>
      <c r="Q14" s="171">
        <v>3693</v>
      </c>
      <c r="R14" s="171">
        <v>4821</v>
      </c>
      <c r="T14" s="12"/>
      <c r="U14">
        <v>2023</v>
      </c>
      <c r="V14" s="152">
        <v>1.6E-2</v>
      </c>
      <c r="W14" s="152">
        <v>1.4E-2</v>
      </c>
      <c r="X14" s="152">
        <v>1.2E-2</v>
      </c>
      <c r="Y14" s="152">
        <v>1.6E-2</v>
      </c>
      <c r="Z14" s="152"/>
      <c r="AA14" s="153">
        <f>AVERAGE(V14:Y14)</f>
        <v>1.4499999999999999E-2</v>
      </c>
      <c r="AB14" s="153">
        <f>AVERAGE(V14:Y14)</f>
        <v>1.4499999999999999E-2</v>
      </c>
    </row>
    <row r="15" spans="1:28" x14ac:dyDescent="0.35">
      <c r="A15" s="148">
        <v>41974</v>
      </c>
      <c r="B15">
        <f t="shared" si="0"/>
        <v>2014</v>
      </c>
      <c r="C15" s="148" t="s">
        <v>217</v>
      </c>
      <c r="D15" s="170">
        <v>6860</v>
      </c>
      <c r="E15" s="170">
        <v>6863.1</v>
      </c>
      <c r="F15" s="169">
        <v>708787.6</v>
      </c>
      <c r="G15" s="169">
        <v>6474.7</v>
      </c>
      <c r="H15" s="169">
        <v>8082.4</v>
      </c>
      <c r="I15" s="169">
        <v>10.8</v>
      </c>
      <c r="J15" s="169">
        <v>292</v>
      </c>
      <c r="K15" s="169">
        <v>447.4</v>
      </c>
      <c r="L15" s="169">
        <v>291.89999999999998</v>
      </c>
      <c r="M15" s="169">
        <v>1617.3</v>
      </c>
      <c r="N15" s="169">
        <v>2758.5</v>
      </c>
      <c r="O15" s="171">
        <v>716976</v>
      </c>
      <c r="P15" s="171">
        <v>6623</v>
      </c>
      <c r="Q15" s="171">
        <v>3693</v>
      </c>
      <c r="R15" s="171">
        <v>4821</v>
      </c>
      <c r="T15" s="164" t="s">
        <v>216</v>
      </c>
      <c r="U15" s="165">
        <v>2024</v>
      </c>
      <c r="V15" s="152">
        <v>8.0000000000000002E-3</v>
      </c>
      <c r="W15" s="152">
        <v>1.2999999999999999E-2</v>
      </c>
      <c r="X15" s="152">
        <v>1.0999999999999999E-2</v>
      </c>
      <c r="Y15" s="152">
        <v>5.0000000000000001E-3</v>
      </c>
      <c r="Z15" s="152"/>
      <c r="AA15" s="153">
        <f>AVERAGE(V15:Y15)</f>
        <v>9.2499999999999995E-3</v>
      </c>
      <c r="AB15" s="153">
        <f>AVERAGE(V15:Y15)</f>
        <v>9.2499999999999995E-3</v>
      </c>
    </row>
    <row r="16" spans="1:28" x14ac:dyDescent="0.35">
      <c r="A16" s="148">
        <v>42005</v>
      </c>
      <c r="B16">
        <f t="shared" si="0"/>
        <v>2015</v>
      </c>
      <c r="C16" s="148" t="s">
        <v>206</v>
      </c>
      <c r="D16" s="170">
        <v>6851.1</v>
      </c>
      <c r="E16" s="170">
        <v>6809.7</v>
      </c>
      <c r="F16" s="169">
        <v>727609.6</v>
      </c>
      <c r="G16" s="169">
        <v>6877.7</v>
      </c>
      <c r="H16" s="169">
        <v>7729.3</v>
      </c>
      <c r="I16" s="169">
        <v>10.199999999999999</v>
      </c>
      <c r="J16" s="169">
        <v>143.30000000000001</v>
      </c>
      <c r="K16" s="169">
        <v>455</v>
      </c>
      <c r="L16" s="169">
        <v>276.7</v>
      </c>
      <c r="M16" s="169">
        <v>1708.7</v>
      </c>
      <c r="N16" s="169">
        <v>2868.4</v>
      </c>
      <c r="O16" s="171">
        <v>718587</v>
      </c>
      <c r="P16" s="171">
        <v>6731</v>
      </c>
      <c r="Q16" s="171">
        <v>3741</v>
      </c>
      <c r="R16" s="171">
        <v>4847</v>
      </c>
      <c r="T16" s="12"/>
      <c r="U16">
        <v>2025</v>
      </c>
      <c r="V16" s="166">
        <v>1.4999999999999999E-2</v>
      </c>
      <c r="W16" s="166">
        <v>2.3E-2</v>
      </c>
      <c r="X16" s="166">
        <v>0.02</v>
      </c>
      <c r="Y16" s="166">
        <v>1.9E-2</v>
      </c>
      <c r="AA16" s="153">
        <f>AVERAGE(V16:Y16)</f>
        <v>1.925E-2</v>
      </c>
      <c r="AB16" s="153">
        <f>AVERAGE(V16:Y16)</f>
        <v>1.925E-2</v>
      </c>
    </row>
    <row r="17" spans="1:28" x14ac:dyDescent="0.35">
      <c r="A17" s="148">
        <v>42036</v>
      </c>
      <c r="B17">
        <f t="shared" si="0"/>
        <v>2015</v>
      </c>
      <c r="C17" s="148" t="s">
        <v>206</v>
      </c>
      <c r="D17" s="170">
        <v>6859.2</v>
      </c>
      <c r="E17" s="170">
        <v>6782.7</v>
      </c>
      <c r="F17" s="169">
        <v>727609.6</v>
      </c>
      <c r="G17" s="169">
        <v>6877.7</v>
      </c>
      <c r="H17" s="169">
        <v>7729.3</v>
      </c>
      <c r="I17" s="169">
        <v>10.199999999999999</v>
      </c>
      <c r="J17" s="169">
        <v>143.30000000000001</v>
      </c>
      <c r="K17" s="169">
        <v>455</v>
      </c>
      <c r="L17" s="169">
        <v>276.7</v>
      </c>
      <c r="M17" s="169">
        <v>1708.7</v>
      </c>
      <c r="N17" s="169">
        <v>2868.4</v>
      </c>
      <c r="O17" s="171">
        <v>718587</v>
      </c>
      <c r="P17" s="171">
        <v>6731</v>
      </c>
      <c r="Q17" s="171">
        <v>3741</v>
      </c>
      <c r="R17" s="171">
        <v>4847</v>
      </c>
      <c r="T17" s="12"/>
      <c r="AB17" s="153"/>
    </row>
    <row r="18" spans="1:28" x14ac:dyDescent="0.35">
      <c r="A18" s="148">
        <v>42064</v>
      </c>
      <c r="B18">
        <f t="shared" si="0"/>
        <v>2015</v>
      </c>
      <c r="C18" s="148" t="s">
        <v>206</v>
      </c>
      <c r="D18" s="170">
        <v>6870</v>
      </c>
      <c r="E18" s="170">
        <v>6761.8</v>
      </c>
      <c r="F18" s="169">
        <v>727609.6</v>
      </c>
      <c r="G18" s="169">
        <v>6877.7</v>
      </c>
      <c r="H18" s="169">
        <v>7729.3</v>
      </c>
      <c r="I18" s="169">
        <v>10.199999999999999</v>
      </c>
      <c r="J18" s="169">
        <v>143.30000000000001</v>
      </c>
      <c r="K18" s="169">
        <v>455</v>
      </c>
      <c r="L18" s="169">
        <v>276.7</v>
      </c>
      <c r="M18" s="169">
        <v>1708.7</v>
      </c>
      <c r="N18" s="169">
        <v>2868.4</v>
      </c>
      <c r="O18" s="171">
        <v>718587</v>
      </c>
      <c r="P18" s="171">
        <v>6731</v>
      </c>
      <c r="Q18" s="171">
        <v>3741</v>
      </c>
      <c r="R18" s="171">
        <v>4847</v>
      </c>
      <c r="T18" s="12"/>
      <c r="V18" s="162">
        <v>45462</v>
      </c>
      <c r="W18" s="162">
        <v>45492</v>
      </c>
      <c r="X18" s="162">
        <v>45491</v>
      </c>
      <c r="Y18" s="162">
        <v>45455</v>
      </c>
      <c r="Z18" s="163"/>
      <c r="AB18" s="153"/>
    </row>
    <row r="19" spans="1:28" x14ac:dyDescent="0.35">
      <c r="A19" s="148">
        <v>42095</v>
      </c>
      <c r="B19">
        <f t="shared" si="0"/>
        <v>2015</v>
      </c>
      <c r="C19" s="148" t="s">
        <v>208</v>
      </c>
      <c r="D19" s="170">
        <v>6876.8</v>
      </c>
      <c r="E19" s="170">
        <v>6786.4</v>
      </c>
      <c r="F19" s="169">
        <v>727609.6</v>
      </c>
      <c r="G19" s="169">
        <v>6877.7</v>
      </c>
      <c r="H19" s="169">
        <v>7729.3</v>
      </c>
      <c r="I19" s="169">
        <v>10.199999999999999</v>
      </c>
      <c r="J19" s="169">
        <v>143.30000000000001</v>
      </c>
      <c r="K19" s="169">
        <v>455</v>
      </c>
      <c r="L19" s="169">
        <v>276.7</v>
      </c>
      <c r="M19" s="169">
        <v>1708.7</v>
      </c>
      <c r="N19" s="169">
        <v>2868.4</v>
      </c>
      <c r="O19" s="171">
        <v>723726</v>
      </c>
      <c r="P19" s="171">
        <v>6925</v>
      </c>
      <c r="Q19" s="171">
        <v>3860</v>
      </c>
      <c r="R19" s="171">
        <v>4906</v>
      </c>
      <c r="T19" s="12"/>
      <c r="U19">
        <v>2023</v>
      </c>
      <c r="V19" s="152">
        <v>2.4E-2</v>
      </c>
      <c r="W19" s="152">
        <v>2.4E-2</v>
      </c>
      <c r="X19" s="152">
        <v>2.4E-2</v>
      </c>
      <c r="Y19" s="152">
        <v>2.4E-2</v>
      </c>
      <c r="Z19" s="152"/>
      <c r="AA19" s="153">
        <f>AVERAGE(V19:Y19)</f>
        <v>2.4E-2</v>
      </c>
      <c r="AB19" s="153">
        <f>AVERAGE(V19:Y19)</f>
        <v>2.4E-2</v>
      </c>
    </row>
    <row r="20" spans="1:28" x14ac:dyDescent="0.35">
      <c r="A20" s="148">
        <v>42125</v>
      </c>
      <c r="B20">
        <f t="shared" si="0"/>
        <v>2015</v>
      </c>
      <c r="C20" s="148" t="s">
        <v>208</v>
      </c>
      <c r="D20" s="170">
        <v>6883.3</v>
      </c>
      <c r="E20" s="170">
        <v>6848.1</v>
      </c>
      <c r="F20" s="169">
        <v>727609.6</v>
      </c>
      <c r="G20" s="169">
        <v>6877.7</v>
      </c>
      <c r="H20" s="169">
        <v>7729.3</v>
      </c>
      <c r="I20" s="169">
        <v>10.199999999999999</v>
      </c>
      <c r="J20" s="169">
        <v>143.30000000000001</v>
      </c>
      <c r="K20" s="169">
        <v>455</v>
      </c>
      <c r="L20" s="169">
        <v>276.7</v>
      </c>
      <c r="M20" s="169">
        <v>1708.7</v>
      </c>
      <c r="N20" s="169">
        <v>2868.4</v>
      </c>
      <c r="O20" s="171">
        <v>723726</v>
      </c>
      <c r="P20" s="171">
        <v>6925</v>
      </c>
      <c r="Q20" s="171">
        <v>3860</v>
      </c>
      <c r="R20" s="171">
        <v>4906</v>
      </c>
      <c r="T20" s="164" t="s">
        <v>218</v>
      </c>
      <c r="U20" s="165">
        <v>2024</v>
      </c>
      <c r="V20" s="152">
        <v>1.2999999999999999E-2</v>
      </c>
      <c r="W20" s="152">
        <v>1.4E-2</v>
      </c>
      <c r="X20" s="152">
        <v>1.2999999999999999E-2</v>
      </c>
      <c r="Y20" s="152">
        <v>8.9999999999999993E-3</v>
      </c>
      <c r="Z20" s="167"/>
      <c r="AA20" s="153">
        <f>AVERAGE(V20:Y20)</f>
        <v>1.225E-2</v>
      </c>
      <c r="AB20" s="153">
        <f>AVERAGE(V20:Y20)</f>
        <v>1.225E-2</v>
      </c>
    </row>
    <row r="21" spans="1:28" x14ac:dyDescent="0.35">
      <c r="A21" s="148">
        <v>42156</v>
      </c>
      <c r="B21">
        <f t="shared" si="0"/>
        <v>2015</v>
      </c>
      <c r="C21" s="148" t="s">
        <v>208</v>
      </c>
      <c r="D21" s="170">
        <v>6883.6</v>
      </c>
      <c r="E21" s="170">
        <v>6930.1</v>
      </c>
      <c r="F21" s="169">
        <v>727609.6</v>
      </c>
      <c r="G21" s="169">
        <v>6877.7</v>
      </c>
      <c r="H21" s="169">
        <v>7729.3</v>
      </c>
      <c r="I21" s="169">
        <v>10.199999999999999</v>
      </c>
      <c r="J21" s="169">
        <v>143.30000000000001</v>
      </c>
      <c r="K21" s="169">
        <v>455</v>
      </c>
      <c r="L21" s="169">
        <v>276.7</v>
      </c>
      <c r="M21" s="169">
        <v>1708.7</v>
      </c>
      <c r="N21" s="169">
        <v>2868.4</v>
      </c>
      <c r="O21" s="171">
        <v>723726</v>
      </c>
      <c r="P21" s="171">
        <v>6925</v>
      </c>
      <c r="Q21" s="171">
        <v>3860</v>
      </c>
      <c r="R21" s="171">
        <v>4906</v>
      </c>
      <c r="T21" s="12"/>
      <c r="U21">
        <v>2025</v>
      </c>
      <c r="V21" s="166">
        <v>8.9999999999999993E-3</v>
      </c>
      <c r="W21" s="166">
        <v>0.02</v>
      </c>
      <c r="X21" s="166">
        <v>1.2E-2</v>
      </c>
      <c r="Y21" s="166">
        <v>1.7999999999999999E-2</v>
      </c>
      <c r="AA21" s="153">
        <f>AVERAGE(V21:Y21)</f>
        <v>1.4749999999999999E-2</v>
      </c>
      <c r="AB21" s="153">
        <f>AVERAGE(V21:Y21)</f>
        <v>1.4749999999999999E-2</v>
      </c>
    </row>
    <row r="22" spans="1:28" x14ac:dyDescent="0.35">
      <c r="A22" s="148">
        <v>42186</v>
      </c>
      <c r="B22">
        <f t="shared" si="0"/>
        <v>2015</v>
      </c>
      <c r="C22" s="148" t="s">
        <v>215</v>
      </c>
      <c r="D22" s="170">
        <v>6891.7</v>
      </c>
      <c r="E22" s="170">
        <v>6986.1</v>
      </c>
      <c r="F22" s="169">
        <v>727609.6</v>
      </c>
      <c r="G22" s="169">
        <v>6877.7</v>
      </c>
      <c r="H22" s="169">
        <v>7729.3</v>
      </c>
      <c r="I22" s="169">
        <v>10.199999999999999</v>
      </c>
      <c r="J22" s="169">
        <v>143.30000000000001</v>
      </c>
      <c r="K22" s="169">
        <v>455</v>
      </c>
      <c r="L22" s="169">
        <v>276.7</v>
      </c>
      <c r="M22" s="169">
        <v>1708.7</v>
      </c>
      <c r="N22" s="169">
        <v>2868.4</v>
      </c>
      <c r="O22" s="171">
        <v>730341</v>
      </c>
      <c r="P22" s="171">
        <v>6908</v>
      </c>
      <c r="Q22" s="171">
        <v>4033</v>
      </c>
      <c r="R22" s="171">
        <v>5024</v>
      </c>
    </row>
    <row r="23" spans="1:28" x14ac:dyDescent="0.35">
      <c r="A23" s="148">
        <v>42217</v>
      </c>
      <c r="B23">
        <f t="shared" si="0"/>
        <v>2015</v>
      </c>
      <c r="C23" s="148" t="s">
        <v>215</v>
      </c>
      <c r="D23" s="170">
        <v>6896.8</v>
      </c>
      <c r="E23" s="170">
        <v>7000.2</v>
      </c>
      <c r="F23" s="169">
        <v>727609.6</v>
      </c>
      <c r="G23" s="169">
        <v>6877.7</v>
      </c>
      <c r="H23" s="169">
        <v>7729.3</v>
      </c>
      <c r="I23" s="169">
        <v>10.199999999999999</v>
      </c>
      <c r="J23" s="169">
        <v>143.30000000000001</v>
      </c>
      <c r="K23" s="169">
        <v>455</v>
      </c>
      <c r="L23" s="169">
        <v>276.7</v>
      </c>
      <c r="M23" s="169">
        <v>1708.7</v>
      </c>
      <c r="N23" s="169">
        <v>2868.4</v>
      </c>
      <c r="O23" s="171">
        <v>730341</v>
      </c>
      <c r="P23" s="171">
        <v>6908</v>
      </c>
      <c r="Q23" s="171">
        <v>4033</v>
      </c>
      <c r="R23" s="171">
        <v>5024</v>
      </c>
    </row>
    <row r="24" spans="1:28" x14ac:dyDescent="0.35">
      <c r="A24" s="148">
        <v>42248</v>
      </c>
      <c r="B24">
        <f t="shared" si="0"/>
        <v>2015</v>
      </c>
      <c r="C24" s="148" t="s">
        <v>215</v>
      </c>
      <c r="D24" s="170">
        <v>6893.1</v>
      </c>
      <c r="E24" s="170">
        <v>6953.7</v>
      </c>
      <c r="F24" s="169">
        <v>727609.6</v>
      </c>
      <c r="G24" s="169">
        <v>6877.7</v>
      </c>
      <c r="H24" s="169">
        <v>7729.3</v>
      </c>
      <c r="I24" s="169">
        <v>10.199999999999999</v>
      </c>
      <c r="J24" s="169">
        <v>143.30000000000001</v>
      </c>
      <c r="K24" s="169">
        <v>455</v>
      </c>
      <c r="L24" s="169">
        <v>276.7</v>
      </c>
      <c r="M24" s="169">
        <v>1708.7</v>
      </c>
      <c r="N24" s="169">
        <v>2868.4</v>
      </c>
      <c r="O24" s="171">
        <v>730341</v>
      </c>
      <c r="P24" s="171">
        <v>6908</v>
      </c>
      <c r="Q24" s="171">
        <v>4033</v>
      </c>
      <c r="R24" s="171">
        <v>5024</v>
      </c>
    </row>
    <row r="25" spans="1:28" x14ac:dyDescent="0.35">
      <c r="A25" s="148">
        <v>42278</v>
      </c>
      <c r="B25">
        <f t="shared" si="0"/>
        <v>2015</v>
      </c>
      <c r="C25" s="148" t="s">
        <v>217</v>
      </c>
      <c r="D25" s="170">
        <v>6892.9</v>
      </c>
      <c r="E25" s="170">
        <v>6932.8</v>
      </c>
      <c r="F25" s="169">
        <v>727609.6</v>
      </c>
      <c r="G25" s="169">
        <v>6877.7</v>
      </c>
      <c r="H25" s="169">
        <v>7729.3</v>
      </c>
      <c r="I25" s="169">
        <v>10.199999999999999</v>
      </c>
      <c r="J25" s="169">
        <v>143.30000000000001</v>
      </c>
      <c r="K25" s="169">
        <v>455</v>
      </c>
      <c r="L25" s="169">
        <v>276.7</v>
      </c>
      <c r="M25" s="169">
        <v>1708.7</v>
      </c>
      <c r="N25" s="169">
        <v>2868.4</v>
      </c>
      <c r="O25" s="171">
        <v>737784</v>
      </c>
      <c r="P25" s="171">
        <v>6947</v>
      </c>
      <c r="Q25" s="171">
        <v>4047</v>
      </c>
      <c r="R25" s="171">
        <v>5216</v>
      </c>
    </row>
    <row r="26" spans="1:28" x14ac:dyDescent="0.35">
      <c r="A26" s="148">
        <v>42309</v>
      </c>
      <c r="B26">
        <f t="shared" si="0"/>
        <v>2015</v>
      </c>
      <c r="C26" s="148" t="s">
        <v>217</v>
      </c>
      <c r="D26" s="170">
        <v>6886.2</v>
      </c>
      <c r="E26" s="170">
        <v>6898.2</v>
      </c>
      <c r="F26" s="169">
        <v>727609.6</v>
      </c>
      <c r="G26" s="169">
        <v>6877.7</v>
      </c>
      <c r="H26" s="169">
        <v>7729.3</v>
      </c>
      <c r="I26" s="169">
        <v>10.199999999999999</v>
      </c>
      <c r="J26" s="169">
        <v>143.30000000000001</v>
      </c>
      <c r="K26" s="169">
        <v>455</v>
      </c>
      <c r="L26" s="169">
        <v>276.7</v>
      </c>
      <c r="M26" s="169">
        <v>1708.7</v>
      </c>
      <c r="N26" s="169">
        <v>2868.4</v>
      </c>
      <c r="O26" s="171">
        <v>737784</v>
      </c>
      <c r="P26" s="171">
        <v>6947</v>
      </c>
      <c r="Q26" s="171">
        <v>4047</v>
      </c>
      <c r="R26" s="171">
        <v>5216</v>
      </c>
    </row>
    <row r="27" spans="1:28" x14ac:dyDescent="0.35">
      <c r="A27" s="148">
        <v>42339</v>
      </c>
      <c r="B27">
        <f t="shared" si="0"/>
        <v>2015</v>
      </c>
      <c r="C27" s="148" t="s">
        <v>217</v>
      </c>
      <c r="D27" s="170">
        <v>6895.6</v>
      </c>
      <c r="E27" s="170">
        <v>6902.3</v>
      </c>
      <c r="F27" s="169">
        <v>727609.6</v>
      </c>
      <c r="G27" s="169">
        <v>6877.7</v>
      </c>
      <c r="H27" s="169">
        <v>7729.3</v>
      </c>
      <c r="I27" s="169">
        <v>10.199999999999999</v>
      </c>
      <c r="J27" s="169">
        <v>143.30000000000001</v>
      </c>
      <c r="K27" s="169">
        <v>455</v>
      </c>
      <c r="L27" s="169">
        <v>276.7</v>
      </c>
      <c r="M27" s="169">
        <v>1708.7</v>
      </c>
      <c r="N27" s="169">
        <v>2868.4</v>
      </c>
      <c r="O27" s="171">
        <v>737784</v>
      </c>
      <c r="P27" s="171">
        <v>6947</v>
      </c>
      <c r="Q27" s="171">
        <v>4047</v>
      </c>
      <c r="R27" s="171">
        <v>5216</v>
      </c>
    </row>
    <row r="28" spans="1:28" x14ac:dyDescent="0.35">
      <c r="A28" s="148">
        <v>42370</v>
      </c>
      <c r="B28">
        <f t="shared" si="0"/>
        <v>2016</v>
      </c>
      <c r="C28" s="148" t="s">
        <v>206</v>
      </c>
      <c r="D28" s="170">
        <v>6908.4</v>
      </c>
      <c r="E28" s="170">
        <v>6871.2</v>
      </c>
      <c r="F28" s="169">
        <v>743976.2</v>
      </c>
      <c r="G28" s="169">
        <v>6953.7</v>
      </c>
      <c r="H28" s="169">
        <v>7852.2</v>
      </c>
      <c r="I28" s="169">
        <v>163.80000000000001</v>
      </c>
      <c r="J28" s="169">
        <v>89.9</v>
      </c>
      <c r="K28" s="169">
        <v>467.1</v>
      </c>
      <c r="L28" s="169">
        <v>266.89999999999998</v>
      </c>
      <c r="M28" s="169">
        <v>1866.9</v>
      </c>
      <c r="N28" s="169">
        <v>2820.7</v>
      </c>
      <c r="O28" s="171">
        <v>743287</v>
      </c>
      <c r="P28" s="171">
        <v>6948</v>
      </c>
      <c r="Q28" s="171">
        <v>4133</v>
      </c>
      <c r="R28" s="171">
        <v>5158</v>
      </c>
    </row>
    <row r="29" spans="1:28" x14ac:dyDescent="0.35">
      <c r="A29" s="148">
        <v>42401</v>
      </c>
      <c r="B29">
        <f t="shared" si="0"/>
        <v>2016</v>
      </c>
      <c r="C29" s="148" t="s">
        <v>206</v>
      </c>
      <c r="D29" s="170">
        <v>6922.3</v>
      </c>
      <c r="E29" s="170">
        <v>6850.4</v>
      </c>
      <c r="F29" s="169">
        <v>743976.2</v>
      </c>
      <c r="G29" s="169">
        <v>6953.7</v>
      </c>
      <c r="H29" s="169">
        <v>7852.2</v>
      </c>
      <c r="I29" s="169">
        <v>163.80000000000001</v>
      </c>
      <c r="J29" s="169">
        <v>89.9</v>
      </c>
      <c r="K29" s="169">
        <v>467.1</v>
      </c>
      <c r="L29" s="169">
        <v>266.89999999999998</v>
      </c>
      <c r="M29" s="169">
        <v>1866.9</v>
      </c>
      <c r="N29" s="169">
        <v>2820.7</v>
      </c>
      <c r="O29" s="171">
        <v>743287</v>
      </c>
      <c r="P29" s="171">
        <v>6948</v>
      </c>
      <c r="Q29" s="171">
        <v>4133</v>
      </c>
      <c r="R29" s="171">
        <v>5158</v>
      </c>
    </row>
    <row r="30" spans="1:28" x14ac:dyDescent="0.35">
      <c r="A30" s="148">
        <v>42430</v>
      </c>
      <c r="B30">
        <f t="shared" si="0"/>
        <v>2016</v>
      </c>
      <c r="C30" s="148" t="s">
        <v>206</v>
      </c>
      <c r="D30" s="170">
        <v>6930.2</v>
      </c>
      <c r="E30" s="170">
        <v>6827.3</v>
      </c>
      <c r="F30" s="169">
        <v>743976.2</v>
      </c>
      <c r="G30" s="169">
        <v>6953.7</v>
      </c>
      <c r="H30" s="169">
        <v>7852.2</v>
      </c>
      <c r="I30" s="169">
        <v>163.80000000000001</v>
      </c>
      <c r="J30" s="169">
        <v>89.9</v>
      </c>
      <c r="K30" s="169">
        <v>467.1</v>
      </c>
      <c r="L30" s="169">
        <v>266.89999999999998</v>
      </c>
      <c r="M30" s="169">
        <v>1866.9</v>
      </c>
      <c r="N30" s="169">
        <v>2820.7</v>
      </c>
      <c r="O30" s="171">
        <v>743287</v>
      </c>
      <c r="P30" s="171">
        <v>6948</v>
      </c>
      <c r="Q30" s="171">
        <v>4133</v>
      </c>
      <c r="R30" s="171">
        <v>5158</v>
      </c>
    </row>
    <row r="31" spans="1:28" x14ac:dyDescent="0.35">
      <c r="A31" s="148">
        <v>42461</v>
      </c>
      <c r="B31">
        <f t="shared" si="0"/>
        <v>2016</v>
      </c>
      <c r="C31" s="148" t="s">
        <v>208</v>
      </c>
      <c r="D31" s="170">
        <v>6931.9</v>
      </c>
      <c r="E31" s="170">
        <v>6843.7</v>
      </c>
      <c r="F31" s="169">
        <v>743976.2</v>
      </c>
      <c r="G31" s="169">
        <v>6953.7</v>
      </c>
      <c r="H31" s="169">
        <v>7852.2</v>
      </c>
      <c r="I31" s="169">
        <v>163.80000000000001</v>
      </c>
      <c r="J31" s="169">
        <v>89.9</v>
      </c>
      <c r="K31" s="169">
        <v>467.1</v>
      </c>
      <c r="L31" s="169">
        <v>266.89999999999998</v>
      </c>
      <c r="M31" s="169">
        <v>1866.9</v>
      </c>
      <c r="N31" s="169">
        <v>2820.7</v>
      </c>
      <c r="O31" s="171">
        <v>740632</v>
      </c>
      <c r="P31" s="171">
        <v>6954</v>
      </c>
      <c r="Q31" s="171">
        <v>4151</v>
      </c>
      <c r="R31" s="171">
        <v>5078</v>
      </c>
    </row>
    <row r="32" spans="1:28" x14ac:dyDescent="0.35">
      <c r="A32" s="148">
        <v>42491</v>
      </c>
      <c r="B32">
        <f t="shared" si="0"/>
        <v>2016</v>
      </c>
      <c r="C32" s="148" t="s">
        <v>208</v>
      </c>
      <c r="D32" s="170">
        <v>6944.7</v>
      </c>
      <c r="E32" s="170">
        <v>6913.7</v>
      </c>
      <c r="F32" s="169">
        <v>743976.2</v>
      </c>
      <c r="G32" s="169">
        <v>6953.7</v>
      </c>
      <c r="H32" s="169">
        <v>7852.2</v>
      </c>
      <c r="I32" s="169">
        <v>163.80000000000001</v>
      </c>
      <c r="J32" s="169">
        <v>89.9</v>
      </c>
      <c r="K32" s="169">
        <v>467.1</v>
      </c>
      <c r="L32" s="169">
        <v>266.89999999999998</v>
      </c>
      <c r="M32" s="169">
        <v>1866.9</v>
      </c>
      <c r="N32" s="169">
        <v>2820.7</v>
      </c>
      <c r="O32" s="171">
        <v>740632</v>
      </c>
      <c r="P32" s="171">
        <v>6954</v>
      </c>
      <c r="Q32" s="171">
        <v>4151</v>
      </c>
      <c r="R32" s="171">
        <v>5078</v>
      </c>
    </row>
    <row r="33" spans="1:18" x14ac:dyDescent="0.35">
      <c r="A33" s="148">
        <v>42522</v>
      </c>
      <c r="B33">
        <f t="shared" si="0"/>
        <v>2016</v>
      </c>
      <c r="C33" s="148" t="s">
        <v>208</v>
      </c>
      <c r="D33" s="170">
        <v>6955.5</v>
      </c>
      <c r="E33" s="170">
        <v>7000.2</v>
      </c>
      <c r="F33" s="169">
        <v>743976.2</v>
      </c>
      <c r="G33" s="169">
        <v>6953.7</v>
      </c>
      <c r="H33" s="169">
        <v>7852.2</v>
      </c>
      <c r="I33" s="169">
        <v>163.80000000000001</v>
      </c>
      <c r="J33" s="169">
        <v>89.9</v>
      </c>
      <c r="K33" s="169">
        <v>467.1</v>
      </c>
      <c r="L33" s="169">
        <v>266.89999999999998</v>
      </c>
      <c r="M33" s="169">
        <v>1866.9</v>
      </c>
      <c r="N33" s="169">
        <v>2820.7</v>
      </c>
      <c r="O33" s="171">
        <v>740632</v>
      </c>
      <c r="P33" s="171">
        <v>6954</v>
      </c>
      <c r="Q33" s="171">
        <v>4151</v>
      </c>
      <c r="R33" s="171">
        <v>5078</v>
      </c>
    </row>
    <row r="34" spans="1:18" x14ac:dyDescent="0.35">
      <c r="A34" s="148">
        <v>42552</v>
      </c>
      <c r="B34">
        <f t="shared" si="0"/>
        <v>2016</v>
      </c>
      <c r="C34" s="148" t="s">
        <v>215</v>
      </c>
      <c r="D34" s="170">
        <v>6956.3</v>
      </c>
      <c r="E34" s="170">
        <v>7049.5</v>
      </c>
      <c r="F34" s="169">
        <v>743976.2</v>
      </c>
      <c r="G34" s="169">
        <v>6953.7</v>
      </c>
      <c r="H34" s="169">
        <v>7852.2</v>
      </c>
      <c r="I34" s="169">
        <v>163.80000000000001</v>
      </c>
      <c r="J34" s="169">
        <v>89.9</v>
      </c>
      <c r="K34" s="169">
        <v>467.1</v>
      </c>
      <c r="L34" s="169">
        <v>266.89999999999998</v>
      </c>
      <c r="M34" s="169">
        <v>1866.9</v>
      </c>
      <c r="N34" s="169">
        <v>2820.7</v>
      </c>
      <c r="O34" s="171">
        <v>746606</v>
      </c>
      <c r="P34" s="171">
        <v>6970</v>
      </c>
      <c r="Q34" s="171">
        <v>4185</v>
      </c>
      <c r="R34" s="171">
        <v>5000</v>
      </c>
    </row>
    <row r="35" spans="1:18" x14ac:dyDescent="0.35">
      <c r="A35" s="148">
        <v>42583</v>
      </c>
      <c r="B35">
        <f t="shared" si="0"/>
        <v>2016</v>
      </c>
      <c r="C35" s="148" t="s">
        <v>215</v>
      </c>
      <c r="D35" s="170">
        <v>6953.5</v>
      </c>
      <c r="E35" s="170">
        <v>7045.6</v>
      </c>
      <c r="F35" s="169">
        <v>743976.2</v>
      </c>
      <c r="G35" s="169">
        <v>6953.7</v>
      </c>
      <c r="H35" s="169">
        <v>7852.2</v>
      </c>
      <c r="I35" s="169">
        <v>163.80000000000001</v>
      </c>
      <c r="J35" s="169">
        <v>89.9</v>
      </c>
      <c r="K35" s="169">
        <v>467.1</v>
      </c>
      <c r="L35" s="169">
        <v>266.89999999999998</v>
      </c>
      <c r="M35" s="169">
        <v>1866.9</v>
      </c>
      <c r="N35" s="169">
        <v>2820.7</v>
      </c>
      <c r="O35" s="171">
        <v>746606</v>
      </c>
      <c r="P35" s="171">
        <v>6970</v>
      </c>
      <c r="Q35" s="171">
        <v>4185</v>
      </c>
      <c r="R35" s="171">
        <v>5000</v>
      </c>
    </row>
    <row r="36" spans="1:18" x14ac:dyDescent="0.35">
      <c r="A36" s="148">
        <v>42614</v>
      </c>
      <c r="B36">
        <f t="shared" si="0"/>
        <v>2016</v>
      </c>
      <c r="C36" s="148" t="s">
        <v>215</v>
      </c>
      <c r="D36" s="170">
        <v>6950.1</v>
      </c>
      <c r="E36" s="170">
        <v>6998.1</v>
      </c>
      <c r="F36" s="169">
        <v>743976.2</v>
      </c>
      <c r="G36" s="169">
        <v>6953.7</v>
      </c>
      <c r="H36" s="169">
        <v>7852.2</v>
      </c>
      <c r="I36" s="169">
        <v>163.80000000000001</v>
      </c>
      <c r="J36" s="169">
        <v>89.9</v>
      </c>
      <c r="K36" s="169">
        <v>467.1</v>
      </c>
      <c r="L36" s="169">
        <v>266.89999999999998</v>
      </c>
      <c r="M36" s="169">
        <v>1866.9</v>
      </c>
      <c r="N36" s="169">
        <v>2820.7</v>
      </c>
      <c r="O36" s="171">
        <v>746606</v>
      </c>
      <c r="P36" s="171">
        <v>6970</v>
      </c>
      <c r="Q36" s="171">
        <v>4185</v>
      </c>
      <c r="R36" s="171">
        <v>5000</v>
      </c>
    </row>
    <row r="37" spans="1:18" x14ac:dyDescent="0.35">
      <c r="A37" s="148">
        <v>42644</v>
      </c>
      <c r="B37">
        <f t="shared" si="0"/>
        <v>2016</v>
      </c>
      <c r="C37" s="148" t="s">
        <v>217</v>
      </c>
      <c r="D37" s="170">
        <v>6963.9</v>
      </c>
      <c r="E37" s="170">
        <v>6990.5</v>
      </c>
      <c r="F37" s="169">
        <v>743976.2</v>
      </c>
      <c r="G37" s="169">
        <v>6953.7</v>
      </c>
      <c r="H37" s="169">
        <v>7852.2</v>
      </c>
      <c r="I37" s="169">
        <v>163.80000000000001</v>
      </c>
      <c r="J37" s="169">
        <v>89.9</v>
      </c>
      <c r="K37" s="169">
        <v>467.1</v>
      </c>
      <c r="L37" s="169">
        <v>266.89999999999998</v>
      </c>
      <c r="M37" s="169">
        <v>1866.9</v>
      </c>
      <c r="N37" s="169">
        <v>2820.7</v>
      </c>
      <c r="O37" s="171">
        <v>745380</v>
      </c>
      <c r="P37" s="171">
        <v>6943</v>
      </c>
      <c r="Q37" s="171">
        <v>4339</v>
      </c>
      <c r="R37" s="171">
        <v>5014</v>
      </c>
    </row>
    <row r="38" spans="1:18" x14ac:dyDescent="0.35">
      <c r="A38" s="148">
        <v>42675</v>
      </c>
      <c r="B38">
        <f t="shared" si="0"/>
        <v>2016</v>
      </c>
      <c r="C38" s="148" t="s">
        <v>217</v>
      </c>
      <c r="D38" s="170">
        <v>6977.8</v>
      </c>
      <c r="E38" s="170">
        <v>6983.4</v>
      </c>
      <c r="F38" s="169">
        <v>743976.2</v>
      </c>
      <c r="G38" s="169">
        <v>6953.7</v>
      </c>
      <c r="H38" s="169">
        <v>7852.2</v>
      </c>
      <c r="I38" s="169">
        <v>163.80000000000001</v>
      </c>
      <c r="J38" s="169">
        <v>89.9</v>
      </c>
      <c r="K38" s="169">
        <v>467.1</v>
      </c>
      <c r="L38" s="169">
        <v>266.89999999999998</v>
      </c>
      <c r="M38" s="169">
        <v>1866.9</v>
      </c>
      <c r="N38" s="169">
        <v>2820.7</v>
      </c>
      <c r="O38" s="171">
        <v>745380</v>
      </c>
      <c r="P38" s="171">
        <v>6943</v>
      </c>
      <c r="Q38" s="171">
        <v>4339</v>
      </c>
      <c r="R38" s="171">
        <v>5014</v>
      </c>
    </row>
    <row r="39" spans="1:18" x14ac:dyDescent="0.35">
      <c r="A39" s="148">
        <v>42705</v>
      </c>
      <c r="B39">
        <f t="shared" si="0"/>
        <v>2016</v>
      </c>
      <c r="C39" s="148" t="s">
        <v>217</v>
      </c>
      <c r="D39" s="170">
        <v>6992.4</v>
      </c>
      <c r="E39" s="170">
        <v>6999.9</v>
      </c>
      <c r="F39" s="169">
        <v>743976.2</v>
      </c>
      <c r="G39" s="169">
        <v>6953.7</v>
      </c>
      <c r="H39" s="169">
        <v>7852.2</v>
      </c>
      <c r="I39" s="169">
        <v>163.80000000000001</v>
      </c>
      <c r="J39" s="169">
        <v>89.9</v>
      </c>
      <c r="K39" s="169">
        <v>467.1</v>
      </c>
      <c r="L39" s="169">
        <v>266.89999999999998</v>
      </c>
      <c r="M39" s="169">
        <v>1866.9</v>
      </c>
      <c r="N39" s="169">
        <v>2820.7</v>
      </c>
      <c r="O39" s="171">
        <v>745380</v>
      </c>
      <c r="P39" s="171">
        <v>6943</v>
      </c>
      <c r="Q39" s="171">
        <v>4339</v>
      </c>
      <c r="R39" s="171">
        <v>5014</v>
      </c>
    </row>
    <row r="40" spans="1:18" x14ac:dyDescent="0.35">
      <c r="A40" s="148">
        <v>42736</v>
      </c>
      <c r="B40">
        <f t="shared" si="0"/>
        <v>2017</v>
      </c>
      <c r="C40" s="148" t="s">
        <v>206</v>
      </c>
      <c r="D40" s="170">
        <v>7014.6</v>
      </c>
      <c r="E40" s="170">
        <v>6982.5</v>
      </c>
      <c r="F40" s="169">
        <v>764464.8</v>
      </c>
      <c r="G40" s="169">
        <v>7291.3</v>
      </c>
      <c r="H40" s="169">
        <v>7685.1</v>
      </c>
      <c r="I40" s="169">
        <v>124.8</v>
      </c>
      <c r="J40" s="169">
        <v>103.7</v>
      </c>
      <c r="K40" s="169">
        <v>439.9</v>
      </c>
      <c r="L40" s="169">
        <v>286.7</v>
      </c>
      <c r="M40" s="169">
        <v>1902.9</v>
      </c>
      <c r="N40" s="169">
        <v>2828.1</v>
      </c>
      <c r="O40" s="171">
        <v>756702</v>
      </c>
      <c r="P40" s="171">
        <v>7107</v>
      </c>
      <c r="Q40" s="171">
        <v>4631</v>
      </c>
      <c r="R40" s="171">
        <v>5121</v>
      </c>
    </row>
    <row r="41" spans="1:18" x14ac:dyDescent="0.35">
      <c r="A41" s="148">
        <v>42767</v>
      </c>
      <c r="B41">
        <f t="shared" si="0"/>
        <v>2017</v>
      </c>
      <c r="C41" s="148" t="s">
        <v>206</v>
      </c>
      <c r="D41" s="170">
        <v>7031.3</v>
      </c>
      <c r="E41" s="170">
        <v>6962.5</v>
      </c>
      <c r="F41" s="169">
        <v>764464.8</v>
      </c>
      <c r="G41" s="169">
        <v>7291.3</v>
      </c>
      <c r="H41" s="169">
        <v>7685.1</v>
      </c>
      <c r="I41" s="169">
        <v>124.8</v>
      </c>
      <c r="J41" s="169">
        <v>103.7</v>
      </c>
      <c r="K41" s="169">
        <v>439.9</v>
      </c>
      <c r="L41" s="169">
        <v>286.7</v>
      </c>
      <c r="M41" s="169">
        <v>1902.9</v>
      </c>
      <c r="N41" s="169">
        <v>2828.1</v>
      </c>
      <c r="O41" s="171">
        <v>756702</v>
      </c>
      <c r="P41" s="171">
        <v>7107</v>
      </c>
      <c r="Q41" s="171">
        <v>4631</v>
      </c>
      <c r="R41" s="171">
        <v>5121</v>
      </c>
    </row>
    <row r="42" spans="1:18" x14ac:dyDescent="0.35">
      <c r="A42" s="148">
        <v>42795</v>
      </c>
      <c r="B42">
        <f t="shared" si="0"/>
        <v>2017</v>
      </c>
      <c r="C42" s="148" t="s">
        <v>206</v>
      </c>
      <c r="D42" s="170">
        <v>7049</v>
      </c>
      <c r="E42" s="170">
        <v>6946</v>
      </c>
      <c r="F42" s="169">
        <v>764464.8</v>
      </c>
      <c r="G42" s="169">
        <v>7291.3</v>
      </c>
      <c r="H42" s="169">
        <v>7685.1</v>
      </c>
      <c r="I42" s="169">
        <v>124.8</v>
      </c>
      <c r="J42" s="169">
        <v>103.7</v>
      </c>
      <c r="K42" s="169">
        <v>439.9</v>
      </c>
      <c r="L42" s="169">
        <v>286.7</v>
      </c>
      <c r="M42" s="169">
        <v>1902.9</v>
      </c>
      <c r="N42" s="169">
        <v>2828.1</v>
      </c>
      <c r="O42" s="171">
        <v>756702</v>
      </c>
      <c r="P42" s="171">
        <v>7107</v>
      </c>
      <c r="Q42" s="171">
        <v>4631</v>
      </c>
      <c r="R42" s="171">
        <v>5121</v>
      </c>
    </row>
    <row r="43" spans="1:18" x14ac:dyDescent="0.35">
      <c r="A43" s="148">
        <v>42826</v>
      </c>
      <c r="B43">
        <f t="shared" si="0"/>
        <v>2017</v>
      </c>
      <c r="C43" s="148" t="s">
        <v>208</v>
      </c>
      <c r="D43" s="170">
        <v>7055.1</v>
      </c>
      <c r="E43" s="170">
        <v>6963.6</v>
      </c>
      <c r="F43" s="169">
        <v>764464.8</v>
      </c>
      <c r="G43" s="169">
        <v>7291.3</v>
      </c>
      <c r="H43" s="169">
        <v>7685.1</v>
      </c>
      <c r="I43" s="169">
        <v>124.8</v>
      </c>
      <c r="J43" s="169">
        <v>103.7</v>
      </c>
      <c r="K43" s="169">
        <v>439.9</v>
      </c>
      <c r="L43" s="169">
        <v>286.7</v>
      </c>
      <c r="M43" s="169">
        <v>1902.9</v>
      </c>
      <c r="N43" s="169">
        <v>2828.1</v>
      </c>
      <c r="O43" s="171">
        <v>764644</v>
      </c>
      <c r="P43" s="171">
        <v>7237</v>
      </c>
      <c r="Q43" s="171">
        <v>4332</v>
      </c>
      <c r="R43" s="171">
        <v>5127</v>
      </c>
    </row>
    <row r="44" spans="1:18" x14ac:dyDescent="0.35">
      <c r="A44" s="148">
        <v>42856</v>
      </c>
      <c r="B44">
        <f t="shared" ref="B44:B107" si="1">YEAR(A44)</f>
        <v>2017</v>
      </c>
      <c r="C44" s="148" t="s">
        <v>208</v>
      </c>
      <c r="D44" s="170">
        <v>7066.7</v>
      </c>
      <c r="E44" s="170">
        <v>7033.4</v>
      </c>
      <c r="F44" s="169">
        <v>764464.8</v>
      </c>
      <c r="G44" s="169">
        <v>7291.3</v>
      </c>
      <c r="H44" s="169">
        <v>7685.1</v>
      </c>
      <c r="I44" s="169">
        <v>124.8</v>
      </c>
      <c r="J44" s="169">
        <v>103.7</v>
      </c>
      <c r="K44" s="169">
        <v>439.9</v>
      </c>
      <c r="L44" s="169">
        <v>286.7</v>
      </c>
      <c r="M44" s="169">
        <v>1902.9</v>
      </c>
      <c r="N44" s="169">
        <v>2828.1</v>
      </c>
      <c r="O44" s="171">
        <v>764644</v>
      </c>
      <c r="P44" s="171">
        <v>7237</v>
      </c>
      <c r="Q44" s="171">
        <v>4332</v>
      </c>
      <c r="R44" s="171">
        <v>5127</v>
      </c>
    </row>
    <row r="45" spans="1:18" x14ac:dyDescent="0.35">
      <c r="A45" s="148">
        <v>42887</v>
      </c>
      <c r="B45">
        <f t="shared" si="1"/>
        <v>2017</v>
      </c>
      <c r="C45" s="148" t="s">
        <v>208</v>
      </c>
      <c r="D45" s="170">
        <v>7079.8</v>
      </c>
      <c r="E45" s="170">
        <v>7123</v>
      </c>
      <c r="F45" s="169">
        <v>764464.8</v>
      </c>
      <c r="G45" s="169">
        <v>7291.3</v>
      </c>
      <c r="H45" s="169">
        <v>7685.1</v>
      </c>
      <c r="I45" s="169">
        <v>124.8</v>
      </c>
      <c r="J45" s="169">
        <v>103.7</v>
      </c>
      <c r="K45" s="169">
        <v>439.9</v>
      </c>
      <c r="L45" s="169">
        <v>286.7</v>
      </c>
      <c r="M45" s="169">
        <v>1902.9</v>
      </c>
      <c r="N45" s="169">
        <v>2828.1</v>
      </c>
      <c r="O45" s="171">
        <v>764644</v>
      </c>
      <c r="P45" s="171">
        <v>7237</v>
      </c>
      <c r="Q45" s="171">
        <v>4332</v>
      </c>
      <c r="R45" s="171">
        <v>5127</v>
      </c>
    </row>
    <row r="46" spans="1:18" x14ac:dyDescent="0.35">
      <c r="A46" s="148">
        <v>42917</v>
      </c>
      <c r="B46">
        <f t="shared" si="1"/>
        <v>2017</v>
      </c>
      <c r="C46" s="148" t="s">
        <v>215</v>
      </c>
      <c r="D46" s="170">
        <v>7101.9</v>
      </c>
      <c r="E46" s="170">
        <v>7196</v>
      </c>
      <c r="F46" s="169">
        <v>764464.8</v>
      </c>
      <c r="G46" s="169">
        <v>7291.3</v>
      </c>
      <c r="H46" s="169">
        <v>7685.1</v>
      </c>
      <c r="I46" s="169">
        <v>124.8</v>
      </c>
      <c r="J46" s="169">
        <v>103.7</v>
      </c>
      <c r="K46" s="169">
        <v>439.9</v>
      </c>
      <c r="L46" s="169">
        <v>286.7</v>
      </c>
      <c r="M46" s="169">
        <v>1902.9</v>
      </c>
      <c r="N46" s="169">
        <v>2828.1</v>
      </c>
      <c r="O46" s="171">
        <v>765060</v>
      </c>
      <c r="P46" s="171">
        <v>7358</v>
      </c>
      <c r="Q46" s="171">
        <v>4187</v>
      </c>
      <c r="R46" s="171">
        <v>5246</v>
      </c>
    </row>
    <row r="47" spans="1:18" x14ac:dyDescent="0.35">
      <c r="A47" s="148">
        <v>42948</v>
      </c>
      <c r="B47">
        <f t="shared" si="1"/>
        <v>2017</v>
      </c>
      <c r="C47" s="148" t="s">
        <v>215</v>
      </c>
      <c r="D47" s="170">
        <v>7121.1</v>
      </c>
      <c r="E47" s="170">
        <v>7216.7</v>
      </c>
      <c r="F47" s="169">
        <v>764464.8</v>
      </c>
      <c r="G47" s="169">
        <v>7291.3</v>
      </c>
      <c r="H47" s="169">
        <v>7685.1</v>
      </c>
      <c r="I47" s="169">
        <v>124.8</v>
      </c>
      <c r="J47" s="169">
        <v>103.7</v>
      </c>
      <c r="K47" s="169">
        <v>439.9</v>
      </c>
      <c r="L47" s="169">
        <v>286.7</v>
      </c>
      <c r="M47" s="169">
        <v>1902.9</v>
      </c>
      <c r="N47" s="169">
        <v>2828.1</v>
      </c>
      <c r="O47" s="171">
        <v>765060</v>
      </c>
      <c r="P47" s="171">
        <v>7358</v>
      </c>
      <c r="Q47" s="171">
        <v>4187</v>
      </c>
      <c r="R47" s="171">
        <v>5246</v>
      </c>
    </row>
    <row r="48" spans="1:18" x14ac:dyDescent="0.35">
      <c r="A48" s="148">
        <v>42979</v>
      </c>
      <c r="B48">
        <f t="shared" si="1"/>
        <v>2017</v>
      </c>
      <c r="C48" s="148" t="s">
        <v>215</v>
      </c>
      <c r="D48" s="170">
        <v>7144.8</v>
      </c>
      <c r="E48" s="170">
        <v>7193.4</v>
      </c>
      <c r="F48" s="169">
        <v>764464.8</v>
      </c>
      <c r="G48" s="169">
        <v>7291.3</v>
      </c>
      <c r="H48" s="169">
        <v>7685.1</v>
      </c>
      <c r="I48" s="169">
        <v>124.8</v>
      </c>
      <c r="J48" s="169">
        <v>103.7</v>
      </c>
      <c r="K48" s="169">
        <v>439.9</v>
      </c>
      <c r="L48" s="169">
        <v>286.7</v>
      </c>
      <c r="M48" s="169">
        <v>1902.9</v>
      </c>
      <c r="N48" s="169">
        <v>2828.1</v>
      </c>
      <c r="O48" s="171">
        <v>765060</v>
      </c>
      <c r="P48" s="171">
        <v>7358</v>
      </c>
      <c r="Q48" s="171">
        <v>4187</v>
      </c>
      <c r="R48" s="171">
        <v>5246</v>
      </c>
    </row>
    <row r="49" spans="1:18" x14ac:dyDescent="0.35">
      <c r="A49" s="154">
        <v>43009</v>
      </c>
      <c r="B49">
        <f t="shared" si="1"/>
        <v>2017</v>
      </c>
      <c r="C49" s="148" t="s">
        <v>217</v>
      </c>
      <c r="D49" s="170">
        <v>7161</v>
      </c>
      <c r="E49" s="170">
        <v>7185.2</v>
      </c>
      <c r="F49" s="169">
        <v>764464.8</v>
      </c>
      <c r="G49" s="169">
        <v>7291.3</v>
      </c>
      <c r="H49" s="169">
        <v>7685.1</v>
      </c>
      <c r="I49" s="169">
        <v>124.8</v>
      </c>
      <c r="J49" s="169">
        <v>103.7</v>
      </c>
      <c r="K49" s="169">
        <v>439.9</v>
      </c>
      <c r="L49" s="169">
        <v>286.7</v>
      </c>
      <c r="M49" s="169">
        <v>1902.9</v>
      </c>
      <c r="N49" s="169">
        <v>2828.1</v>
      </c>
      <c r="O49" s="171">
        <v>771453</v>
      </c>
      <c r="P49" s="171">
        <v>7463</v>
      </c>
      <c r="Q49" s="171">
        <v>3945</v>
      </c>
      <c r="R49" s="171">
        <v>5190</v>
      </c>
    </row>
    <row r="50" spans="1:18" x14ac:dyDescent="0.35">
      <c r="A50" s="154">
        <v>43040</v>
      </c>
      <c r="B50">
        <f t="shared" si="1"/>
        <v>2017</v>
      </c>
      <c r="C50" s="148" t="s">
        <v>217</v>
      </c>
      <c r="D50" s="170">
        <v>7184.7</v>
      </c>
      <c r="E50" s="170">
        <v>7186</v>
      </c>
      <c r="F50" s="169">
        <v>764464.8</v>
      </c>
      <c r="G50" s="169">
        <v>7291.3</v>
      </c>
      <c r="H50" s="169">
        <v>7685.1</v>
      </c>
      <c r="I50" s="169">
        <v>124.8</v>
      </c>
      <c r="J50" s="169">
        <v>103.7</v>
      </c>
      <c r="K50" s="169">
        <v>439.9</v>
      </c>
      <c r="L50" s="169">
        <v>286.7</v>
      </c>
      <c r="M50" s="169">
        <v>1902.9</v>
      </c>
      <c r="N50" s="169">
        <v>2828.1</v>
      </c>
      <c r="O50" s="171">
        <v>771453</v>
      </c>
      <c r="P50" s="171">
        <v>7463</v>
      </c>
      <c r="Q50" s="171">
        <v>3945</v>
      </c>
      <c r="R50" s="171">
        <v>5190</v>
      </c>
    </row>
    <row r="51" spans="1:18" x14ac:dyDescent="0.35">
      <c r="A51" s="154">
        <v>43070</v>
      </c>
      <c r="B51">
        <f t="shared" si="1"/>
        <v>2017</v>
      </c>
      <c r="C51" s="148" t="s">
        <v>217</v>
      </c>
      <c r="D51" s="170">
        <v>7199.5</v>
      </c>
      <c r="E51" s="170">
        <v>7206.8</v>
      </c>
      <c r="F51" s="169">
        <v>764464.8</v>
      </c>
      <c r="G51" s="169">
        <v>7291.3</v>
      </c>
      <c r="H51" s="169">
        <v>7685.1</v>
      </c>
      <c r="I51" s="169">
        <v>124.8</v>
      </c>
      <c r="J51" s="169">
        <v>103.7</v>
      </c>
      <c r="K51" s="169">
        <v>439.9</v>
      </c>
      <c r="L51" s="169">
        <v>286.7</v>
      </c>
      <c r="M51" s="169">
        <v>1902.9</v>
      </c>
      <c r="N51" s="169">
        <v>2828.1</v>
      </c>
      <c r="O51" s="171">
        <v>771453</v>
      </c>
      <c r="P51" s="171">
        <v>7463</v>
      </c>
      <c r="Q51" s="171">
        <v>3945</v>
      </c>
      <c r="R51" s="171">
        <v>5190</v>
      </c>
    </row>
    <row r="52" spans="1:18" x14ac:dyDescent="0.35">
      <c r="A52" s="154">
        <v>43101</v>
      </c>
      <c r="B52">
        <f t="shared" si="1"/>
        <v>2018</v>
      </c>
      <c r="C52" s="148" t="s">
        <v>206</v>
      </c>
      <c r="D52" s="170">
        <v>7199.4</v>
      </c>
      <c r="E52" s="170">
        <v>7167.3</v>
      </c>
      <c r="F52" s="169">
        <v>789531.6</v>
      </c>
      <c r="G52" s="169">
        <v>7545.5</v>
      </c>
      <c r="H52" s="169">
        <v>7677.9</v>
      </c>
      <c r="I52" s="169">
        <v>120.2</v>
      </c>
      <c r="J52" s="169">
        <v>138.5</v>
      </c>
      <c r="K52" s="169">
        <v>482.5</v>
      </c>
      <c r="L52" s="169">
        <v>280</v>
      </c>
      <c r="M52" s="169">
        <v>1817.2</v>
      </c>
      <c r="N52" s="169">
        <v>2825.5</v>
      </c>
      <c r="O52" s="171">
        <v>779459</v>
      </c>
      <c r="P52" s="171">
        <v>7503</v>
      </c>
      <c r="Q52" s="171">
        <v>4048</v>
      </c>
      <c r="R52" s="171">
        <v>5058</v>
      </c>
    </row>
    <row r="53" spans="1:18" x14ac:dyDescent="0.35">
      <c r="A53" s="154">
        <v>43132</v>
      </c>
      <c r="B53">
        <f t="shared" si="1"/>
        <v>2018</v>
      </c>
      <c r="C53" s="148" t="s">
        <v>206</v>
      </c>
      <c r="D53" s="170">
        <v>7188.9</v>
      </c>
      <c r="E53" s="170">
        <v>7120.1</v>
      </c>
      <c r="F53" s="169">
        <v>789531.6</v>
      </c>
      <c r="G53" s="169">
        <v>7545.5</v>
      </c>
      <c r="H53" s="169">
        <v>7677.9</v>
      </c>
      <c r="I53" s="169">
        <v>120.2</v>
      </c>
      <c r="J53" s="169">
        <v>138.5</v>
      </c>
      <c r="K53" s="169">
        <v>482.5</v>
      </c>
      <c r="L53" s="169">
        <v>280</v>
      </c>
      <c r="M53" s="169">
        <v>1817.2</v>
      </c>
      <c r="N53" s="169">
        <v>2825.5</v>
      </c>
      <c r="O53" s="171">
        <v>779459</v>
      </c>
      <c r="P53" s="171">
        <v>7503</v>
      </c>
      <c r="Q53" s="171">
        <v>4048</v>
      </c>
      <c r="R53" s="171">
        <v>5058</v>
      </c>
    </row>
    <row r="54" spans="1:18" x14ac:dyDescent="0.35">
      <c r="A54" s="154">
        <v>43160</v>
      </c>
      <c r="B54">
        <f t="shared" si="1"/>
        <v>2018</v>
      </c>
      <c r="C54" s="148" t="s">
        <v>206</v>
      </c>
      <c r="D54" s="170">
        <v>7188.8</v>
      </c>
      <c r="E54" s="170">
        <v>7084.1</v>
      </c>
      <c r="F54" s="169">
        <v>789531.6</v>
      </c>
      <c r="G54" s="169">
        <v>7545.5</v>
      </c>
      <c r="H54" s="169">
        <v>7677.9</v>
      </c>
      <c r="I54" s="169">
        <v>120.2</v>
      </c>
      <c r="J54" s="169">
        <v>138.5</v>
      </c>
      <c r="K54" s="169">
        <v>482.5</v>
      </c>
      <c r="L54" s="169">
        <v>280</v>
      </c>
      <c r="M54" s="169">
        <v>1817.2</v>
      </c>
      <c r="N54" s="169">
        <v>2825.5</v>
      </c>
      <c r="O54" s="171">
        <v>779459</v>
      </c>
      <c r="P54" s="171">
        <v>7503</v>
      </c>
      <c r="Q54" s="171">
        <v>4048</v>
      </c>
      <c r="R54" s="171">
        <v>5058</v>
      </c>
    </row>
    <row r="55" spans="1:18" x14ac:dyDescent="0.35">
      <c r="A55" s="154">
        <v>43191</v>
      </c>
      <c r="B55">
        <f t="shared" si="1"/>
        <v>2018</v>
      </c>
      <c r="C55" s="148" t="s">
        <v>208</v>
      </c>
      <c r="D55" s="170">
        <v>7201.1</v>
      </c>
      <c r="E55" s="170">
        <v>7111.6</v>
      </c>
      <c r="F55" s="169">
        <v>789531.6</v>
      </c>
      <c r="G55" s="169">
        <v>7545.5</v>
      </c>
      <c r="H55" s="169">
        <v>7677.9</v>
      </c>
      <c r="I55" s="169">
        <v>120.2</v>
      </c>
      <c r="J55" s="169">
        <v>138.5</v>
      </c>
      <c r="K55" s="169">
        <v>482.5</v>
      </c>
      <c r="L55" s="169">
        <v>280</v>
      </c>
      <c r="M55" s="169">
        <v>1817.2</v>
      </c>
      <c r="N55" s="169">
        <v>2825.5</v>
      </c>
      <c r="O55" s="171">
        <v>784896</v>
      </c>
      <c r="P55" s="171">
        <v>7580</v>
      </c>
      <c r="Q55" s="171">
        <v>4210</v>
      </c>
      <c r="R55" s="171">
        <v>5136</v>
      </c>
    </row>
    <row r="56" spans="1:18" x14ac:dyDescent="0.35">
      <c r="A56" s="154">
        <v>43221</v>
      </c>
      <c r="B56">
        <f t="shared" si="1"/>
        <v>2018</v>
      </c>
      <c r="C56" s="148" t="s">
        <v>208</v>
      </c>
      <c r="D56" s="170">
        <v>7208.5</v>
      </c>
      <c r="E56" s="170">
        <v>7176</v>
      </c>
      <c r="F56" s="169">
        <v>789531.6</v>
      </c>
      <c r="G56" s="169">
        <v>7545.5</v>
      </c>
      <c r="H56" s="169">
        <v>7677.9</v>
      </c>
      <c r="I56" s="169">
        <v>120.2</v>
      </c>
      <c r="J56" s="169">
        <v>138.5</v>
      </c>
      <c r="K56" s="169">
        <v>482.5</v>
      </c>
      <c r="L56" s="169">
        <v>280</v>
      </c>
      <c r="M56" s="169">
        <v>1817.2</v>
      </c>
      <c r="N56" s="169">
        <v>2825.5</v>
      </c>
      <c r="O56" s="171">
        <v>784896</v>
      </c>
      <c r="P56" s="171">
        <v>7580</v>
      </c>
      <c r="Q56" s="171">
        <v>4210</v>
      </c>
      <c r="R56" s="171">
        <v>5136</v>
      </c>
    </row>
    <row r="57" spans="1:18" x14ac:dyDescent="0.35">
      <c r="A57" s="154">
        <v>43252</v>
      </c>
      <c r="B57">
        <f t="shared" si="1"/>
        <v>2018</v>
      </c>
      <c r="C57" s="148" t="s">
        <v>208</v>
      </c>
      <c r="D57" s="170">
        <v>7221.1</v>
      </c>
      <c r="E57" s="170">
        <v>7264.3</v>
      </c>
      <c r="F57" s="169">
        <v>789531.6</v>
      </c>
      <c r="G57" s="169">
        <v>7545.5</v>
      </c>
      <c r="H57" s="169">
        <v>7677.9</v>
      </c>
      <c r="I57" s="169">
        <v>120.2</v>
      </c>
      <c r="J57" s="169">
        <v>138.5</v>
      </c>
      <c r="K57" s="169">
        <v>482.5</v>
      </c>
      <c r="L57" s="169">
        <v>280</v>
      </c>
      <c r="M57" s="169">
        <v>1817.2</v>
      </c>
      <c r="N57" s="169">
        <v>2825.5</v>
      </c>
      <c r="O57" s="171">
        <v>784896</v>
      </c>
      <c r="P57" s="171">
        <v>7580</v>
      </c>
      <c r="Q57" s="171">
        <v>4210</v>
      </c>
      <c r="R57" s="171">
        <v>5136</v>
      </c>
    </row>
    <row r="58" spans="1:18" x14ac:dyDescent="0.35">
      <c r="A58" s="154">
        <v>43282</v>
      </c>
      <c r="B58">
        <f t="shared" si="1"/>
        <v>2018</v>
      </c>
      <c r="C58" s="148" t="s">
        <v>215</v>
      </c>
      <c r="D58" s="170">
        <v>7255</v>
      </c>
      <c r="E58" s="170">
        <v>7345.7</v>
      </c>
      <c r="F58" s="169">
        <v>789531.6</v>
      </c>
      <c r="G58" s="169">
        <v>7545.5</v>
      </c>
      <c r="H58" s="169">
        <v>7677.9</v>
      </c>
      <c r="I58" s="169">
        <v>120.2</v>
      </c>
      <c r="J58" s="169">
        <v>138.5</v>
      </c>
      <c r="K58" s="169">
        <v>482.5</v>
      </c>
      <c r="L58" s="169">
        <v>280</v>
      </c>
      <c r="M58" s="169">
        <v>1817.2</v>
      </c>
      <c r="N58" s="169">
        <v>2825.5</v>
      </c>
      <c r="O58" s="171">
        <v>794140</v>
      </c>
      <c r="P58" s="171">
        <v>7572</v>
      </c>
      <c r="Q58" s="171">
        <v>4428</v>
      </c>
      <c r="R58" s="171">
        <v>5084</v>
      </c>
    </row>
    <row r="59" spans="1:18" x14ac:dyDescent="0.35">
      <c r="A59" s="154">
        <v>43313</v>
      </c>
      <c r="B59">
        <f t="shared" si="1"/>
        <v>2018</v>
      </c>
      <c r="C59" s="148" t="s">
        <v>215</v>
      </c>
      <c r="D59" s="170">
        <v>7266.2</v>
      </c>
      <c r="E59" s="170">
        <v>7359.5</v>
      </c>
      <c r="F59" s="169">
        <v>789531.6</v>
      </c>
      <c r="G59" s="169">
        <v>7545.5</v>
      </c>
      <c r="H59" s="169">
        <v>7677.9</v>
      </c>
      <c r="I59" s="169">
        <v>120.2</v>
      </c>
      <c r="J59" s="169">
        <v>138.5</v>
      </c>
      <c r="K59" s="169">
        <v>482.5</v>
      </c>
      <c r="L59" s="169">
        <v>280</v>
      </c>
      <c r="M59" s="169">
        <v>1817.2</v>
      </c>
      <c r="N59" s="169">
        <v>2825.5</v>
      </c>
      <c r="O59" s="171">
        <v>794140</v>
      </c>
      <c r="P59" s="171">
        <v>7572</v>
      </c>
      <c r="Q59" s="171">
        <v>4428</v>
      </c>
      <c r="R59" s="171">
        <v>5084</v>
      </c>
    </row>
    <row r="60" spans="1:18" x14ac:dyDescent="0.35">
      <c r="A60" s="154">
        <v>43344</v>
      </c>
      <c r="B60">
        <f t="shared" si="1"/>
        <v>2018</v>
      </c>
      <c r="C60" s="148" t="s">
        <v>215</v>
      </c>
      <c r="D60" s="170">
        <v>7279.6</v>
      </c>
      <c r="E60" s="170">
        <v>7324.4</v>
      </c>
      <c r="F60" s="169">
        <v>789531.6</v>
      </c>
      <c r="G60" s="169">
        <v>7545.5</v>
      </c>
      <c r="H60" s="169">
        <v>7677.9</v>
      </c>
      <c r="I60" s="169">
        <v>120.2</v>
      </c>
      <c r="J60" s="169">
        <v>138.5</v>
      </c>
      <c r="K60" s="169">
        <v>482.5</v>
      </c>
      <c r="L60" s="169">
        <v>280</v>
      </c>
      <c r="M60" s="169">
        <v>1817.2</v>
      </c>
      <c r="N60" s="169">
        <v>2825.5</v>
      </c>
      <c r="O60" s="171">
        <v>794140</v>
      </c>
      <c r="P60" s="171">
        <v>7572</v>
      </c>
      <c r="Q60" s="171">
        <v>4428</v>
      </c>
      <c r="R60" s="171">
        <v>5084</v>
      </c>
    </row>
    <row r="61" spans="1:18" x14ac:dyDescent="0.35">
      <c r="A61" s="154">
        <v>43374</v>
      </c>
      <c r="B61">
        <f t="shared" si="1"/>
        <v>2018</v>
      </c>
      <c r="C61" s="148" t="s">
        <v>217</v>
      </c>
      <c r="D61" s="170">
        <v>7270.3</v>
      </c>
      <c r="E61" s="170">
        <v>7290.6</v>
      </c>
      <c r="F61" s="169">
        <v>789531.6</v>
      </c>
      <c r="G61" s="169">
        <v>7545.5</v>
      </c>
      <c r="H61" s="169">
        <v>7677.9</v>
      </c>
      <c r="I61" s="169">
        <v>120.2</v>
      </c>
      <c r="J61" s="169">
        <v>138.5</v>
      </c>
      <c r="K61" s="169">
        <v>482.5</v>
      </c>
      <c r="L61" s="169">
        <v>280</v>
      </c>
      <c r="M61" s="169">
        <v>1817.2</v>
      </c>
      <c r="N61" s="169">
        <v>2825.5</v>
      </c>
      <c r="O61" s="171">
        <v>799632</v>
      </c>
      <c r="P61" s="171">
        <v>7527</v>
      </c>
      <c r="Q61" s="171">
        <v>4741</v>
      </c>
      <c r="R61" s="171">
        <v>4896</v>
      </c>
    </row>
    <row r="62" spans="1:18" x14ac:dyDescent="0.35">
      <c r="A62" s="154">
        <v>43405</v>
      </c>
      <c r="B62">
        <f t="shared" si="1"/>
        <v>2018</v>
      </c>
      <c r="C62" s="148" t="s">
        <v>217</v>
      </c>
      <c r="D62" s="170">
        <v>7290</v>
      </c>
      <c r="E62" s="170">
        <v>7288.9</v>
      </c>
      <c r="F62" s="169">
        <v>789531.6</v>
      </c>
      <c r="G62" s="169">
        <v>7545.5</v>
      </c>
      <c r="H62" s="169">
        <v>7677.9</v>
      </c>
      <c r="I62" s="169">
        <v>120.2</v>
      </c>
      <c r="J62" s="169">
        <v>138.5</v>
      </c>
      <c r="K62" s="169">
        <v>482.5</v>
      </c>
      <c r="L62" s="169">
        <v>280</v>
      </c>
      <c r="M62" s="169">
        <v>1817.2</v>
      </c>
      <c r="N62" s="169">
        <v>2825.5</v>
      </c>
      <c r="O62" s="171">
        <v>799632</v>
      </c>
      <c r="P62" s="171">
        <v>7527</v>
      </c>
      <c r="Q62" s="171">
        <v>4741</v>
      </c>
      <c r="R62" s="171">
        <v>4896</v>
      </c>
    </row>
    <row r="63" spans="1:18" x14ac:dyDescent="0.35">
      <c r="A63" s="154">
        <v>43435</v>
      </c>
      <c r="B63">
        <f t="shared" si="1"/>
        <v>2018</v>
      </c>
      <c r="C63" s="148" t="s">
        <v>217</v>
      </c>
      <c r="D63" s="170">
        <v>7300.1</v>
      </c>
      <c r="E63" s="170">
        <v>7310.7</v>
      </c>
      <c r="F63" s="169">
        <v>789531.6</v>
      </c>
      <c r="G63" s="169">
        <v>7545.5</v>
      </c>
      <c r="H63" s="169">
        <v>7677.9</v>
      </c>
      <c r="I63" s="169">
        <v>120.2</v>
      </c>
      <c r="J63" s="169">
        <v>138.5</v>
      </c>
      <c r="K63" s="169">
        <v>482.5</v>
      </c>
      <c r="L63" s="169">
        <v>280</v>
      </c>
      <c r="M63" s="169">
        <v>1817.2</v>
      </c>
      <c r="N63" s="169">
        <v>2825.5</v>
      </c>
      <c r="O63" s="171">
        <v>799632</v>
      </c>
      <c r="P63" s="171">
        <v>7527</v>
      </c>
      <c r="Q63" s="171">
        <v>4741</v>
      </c>
      <c r="R63" s="171">
        <v>4896</v>
      </c>
    </row>
    <row r="64" spans="1:18" x14ac:dyDescent="0.35">
      <c r="A64" s="154">
        <v>43466</v>
      </c>
      <c r="B64">
        <f t="shared" si="1"/>
        <v>2019</v>
      </c>
      <c r="C64" s="148" t="s">
        <v>206</v>
      </c>
      <c r="D64" s="170">
        <v>7318</v>
      </c>
      <c r="E64" s="170">
        <v>7289.4</v>
      </c>
      <c r="F64" s="169">
        <v>807274.5</v>
      </c>
      <c r="G64" s="169">
        <v>7827.1</v>
      </c>
      <c r="H64" s="169">
        <v>7405</v>
      </c>
      <c r="I64" s="169">
        <v>118.8</v>
      </c>
      <c r="J64" s="169">
        <v>129.6</v>
      </c>
      <c r="K64" s="169">
        <v>473</v>
      </c>
      <c r="L64" s="169">
        <v>259.39999999999998</v>
      </c>
      <c r="M64" s="169">
        <v>2224.8000000000002</v>
      </c>
      <c r="N64" s="169">
        <v>2526.6</v>
      </c>
      <c r="O64" s="171">
        <v>800724</v>
      </c>
      <c r="P64" s="171">
        <v>7595</v>
      </c>
      <c r="Q64" s="171">
        <v>4835</v>
      </c>
      <c r="R64" s="171">
        <v>4838</v>
      </c>
    </row>
    <row r="65" spans="1:18" x14ac:dyDescent="0.35">
      <c r="A65" s="154">
        <v>43497</v>
      </c>
      <c r="B65">
        <f t="shared" si="1"/>
        <v>2019</v>
      </c>
      <c r="C65" s="148" t="s">
        <v>206</v>
      </c>
      <c r="D65" s="170">
        <v>7345.4</v>
      </c>
      <c r="E65" s="170">
        <v>7278.4</v>
      </c>
      <c r="F65" s="169">
        <v>807274.5</v>
      </c>
      <c r="G65" s="169">
        <v>7827.1</v>
      </c>
      <c r="H65" s="169">
        <v>7405</v>
      </c>
      <c r="I65" s="169">
        <v>118.8</v>
      </c>
      <c r="J65" s="169">
        <v>129.6</v>
      </c>
      <c r="K65" s="169">
        <v>473</v>
      </c>
      <c r="L65" s="169">
        <v>259.39999999999998</v>
      </c>
      <c r="M65" s="169">
        <v>2224.8000000000002</v>
      </c>
      <c r="N65" s="169">
        <v>2526.6</v>
      </c>
      <c r="O65" s="171">
        <v>800724</v>
      </c>
      <c r="P65" s="171">
        <v>7595</v>
      </c>
      <c r="Q65" s="171">
        <v>4835</v>
      </c>
      <c r="R65" s="171">
        <v>4838</v>
      </c>
    </row>
    <row r="66" spans="1:18" x14ac:dyDescent="0.35">
      <c r="A66" s="154">
        <v>43525</v>
      </c>
      <c r="B66">
        <f t="shared" si="1"/>
        <v>2019</v>
      </c>
      <c r="C66" s="148" t="s">
        <v>206</v>
      </c>
      <c r="D66" s="170">
        <v>7361.3</v>
      </c>
      <c r="E66" s="170">
        <v>7256.9</v>
      </c>
      <c r="F66" s="169">
        <v>807274.5</v>
      </c>
      <c r="G66" s="169">
        <v>7827.1</v>
      </c>
      <c r="H66" s="169">
        <v>7405</v>
      </c>
      <c r="I66" s="169">
        <v>118.8</v>
      </c>
      <c r="J66" s="169">
        <v>129.6</v>
      </c>
      <c r="K66" s="169">
        <v>473</v>
      </c>
      <c r="L66" s="169">
        <v>259.39999999999998</v>
      </c>
      <c r="M66" s="169">
        <v>2224.8000000000002</v>
      </c>
      <c r="N66" s="169">
        <v>2526.6</v>
      </c>
      <c r="O66" s="171">
        <v>800724</v>
      </c>
      <c r="P66" s="171">
        <v>7595</v>
      </c>
      <c r="Q66" s="171">
        <v>4835</v>
      </c>
      <c r="R66" s="171">
        <v>4838</v>
      </c>
    </row>
    <row r="67" spans="1:18" x14ac:dyDescent="0.35">
      <c r="A67" s="154">
        <v>43556</v>
      </c>
      <c r="B67">
        <f t="shared" si="1"/>
        <v>2019</v>
      </c>
      <c r="C67" s="148" t="s">
        <v>208</v>
      </c>
      <c r="D67" s="170">
        <v>7382.3</v>
      </c>
      <c r="E67" s="170">
        <v>7294</v>
      </c>
      <c r="F67" s="169">
        <v>807274.5</v>
      </c>
      <c r="G67" s="169">
        <v>7827.1</v>
      </c>
      <c r="H67" s="169">
        <v>7405</v>
      </c>
      <c r="I67" s="169">
        <v>118.8</v>
      </c>
      <c r="J67" s="169">
        <v>129.6</v>
      </c>
      <c r="K67" s="169">
        <v>473</v>
      </c>
      <c r="L67" s="169">
        <v>259.39999999999998</v>
      </c>
      <c r="M67" s="169">
        <v>2224.8000000000002</v>
      </c>
      <c r="N67" s="169">
        <v>2526.6</v>
      </c>
      <c r="O67" s="171">
        <v>806630</v>
      </c>
      <c r="P67" s="171">
        <v>7794</v>
      </c>
      <c r="Q67" s="171">
        <v>4698</v>
      </c>
      <c r="R67" s="171">
        <v>4876</v>
      </c>
    </row>
    <row r="68" spans="1:18" x14ac:dyDescent="0.35">
      <c r="A68" s="154">
        <v>43586</v>
      </c>
      <c r="B68">
        <f t="shared" si="1"/>
        <v>2019</v>
      </c>
      <c r="C68" s="148" t="s">
        <v>208</v>
      </c>
      <c r="D68" s="170">
        <v>7398.9</v>
      </c>
      <c r="E68" s="170">
        <v>7366.8</v>
      </c>
      <c r="F68" s="169">
        <v>807274.5</v>
      </c>
      <c r="G68" s="169">
        <v>7827.1</v>
      </c>
      <c r="H68" s="169">
        <v>7405</v>
      </c>
      <c r="I68" s="169">
        <v>118.8</v>
      </c>
      <c r="J68" s="169">
        <v>129.6</v>
      </c>
      <c r="K68" s="169">
        <v>473</v>
      </c>
      <c r="L68" s="169">
        <v>259.39999999999998</v>
      </c>
      <c r="M68" s="169">
        <v>2224.8000000000002</v>
      </c>
      <c r="N68" s="169">
        <v>2526.6</v>
      </c>
      <c r="O68" s="171">
        <v>806630</v>
      </c>
      <c r="P68" s="171">
        <v>7794</v>
      </c>
      <c r="Q68" s="171">
        <v>4698</v>
      </c>
      <c r="R68" s="171">
        <v>4876</v>
      </c>
    </row>
    <row r="69" spans="1:18" x14ac:dyDescent="0.35">
      <c r="A69" s="154">
        <v>43617</v>
      </c>
      <c r="B69">
        <f t="shared" si="1"/>
        <v>2019</v>
      </c>
      <c r="C69" s="148" t="s">
        <v>208</v>
      </c>
      <c r="D69" s="170">
        <v>7420.3</v>
      </c>
      <c r="E69" s="170">
        <v>7460.9</v>
      </c>
      <c r="F69" s="169">
        <v>807274.5</v>
      </c>
      <c r="G69" s="169">
        <v>7827.1</v>
      </c>
      <c r="H69" s="169">
        <v>7405</v>
      </c>
      <c r="I69" s="169">
        <v>118.8</v>
      </c>
      <c r="J69" s="169">
        <v>129.6</v>
      </c>
      <c r="K69" s="169">
        <v>473</v>
      </c>
      <c r="L69" s="169">
        <v>259.39999999999998</v>
      </c>
      <c r="M69" s="169">
        <v>2224.8000000000002</v>
      </c>
      <c r="N69" s="169">
        <v>2526.6</v>
      </c>
      <c r="O69" s="171">
        <v>806630</v>
      </c>
      <c r="P69" s="171">
        <v>7794</v>
      </c>
      <c r="Q69" s="171">
        <v>4698</v>
      </c>
      <c r="R69" s="171">
        <v>4876</v>
      </c>
    </row>
    <row r="70" spans="1:18" x14ac:dyDescent="0.35">
      <c r="A70" s="154">
        <v>43647</v>
      </c>
      <c r="B70">
        <f t="shared" si="1"/>
        <v>2019</v>
      </c>
      <c r="C70" s="148" t="s">
        <v>215</v>
      </c>
      <c r="D70" s="170">
        <v>7423.6</v>
      </c>
      <c r="E70" s="170">
        <v>7509.9</v>
      </c>
      <c r="F70" s="169">
        <v>807274.5</v>
      </c>
      <c r="G70" s="169">
        <v>7827.1</v>
      </c>
      <c r="H70" s="169">
        <v>7405</v>
      </c>
      <c r="I70" s="169">
        <v>118.8</v>
      </c>
      <c r="J70" s="169">
        <v>129.6</v>
      </c>
      <c r="K70" s="169">
        <v>473</v>
      </c>
      <c r="L70" s="169">
        <v>259.39999999999998</v>
      </c>
      <c r="M70" s="169">
        <v>2224.8000000000002</v>
      </c>
      <c r="N70" s="169">
        <v>2526.6</v>
      </c>
      <c r="O70" s="171">
        <v>810347</v>
      </c>
      <c r="P70" s="171">
        <v>7923</v>
      </c>
      <c r="Q70" s="171">
        <v>4586</v>
      </c>
      <c r="R70" s="171">
        <v>4707</v>
      </c>
    </row>
    <row r="71" spans="1:18" x14ac:dyDescent="0.35">
      <c r="A71" s="154">
        <v>43678</v>
      </c>
      <c r="B71">
        <f t="shared" si="1"/>
        <v>2019</v>
      </c>
      <c r="C71" s="148" t="s">
        <v>215</v>
      </c>
      <c r="D71" s="170">
        <v>7433.8</v>
      </c>
      <c r="E71" s="170">
        <v>7523.3</v>
      </c>
      <c r="F71" s="169">
        <v>807274.5</v>
      </c>
      <c r="G71" s="169">
        <v>7827.1</v>
      </c>
      <c r="H71" s="169">
        <v>7405</v>
      </c>
      <c r="I71" s="169">
        <v>118.8</v>
      </c>
      <c r="J71" s="169">
        <v>129.6</v>
      </c>
      <c r="K71" s="169">
        <v>473</v>
      </c>
      <c r="L71" s="169">
        <v>259.39999999999998</v>
      </c>
      <c r="M71" s="169">
        <v>2224.8000000000002</v>
      </c>
      <c r="N71" s="169">
        <v>2526.6</v>
      </c>
      <c r="O71" s="171">
        <v>810347</v>
      </c>
      <c r="P71" s="171">
        <v>7923</v>
      </c>
      <c r="Q71" s="171">
        <v>4586</v>
      </c>
      <c r="R71" s="171">
        <v>4707</v>
      </c>
    </row>
    <row r="72" spans="1:18" x14ac:dyDescent="0.35">
      <c r="A72" s="154">
        <v>43709</v>
      </c>
      <c r="B72">
        <f t="shared" si="1"/>
        <v>2019</v>
      </c>
      <c r="C72" s="148" t="s">
        <v>215</v>
      </c>
      <c r="D72" s="170">
        <v>7448.5</v>
      </c>
      <c r="E72" s="170">
        <v>7505.1</v>
      </c>
      <c r="F72" s="169">
        <v>807274.5</v>
      </c>
      <c r="G72" s="169">
        <v>7827.1</v>
      </c>
      <c r="H72" s="169">
        <v>7405</v>
      </c>
      <c r="I72" s="169">
        <v>118.8</v>
      </c>
      <c r="J72" s="169">
        <v>129.6</v>
      </c>
      <c r="K72" s="169">
        <v>473</v>
      </c>
      <c r="L72" s="169">
        <v>259.39999999999998</v>
      </c>
      <c r="M72" s="169">
        <v>2224.8000000000002</v>
      </c>
      <c r="N72" s="169">
        <v>2526.6</v>
      </c>
      <c r="O72" s="171">
        <v>810347</v>
      </c>
      <c r="P72" s="171">
        <v>7923</v>
      </c>
      <c r="Q72" s="171">
        <v>4586</v>
      </c>
      <c r="R72" s="171">
        <v>4707</v>
      </c>
    </row>
    <row r="73" spans="1:18" x14ac:dyDescent="0.35">
      <c r="A73" s="154">
        <v>43739</v>
      </c>
      <c r="B73">
        <f t="shared" si="1"/>
        <v>2019</v>
      </c>
      <c r="C73" s="148" t="s">
        <v>217</v>
      </c>
      <c r="D73" s="170">
        <v>7462.2</v>
      </c>
      <c r="E73" s="170">
        <v>7501.2</v>
      </c>
      <c r="F73" s="169">
        <v>807274.5</v>
      </c>
      <c r="G73" s="169">
        <v>7827.1</v>
      </c>
      <c r="H73" s="169">
        <v>7405</v>
      </c>
      <c r="I73" s="169">
        <v>118.8</v>
      </c>
      <c r="J73" s="169">
        <v>129.6</v>
      </c>
      <c r="K73" s="169">
        <v>473</v>
      </c>
      <c r="L73" s="169">
        <v>259.39999999999998</v>
      </c>
      <c r="M73" s="169">
        <v>2224.8000000000002</v>
      </c>
      <c r="N73" s="169">
        <v>2526.6</v>
      </c>
      <c r="O73" s="171">
        <v>811397</v>
      </c>
      <c r="P73" s="171">
        <v>7996</v>
      </c>
      <c r="Q73" s="171">
        <v>4725</v>
      </c>
      <c r="R73" s="171">
        <v>4762</v>
      </c>
    </row>
    <row r="74" spans="1:18" x14ac:dyDescent="0.35">
      <c r="A74" s="154">
        <v>43770</v>
      </c>
      <c r="B74">
        <f t="shared" si="1"/>
        <v>2019</v>
      </c>
      <c r="C74" s="148" t="s">
        <v>217</v>
      </c>
      <c r="D74" s="170">
        <v>7470.1</v>
      </c>
      <c r="E74" s="170">
        <v>7488.3</v>
      </c>
      <c r="F74" s="169">
        <v>807274.5</v>
      </c>
      <c r="G74" s="169">
        <v>7827.1</v>
      </c>
      <c r="H74" s="169">
        <v>7405</v>
      </c>
      <c r="I74" s="169">
        <v>118.8</v>
      </c>
      <c r="J74" s="169">
        <v>129.6</v>
      </c>
      <c r="K74" s="169">
        <v>473</v>
      </c>
      <c r="L74" s="169">
        <v>259.39999999999998</v>
      </c>
      <c r="M74" s="169">
        <v>2224.8000000000002</v>
      </c>
      <c r="N74" s="169">
        <v>2526.6</v>
      </c>
      <c r="O74" s="171">
        <v>811397</v>
      </c>
      <c r="P74" s="171">
        <v>7996</v>
      </c>
      <c r="Q74" s="171">
        <v>4725</v>
      </c>
      <c r="R74" s="171">
        <v>4762</v>
      </c>
    </row>
    <row r="75" spans="1:18" x14ac:dyDescent="0.35">
      <c r="A75" s="154">
        <v>43800</v>
      </c>
      <c r="B75">
        <f t="shared" si="1"/>
        <v>2019</v>
      </c>
      <c r="C75" s="148" t="s">
        <v>217</v>
      </c>
      <c r="D75" s="170">
        <v>7482.6</v>
      </c>
      <c r="E75" s="170">
        <v>7493.8</v>
      </c>
      <c r="F75" s="169">
        <v>807274.5</v>
      </c>
      <c r="G75" s="169">
        <v>7827.1</v>
      </c>
      <c r="H75" s="169">
        <v>7405</v>
      </c>
      <c r="I75" s="169">
        <v>118.8</v>
      </c>
      <c r="J75" s="169">
        <v>129.6</v>
      </c>
      <c r="K75" s="169">
        <v>473</v>
      </c>
      <c r="L75" s="169">
        <v>259.39999999999998</v>
      </c>
      <c r="M75" s="169">
        <v>2224.8000000000002</v>
      </c>
      <c r="N75" s="169">
        <v>2526.6</v>
      </c>
      <c r="O75" s="171">
        <v>811397</v>
      </c>
      <c r="P75" s="171">
        <v>7996</v>
      </c>
      <c r="Q75" s="171">
        <v>4725</v>
      </c>
      <c r="R75" s="171">
        <v>4762</v>
      </c>
    </row>
    <row r="76" spans="1:18" x14ac:dyDescent="0.35">
      <c r="A76" s="154">
        <v>43831</v>
      </c>
      <c r="B76">
        <f t="shared" si="1"/>
        <v>2020</v>
      </c>
      <c r="C76" s="148" t="s">
        <v>206</v>
      </c>
      <c r="D76" s="170">
        <v>7504.9</v>
      </c>
      <c r="E76" s="170">
        <v>7471.6</v>
      </c>
      <c r="F76" s="169">
        <v>769942</v>
      </c>
      <c r="G76" s="169">
        <v>8258.2999999999993</v>
      </c>
      <c r="H76" s="169">
        <v>6539.9</v>
      </c>
      <c r="I76" s="169">
        <v>107.8</v>
      </c>
      <c r="J76" s="169">
        <v>72</v>
      </c>
      <c r="K76" s="169">
        <v>423</v>
      </c>
      <c r="L76" s="169">
        <v>256.10000000000002</v>
      </c>
      <c r="M76" s="169">
        <v>2195.1999999999998</v>
      </c>
      <c r="N76" s="169">
        <v>2266.3000000000002</v>
      </c>
      <c r="O76" s="171">
        <v>800126</v>
      </c>
      <c r="P76" s="171">
        <v>7823</v>
      </c>
      <c r="Q76" s="171">
        <v>4475</v>
      </c>
      <c r="R76" s="171">
        <v>4438</v>
      </c>
    </row>
    <row r="77" spans="1:18" x14ac:dyDescent="0.35">
      <c r="A77" s="154">
        <v>43862</v>
      </c>
      <c r="B77">
        <f t="shared" si="1"/>
        <v>2020</v>
      </c>
      <c r="C77" s="148" t="s">
        <v>206</v>
      </c>
      <c r="D77" s="170">
        <v>7512.3</v>
      </c>
      <c r="E77" s="170">
        <v>7442.1</v>
      </c>
      <c r="F77" s="169">
        <v>769942</v>
      </c>
      <c r="G77" s="169">
        <v>8258.2999999999993</v>
      </c>
      <c r="H77" s="169">
        <v>6539.9</v>
      </c>
      <c r="I77" s="169">
        <v>107.8</v>
      </c>
      <c r="J77" s="169">
        <v>72</v>
      </c>
      <c r="K77" s="169">
        <v>423</v>
      </c>
      <c r="L77" s="169">
        <v>256.10000000000002</v>
      </c>
      <c r="M77" s="169">
        <v>2195.1999999999998</v>
      </c>
      <c r="N77" s="169">
        <v>2266.3000000000002</v>
      </c>
      <c r="O77" s="171">
        <v>800126</v>
      </c>
      <c r="P77" s="171">
        <v>7823</v>
      </c>
      <c r="Q77" s="171">
        <v>4475</v>
      </c>
      <c r="R77" s="171">
        <v>4438</v>
      </c>
    </row>
    <row r="78" spans="1:18" x14ac:dyDescent="0.35">
      <c r="A78" s="154">
        <v>43891</v>
      </c>
      <c r="B78">
        <f t="shared" si="1"/>
        <v>2020</v>
      </c>
      <c r="C78" s="148" t="s">
        <v>206</v>
      </c>
      <c r="D78" s="170">
        <v>7358</v>
      </c>
      <c r="E78" s="170">
        <v>7256.2</v>
      </c>
      <c r="F78" s="169">
        <v>769942</v>
      </c>
      <c r="G78" s="169">
        <v>8258.2999999999993</v>
      </c>
      <c r="H78" s="169">
        <v>6539.9</v>
      </c>
      <c r="I78" s="169">
        <v>107.8</v>
      </c>
      <c r="J78" s="169">
        <v>72</v>
      </c>
      <c r="K78" s="169">
        <v>423</v>
      </c>
      <c r="L78" s="169">
        <v>256.10000000000002</v>
      </c>
      <c r="M78" s="169">
        <v>2195.1999999999998</v>
      </c>
      <c r="N78" s="169">
        <v>2266.3000000000002</v>
      </c>
      <c r="O78" s="171">
        <v>800126</v>
      </c>
      <c r="P78" s="171">
        <v>7823</v>
      </c>
      <c r="Q78" s="171">
        <v>4475</v>
      </c>
      <c r="R78" s="171">
        <v>4438</v>
      </c>
    </row>
    <row r="79" spans="1:18" x14ac:dyDescent="0.35">
      <c r="A79" s="154">
        <v>43922</v>
      </c>
      <c r="B79">
        <f t="shared" si="1"/>
        <v>2020</v>
      </c>
      <c r="C79" s="148" t="s">
        <v>208</v>
      </c>
      <c r="D79" s="170">
        <v>6963.7</v>
      </c>
      <c r="E79" s="170">
        <v>6885.2</v>
      </c>
      <c r="F79" s="169">
        <v>769942</v>
      </c>
      <c r="G79" s="169">
        <v>8258.2999999999993</v>
      </c>
      <c r="H79" s="169">
        <v>6539.9</v>
      </c>
      <c r="I79" s="169">
        <v>107.8</v>
      </c>
      <c r="J79" s="169">
        <v>72</v>
      </c>
      <c r="K79" s="169">
        <v>423</v>
      </c>
      <c r="L79" s="169">
        <v>256.10000000000002</v>
      </c>
      <c r="M79" s="169">
        <v>2195.1999999999998</v>
      </c>
      <c r="N79" s="169">
        <v>2266.3000000000002</v>
      </c>
      <c r="O79" s="171">
        <v>706539</v>
      </c>
      <c r="P79" s="171">
        <v>8133</v>
      </c>
      <c r="Q79" s="171">
        <v>3717</v>
      </c>
      <c r="R79" s="171">
        <v>3624</v>
      </c>
    </row>
    <row r="80" spans="1:18" x14ac:dyDescent="0.35">
      <c r="A80" s="154">
        <v>43952</v>
      </c>
      <c r="B80">
        <f t="shared" si="1"/>
        <v>2020</v>
      </c>
      <c r="C80" s="148" t="s">
        <v>208</v>
      </c>
      <c r="D80" s="170">
        <v>6568.2</v>
      </c>
      <c r="E80" s="170">
        <v>6536.7</v>
      </c>
      <c r="F80" s="169">
        <v>769942</v>
      </c>
      <c r="G80" s="169">
        <v>8258.2999999999993</v>
      </c>
      <c r="H80" s="169">
        <v>6539.9</v>
      </c>
      <c r="I80" s="169">
        <v>107.8</v>
      </c>
      <c r="J80" s="169">
        <v>72</v>
      </c>
      <c r="K80" s="169">
        <v>423</v>
      </c>
      <c r="L80" s="169">
        <v>256.10000000000002</v>
      </c>
      <c r="M80" s="169">
        <v>2195.1999999999998</v>
      </c>
      <c r="N80" s="169">
        <v>2266.3000000000002</v>
      </c>
      <c r="O80" s="171">
        <v>706539</v>
      </c>
      <c r="P80" s="171">
        <v>8133</v>
      </c>
      <c r="Q80" s="171">
        <v>3717</v>
      </c>
      <c r="R80" s="171">
        <v>3624</v>
      </c>
    </row>
    <row r="81" spans="1:18" x14ac:dyDescent="0.35">
      <c r="A81" s="154">
        <v>43983</v>
      </c>
      <c r="B81">
        <f t="shared" si="1"/>
        <v>2020</v>
      </c>
      <c r="C81" s="148" t="s">
        <v>208</v>
      </c>
      <c r="D81" s="170">
        <v>6459.7</v>
      </c>
      <c r="E81" s="170">
        <v>6498.5</v>
      </c>
      <c r="F81" s="169">
        <v>769942</v>
      </c>
      <c r="G81" s="169">
        <v>8258.2999999999993</v>
      </c>
      <c r="H81" s="169">
        <v>6539.9</v>
      </c>
      <c r="I81" s="169">
        <v>107.8</v>
      </c>
      <c r="J81" s="169">
        <v>72</v>
      </c>
      <c r="K81" s="169">
        <v>423</v>
      </c>
      <c r="L81" s="169">
        <v>256.10000000000002</v>
      </c>
      <c r="M81" s="169">
        <v>2195.1999999999998</v>
      </c>
      <c r="N81" s="169">
        <v>2266.3000000000002</v>
      </c>
      <c r="O81" s="171">
        <v>706539</v>
      </c>
      <c r="P81" s="171">
        <v>8133</v>
      </c>
      <c r="Q81" s="171">
        <v>3717</v>
      </c>
      <c r="R81" s="171">
        <v>3624</v>
      </c>
    </row>
    <row r="82" spans="1:18" x14ac:dyDescent="0.35">
      <c r="A82" s="154">
        <v>44013</v>
      </c>
      <c r="B82">
        <f t="shared" si="1"/>
        <v>2020</v>
      </c>
      <c r="C82" s="148" t="s">
        <v>215</v>
      </c>
      <c r="D82" s="170">
        <v>6643.5</v>
      </c>
      <c r="E82" s="170">
        <v>6711.9</v>
      </c>
      <c r="F82" s="169">
        <v>769942</v>
      </c>
      <c r="G82" s="169">
        <v>8258.2999999999993</v>
      </c>
      <c r="H82" s="169">
        <v>6539.9</v>
      </c>
      <c r="I82" s="169">
        <v>107.8</v>
      </c>
      <c r="J82" s="169">
        <v>72</v>
      </c>
      <c r="K82" s="169">
        <v>423</v>
      </c>
      <c r="L82" s="169">
        <v>256.10000000000002</v>
      </c>
      <c r="M82" s="169">
        <v>2195.1999999999998</v>
      </c>
      <c r="N82" s="169">
        <v>2266.3000000000002</v>
      </c>
      <c r="O82" s="171">
        <v>777225</v>
      </c>
      <c r="P82" s="171">
        <v>8275</v>
      </c>
      <c r="Q82" s="171">
        <v>4357</v>
      </c>
      <c r="R82" s="171">
        <v>3753</v>
      </c>
    </row>
    <row r="83" spans="1:18" x14ac:dyDescent="0.35">
      <c r="A83" s="154">
        <v>44044</v>
      </c>
      <c r="B83">
        <f t="shared" si="1"/>
        <v>2020</v>
      </c>
      <c r="C83" s="148" t="s">
        <v>215</v>
      </c>
      <c r="D83" s="170">
        <v>6879.1</v>
      </c>
      <c r="E83" s="170">
        <v>6950.9</v>
      </c>
      <c r="F83" s="169">
        <v>769942</v>
      </c>
      <c r="G83" s="169">
        <v>8258.2999999999993</v>
      </c>
      <c r="H83" s="169">
        <v>6539.9</v>
      </c>
      <c r="I83" s="169">
        <v>107.8</v>
      </c>
      <c r="J83" s="169">
        <v>72</v>
      </c>
      <c r="K83" s="169">
        <v>423</v>
      </c>
      <c r="L83" s="169">
        <v>256.10000000000002</v>
      </c>
      <c r="M83" s="169">
        <v>2195.1999999999998</v>
      </c>
      <c r="N83" s="169">
        <v>2266.3000000000002</v>
      </c>
      <c r="O83" s="171">
        <v>777225</v>
      </c>
      <c r="P83" s="171">
        <v>8275</v>
      </c>
      <c r="Q83" s="171">
        <v>4357</v>
      </c>
      <c r="R83" s="171">
        <v>3753</v>
      </c>
    </row>
    <row r="84" spans="1:18" x14ac:dyDescent="0.35">
      <c r="A84" s="154">
        <v>44075</v>
      </c>
      <c r="B84">
        <f t="shared" si="1"/>
        <v>2020</v>
      </c>
      <c r="C84" s="148" t="s">
        <v>215</v>
      </c>
      <c r="D84" s="170">
        <v>7040.8</v>
      </c>
      <c r="E84" s="170">
        <v>7075.5</v>
      </c>
      <c r="F84" s="169">
        <v>769942</v>
      </c>
      <c r="G84" s="169">
        <v>8258.2999999999993</v>
      </c>
      <c r="H84" s="169">
        <v>6539.9</v>
      </c>
      <c r="I84" s="169">
        <v>107.8</v>
      </c>
      <c r="J84" s="169">
        <v>72</v>
      </c>
      <c r="K84" s="169">
        <v>423</v>
      </c>
      <c r="L84" s="169">
        <v>256.10000000000002</v>
      </c>
      <c r="M84" s="169">
        <v>2195.1999999999998</v>
      </c>
      <c r="N84" s="169">
        <v>2266.3000000000002</v>
      </c>
      <c r="O84" s="171">
        <v>777225</v>
      </c>
      <c r="P84" s="171">
        <v>8275</v>
      </c>
      <c r="Q84" s="171">
        <v>4357</v>
      </c>
      <c r="R84" s="171">
        <v>3753</v>
      </c>
    </row>
    <row r="85" spans="1:18" x14ac:dyDescent="0.35">
      <c r="A85" s="154">
        <v>44105</v>
      </c>
      <c r="B85">
        <f t="shared" si="1"/>
        <v>2020</v>
      </c>
      <c r="C85" s="148" t="s">
        <v>217</v>
      </c>
      <c r="D85" s="170">
        <v>7159.1</v>
      </c>
      <c r="E85" s="170">
        <v>7184.1</v>
      </c>
      <c r="F85" s="169">
        <v>769942</v>
      </c>
      <c r="G85" s="169">
        <v>8258.2999999999993</v>
      </c>
      <c r="H85" s="169">
        <v>6539.9</v>
      </c>
      <c r="I85" s="169">
        <v>107.8</v>
      </c>
      <c r="J85" s="169">
        <v>72</v>
      </c>
      <c r="K85" s="169">
        <v>423</v>
      </c>
      <c r="L85" s="169">
        <v>256.10000000000002</v>
      </c>
      <c r="M85" s="169">
        <v>2195.1999999999998</v>
      </c>
      <c r="N85" s="169">
        <v>2266.3000000000002</v>
      </c>
      <c r="O85" s="171">
        <v>795879</v>
      </c>
      <c r="P85" s="171">
        <v>8803</v>
      </c>
      <c r="Q85" s="171">
        <v>4351</v>
      </c>
      <c r="R85" s="171">
        <v>3607</v>
      </c>
    </row>
    <row r="86" spans="1:18" x14ac:dyDescent="0.35">
      <c r="A86" s="154">
        <v>44136</v>
      </c>
      <c r="B86">
        <f t="shared" si="1"/>
        <v>2020</v>
      </c>
      <c r="C86" s="148" t="s">
        <v>217</v>
      </c>
      <c r="D86" s="170">
        <v>7242.5</v>
      </c>
      <c r="E86" s="170">
        <v>7255.2</v>
      </c>
      <c r="F86" s="169">
        <v>769942</v>
      </c>
      <c r="G86" s="169">
        <v>8258.2999999999993</v>
      </c>
      <c r="H86" s="169">
        <v>6539.9</v>
      </c>
      <c r="I86" s="169">
        <v>107.8</v>
      </c>
      <c r="J86" s="169">
        <v>72</v>
      </c>
      <c r="K86" s="169">
        <v>423</v>
      </c>
      <c r="L86" s="169">
        <v>256.10000000000002</v>
      </c>
      <c r="M86" s="169">
        <v>2195.1999999999998</v>
      </c>
      <c r="N86" s="169">
        <v>2266.3000000000002</v>
      </c>
      <c r="O86" s="171">
        <v>795879</v>
      </c>
      <c r="P86" s="171">
        <v>8803</v>
      </c>
      <c r="Q86" s="171">
        <v>4351</v>
      </c>
      <c r="R86" s="171">
        <v>3607</v>
      </c>
    </row>
    <row r="87" spans="1:18" x14ac:dyDescent="0.35">
      <c r="A87" s="154">
        <v>44166</v>
      </c>
      <c r="B87">
        <f t="shared" si="1"/>
        <v>2020</v>
      </c>
      <c r="C87" s="148" t="s">
        <v>217</v>
      </c>
      <c r="D87" s="170">
        <v>7258.1</v>
      </c>
      <c r="E87" s="170">
        <v>7273.3</v>
      </c>
      <c r="F87" s="169">
        <v>769942</v>
      </c>
      <c r="G87" s="169">
        <v>8258.2999999999993</v>
      </c>
      <c r="H87" s="169">
        <v>6539.9</v>
      </c>
      <c r="I87" s="169">
        <v>107.8</v>
      </c>
      <c r="J87" s="169">
        <v>72</v>
      </c>
      <c r="K87" s="169">
        <v>423</v>
      </c>
      <c r="L87" s="169">
        <v>256.10000000000002</v>
      </c>
      <c r="M87" s="169">
        <v>2195.1999999999998</v>
      </c>
      <c r="N87" s="169">
        <v>2266.3000000000002</v>
      </c>
      <c r="O87" s="171">
        <v>795879</v>
      </c>
      <c r="P87" s="171">
        <v>8803</v>
      </c>
      <c r="Q87" s="171">
        <v>4351</v>
      </c>
      <c r="R87" s="171">
        <v>3607</v>
      </c>
    </row>
    <row r="88" spans="1:18" x14ac:dyDescent="0.35">
      <c r="A88" s="154">
        <v>44197</v>
      </c>
      <c r="B88">
        <f t="shared" si="1"/>
        <v>2021</v>
      </c>
      <c r="C88" s="148" t="s">
        <v>206</v>
      </c>
      <c r="D88" s="172">
        <v>7204.7</v>
      </c>
      <c r="E88" s="172">
        <v>7180.4</v>
      </c>
      <c r="F88" s="169">
        <v>809658.6</v>
      </c>
      <c r="G88" s="169">
        <v>8675.1</v>
      </c>
      <c r="H88" s="169">
        <v>6484.1</v>
      </c>
      <c r="I88" s="169">
        <v>102.4</v>
      </c>
      <c r="J88" s="169">
        <v>101.8</v>
      </c>
      <c r="K88" s="169">
        <v>428.3</v>
      </c>
      <c r="L88" s="169">
        <v>266</v>
      </c>
      <c r="M88" s="169">
        <v>2409.3000000000002</v>
      </c>
      <c r="N88" s="169">
        <v>2179.1999999999998</v>
      </c>
      <c r="O88" s="171">
        <v>805455</v>
      </c>
      <c r="P88" s="171">
        <v>8723</v>
      </c>
      <c r="Q88" s="171">
        <v>4296</v>
      </c>
      <c r="R88" s="171">
        <v>3573</v>
      </c>
    </row>
    <row r="89" spans="1:18" x14ac:dyDescent="0.35">
      <c r="A89" s="154">
        <v>44228</v>
      </c>
      <c r="B89">
        <f t="shared" si="1"/>
        <v>2021</v>
      </c>
      <c r="C89" s="148" t="s">
        <v>206</v>
      </c>
      <c r="D89" s="172">
        <v>7181.2</v>
      </c>
      <c r="E89" s="172">
        <v>7124.8</v>
      </c>
      <c r="F89" s="169">
        <v>809658.6</v>
      </c>
      <c r="G89" s="169">
        <v>8675.1</v>
      </c>
      <c r="H89" s="169">
        <v>6484.1</v>
      </c>
      <c r="I89" s="169">
        <v>102.4</v>
      </c>
      <c r="J89" s="169">
        <v>101.8</v>
      </c>
      <c r="K89" s="169">
        <v>428.3</v>
      </c>
      <c r="L89" s="169">
        <v>266</v>
      </c>
      <c r="M89" s="169">
        <v>2409.3000000000002</v>
      </c>
      <c r="N89" s="169">
        <v>2179.1999999999998</v>
      </c>
      <c r="O89" s="171">
        <v>805455</v>
      </c>
      <c r="P89" s="171">
        <v>8723</v>
      </c>
      <c r="Q89" s="171">
        <v>4296</v>
      </c>
      <c r="R89" s="171">
        <v>3573</v>
      </c>
    </row>
    <row r="90" spans="1:18" x14ac:dyDescent="0.35">
      <c r="A90" s="154">
        <v>44256</v>
      </c>
      <c r="B90">
        <f t="shared" si="1"/>
        <v>2021</v>
      </c>
      <c r="C90" s="148" t="s">
        <v>206</v>
      </c>
      <c r="D90" s="172">
        <v>7218.1</v>
      </c>
      <c r="E90" s="172">
        <v>7129.5</v>
      </c>
      <c r="F90" s="169">
        <v>809658.6</v>
      </c>
      <c r="G90" s="169">
        <v>8675.1</v>
      </c>
      <c r="H90" s="169">
        <v>6484.1</v>
      </c>
      <c r="I90" s="169">
        <v>102.4</v>
      </c>
      <c r="J90" s="169">
        <v>101.8</v>
      </c>
      <c r="K90" s="169">
        <v>428.3</v>
      </c>
      <c r="L90" s="169">
        <v>266</v>
      </c>
      <c r="M90" s="169">
        <v>2409.3000000000002</v>
      </c>
      <c r="N90" s="169">
        <v>2179.1999999999998</v>
      </c>
      <c r="O90" s="171">
        <v>805455</v>
      </c>
      <c r="P90" s="171">
        <v>8723</v>
      </c>
      <c r="Q90" s="171">
        <v>4296</v>
      </c>
      <c r="R90" s="171">
        <v>3573</v>
      </c>
    </row>
    <row r="91" spans="1:18" x14ac:dyDescent="0.35">
      <c r="A91" s="154">
        <v>44287</v>
      </c>
      <c r="B91">
        <f t="shared" si="1"/>
        <v>2021</v>
      </c>
      <c r="C91" s="148" t="s">
        <v>208</v>
      </c>
      <c r="D91" s="172">
        <v>7264</v>
      </c>
      <c r="E91" s="172">
        <v>7197</v>
      </c>
      <c r="F91" s="169">
        <v>809658.6</v>
      </c>
      <c r="G91" s="169">
        <v>8675.1</v>
      </c>
      <c r="H91" s="169">
        <v>6484.1</v>
      </c>
      <c r="I91" s="169">
        <v>102.4</v>
      </c>
      <c r="J91" s="169">
        <v>101.8</v>
      </c>
      <c r="K91" s="169">
        <v>428.3</v>
      </c>
      <c r="L91" s="169">
        <v>266</v>
      </c>
      <c r="M91" s="169">
        <v>2409.3000000000002</v>
      </c>
      <c r="N91" s="169">
        <v>2179.1999999999998</v>
      </c>
      <c r="O91" s="171">
        <v>795824</v>
      </c>
      <c r="P91" s="171">
        <v>8775</v>
      </c>
      <c r="Q91" s="171">
        <v>4273</v>
      </c>
      <c r="R91" s="171">
        <v>3655</v>
      </c>
    </row>
    <row r="92" spans="1:18" x14ac:dyDescent="0.35">
      <c r="A92" s="154">
        <v>44317</v>
      </c>
      <c r="B92">
        <f t="shared" si="1"/>
        <v>2021</v>
      </c>
      <c r="C92" s="148" t="s">
        <v>208</v>
      </c>
      <c r="D92" s="172">
        <v>7259.3</v>
      </c>
      <c r="E92" s="172">
        <v>7237.7</v>
      </c>
      <c r="F92" s="169">
        <v>809658.6</v>
      </c>
      <c r="G92" s="169">
        <v>8675.1</v>
      </c>
      <c r="H92" s="169">
        <v>6484.1</v>
      </c>
      <c r="I92" s="169">
        <v>102.4</v>
      </c>
      <c r="J92" s="169">
        <v>101.8</v>
      </c>
      <c r="K92" s="169">
        <v>428.3</v>
      </c>
      <c r="L92" s="169">
        <v>266</v>
      </c>
      <c r="M92" s="169">
        <v>2409.3000000000002</v>
      </c>
      <c r="N92" s="169">
        <v>2179.1999999999998</v>
      </c>
      <c r="O92" s="171">
        <v>795824</v>
      </c>
      <c r="P92" s="171">
        <v>8775</v>
      </c>
      <c r="Q92" s="171">
        <v>4273</v>
      </c>
      <c r="R92" s="171">
        <v>3655</v>
      </c>
    </row>
    <row r="93" spans="1:18" x14ac:dyDescent="0.35">
      <c r="A93" s="154">
        <v>44348</v>
      </c>
      <c r="B93">
        <f t="shared" si="1"/>
        <v>2021</v>
      </c>
      <c r="C93" s="148" t="s">
        <v>208</v>
      </c>
      <c r="D93" s="172">
        <v>7245.3</v>
      </c>
      <c r="E93" s="172">
        <v>7293</v>
      </c>
      <c r="F93" s="169">
        <v>809658.6</v>
      </c>
      <c r="G93" s="169">
        <v>8675.1</v>
      </c>
      <c r="H93" s="169">
        <v>6484.1</v>
      </c>
      <c r="I93" s="169">
        <v>102.4</v>
      </c>
      <c r="J93" s="169">
        <v>101.8</v>
      </c>
      <c r="K93" s="169">
        <v>428.3</v>
      </c>
      <c r="L93" s="169">
        <v>266</v>
      </c>
      <c r="M93" s="169">
        <v>2409.3000000000002</v>
      </c>
      <c r="N93" s="169">
        <v>2179.1999999999998</v>
      </c>
      <c r="O93" s="171">
        <v>795824</v>
      </c>
      <c r="P93" s="171">
        <v>8775</v>
      </c>
      <c r="Q93" s="171">
        <v>4273</v>
      </c>
      <c r="R93" s="171">
        <v>3655</v>
      </c>
    </row>
    <row r="94" spans="1:18" x14ac:dyDescent="0.35">
      <c r="A94" s="154">
        <v>44378</v>
      </c>
      <c r="B94">
        <f t="shared" si="1"/>
        <v>2021</v>
      </c>
      <c r="C94" s="148" t="s">
        <v>215</v>
      </c>
      <c r="D94" s="172">
        <v>7311.4</v>
      </c>
      <c r="E94" s="172">
        <v>7391.8</v>
      </c>
      <c r="F94" s="169">
        <v>809658.6</v>
      </c>
      <c r="G94" s="169">
        <v>8675.1</v>
      </c>
      <c r="H94" s="169">
        <v>6484.1</v>
      </c>
      <c r="I94" s="169">
        <v>102.4</v>
      </c>
      <c r="J94" s="169">
        <v>101.8</v>
      </c>
      <c r="K94" s="169">
        <v>428.3</v>
      </c>
      <c r="L94" s="169">
        <v>266</v>
      </c>
      <c r="M94" s="169">
        <v>2409.3000000000002</v>
      </c>
      <c r="N94" s="169">
        <v>2179.1999999999998</v>
      </c>
      <c r="O94" s="171">
        <v>810982</v>
      </c>
      <c r="P94" s="171">
        <v>8142</v>
      </c>
      <c r="Q94" s="171">
        <v>4674</v>
      </c>
      <c r="R94" s="171">
        <v>3722</v>
      </c>
    </row>
    <row r="95" spans="1:18" x14ac:dyDescent="0.35">
      <c r="A95" s="154">
        <v>44409</v>
      </c>
      <c r="B95">
        <f t="shared" si="1"/>
        <v>2021</v>
      </c>
      <c r="C95" s="148" t="s">
        <v>215</v>
      </c>
      <c r="D95" s="172">
        <v>7400.1</v>
      </c>
      <c r="E95" s="172">
        <v>7475.2</v>
      </c>
      <c r="F95" s="169">
        <v>809658.6</v>
      </c>
      <c r="G95" s="169">
        <v>8675.1</v>
      </c>
      <c r="H95" s="169">
        <v>6484.1</v>
      </c>
      <c r="I95" s="169">
        <v>102.4</v>
      </c>
      <c r="J95" s="169">
        <v>101.8</v>
      </c>
      <c r="K95" s="169">
        <v>428.3</v>
      </c>
      <c r="L95" s="169">
        <v>266</v>
      </c>
      <c r="M95" s="169">
        <v>2409.3000000000002</v>
      </c>
      <c r="N95" s="169">
        <v>2179.1999999999998</v>
      </c>
      <c r="O95" s="171">
        <v>810982</v>
      </c>
      <c r="P95" s="171">
        <v>8142</v>
      </c>
      <c r="Q95" s="171">
        <v>4674</v>
      </c>
      <c r="R95" s="171">
        <v>3722</v>
      </c>
    </row>
    <row r="96" spans="1:18" x14ac:dyDescent="0.35">
      <c r="A96" s="154">
        <v>44440</v>
      </c>
      <c r="B96">
        <f t="shared" si="1"/>
        <v>2021</v>
      </c>
      <c r="C96" s="148" t="s">
        <v>215</v>
      </c>
      <c r="D96" s="172">
        <v>7474.5</v>
      </c>
      <c r="E96" s="172">
        <v>7503.2</v>
      </c>
      <c r="F96" s="169">
        <v>809658.6</v>
      </c>
      <c r="G96" s="169">
        <v>8675.1</v>
      </c>
      <c r="H96" s="169">
        <v>6484.1</v>
      </c>
      <c r="I96" s="169">
        <v>102.4</v>
      </c>
      <c r="J96" s="169">
        <v>101.8</v>
      </c>
      <c r="K96" s="169">
        <v>428.3</v>
      </c>
      <c r="L96" s="169">
        <v>266</v>
      </c>
      <c r="M96" s="169">
        <v>2409.3000000000002</v>
      </c>
      <c r="N96" s="169">
        <v>2179.1999999999998</v>
      </c>
      <c r="O96" s="171">
        <v>810982</v>
      </c>
      <c r="P96" s="171">
        <v>8142</v>
      </c>
      <c r="Q96" s="171">
        <v>4674</v>
      </c>
      <c r="R96" s="171">
        <v>3722</v>
      </c>
    </row>
    <row r="97" spans="1:18" x14ac:dyDescent="0.35">
      <c r="A97" s="154">
        <v>44470</v>
      </c>
      <c r="B97">
        <f t="shared" si="1"/>
        <v>2021</v>
      </c>
      <c r="C97" s="148" t="s">
        <v>217</v>
      </c>
      <c r="D97" s="172">
        <v>7529.4</v>
      </c>
      <c r="E97" s="172">
        <v>7538.5</v>
      </c>
      <c r="F97" s="169">
        <v>809658.6</v>
      </c>
      <c r="G97" s="169">
        <v>8675.1</v>
      </c>
      <c r="H97" s="169">
        <v>6484.1</v>
      </c>
      <c r="I97" s="169">
        <v>102.4</v>
      </c>
      <c r="J97" s="169">
        <v>101.8</v>
      </c>
      <c r="K97" s="169">
        <v>428.3</v>
      </c>
      <c r="L97" s="169">
        <v>266</v>
      </c>
      <c r="M97" s="169">
        <v>2409.3000000000002</v>
      </c>
      <c r="N97" s="169">
        <v>2179.1999999999998</v>
      </c>
      <c r="O97" s="171">
        <v>826374</v>
      </c>
      <c r="P97" s="171">
        <v>9060</v>
      </c>
      <c r="Q97" s="171">
        <v>4993</v>
      </c>
      <c r="R97" s="171">
        <v>3780</v>
      </c>
    </row>
    <row r="98" spans="1:18" x14ac:dyDescent="0.35">
      <c r="A98" s="154">
        <v>44501</v>
      </c>
      <c r="B98">
        <f t="shared" si="1"/>
        <v>2021</v>
      </c>
      <c r="C98" s="148" t="s">
        <v>217</v>
      </c>
      <c r="D98" s="172">
        <v>7592</v>
      </c>
      <c r="E98" s="172">
        <v>7590.1</v>
      </c>
      <c r="F98" s="169">
        <v>809658.6</v>
      </c>
      <c r="G98" s="169">
        <v>8675.1</v>
      </c>
      <c r="H98" s="169">
        <v>6484.1</v>
      </c>
      <c r="I98" s="169">
        <v>102.4</v>
      </c>
      <c r="J98" s="169">
        <v>101.8</v>
      </c>
      <c r="K98" s="169">
        <v>428.3</v>
      </c>
      <c r="L98" s="169">
        <v>266</v>
      </c>
      <c r="M98" s="169">
        <v>2409.3000000000002</v>
      </c>
      <c r="N98" s="169">
        <v>2179.1999999999998</v>
      </c>
      <c r="O98" s="171">
        <v>826374</v>
      </c>
      <c r="P98" s="171">
        <v>9060</v>
      </c>
      <c r="Q98" s="171">
        <v>4993</v>
      </c>
      <c r="R98" s="171">
        <v>3780</v>
      </c>
    </row>
    <row r="99" spans="1:18" x14ac:dyDescent="0.35">
      <c r="A99" s="154">
        <v>44531</v>
      </c>
      <c r="B99">
        <f t="shared" si="1"/>
        <v>2021</v>
      </c>
      <c r="C99" s="148" t="s">
        <v>217</v>
      </c>
      <c r="D99" s="172">
        <v>7644.2</v>
      </c>
      <c r="E99" s="172">
        <v>7647.5</v>
      </c>
      <c r="F99" s="169">
        <v>809658.6</v>
      </c>
      <c r="G99" s="169">
        <v>8675.1</v>
      </c>
      <c r="H99" s="169">
        <v>6484.1</v>
      </c>
      <c r="I99" s="169">
        <v>102.4</v>
      </c>
      <c r="J99" s="169">
        <v>101.8</v>
      </c>
      <c r="K99" s="169">
        <v>428.3</v>
      </c>
      <c r="L99" s="169">
        <v>266</v>
      </c>
      <c r="M99" s="169">
        <v>2409.3000000000002</v>
      </c>
      <c r="N99" s="169">
        <v>2179.1999999999998</v>
      </c>
      <c r="O99" s="171">
        <v>826374</v>
      </c>
      <c r="P99" s="171">
        <v>9060</v>
      </c>
      <c r="Q99" s="171">
        <v>4993</v>
      </c>
      <c r="R99" s="171">
        <v>3780</v>
      </c>
    </row>
    <row r="100" spans="1:18" x14ac:dyDescent="0.35">
      <c r="A100" s="154">
        <v>44562</v>
      </c>
      <c r="B100">
        <f t="shared" si="1"/>
        <v>2022</v>
      </c>
      <c r="C100" s="148" t="s">
        <v>206</v>
      </c>
      <c r="D100" s="172">
        <v>7627.7</v>
      </c>
      <c r="E100" s="172">
        <v>7595.1</v>
      </c>
      <c r="F100" s="169">
        <v>839497.4</v>
      </c>
      <c r="G100" s="169">
        <v>8788.9</v>
      </c>
      <c r="H100" s="169">
        <v>6860.3</v>
      </c>
      <c r="I100" s="169">
        <v>109.5</v>
      </c>
      <c r="J100" s="169">
        <v>119.5</v>
      </c>
      <c r="K100" s="169">
        <v>388.2</v>
      </c>
      <c r="L100" s="169">
        <v>261.39999999999998</v>
      </c>
      <c r="M100" s="169">
        <v>2672.2</v>
      </c>
      <c r="N100" s="169">
        <v>2064.1</v>
      </c>
      <c r="O100" s="171">
        <v>833713</v>
      </c>
      <c r="P100" s="171">
        <v>8882</v>
      </c>
      <c r="Q100" s="171">
        <v>4968</v>
      </c>
      <c r="R100" s="171">
        <v>3727</v>
      </c>
    </row>
    <row r="101" spans="1:18" x14ac:dyDescent="0.35">
      <c r="A101" s="154">
        <v>44593</v>
      </c>
      <c r="B101">
        <f t="shared" si="1"/>
        <v>2022</v>
      </c>
      <c r="C101" s="148" t="s">
        <v>206</v>
      </c>
      <c r="D101" s="172">
        <v>7651.3</v>
      </c>
      <c r="E101" s="172">
        <v>7588.8</v>
      </c>
      <c r="F101" s="169">
        <v>839497.4</v>
      </c>
      <c r="G101" s="169">
        <v>8788.9</v>
      </c>
      <c r="H101" s="169">
        <v>6860.3</v>
      </c>
      <c r="I101" s="169">
        <v>109.5</v>
      </c>
      <c r="J101" s="169">
        <v>119.5</v>
      </c>
      <c r="K101" s="169">
        <v>388.2</v>
      </c>
      <c r="L101" s="169">
        <v>261.39999999999998</v>
      </c>
      <c r="M101" s="169">
        <v>2672.2</v>
      </c>
      <c r="N101" s="169">
        <v>2064.1</v>
      </c>
      <c r="O101" s="171">
        <v>833713</v>
      </c>
      <c r="P101" s="171">
        <v>8882</v>
      </c>
      <c r="Q101" s="171">
        <v>4968</v>
      </c>
      <c r="R101" s="171">
        <v>3727</v>
      </c>
    </row>
    <row r="102" spans="1:18" x14ac:dyDescent="0.35">
      <c r="A102" s="154">
        <v>44621</v>
      </c>
      <c r="B102">
        <f t="shared" si="1"/>
        <v>2022</v>
      </c>
      <c r="C102" s="148" t="s">
        <v>206</v>
      </c>
      <c r="D102" s="172">
        <v>7662.5</v>
      </c>
      <c r="E102" s="172">
        <v>7573.4</v>
      </c>
      <c r="F102" s="169">
        <v>839497.4</v>
      </c>
      <c r="G102" s="169">
        <v>8788.9</v>
      </c>
      <c r="H102" s="169">
        <v>6860.3</v>
      </c>
      <c r="I102" s="169">
        <v>109.5</v>
      </c>
      <c r="J102" s="169">
        <v>119.5</v>
      </c>
      <c r="K102" s="169">
        <v>388.2</v>
      </c>
      <c r="L102" s="169">
        <v>261.39999999999998</v>
      </c>
      <c r="M102" s="169">
        <v>2672.2</v>
      </c>
      <c r="N102" s="169">
        <v>2064.1</v>
      </c>
      <c r="O102" s="171">
        <v>833713</v>
      </c>
      <c r="P102" s="171">
        <v>8882</v>
      </c>
      <c r="Q102" s="171">
        <v>4968</v>
      </c>
      <c r="R102" s="171">
        <v>3727</v>
      </c>
    </row>
    <row r="103" spans="1:18" x14ac:dyDescent="0.35">
      <c r="A103" s="154">
        <v>44652</v>
      </c>
      <c r="B103">
        <f t="shared" si="1"/>
        <v>2022</v>
      </c>
      <c r="C103" s="148" t="s">
        <v>208</v>
      </c>
      <c r="D103" s="172">
        <v>7736.6</v>
      </c>
      <c r="E103" s="172">
        <v>7670</v>
      </c>
      <c r="F103" s="169">
        <v>839497.4</v>
      </c>
      <c r="G103" s="169">
        <v>8788.9</v>
      </c>
      <c r="H103" s="169">
        <v>6860.3</v>
      </c>
      <c r="I103" s="169">
        <v>109.5</v>
      </c>
      <c r="J103" s="169">
        <v>119.5</v>
      </c>
      <c r="K103" s="169">
        <v>388.2</v>
      </c>
      <c r="L103" s="169">
        <v>261.39999999999998</v>
      </c>
      <c r="M103" s="169">
        <v>2672.2</v>
      </c>
      <c r="N103" s="169">
        <v>2064.1</v>
      </c>
      <c r="O103" s="171">
        <v>840190</v>
      </c>
      <c r="P103" s="171">
        <v>8753</v>
      </c>
      <c r="Q103" s="171">
        <v>5279</v>
      </c>
      <c r="R103" s="171">
        <v>3598</v>
      </c>
    </row>
    <row r="104" spans="1:18" x14ac:dyDescent="0.35">
      <c r="A104" s="154">
        <v>44682</v>
      </c>
      <c r="B104">
        <f t="shared" si="1"/>
        <v>2022</v>
      </c>
      <c r="C104" s="148" t="s">
        <v>208</v>
      </c>
      <c r="D104" s="172">
        <v>7753.3</v>
      </c>
      <c r="E104" s="172">
        <v>7738.6</v>
      </c>
      <c r="F104" s="169">
        <v>839497.4</v>
      </c>
      <c r="G104" s="169">
        <v>8788.9</v>
      </c>
      <c r="H104" s="169">
        <v>6860.3</v>
      </c>
      <c r="I104" s="169">
        <v>109.5</v>
      </c>
      <c r="J104" s="169">
        <v>119.5</v>
      </c>
      <c r="K104" s="169">
        <v>388.2</v>
      </c>
      <c r="L104" s="169">
        <v>261.39999999999998</v>
      </c>
      <c r="M104" s="169">
        <v>2672.2</v>
      </c>
      <c r="N104" s="169">
        <v>2064.1</v>
      </c>
      <c r="O104" s="171">
        <v>840190</v>
      </c>
      <c r="P104" s="171">
        <v>8753</v>
      </c>
      <c r="Q104" s="171">
        <v>5279</v>
      </c>
      <c r="R104" s="171">
        <v>3598</v>
      </c>
    </row>
    <row r="105" spans="1:18" x14ac:dyDescent="0.35">
      <c r="A105" s="154">
        <v>44713</v>
      </c>
      <c r="B105">
        <f t="shared" si="1"/>
        <v>2022</v>
      </c>
      <c r="C105" s="148" t="s">
        <v>208</v>
      </c>
      <c r="D105" s="172">
        <v>7754.8</v>
      </c>
      <c r="E105" s="172">
        <v>7809.2</v>
      </c>
      <c r="F105" s="169">
        <v>839497.4</v>
      </c>
      <c r="G105" s="169">
        <v>8788.9</v>
      </c>
      <c r="H105" s="169">
        <v>6860.3</v>
      </c>
      <c r="I105" s="169">
        <v>109.5</v>
      </c>
      <c r="J105" s="169">
        <v>119.5</v>
      </c>
      <c r="K105" s="169">
        <v>388.2</v>
      </c>
      <c r="L105" s="169">
        <v>261.39999999999998</v>
      </c>
      <c r="M105" s="169">
        <v>2672.2</v>
      </c>
      <c r="N105" s="169">
        <v>2064.1</v>
      </c>
      <c r="O105" s="171">
        <v>840190</v>
      </c>
      <c r="P105" s="171">
        <v>8753</v>
      </c>
      <c r="Q105" s="171">
        <v>5279</v>
      </c>
      <c r="R105" s="171">
        <v>3598</v>
      </c>
    </row>
    <row r="106" spans="1:18" x14ac:dyDescent="0.35">
      <c r="A106" s="154">
        <v>44743</v>
      </c>
      <c r="B106">
        <f t="shared" si="1"/>
        <v>2022</v>
      </c>
      <c r="C106" s="148" t="s">
        <v>215</v>
      </c>
      <c r="D106" s="172">
        <v>7754.8</v>
      </c>
      <c r="E106" s="172">
        <v>7843.6</v>
      </c>
      <c r="F106" s="169">
        <v>839497.4</v>
      </c>
      <c r="G106" s="169">
        <v>8788.9</v>
      </c>
      <c r="H106" s="169">
        <v>6860.3</v>
      </c>
      <c r="I106" s="169">
        <v>109.5</v>
      </c>
      <c r="J106" s="169">
        <v>119.5</v>
      </c>
      <c r="K106" s="169">
        <v>388.2</v>
      </c>
      <c r="L106" s="169">
        <v>261.39999999999998</v>
      </c>
      <c r="M106" s="169">
        <v>2672.2</v>
      </c>
      <c r="N106" s="169">
        <v>2064.1</v>
      </c>
      <c r="O106" s="171">
        <v>842100</v>
      </c>
      <c r="P106" s="171">
        <v>8779</v>
      </c>
      <c r="Q106" s="171">
        <v>5076</v>
      </c>
      <c r="R106" s="171">
        <v>3324</v>
      </c>
    </row>
    <row r="107" spans="1:18" x14ac:dyDescent="0.35">
      <c r="A107" s="154">
        <v>44774</v>
      </c>
      <c r="B107">
        <f t="shared" si="1"/>
        <v>2022</v>
      </c>
      <c r="C107" s="148" t="s">
        <v>215</v>
      </c>
      <c r="D107" s="172">
        <v>7747.4</v>
      </c>
      <c r="E107" s="172">
        <v>7825.4</v>
      </c>
      <c r="F107" s="169">
        <v>839497.4</v>
      </c>
      <c r="G107" s="169">
        <v>8788.9</v>
      </c>
      <c r="H107" s="169">
        <v>6860.3</v>
      </c>
      <c r="I107" s="169">
        <v>109.5</v>
      </c>
      <c r="J107" s="169">
        <v>119.5</v>
      </c>
      <c r="K107" s="169">
        <v>388.2</v>
      </c>
      <c r="L107" s="169">
        <v>261.39999999999998</v>
      </c>
      <c r="M107" s="169">
        <v>2672.2</v>
      </c>
      <c r="N107" s="169">
        <v>2064.1</v>
      </c>
      <c r="O107" s="171">
        <v>842100</v>
      </c>
      <c r="P107" s="171">
        <v>8779</v>
      </c>
      <c r="Q107" s="171">
        <v>5076</v>
      </c>
      <c r="R107" s="171">
        <v>3324</v>
      </c>
    </row>
    <row r="108" spans="1:18" x14ac:dyDescent="0.35">
      <c r="A108" s="154">
        <v>44805</v>
      </c>
      <c r="B108">
        <f t="shared" ref="B108:B123" si="2">YEAR(A108)</f>
        <v>2022</v>
      </c>
      <c r="C108" s="148" t="s">
        <v>215</v>
      </c>
      <c r="D108" s="172">
        <v>7740.7</v>
      </c>
      <c r="E108" s="172">
        <v>7766.7</v>
      </c>
      <c r="F108" s="169">
        <v>839497.4</v>
      </c>
      <c r="G108" s="169">
        <v>8788.9</v>
      </c>
      <c r="H108" s="169">
        <v>6860.3</v>
      </c>
      <c r="I108" s="169">
        <v>109.5</v>
      </c>
      <c r="J108" s="169">
        <v>119.5</v>
      </c>
      <c r="K108" s="169">
        <v>388.2</v>
      </c>
      <c r="L108" s="169">
        <v>261.39999999999998</v>
      </c>
      <c r="M108" s="169">
        <v>2672.2</v>
      </c>
      <c r="N108" s="169">
        <v>2064.1</v>
      </c>
      <c r="O108" s="171">
        <v>842100</v>
      </c>
      <c r="P108" s="171">
        <v>8779</v>
      </c>
      <c r="Q108" s="171">
        <v>5076</v>
      </c>
      <c r="R108" s="171">
        <v>3324</v>
      </c>
    </row>
    <row r="109" spans="1:18" x14ac:dyDescent="0.35">
      <c r="A109" s="154">
        <v>44835</v>
      </c>
      <c r="B109">
        <f t="shared" si="2"/>
        <v>2022</v>
      </c>
      <c r="C109" s="148" t="s">
        <v>217</v>
      </c>
      <c r="D109" s="172">
        <v>7740.3</v>
      </c>
      <c r="E109" s="172">
        <v>7743.5</v>
      </c>
      <c r="F109" s="169">
        <v>839497.4</v>
      </c>
      <c r="G109" s="169">
        <v>8788.9</v>
      </c>
      <c r="H109" s="169">
        <v>6860.3</v>
      </c>
      <c r="I109" s="169">
        <v>109.5</v>
      </c>
      <c r="J109" s="169">
        <v>119.5</v>
      </c>
      <c r="K109" s="169">
        <v>388.2</v>
      </c>
      <c r="L109" s="169">
        <v>261.39999999999998</v>
      </c>
      <c r="M109" s="169">
        <v>2672.2</v>
      </c>
      <c r="N109" s="169">
        <v>2064.1</v>
      </c>
      <c r="O109" s="171">
        <v>841987</v>
      </c>
      <c r="P109" s="171">
        <v>8741</v>
      </c>
      <c r="Q109" s="171">
        <v>5200</v>
      </c>
      <c r="R109" s="171">
        <v>3126</v>
      </c>
    </row>
    <row r="110" spans="1:18" x14ac:dyDescent="0.35">
      <c r="A110" s="154">
        <v>44866</v>
      </c>
      <c r="B110">
        <f t="shared" si="2"/>
        <v>2022</v>
      </c>
      <c r="C110" s="148" t="s">
        <v>217</v>
      </c>
      <c r="D110" s="172">
        <v>7747.2</v>
      </c>
      <c r="E110" s="172">
        <v>7738.9</v>
      </c>
      <c r="F110" s="169">
        <v>839497.4</v>
      </c>
      <c r="G110" s="169">
        <v>8788.9</v>
      </c>
      <c r="H110" s="169">
        <v>6860.3</v>
      </c>
      <c r="I110" s="169">
        <v>109.5</v>
      </c>
      <c r="J110" s="169">
        <v>119.5</v>
      </c>
      <c r="K110" s="169">
        <v>388.2</v>
      </c>
      <c r="L110" s="169">
        <v>261.39999999999998</v>
      </c>
      <c r="M110" s="169">
        <v>2672.2</v>
      </c>
      <c r="N110" s="169">
        <v>2064.1</v>
      </c>
      <c r="O110" s="171">
        <v>841987</v>
      </c>
      <c r="P110" s="171">
        <v>8741</v>
      </c>
      <c r="Q110" s="171">
        <v>5200</v>
      </c>
      <c r="R110" s="171">
        <v>3126</v>
      </c>
    </row>
    <row r="111" spans="1:18" x14ac:dyDescent="0.35">
      <c r="A111" s="154">
        <v>44896</v>
      </c>
      <c r="B111">
        <f t="shared" si="2"/>
        <v>2022</v>
      </c>
      <c r="C111" s="148" t="s">
        <v>217</v>
      </c>
      <c r="D111" s="172">
        <v>7776.1</v>
      </c>
      <c r="E111" s="172">
        <v>7777.2</v>
      </c>
      <c r="F111" s="169">
        <v>839497.4</v>
      </c>
      <c r="G111" s="169">
        <v>8788.9</v>
      </c>
      <c r="H111" s="169">
        <v>6860.3</v>
      </c>
      <c r="I111" s="169">
        <v>109.5</v>
      </c>
      <c r="J111" s="169">
        <v>119.5</v>
      </c>
      <c r="K111" s="169">
        <v>388.2</v>
      </c>
      <c r="L111" s="169">
        <v>261.39999999999998</v>
      </c>
      <c r="M111" s="169">
        <v>2672.2</v>
      </c>
      <c r="N111" s="169">
        <v>2064.1</v>
      </c>
      <c r="O111" s="171">
        <v>841987</v>
      </c>
      <c r="P111" s="171">
        <v>8741</v>
      </c>
      <c r="Q111" s="171">
        <v>5200</v>
      </c>
      <c r="R111" s="171">
        <v>3126</v>
      </c>
    </row>
    <row r="112" spans="1:18" x14ac:dyDescent="0.35">
      <c r="A112" s="148">
        <v>44927</v>
      </c>
      <c r="B112">
        <f t="shared" si="2"/>
        <v>2023</v>
      </c>
      <c r="C112" s="148" t="s">
        <v>206</v>
      </c>
      <c r="D112" s="172">
        <v>7807</v>
      </c>
      <c r="E112" s="172">
        <v>7776.6</v>
      </c>
      <c r="F112" s="172">
        <v>852729.2</v>
      </c>
      <c r="G112" s="172">
        <v>8941.4</v>
      </c>
      <c r="H112" s="172">
        <v>6918.4</v>
      </c>
      <c r="I112" s="172">
        <v>112.6</v>
      </c>
      <c r="J112" s="172">
        <v>144.1</v>
      </c>
      <c r="K112" s="169">
        <v>406.2</v>
      </c>
      <c r="L112" s="169">
        <v>295.39999999999998</v>
      </c>
      <c r="M112" s="169">
        <v>2666.2</v>
      </c>
      <c r="N112" s="169">
        <v>1862.8</v>
      </c>
      <c r="O112" s="171">
        <v>849404</v>
      </c>
      <c r="P112" s="171">
        <v>8785</v>
      </c>
      <c r="Q112" s="171">
        <v>5060</v>
      </c>
      <c r="R112" s="171">
        <v>3196</v>
      </c>
    </row>
    <row r="113" spans="1:18" x14ac:dyDescent="0.35">
      <c r="A113" s="148">
        <v>44958</v>
      </c>
      <c r="B113">
        <f t="shared" si="2"/>
        <v>2023</v>
      </c>
      <c r="C113" s="148" t="s">
        <v>206</v>
      </c>
      <c r="D113" s="172">
        <v>7840.7</v>
      </c>
      <c r="E113" s="172">
        <v>7780.5</v>
      </c>
      <c r="F113" s="172">
        <v>852729.2</v>
      </c>
      <c r="G113" s="172">
        <v>8941.4</v>
      </c>
      <c r="H113" s="172">
        <v>6918.4</v>
      </c>
      <c r="I113" s="172">
        <v>112.6</v>
      </c>
      <c r="J113" s="172">
        <v>144.1</v>
      </c>
      <c r="K113" s="169">
        <v>406.2</v>
      </c>
      <c r="L113" s="169">
        <v>295.39999999999998</v>
      </c>
      <c r="M113" s="169">
        <v>2666.2</v>
      </c>
      <c r="N113" s="169">
        <v>1862.8</v>
      </c>
      <c r="O113" s="171">
        <v>849404</v>
      </c>
      <c r="P113" s="171">
        <v>8785</v>
      </c>
      <c r="Q113" s="171">
        <v>5060</v>
      </c>
      <c r="R113" s="171">
        <v>3196</v>
      </c>
    </row>
    <row r="114" spans="1:18" x14ac:dyDescent="0.35">
      <c r="A114" s="148">
        <v>44986</v>
      </c>
      <c r="B114">
        <f t="shared" si="2"/>
        <v>2023</v>
      </c>
      <c r="C114" s="148" t="s">
        <v>206</v>
      </c>
      <c r="D114" s="172">
        <v>7866.6</v>
      </c>
      <c r="E114" s="172">
        <v>7781.3</v>
      </c>
      <c r="F114" s="172">
        <v>852729.2</v>
      </c>
      <c r="G114" s="172">
        <v>8941.4</v>
      </c>
      <c r="H114" s="172">
        <v>6918.4</v>
      </c>
      <c r="I114" s="172">
        <v>112.6</v>
      </c>
      <c r="J114" s="172">
        <v>144.1</v>
      </c>
      <c r="K114" s="169">
        <v>406.2</v>
      </c>
      <c r="L114" s="169">
        <v>295.39999999999998</v>
      </c>
      <c r="M114" s="169">
        <v>2666.2</v>
      </c>
      <c r="N114" s="169">
        <v>1862.8</v>
      </c>
      <c r="O114" s="171">
        <v>849404</v>
      </c>
      <c r="P114" s="171">
        <v>8785</v>
      </c>
      <c r="Q114" s="171">
        <v>5060</v>
      </c>
      <c r="R114" s="171">
        <v>3196</v>
      </c>
    </row>
    <row r="115" spans="1:18" x14ac:dyDescent="0.35">
      <c r="A115" s="148">
        <v>45017</v>
      </c>
      <c r="B115">
        <f t="shared" si="2"/>
        <v>2023</v>
      </c>
      <c r="C115" s="148" t="s">
        <v>208</v>
      </c>
      <c r="D115" s="172">
        <v>7884.3</v>
      </c>
      <c r="E115" s="172">
        <v>7819.6</v>
      </c>
      <c r="F115" s="172">
        <v>852729.2</v>
      </c>
      <c r="G115" s="172">
        <v>8941.4</v>
      </c>
      <c r="H115" s="172">
        <v>6918.4</v>
      </c>
      <c r="I115" s="172">
        <v>112.6</v>
      </c>
      <c r="J115" s="172">
        <v>144.1</v>
      </c>
      <c r="K115" s="169">
        <v>406.2</v>
      </c>
      <c r="L115" s="169">
        <v>295.39999999999998</v>
      </c>
      <c r="M115" s="169">
        <v>2666.2</v>
      </c>
      <c r="N115" s="169">
        <v>1862.8</v>
      </c>
      <c r="O115" s="171">
        <v>852990</v>
      </c>
      <c r="P115" s="171">
        <v>8856</v>
      </c>
      <c r="Q115" s="171">
        <v>5149</v>
      </c>
      <c r="R115" s="171">
        <v>3208</v>
      </c>
    </row>
    <row r="116" spans="1:18" x14ac:dyDescent="0.35">
      <c r="A116" s="148">
        <v>45047</v>
      </c>
      <c r="B116">
        <f t="shared" si="2"/>
        <v>2023</v>
      </c>
      <c r="C116" s="148" t="s">
        <v>208</v>
      </c>
      <c r="D116" s="172">
        <v>7895.3</v>
      </c>
      <c r="E116" s="172">
        <v>7882.6</v>
      </c>
      <c r="F116" s="172">
        <v>852729.2</v>
      </c>
      <c r="G116" s="172">
        <v>8941.4</v>
      </c>
      <c r="H116" s="172">
        <v>6918.4</v>
      </c>
      <c r="I116" s="172">
        <v>112.6</v>
      </c>
      <c r="J116" s="172">
        <v>144.1</v>
      </c>
      <c r="K116" s="169">
        <v>406.2</v>
      </c>
      <c r="L116" s="169">
        <v>295.39999999999998</v>
      </c>
      <c r="M116" s="169">
        <v>2666.2</v>
      </c>
      <c r="N116" s="169">
        <v>1862.8</v>
      </c>
      <c r="O116" s="171">
        <v>852990</v>
      </c>
      <c r="P116" s="171">
        <v>8856</v>
      </c>
      <c r="Q116" s="171">
        <v>5149</v>
      </c>
      <c r="R116" s="171">
        <v>3208</v>
      </c>
    </row>
    <row r="117" spans="1:18" x14ac:dyDescent="0.35">
      <c r="A117" s="148">
        <v>45078</v>
      </c>
      <c r="B117">
        <f t="shared" si="2"/>
        <v>2023</v>
      </c>
      <c r="C117" s="148" t="s">
        <v>208</v>
      </c>
      <c r="D117" s="172">
        <v>7916.1</v>
      </c>
      <c r="E117" s="172">
        <v>7971.2</v>
      </c>
      <c r="F117" s="172">
        <v>852729.2</v>
      </c>
      <c r="G117" s="172">
        <v>8941.4</v>
      </c>
      <c r="H117" s="172">
        <v>6918.4</v>
      </c>
      <c r="I117" s="172">
        <v>112.6</v>
      </c>
      <c r="J117" s="172">
        <v>144.1</v>
      </c>
      <c r="K117" s="169">
        <v>406.2</v>
      </c>
      <c r="L117" s="169">
        <v>295.39999999999998</v>
      </c>
      <c r="M117" s="169">
        <v>2666.2</v>
      </c>
      <c r="N117" s="169">
        <v>1862.8</v>
      </c>
      <c r="O117" s="171">
        <v>852990</v>
      </c>
      <c r="P117" s="171">
        <v>8856</v>
      </c>
      <c r="Q117" s="171">
        <v>5149</v>
      </c>
      <c r="R117" s="171">
        <v>3208</v>
      </c>
    </row>
    <row r="118" spans="1:18" x14ac:dyDescent="0.35">
      <c r="A118" s="148">
        <v>45108</v>
      </c>
      <c r="B118">
        <f t="shared" si="2"/>
        <v>2023</v>
      </c>
      <c r="C118" s="148" t="s">
        <v>215</v>
      </c>
      <c r="D118" s="172">
        <v>7926.1</v>
      </c>
      <c r="E118" s="172">
        <v>8016.9</v>
      </c>
      <c r="F118" s="172">
        <v>852729.2</v>
      </c>
      <c r="G118" s="172">
        <v>8941.4</v>
      </c>
      <c r="H118" s="172">
        <v>6918.4</v>
      </c>
      <c r="I118" s="172">
        <v>112.6</v>
      </c>
      <c r="J118" s="172">
        <v>144.1</v>
      </c>
      <c r="K118" s="169">
        <v>406.2</v>
      </c>
      <c r="L118" s="169">
        <v>295.39999999999998</v>
      </c>
      <c r="M118" s="169">
        <v>2666.2</v>
      </c>
      <c r="N118" s="169">
        <v>1862.8</v>
      </c>
      <c r="O118" s="171">
        <v>853993</v>
      </c>
      <c r="P118" s="171">
        <v>8877</v>
      </c>
      <c r="Q118" s="171">
        <v>5064</v>
      </c>
      <c r="R118" s="171">
        <v>3115</v>
      </c>
    </row>
    <row r="119" spans="1:18" x14ac:dyDescent="0.35">
      <c r="A119" s="148">
        <v>45139</v>
      </c>
      <c r="B119">
        <f t="shared" si="2"/>
        <v>2023</v>
      </c>
      <c r="C119" s="148" t="s">
        <v>215</v>
      </c>
      <c r="D119" s="172">
        <v>7940.5</v>
      </c>
      <c r="E119" s="172">
        <v>8020.3</v>
      </c>
      <c r="F119" s="172">
        <v>852729.2</v>
      </c>
      <c r="G119" s="172">
        <v>8941.4</v>
      </c>
      <c r="H119" s="172">
        <v>6918.4</v>
      </c>
      <c r="I119" s="172">
        <v>112.6</v>
      </c>
      <c r="J119" s="172">
        <v>144.1</v>
      </c>
      <c r="K119" s="169">
        <v>406.2</v>
      </c>
      <c r="L119" s="169">
        <v>295.39999999999998</v>
      </c>
      <c r="M119" s="169">
        <v>2666.2</v>
      </c>
      <c r="N119" s="169">
        <v>1862.8</v>
      </c>
      <c r="O119" s="171">
        <v>853993</v>
      </c>
      <c r="P119" s="171">
        <v>8877</v>
      </c>
      <c r="Q119" s="171">
        <v>5064</v>
      </c>
      <c r="R119" s="171">
        <v>3115</v>
      </c>
    </row>
    <row r="120" spans="1:18" x14ac:dyDescent="0.35">
      <c r="A120" s="148">
        <v>45170</v>
      </c>
      <c r="B120">
        <f t="shared" si="2"/>
        <v>2023</v>
      </c>
      <c r="C120" s="148" t="s">
        <v>215</v>
      </c>
      <c r="D120" s="172">
        <v>7945</v>
      </c>
      <c r="E120" s="172">
        <v>7968.4</v>
      </c>
      <c r="F120" s="172">
        <v>852729.2</v>
      </c>
      <c r="G120" s="172">
        <v>8941.4</v>
      </c>
      <c r="H120" s="172">
        <v>6918.4</v>
      </c>
      <c r="I120" s="172">
        <v>112.6</v>
      </c>
      <c r="J120" s="172">
        <v>144.1</v>
      </c>
      <c r="K120" s="169">
        <v>406.2</v>
      </c>
      <c r="L120" s="169">
        <v>295.39999999999998</v>
      </c>
      <c r="M120" s="169">
        <v>2666.2</v>
      </c>
      <c r="N120" s="169">
        <v>1862.8</v>
      </c>
      <c r="O120" s="171">
        <v>853993</v>
      </c>
      <c r="P120" s="171">
        <v>8877</v>
      </c>
      <c r="Q120" s="171">
        <v>5064</v>
      </c>
      <c r="R120" s="171">
        <v>3115</v>
      </c>
    </row>
    <row r="121" spans="1:18" x14ac:dyDescent="0.35">
      <c r="A121" s="148">
        <v>45200</v>
      </c>
      <c r="B121">
        <f t="shared" si="2"/>
        <v>2023</v>
      </c>
      <c r="C121" s="148" t="s">
        <v>217</v>
      </c>
      <c r="D121" s="172">
        <v>7949.8</v>
      </c>
      <c r="E121" s="172">
        <v>7947.2</v>
      </c>
      <c r="F121" s="172">
        <v>852729.2</v>
      </c>
      <c r="G121" s="172">
        <v>8941.4</v>
      </c>
      <c r="H121" s="172">
        <v>6918.4</v>
      </c>
      <c r="I121" s="172">
        <v>112.6</v>
      </c>
      <c r="J121" s="172">
        <v>144.1</v>
      </c>
      <c r="K121" s="169">
        <v>406.2</v>
      </c>
      <c r="L121" s="169">
        <v>295.39999999999998</v>
      </c>
      <c r="M121" s="169">
        <v>2666.2</v>
      </c>
      <c r="N121" s="169">
        <v>1862.8</v>
      </c>
      <c r="O121" s="171">
        <v>854530</v>
      </c>
      <c r="P121" s="171">
        <v>9248</v>
      </c>
      <c r="Q121" s="171">
        <v>4831</v>
      </c>
      <c r="R121" s="171">
        <v>3112</v>
      </c>
    </row>
    <row r="122" spans="1:18" x14ac:dyDescent="0.35">
      <c r="A122" s="148">
        <v>45231</v>
      </c>
      <c r="B122">
        <f t="shared" si="2"/>
        <v>2023</v>
      </c>
      <c r="C122" s="148" t="s">
        <v>217</v>
      </c>
      <c r="D122" s="172">
        <v>7953.4</v>
      </c>
      <c r="E122" s="172">
        <v>7939.3</v>
      </c>
      <c r="F122" s="172">
        <v>852729.2</v>
      </c>
      <c r="G122" s="172">
        <v>8941.4</v>
      </c>
      <c r="H122" s="172">
        <v>6918.4</v>
      </c>
      <c r="I122" s="172">
        <v>112.6</v>
      </c>
      <c r="J122" s="172">
        <v>144.1</v>
      </c>
      <c r="K122" s="169">
        <v>406.2</v>
      </c>
      <c r="L122" s="169">
        <v>295.39999999999998</v>
      </c>
      <c r="M122" s="169">
        <v>2666.2</v>
      </c>
      <c r="N122" s="169">
        <v>1862.8</v>
      </c>
      <c r="O122" s="171">
        <v>854530</v>
      </c>
      <c r="P122" s="171">
        <v>9248</v>
      </c>
      <c r="Q122" s="171">
        <v>4831</v>
      </c>
      <c r="R122" s="171">
        <v>3112</v>
      </c>
    </row>
    <row r="123" spans="1:18" x14ac:dyDescent="0.35">
      <c r="A123" s="148">
        <v>45261</v>
      </c>
      <c r="B123">
        <f t="shared" si="2"/>
        <v>2023</v>
      </c>
      <c r="C123" s="148" t="s">
        <v>217</v>
      </c>
      <c r="D123" s="172">
        <v>7938</v>
      </c>
      <c r="E123" s="172">
        <v>7938.2</v>
      </c>
      <c r="F123" s="172">
        <v>852729.2</v>
      </c>
      <c r="G123" s="172">
        <v>8941.4</v>
      </c>
      <c r="H123" s="172">
        <v>6918.4</v>
      </c>
      <c r="I123" s="172">
        <v>112.6</v>
      </c>
      <c r="J123" s="172">
        <v>144.1</v>
      </c>
      <c r="K123" s="169">
        <v>406.2</v>
      </c>
      <c r="L123" s="169">
        <v>295.39999999999998</v>
      </c>
      <c r="M123" s="169">
        <v>2666.2</v>
      </c>
      <c r="N123" s="169">
        <v>1862.8</v>
      </c>
      <c r="O123" s="171">
        <v>854530</v>
      </c>
      <c r="P123" s="171">
        <v>9248</v>
      </c>
      <c r="Q123" s="171">
        <v>4831</v>
      </c>
      <c r="R123" s="171">
        <v>3112</v>
      </c>
    </row>
    <row r="124" spans="1:18" x14ac:dyDescent="0.35">
      <c r="A124" s="155">
        <v>45292</v>
      </c>
      <c r="B124" s="156">
        <f>YEAR(A124)</f>
        <v>2024</v>
      </c>
      <c r="C124" s="155" t="str">
        <f>C112</f>
        <v>Q1</v>
      </c>
      <c r="D124" s="172">
        <v>7934.2</v>
      </c>
      <c r="E124" s="172">
        <v>7904.9</v>
      </c>
      <c r="F124" s="173">
        <f t="shared" ref="F124:N124" si="3">F112*(1+$AA$15)</f>
        <v>860616.9450999999</v>
      </c>
      <c r="G124" s="173">
        <f t="shared" si="3"/>
        <v>9024.1079499999996</v>
      </c>
      <c r="H124" s="173">
        <f t="shared" si="3"/>
        <v>6982.3951999999999</v>
      </c>
      <c r="I124" s="173">
        <f t="shared" si="3"/>
        <v>113.64155</v>
      </c>
      <c r="J124" s="173">
        <f t="shared" si="3"/>
        <v>145.43292499999998</v>
      </c>
      <c r="K124" s="173">
        <f t="shared" si="3"/>
        <v>409.95734999999996</v>
      </c>
      <c r="L124" s="173">
        <f t="shared" si="3"/>
        <v>298.13244999999995</v>
      </c>
      <c r="M124" s="173">
        <f t="shared" si="3"/>
        <v>2690.8623499999999</v>
      </c>
      <c r="N124" s="173">
        <f t="shared" si="3"/>
        <v>1880.0309</v>
      </c>
      <c r="O124" s="171">
        <v>861193</v>
      </c>
      <c r="P124" s="171">
        <v>9492</v>
      </c>
      <c r="Q124" s="171">
        <v>4805</v>
      </c>
      <c r="R124" s="171">
        <v>3032</v>
      </c>
    </row>
    <row r="125" spans="1:18" x14ac:dyDescent="0.35">
      <c r="A125" s="155">
        <v>45323</v>
      </c>
      <c r="B125" s="156">
        <f t="shared" ref="B125:B147" si="4">YEAR(A125)</f>
        <v>2024</v>
      </c>
      <c r="C125" s="155" t="str">
        <f t="shared" ref="C125:C147" si="5">C113</f>
        <v>Q1</v>
      </c>
      <c r="D125" s="172">
        <v>7932</v>
      </c>
      <c r="E125" s="172">
        <v>7874.1</v>
      </c>
      <c r="F125" s="173">
        <f t="shared" ref="F125:N125" si="6">F113*(1+$AA$15)</f>
        <v>860616.9450999999</v>
      </c>
      <c r="G125" s="173">
        <f t="shared" si="6"/>
        <v>9024.1079499999996</v>
      </c>
      <c r="H125" s="173">
        <f t="shared" si="6"/>
        <v>6982.3951999999999</v>
      </c>
      <c r="I125" s="173">
        <f t="shared" si="6"/>
        <v>113.64155</v>
      </c>
      <c r="J125" s="173">
        <f t="shared" si="6"/>
        <v>145.43292499999998</v>
      </c>
      <c r="K125" s="173">
        <f t="shared" si="6"/>
        <v>409.95734999999996</v>
      </c>
      <c r="L125" s="173">
        <f t="shared" si="6"/>
        <v>298.13244999999995</v>
      </c>
      <c r="M125" s="173">
        <f t="shared" si="6"/>
        <v>2690.8623499999999</v>
      </c>
      <c r="N125" s="173">
        <f t="shared" si="6"/>
        <v>1880.0309</v>
      </c>
      <c r="O125" s="171">
        <v>861193</v>
      </c>
      <c r="P125" s="171">
        <v>9492</v>
      </c>
      <c r="Q125" s="171">
        <v>4805</v>
      </c>
      <c r="R125" s="171">
        <v>3032</v>
      </c>
    </row>
    <row r="126" spans="1:18" x14ac:dyDescent="0.35">
      <c r="A126" s="155">
        <v>45352</v>
      </c>
      <c r="B126" s="156">
        <f t="shared" si="4"/>
        <v>2024</v>
      </c>
      <c r="C126" s="155" t="str">
        <f t="shared" si="5"/>
        <v>Q1</v>
      </c>
      <c r="D126" s="172">
        <v>7950.9</v>
      </c>
      <c r="E126" s="172">
        <v>7870.9</v>
      </c>
      <c r="F126" s="173">
        <f t="shared" ref="F126:N126" si="7">F114*(1+$AA$15)</f>
        <v>860616.9450999999</v>
      </c>
      <c r="G126" s="173">
        <f t="shared" si="7"/>
        <v>9024.1079499999996</v>
      </c>
      <c r="H126" s="173">
        <f t="shared" si="7"/>
        <v>6982.3951999999999</v>
      </c>
      <c r="I126" s="173">
        <f t="shared" si="7"/>
        <v>113.64155</v>
      </c>
      <c r="J126" s="173">
        <f t="shared" si="7"/>
        <v>145.43292499999998</v>
      </c>
      <c r="K126" s="173">
        <f t="shared" si="7"/>
        <v>409.95734999999996</v>
      </c>
      <c r="L126" s="173">
        <f t="shared" si="7"/>
        <v>298.13244999999995</v>
      </c>
      <c r="M126" s="173">
        <f t="shared" si="7"/>
        <v>2690.8623499999999</v>
      </c>
      <c r="N126" s="173">
        <f t="shared" si="7"/>
        <v>1880.0309</v>
      </c>
      <c r="O126" s="171">
        <v>861193</v>
      </c>
      <c r="P126" s="171">
        <v>9492</v>
      </c>
      <c r="Q126" s="171">
        <v>4805</v>
      </c>
      <c r="R126" s="171">
        <v>3032</v>
      </c>
    </row>
    <row r="127" spans="1:18" x14ac:dyDescent="0.35">
      <c r="A127" s="155">
        <v>45383</v>
      </c>
      <c r="B127" s="156">
        <f t="shared" si="4"/>
        <v>2024</v>
      </c>
      <c r="C127" s="155" t="str">
        <f t="shared" si="5"/>
        <v>Q2</v>
      </c>
      <c r="D127" s="172">
        <v>7970.1</v>
      </c>
      <c r="E127" s="172">
        <v>7915</v>
      </c>
      <c r="F127" s="173">
        <f t="shared" ref="F127:N127" si="8">F115*(1+$AA$15)</f>
        <v>860616.9450999999</v>
      </c>
      <c r="G127" s="173">
        <f t="shared" si="8"/>
        <v>9024.1079499999996</v>
      </c>
      <c r="H127" s="173">
        <f t="shared" si="8"/>
        <v>6982.3951999999999</v>
      </c>
      <c r="I127" s="173">
        <f t="shared" si="8"/>
        <v>113.64155</v>
      </c>
      <c r="J127" s="173">
        <f t="shared" si="8"/>
        <v>145.43292499999998</v>
      </c>
      <c r="K127" s="173">
        <f t="shared" si="8"/>
        <v>409.95734999999996</v>
      </c>
      <c r="L127" s="173">
        <f t="shared" si="8"/>
        <v>298.13244999999995</v>
      </c>
      <c r="M127" s="173">
        <f t="shared" si="8"/>
        <v>2690.8623499999999</v>
      </c>
      <c r="N127" s="173">
        <f t="shared" si="8"/>
        <v>1880.0309</v>
      </c>
      <c r="O127" s="173">
        <f t="shared" ref="O127:R135" si="9">O115*(1+$AA$15)</f>
        <v>860880.15749999997</v>
      </c>
      <c r="P127" s="173">
        <f t="shared" si="9"/>
        <v>8937.9179999999997</v>
      </c>
      <c r="Q127" s="173">
        <f t="shared" si="9"/>
        <v>5196.6282499999998</v>
      </c>
      <c r="R127" s="173">
        <f t="shared" si="9"/>
        <v>3237.674</v>
      </c>
    </row>
    <row r="128" spans="1:18" x14ac:dyDescent="0.35">
      <c r="A128" s="155">
        <v>45413</v>
      </c>
      <c r="B128" s="156">
        <f t="shared" si="4"/>
        <v>2024</v>
      </c>
      <c r="C128" s="155" t="str">
        <f t="shared" si="5"/>
        <v>Q2</v>
      </c>
      <c r="D128" s="172">
        <v>8003.7</v>
      </c>
      <c r="E128" s="172">
        <v>7999.8</v>
      </c>
      <c r="F128" s="173">
        <f t="shared" ref="F128:N128" si="10">F116*(1+$AA$15)</f>
        <v>860616.9450999999</v>
      </c>
      <c r="G128" s="173">
        <f t="shared" si="10"/>
        <v>9024.1079499999996</v>
      </c>
      <c r="H128" s="173">
        <f t="shared" si="10"/>
        <v>6982.3951999999999</v>
      </c>
      <c r="I128" s="173">
        <f t="shared" si="10"/>
        <v>113.64155</v>
      </c>
      <c r="J128" s="173">
        <f t="shared" si="10"/>
        <v>145.43292499999998</v>
      </c>
      <c r="K128" s="173">
        <f t="shared" si="10"/>
        <v>409.95734999999996</v>
      </c>
      <c r="L128" s="173">
        <f t="shared" si="10"/>
        <v>298.13244999999995</v>
      </c>
      <c r="M128" s="173">
        <f t="shared" si="10"/>
        <v>2690.8623499999999</v>
      </c>
      <c r="N128" s="173">
        <f t="shared" si="10"/>
        <v>1880.0309</v>
      </c>
      <c r="O128" s="173">
        <f t="shared" si="9"/>
        <v>860880.15749999997</v>
      </c>
      <c r="P128" s="173">
        <f t="shared" si="9"/>
        <v>8937.9179999999997</v>
      </c>
      <c r="Q128" s="173">
        <f t="shared" si="9"/>
        <v>5196.6282499999998</v>
      </c>
      <c r="R128" s="173">
        <f t="shared" si="9"/>
        <v>3237.674</v>
      </c>
    </row>
    <row r="129" spans="1:18" x14ac:dyDescent="0.35">
      <c r="A129" s="155">
        <v>45444</v>
      </c>
      <c r="B129" s="156">
        <f t="shared" si="4"/>
        <v>2024</v>
      </c>
      <c r="C129" s="155" t="str">
        <f t="shared" si="5"/>
        <v>Q2</v>
      </c>
      <c r="D129" s="172">
        <v>8031.8</v>
      </c>
      <c r="E129" s="172">
        <v>8092.5</v>
      </c>
      <c r="F129" s="173">
        <f t="shared" ref="F129:N129" si="11">F117*(1+$AA$15)</f>
        <v>860616.9450999999</v>
      </c>
      <c r="G129" s="173">
        <f t="shared" si="11"/>
        <v>9024.1079499999996</v>
      </c>
      <c r="H129" s="173">
        <f t="shared" si="11"/>
        <v>6982.3951999999999</v>
      </c>
      <c r="I129" s="173">
        <f t="shared" si="11"/>
        <v>113.64155</v>
      </c>
      <c r="J129" s="173">
        <f t="shared" si="11"/>
        <v>145.43292499999998</v>
      </c>
      <c r="K129" s="173">
        <f t="shared" si="11"/>
        <v>409.95734999999996</v>
      </c>
      <c r="L129" s="173">
        <f t="shared" si="11"/>
        <v>298.13244999999995</v>
      </c>
      <c r="M129" s="173">
        <f t="shared" si="11"/>
        <v>2690.8623499999999</v>
      </c>
      <c r="N129" s="173">
        <f t="shared" si="11"/>
        <v>1880.0309</v>
      </c>
      <c r="O129" s="173">
        <f t="shared" si="9"/>
        <v>860880.15749999997</v>
      </c>
      <c r="P129" s="173">
        <f t="shared" si="9"/>
        <v>8937.9179999999997</v>
      </c>
      <c r="Q129" s="173">
        <f t="shared" si="9"/>
        <v>5196.6282499999998</v>
      </c>
      <c r="R129" s="173">
        <f t="shared" si="9"/>
        <v>3237.674</v>
      </c>
    </row>
    <row r="130" spans="1:18" x14ac:dyDescent="0.35">
      <c r="A130" s="155">
        <v>45474</v>
      </c>
      <c r="B130" s="156">
        <f t="shared" si="4"/>
        <v>2024</v>
      </c>
      <c r="C130" s="155" t="str">
        <f t="shared" si="5"/>
        <v>Q3</v>
      </c>
      <c r="D130" s="173">
        <f t="shared" ref="D130:E135" si="12">D118*(1+$AA$20)</f>
        <v>8023.1947250000012</v>
      </c>
      <c r="E130" s="173">
        <f t="shared" si="12"/>
        <v>8115.1070250000002</v>
      </c>
      <c r="F130" s="173">
        <f t="shared" ref="F130:N130" si="13">F118*(1+$AA$15)</f>
        <v>860616.9450999999</v>
      </c>
      <c r="G130" s="173">
        <f t="shared" si="13"/>
        <v>9024.1079499999996</v>
      </c>
      <c r="H130" s="173">
        <f t="shared" si="13"/>
        <v>6982.3951999999999</v>
      </c>
      <c r="I130" s="173">
        <f t="shared" si="13"/>
        <v>113.64155</v>
      </c>
      <c r="J130" s="173">
        <f t="shared" si="13"/>
        <v>145.43292499999998</v>
      </c>
      <c r="K130" s="173">
        <f t="shared" si="13"/>
        <v>409.95734999999996</v>
      </c>
      <c r="L130" s="173">
        <f t="shared" si="13"/>
        <v>298.13244999999995</v>
      </c>
      <c r="M130" s="173">
        <f t="shared" si="13"/>
        <v>2690.8623499999999</v>
      </c>
      <c r="N130" s="173">
        <f t="shared" si="13"/>
        <v>1880.0309</v>
      </c>
      <c r="O130" s="173">
        <f t="shared" si="9"/>
        <v>861892.43524999998</v>
      </c>
      <c r="P130" s="173">
        <f t="shared" si="9"/>
        <v>8959.1122500000001</v>
      </c>
      <c r="Q130" s="173">
        <f t="shared" si="9"/>
        <v>5110.8419999999996</v>
      </c>
      <c r="R130" s="173">
        <f t="shared" si="9"/>
        <v>3143.8137499999998</v>
      </c>
    </row>
    <row r="131" spans="1:18" x14ac:dyDescent="0.35">
      <c r="A131" s="155">
        <v>45505</v>
      </c>
      <c r="B131" s="156">
        <f t="shared" si="4"/>
        <v>2024</v>
      </c>
      <c r="C131" s="155" t="str">
        <f t="shared" si="5"/>
        <v>Q3</v>
      </c>
      <c r="D131" s="173">
        <f t="shared" si="12"/>
        <v>8037.7711250000011</v>
      </c>
      <c r="E131" s="173">
        <f t="shared" si="12"/>
        <v>8118.5486750000009</v>
      </c>
      <c r="F131" s="173">
        <f t="shared" ref="F131:N131" si="14">F119*(1+$AA$15)</f>
        <v>860616.9450999999</v>
      </c>
      <c r="G131" s="173">
        <f t="shared" si="14"/>
        <v>9024.1079499999996</v>
      </c>
      <c r="H131" s="173">
        <f t="shared" si="14"/>
        <v>6982.3951999999999</v>
      </c>
      <c r="I131" s="173">
        <f t="shared" si="14"/>
        <v>113.64155</v>
      </c>
      <c r="J131" s="173">
        <f t="shared" si="14"/>
        <v>145.43292499999998</v>
      </c>
      <c r="K131" s="173">
        <f t="shared" si="14"/>
        <v>409.95734999999996</v>
      </c>
      <c r="L131" s="173">
        <f t="shared" si="14"/>
        <v>298.13244999999995</v>
      </c>
      <c r="M131" s="173">
        <f t="shared" si="14"/>
        <v>2690.8623499999999</v>
      </c>
      <c r="N131" s="173">
        <f t="shared" si="14"/>
        <v>1880.0309</v>
      </c>
      <c r="O131" s="173">
        <f t="shared" si="9"/>
        <v>861892.43524999998</v>
      </c>
      <c r="P131" s="173">
        <f t="shared" si="9"/>
        <v>8959.1122500000001</v>
      </c>
      <c r="Q131" s="173">
        <f t="shared" si="9"/>
        <v>5110.8419999999996</v>
      </c>
      <c r="R131" s="173">
        <f t="shared" si="9"/>
        <v>3143.8137499999998</v>
      </c>
    </row>
    <row r="132" spans="1:18" x14ac:dyDescent="0.35">
      <c r="A132" s="155">
        <v>45536</v>
      </c>
      <c r="B132" s="156">
        <f t="shared" si="4"/>
        <v>2024</v>
      </c>
      <c r="C132" s="155" t="str">
        <f t="shared" si="5"/>
        <v>Q3</v>
      </c>
      <c r="D132" s="173">
        <f t="shared" si="12"/>
        <v>8042.326250000001</v>
      </c>
      <c r="E132" s="173">
        <f t="shared" si="12"/>
        <v>8066.0129000000006</v>
      </c>
      <c r="F132" s="173">
        <f t="shared" ref="F132:N132" si="15">F120*(1+$AA$15)</f>
        <v>860616.9450999999</v>
      </c>
      <c r="G132" s="173">
        <f t="shared" si="15"/>
        <v>9024.1079499999996</v>
      </c>
      <c r="H132" s="173">
        <f t="shared" si="15"/>
        <v>6982.3951999999999</v>
      </c>
      <c r="I132" s="173">
        <f t="shared" si="15"/>
        <v>113.64155</v>
      </c>
      <c r="J132" s="173">
        <f t="shared" si="15"/>
        <v>145.43292499999998</v>
      </c>
      <c r="K132" s="173">
        <f t="shared" si="15"/>
        <v>409.95734999999996</v>
      </c>
      <c r="L132" s="173">
        <f t="shared" si="15"/>
        <v>298.13244999999995</v>
      </c>
      <c r="M132" s="173">
        <f t="shared" si="15"/>
        <v>2690.8623499999999</v>
      </c>
      <c r="N132" s="173">
        <f t="shared" si="15"/>
        <v>1880.0309</v>
      </c>
      <c r="O132" s="173">
        <f t="shared" si="9"/>
        <v>861892.43524999998</v>
      </c>
      <c r="P132" s="173">
        <f t="shared" si="9"/>
        <v>8959.1122500000001</v>
      </c>
      <c r="Q132" s="173">
        <f t="shared" si="9"/>
        <v>5110.8419999999996</v>
      </c>
      <c r="R132" s="173">
        <f t="shared" si="9"/>
        <v>3143.8137499999998</v>
      </c>
    </row>
    <row r="133" spans="1:18" x14ac:dyDescent="0.35">
      <c r="A133" s="155">
        <v>45566</v>
      </c>
      <c r="B133" s="156">
        <f t="shared" si="4"/>
        <v>2024</v>
      </c>
      <c r="C133" s="155" t="str">
        <f t="shared" si="5"/>
        <v>Q4</v>
      </c>
      <c r="D133" s="173">
        <f t="shared" si="12"/>
        <v>8047.185050000001</v>
      </c>
      <c r="E133" s="173">
        <f t="shared" si="12"/>
        <v>8044.5532000000003</v>
      </c>
      <c r="F133" s="173">
        <f t="shared" ref="F133:N133" si="16">F121*(1+$AA$15)</f>
        <v>860616.9450999999</v>
      </c>
      <c r="G133" s="173">
        <f t="shared" si="16"/>
        <v>9024.1079499999996</v>
      </c>
      <c r="H133" s="173">
        <f t="shared" si="16"/>
        <v>6982.3951999999999</v>
      </c>
      <c r="I133" s="173">
        <f t="shared" si="16"/>
        <v>113.64155</v>
      </c>
      <c r="J133" s="173">
        <f t="shared" si="16"/>
        <v>145.43292499999998</v>
      </c>
      <c r="K133" s="173">
        <f t="shared" si="16"/>
        <v>409.95734999999996</v>
      </c>
      <c r="L133" s="173">
        <f t="shared" si="16"/>
        <v>298.13244999999995</v>
      </c>
      <c r="M133" s="173">
        <f t="shared" si="16"/>
        <v>2690.8623499999999</v>
      </c>
      <c r="N133" s="173">
        <f t="shared" si="16"/>
        <v>1880.0309</v>
      </c>
      <c r="O133" s="173">
        <f t="shared" si="9"/>
        <v>862434.40249999997</v>
      </c>
      <c r="P133" s="173">
        <f t="shared" si="9"/>
        <v>9333.5439999999999</v>
      </c>
      <c r="Q133" s="173">
        <f t="shared" si="9"/>
        <v>4875.6867499999998</v>
      </c>
      <c r="R133" s="173">
        <f t="shared" si="9"/>
        <v>3140.7860000000001</v>
      </c>
    </row>
    <row r="134" spans="1:18" x14ac:dyDescent="0.35">
      <c r="A134" s="155">
        <v>45597</v>
      </c>
      <c r="B134" s="156">
        <f t="shared" si="4"/>
        <v>2024</v>
      </c>
      <c r="C134" s="155" t="str">
        <f t="shared" si="5"/>
        <v>Q4</v>
      </c>
      <c r="D134" s="173">
        <f t="shared" si="12"/>
        <v>8050.8291500000005</v>
      </c>
      <c r="E134" s="173">
        <f t="shared" si="12"/>
        <v>8036.5564250000007</v>
      </c>
      <c r="F134" s="173">
        <f t="shared" ref="F134:N134" si="17">F122*(1+$AA$15)</f>
        <v>860616.9450999999</v>
      </c>
      <c r="G134" s="173">
        <f t="shared" si="17"/>
        <v>9024.1079499999996</v>
      </c>
      <c r="H134" s="173">
        <f t="shared" si="17"/>
        <v>6982.3951999999999</v>
      </c>
      <c r="I134" s="173">
        <f t="shared" si="17"/>
        <v>113.64155</v>
      </c>
      <c r="J134" s="173">
        <f t="shared" si="17"/>
        <v>145.43292499999998</v>
      </c>
      <c r="K134" s="173">
        <f t="shared" si="17"/>
        <v>409.95734999999996</v>
      </c>
      <c r="L134" s="173">
        <f t="shared" si="17"/>
        <v>298.13244999999995</v>
      </c>
      <c r="M134" s="173">
        <f t="shared" si="17"/>
        <v>2690.8623499999999</v>
      </c>
      <c r="N134" s="173">
        <f t="shared" si="17"/>
        <v>1880.0309</v>
      </c>
      <c r="O134" s="173">
        <f t="shared" si="9"/>
        <v>862434.40249999997</v>
      </c>
      <c r="P134" s="173">
        <f t="shared" si="9"/>
        <v>9333.5439999999999</v>
      </c>
      <c r="Q134" s="173">
        <f t="shared" si="9"/>
        <v>4875.6867499999998</v>
      </c>
      <c r="R134" s="173">
        <f t="shared" si="9"/>
        <v>3140.7860000000001</v>
      </c>
    </row>
    <row r="135" spans="1:18" x14ac:dyDescent="0.35">
      <c r="A135" s="155">
        <v>45627</v>
      </c>
      <c r="B135" s="156">
        <f t="shared" si="4"/>
        <v>2024</v>
      </c>
      <c r="C135" s="155" t="str">
        <f t="shared" si="5"/>
        <v>Q4</v>
      </c>
      <c r="D135" s="173">
        <f t="shared" si="12"/>
        <v>8035.2405000000008</v>
      </c>
      <c r="E135" s="173">
        <f t="shared" si="12"/>
        <v>8035.4429500000006</v>
      </c>
      <c r="F135" s="173">
        <f t="shared" ref="F135:N135" si="18">F123*(1+$AA$15)</f>
        <v>860616.9450999999</v>
      </c>
      <c r="G135" s="173">
        <f t="shared" si="18"/>
        <v>9024.1079499999996</v>
      </c>
      <c r="H135" s="173">
        <f t="shared" si="18"/>
        <v>6982.3951999999999</v>
      </c>
      <c r="I135" s="173">
        <f t="shared" si="18"/>
        <v>113.64155</v>
      </c>
      <c r="J135" s="173">
        <f t="shared" si="18"/>
        <v>145.43292499999998</v>
      </c>
      <c r="K135" s="173">
        <f t="shared" si="18"/>
        <v>409.95734999999996</v>
      </c>
      <c r="L135" s="173">
        <f t="shared" si="18"/>
        <v>298.13244999999995</v>
      </c>
      <c r="M135" s="173">
        <f t="shared" si="18"/>
        <v>2690.8623499999999</v>
      </c>
      <c r="N135" s="173">
        <f t="shared" si="18"/>
        <v>1880.0309</v>
      </c>
      <c r="O135" s="173">
        <f t="shared" si="9"/>
        <v>862434.40249999997</v>
      </c>
      <c r="P135" s="173">
        <f t="shared" si="9"/>
        <v>9333.5439999999999</v>
      </c>
      <c r="Q135" s="173">
        <f t="shared" si="9"/>
        <v>4875.6867499999998</v>
      </c>
      <c r="R135" s="173">
        <f t="shared" si="9"/>
        <v>3140.7860000000001</v>
      </c>
    </row>
    <row r="136" spans="1:18" x14ac:dyDescent="0.35">
      <c r="A136" s="155">
        <v>45658</v>
      </c>
      <c r="B136" s="156">
        <f t="shared" si="4"/>
        <v>2025</v>
      </c>
      <c r="C136" s="155" t="str">
        <f t="shared" si="5"/>
        <v>Q1</v>
      </c>
      <c r="D136" s="173">
        <f t="shared" ref="D136:E147" si="19">D124*(1+$AA$21)</f>
        <v>8051.2294499999998</v>
      </c>
      <c r="E136" s="173">
        <f t="shared" si="19"/>
        <v>8021.4972749999997</v>
      </c>
      <c r="F136" s="173">
        <f t="shared" ref="F136:R136" si="20">F124*(1+$AA$16)</f>
        <v>877183.82129317487</v>
      </c>
      <c r="G136" s="173">
        <f t="shared" si="20"/>
        <v>9197.822028037499</v>
      </c>
      <c r="H136" s="173">
        <f t="shared" si="20"/>
        <v>7116.8063075999999</v>
      </c>
      <c r="I136" s="173">
        <f t="shared" si="20"/>
        <v>115.8291498375</v>
      </c>
      <c r="J136" s="173">
        <f t="shared" si="20"/>
        <v>148.23250880624997</v>
      </c>
      <c r="K136" s="173">
        <f t="shared" si="20"/>
        <v>417.84902898749993</v>
      </c>
      <c r="L136" s="173">
        <f t="shared" si="20"/>
        <v>303.87149966249996</v>
      </c>
      <c r="M136" s="173">
        <f t="shared" si="20"/>
        <v>2742.6614502375</v>
      </c>
      <c r="N136" s="173">
        <f t="shared" si="20"/>
        <v>1916.221494825</v>
      </c>
      <c r="O136" s="173">
        <f t="shared" si="20"/>
        <v>877770.96525000001</v>
      </c>
      <c r="P136" s="173">
        <f t="shared" si="20"/>
        <v>9674.7209999999995</v>
      </c>
      <c r="Q136" s="173">
        <f t="shared" si="20"/>
        <v>4897.4962500000001</v>
      </c>
      <c r="R136" s="173">
        <f t="shared" si="20"/>
        <v>3090.366</v>
      </c>
    </row>
    <row r="137" spans="1:18" x14ac:dyDescent="0.35">
      <c r="A137" s="155">
        <v>45689</v>
      </c>
      <c r="B137" s="156">
        <f t="shared" si="4"/>
        <v>2025</v>
      </c>
      <c r="C137" s="155" t="str">
        <f t="shared" si="5"/>
        <v>Q1</v>
      </c>
      <c r="D137" s="173">
        <f t="shared" si="19"/>
        <v>8048.9970000000003</v>
      </c>
      <c r="E137" s="173">
        <f t="shared" si="19"/>
        <v>7990.242975000001</v>
      </c>
      <c r="F137" s="173">
        <f t="shared" ref="F137:R137" si="21">F125*(1+$AA$16)</f>
        <v>877183.82129317487</v>
      </c>
      <c r="G137" s="173">
        <f t="shared" si="21"/>
        <v>9197.822028037499</v>
      </c>
      <c r="H137" s="173">
        <f t="shared" si="21"/>
        <v>7116.8063075999999</v>
      </c>
      <c r="I137" s="173">
        <f t="shared" si="21"/>
        <v>115.8291498375</v>
      </c>
      <c r="J137" s="173">
        <f t="shared" si="21"/>
        <v>148.23250880624997</v>
      </c>
      <c r="K137" s="173">
        <f t="shared" si="21"/>
        <v>417.84902898749993</v>
      </c>
      <c r="L137" s="173">
        <f t="shared" si="21"/>
        <v>303.87149966249996</v>
      </c>
      <c r="M137" s="173">
        <f t="shared" si="21"/>
        <v>2742.6614502375</v>
      </c>
      <c r="N137" s="173">
        <f t="shared" si="21"/>
        <v>1916.221494825</v>
      </c>
      <c r="O137" s="173">
        <f t="shared" si="21"/>
        <v>877770.96525000001</v>
      </c>
      <c r="P137" s="173">
        <f t="shared" si="21"/>
        <v>9674.7209999999995</v>
      </c>
      <c r="Q137" s="173">
        <f t="shared" si="21"/>
        <v>4897.4962500000001</v>
      </c>
      <c r="R137" s="173">
        <f t="shared" si="21"/>
        <v>3090.366</v>
      </c>
    </row>
    <row r="138" spans="1:18" x14ac:dyDescent="0.35">
      <c r="A138" s="155">
        <v>45717</v>
      </c>
      <c r="B138" s="156">
        <f t="shared" si="4"/>
        <v>2025</v>
      </c>
      <c r="C138" s="155" t="str">
        <f t="shared" si="5"/>
        <v>Q1</v>
      </c>
      <c r="D138" s="173">
        <f t="shared" si="19"/>
        <v>8068.1757749999997</v>
      </c>
      <c r="E138" s="173">
        <f t="shared" si="19"/>
        <v>7986.9957750000003</v>
      </c>
      <c r="F138" s="173">
        <f t="shared" ref="F138:R138" si="22">F126*(1+$AA$16)</f>
        <v>877183.82129317487</v>
      </c>
      <c r="G138" s="173">
        <f t="shared" si="22"/>
        <v>9197.822028037499</v>
      </c>
      <c r="H138" s="173">
        <f t="shared" si="22"/>
        <v>7116.8063075999999</v>
      </c>
      <c r="I138" s="173">
        <f t="shared" si="22"/>
        <v>115.8291498375</v>
      </c>
      <c r="J138" s="173">
        <f t="shared" si="22"/>
        <v>148.23250880624997</v>
      </c>
      <c r="K138" s="173">
        <f t="shared" si="22"/>
        <v>417.84902898749993</v>
      </c>
      <c r="L138" s="173">
        <f t="shared" si="22"/>
        <v>303.87149966249996</v>
      </c>
      <c r="M138" s="173">
        <f t="shared" si="22"/>
        <v>2742.6614502375</v>
      </c>
      <c r="N138" s="173">
        <f t="shared" si="22"/>
        <v>1916.221494825</v>
      </c>
      <c r="O138" s="173">
        <f t="shared" si="22"/>
        <v>877770.96525000001</v>
      </c>
      <c r="P138" s="173">
        <f t="shared" si="22"/>
        <v>9674.7209999999995</v>
      </c>
      <c r="Q138" s="173">
        <f t="shared" si="22"/>
        <v>4897.4962500000001</v>
      </c>
      <c r="R138" s="173">
        <f t="shared" si="22"/>
        <v>3090.366</v>
      </c>
    </row>
    <row r="139" spans="1:18" x14ac:dyDescent="0.35">
      <c r="A139" s="155">
        <v>45748</v>
      </c>
      <c r="B139" s="156">
        <f t="shared" si="4"/>
        <v>2025</v>
      </c>
      <c r="C139" s="155" t="str">
        <f t="shared" si="5"/>
        <v>Q2</v>
      </c>
      <c r="D139" s="173">
        <f t="shared" si="19"/>
        <v>8087.6589750000003</v>
      </c>
      <c r="E139" s="173">
        <f t="shared" si="19"/>
        <v>8031.7462500000001</v>
      </c>
      <c r="F139" s="173">
        <f t="shared" ref="F139:R139" si="23">F127*(1+$AA$16)</f>
        <v>877183.82129317487</v>
      </c>
      <c r="G139" s="173">
        <f t="shared" si="23"/>
        <v>9197.822028037499</v>
      </c>
      <c r="H139" s="173">
        <f t="shared" si="23"/>
        <v>7116.8063075999999</v>
      </c>
      <c r="I139" s="173">
        <f t="shared" si="23"/>
        <v>115.8291498375</v>
      </c>
      <c r="J139" s="173">
        <f t="shared" si="23"/>
        <v>148.23250880624997</v>
      </c>
      <c r="K139" s="173">
        <f t="shared" si="23"/>
        <v>417.84902898749993</v>
      </c>
      <c r="L139" s="173">
        <f t="shared" si="23"/>
        <v>303.87149966249996</v>
      </c>
      <c r="M139" s="173">
        <f t="shared" si="23"/>
        <v>2742.6614502375</v>
      </c>
      <c r="N139" s="173">
        <f t="shared" si="23"/>
        <v>1916.221494825</v>
      </c>
      <c r="O139" s="173">
        <f t="shared" si="23"/>
        <v>877452.10053187492</v>
      </c>
      <c r="P139" s="173">
        <f t="shared" si="23"/>
        <v>9109.9729214999988</v>
      </c>
      <c r="Q139" s="173">
        <f t="shared" si="23"/>
        <v>5296.6633438125</v>
      </c>
      <c r="R139" s="173">
        <f t="shared" si="23"/>
        <v>3299.9992244999999</v>
      </c>
    </row>
    <row r="140" spans="1:18" x14ac:dyDescent="0.35">
      <c r="A140" s="155">
        <v>45778</v>
      </c>
      <c r="B140" s="156">
        <f t="shared" si="4"/>
        <v>2025</v>
      </c>
      <c r="C140" s="155" t="str">
        <f t="shared" si="5"/>
        <v>Q2</v>
      </c>
      <c r="D140" s="173">
        <f t="shared" si="19"/>
        <v>8121.7545749999999</v>
      </c>
      <c r="E140" s="173">
        <f t="shared" si="19"/>
        <v>8117.7970500000001</v>
      </c>
      <c r="F140" s="173">
        <f t="shared" ref="F140:R140" si="24">F128*(1+$AA$16)</f>
        <v>877183.82129317487</v>
      </c>
      <c r="G140" s="173">
        <f t="shared" si="24"/>
        <v>9197.822028037499</v>
      </c>
      <c r="H140" s="173">
        <f t="shared" si="24"/>
        <v>7116.8063075999999</v>
      </c>
      <c r="I140" s="173">
        <f t="shared" si="24"/>
        <v>115.8291498375</v>
      </c>
      <c r="J140" s="173">
        <f t="shared" si="24"/>
        <v>148.23250880624997</v>
      </c>
      <c r="K140" s="173">
        <f t="shared" si="24"/>
        <v>417.84902898749993</v>
      </c>
      <c r="L140" s="173">
        <f t="shared" si="24"/>
        <v>303.87149966249996</v>
      </c>
      <c r="M140" s="173">
        <f t="shared" si="24"/>
        <v>2742.6614502375</v>
      </c>
      <c r="N140" s="173">
        <f t="shared" si="24"/>
        <v>1916.221494825</v>
      </c>
      <c r="O140" s="173">
        <f t="shared" si="24"/>
        <v>877452.10053187492</v>
      </c>
      <c r="P140" s="173">
        <f t="shared" si="24"/>
        <v>9109.9729214999988</v>
      </c>
      <c r="Q140" s="173">
        <f t="shared" si="24"/>
        <v>5296.6633438125</v>
      </c>
      <c r="R140" s="173">
        <f t="shared" si="24"/>
        <v>3299.9992244999999</v>
      </c>
    </row>
    <row r="141" spans="1:18" x14ac:dyDescent="0.35">
      <c r="A141" s="155">
        <v>45809</v>
      </c>
      <c r="B141" s="156">
        <f t="shared" si="4"/>
        <v>2025</v>
      </c>
      <c r="C141" s="155" t="str">
        <f t="shared" si="5"/>
        <v>Q2</v>
      </c>
      <c r="D141" s="173">
        <f t="shared" si="19"/>
        <v>8150.2690500000008</v>
      </c>
      <c r="E141" s="173">
        <f t="shared" si="19"/>
        <v>8211.864375000001</v>
      </c>
      <c r="F141" s="173">
        <f t="shared" ref="F141:R141" si="25">F129*(1+$AA$16)</f>
        <v>877183.82129317487</v>
      </c>
      <c r="G141" s="173">
        <f t="shared" si="25"/>
        <v>9197.822028037499</v>
      </c>
      <c r="H141" s="173">
        <f t="shared" si="25"/>
        <v>7116.8063075999999</v>
      </c>
      <c r="I141" s="173">
        <f t="shared" si="25"/>
        <v>115.8291498375</v>
      </c>
      <c r="J141" s="173">
        <f t="shared" si="25"/>
        <v>148.23250880624997</v>
      </c>
      <c r="K141" s="173">
        <f t="shared" si="25"/>
        <v>417.84902898749993</v>
      </c>
      <c r="L141" s="173">
        <f t="shared" si="25"/>
        <v>303.87149966249996</v>
      </c>
      <c r="M141" s="173">
        <f t="shared" si="25"/>
        <v>2742.6614502375</v>
      </c>
      <c r="N141" s="173">
        <f t="shared" si="25"/>
        <v>1916.221494825</v>
      </c>
      <c r="O141" s="173">
        <f t="shared" si="25"/>
        <v>877452.10053187492</v>
      </c>
      <c r="P141" s="173">
        <f t="shared" si="25"/>
        <v>9109.9729214999988</v>
      </c>
      <c r="Q141" s="173">
        <f t="shared" si="25"/>
        <v>5296.6633438125</v>
      </c>
      <c r="R141" s="173">
        <f t="shared" si="25"/>
        <v>3299.9992244999999</v>
      </c>
    </row>
    <row r="142" spans="1:18" x14ac:dyDescent="0.35">
      <c r="A142" s="155">
        <v>45839</v>
      </c>
      <c r="B142" s="156">
        <f t="shared" si="4"/>
        <v>2025</v>
      </c>
      <c r="C142" s="155" t="str">
        <f t="shared" si="5"/>
        <v>Q3</v>
      </c>
      <c r="D142" s="173">
        <f t="shared" si="19"/>
        <v>8141.5368471937518</v>
      </c>
      <c r="E142" s="173">
        <f t="shared" si="19"/>
        <v>8234.8048536187507</v>
      </c>
      <c r="F142" s="173">
        <f t="shared" ref="F142:R142" si="26">F130*(1+$AA$16)</f>
        <v>877183.82129317487</v>
      </c>
      <c r="G142" s="173">
        <f t="shared" si="26"/>
        <v>9197.822028037499</v>
      </c>
      <c r="H142" s="173">
        <f t="shared" si="26"/>
        <v>7116.8063075999999</v>
      </c>
      <c r="I142" s="173">
        <f t="shared" si="26"/>
        <v>115.8291498375</v>
      </c>
      <c r="J142" s="173">
        <f t="shared" si="26"/>
        <v>148.23250880624997</v>
      </c>
      <c r="K142" s="173">
        <f t="shared" si="26"/>
        <v>417.84902898749993</v>
      </c>
      <c r="L142" s="173">
        <f t="shared" si="26"/>
        <v>303.87149966249996</v>
      </c>
      <c r="M142" s="173">
        <f t="shared" si="26"/>
        <v>2742.6614502375</v>
      </c>
      <c r="N142" s="173">
        <f t="shared" si="26"/>
        <v>1916.221494825</v>
      </c>
      <c r="O142" s="173">
        <f t="shared" si="26"/>
        <v>878483.86462856247</v>
      </c>
      <c r="P142" s="173">
        <f t="shared" si="26"/>
        <v>9131.5751608124992</v>
      </c>
      <c r="Q142" s="173">
        <f t="shared" si="26"/>
        <v>5209.2257084999992</v>
      </c>
      <c r="R142" s="173">
        <f t="shared" si="26"/>
        <v>3204.3321646874997</v>
      </c>
    </row>
    <row r="143" spans="1:18" x14ac:dyDescent="0.35">
      <c r="A143" s="155">
        <v>45870</v>
      </c>
      <c r="B143" s="156">
        <f t="shared" si="4"/>
        <v>2025</v>
      </c>
      <c r="C143" s="155" t="str">
        <f t="shared" si="5"/>
        <v>Q3</v>
      </c>
      <c r="D143" s="173">
        <f t="shared" si="19"/>
        <v>8156.3282490937518</v>
      </c>
      <c r="E143" s="173">
        <f t="shared" si="19"/>
        <v>8238.2972679562517</v>
      </c>
      <c r="F143" s="173">
        <f t="shared" ref="F143:R143" si="27">F131*(1+$AA$16)</f>
        <v>877183.82129317487</v>
      </c>
      <c r="G143" s="173">
        <f t="shared" si="27"/>
        <v>9197.822028037499</v>
      </c>
      <c r="H143" s="173">
        <f t="shared" si="27"/>
        <v>7116.8063075999999</v>
      </c>
      <c r="I143" s="173">
        <f t="shared" si="27"/>
        <v>115.8291498375</v>
      </c>
      <c r="J143" s="173">
        <f t="shared" si="27"/>
        <v>148.23250880624997</v>
      </c>
      <c r="K143" s="173">
        <f t="shared" si="27"/>
        <v>417.84902898749993</v>
      </c>
      <c r="L143" s="173">
        <f t="shared" si="27"/>
        <v>303.87149966249996</v>
      </c>
      <c r="M143" s="173">
        <f t="shared" si="27"/>
        <v>2742.6614502375</v>
      </c>
      <c r="N143" s="173">
        <f t="shared" si="27"/>
        <v>1916.221494825</v>
      </c>
      <c r="O143" s="173">
        <f t="shared" si="27"/>
        <v>878483.86462856247</v>
      </c>
      <c r="P143" s="173">
        <f t="shared" si="27"/>
        <v>9131.5751608124992</v>
      </c>
      <c r="Q143" s="173">
        <f t="shared" si="27"/>
        <v>5209.2257084999992</v>
      </c>
      <c r="R143" s="173">
        <f t="shared" si="27"/>
        <v>3204.3321646874997</v>
      </c>
    </row>
    <row r="144" spans="1:18" x14ac:dyDescent="0.35">
      <c r="A144" s="155">
        <v>45901</v>
      </c>
      <c r="B144" s="156">
        <f t="shared" si="4"/>
        <v>2025</v>
      </c>
      <c r="C144" s="155" t="str">
        <f t="shared" si="5"/>
        <v>Q3</v>
      </c>
      <c r="D144" s="173">
        <f t="shared" si="19"/>
        <v>8160.9505621875014</v>
      </c>
      <c r="E144" s="173">
        <f t="shared" si="19"/>
        <v>8184.9865902750007</v>
      </c>
      <c r="F144" s="173">
        <f t="shared" ref="F144:R144" si="28">F132*(1+$AA$16)</f>
        <v>877183.82129317487</v>
      </c>
      <c r="G144" s="173">
        <f t="shared" si="28"/>
        <v>9197.822028037499</v>
      </c>
      <c r="H144" s="173">
        <f t="shared" si="28"/>
        <v>7116.8063075999999</v>
      </c>
      <c r="I144" s="173">
        <f t="shared" si="28"/>
        <v>115.8291498375</v>
      </c>
      <c r="J144" s="173">
        <f t="shared" si="28"/>
        <v>148.23250880624997</v>
      </c>
      <c r="K144" s="173">
        <f t="shared" si="28"/>
        <v>417.84902898749993</v>
      </c>
      <c r="L144" s="173">
        <f t="shared" si="28"/>
        <v>303.87149966249996</v>
      </c>
      <c r="M144" s="173">
        <f t="shared" si="28"/>
        <v>2742.6614502375</v>
      </c>
      <c r="N144" s="173">
        <f t="shared" si="28"/>
        <v>1916.221494825</v>
      </c>
      <c r="O144" s="173">
        <f t="shared" si="28"/>
        <v>878483.86462856247</v>
      </c>
      <c r="P144" s="173">
        <f t="shared" si="28"/>
        <v>9131.5751608124992</v>
      </c>
      <c r="Q144" s="173">
        <f t="shared" si="28"/>
        <v>5209.2257084999992</v>
      </c>
      <c r="R144" s="173">
        <f t="shared" si="28"/>
        <v>3204.3321646874997</v>
      </c>
    </row>
    <row r="145" spans="1:18" x14ac:dyDescent="0.35">
      <c r="A145" s="155">
        <v>45931</v>
      </c>
      <c r="B145" s="156">
        <f t="shared" si="4"/>
        <v>2025</v>
      </c>
      <c r="C145" s="155" t="str">
        <f t="shared" si="5"/>
        <v>Q4</v>
      </c>
      <c r="D145" s="173">
        <f t="shared" si="19"/>
        <v>8165.8810294875011</v>
      </c>
      <c r="E145" s="173">
        <f t="shared" si="19"/>
        <v>8163.2103597000005</v>
      </c>
      <c r="F145" s="173">
        <f t="shared" ref="F145:R145" si="29">F133*(1+$AA$16)</f>
        <v>877183.82129317487</v>
      </c>
      <c r="G145" s="173">
        <f t="shared" si="29"/>
        <v>9197.822028037499</v>
      </c>
      <c r="H145" s="173">
        <f t="shared" si="29"/>
        <v>7116.8063075999999</v>
      </c>
      <c r="I145" s="173">
        <f t="shared" si="29"/>
        <v>115.8291498375</v>
      </c>
      <c r="J145" s="173">
        <f t="shared" si="29"/>
        <v>148.23250880624997</v>
      </c>
      <c r="K145" s="173">
        <f t="shared" si="29"/>
        <v>417.84902898749993</v>
      </c>
      <c r="L145" s="173">
        <f t="shared" si="29"/>
        <v>303.87149966249996</v>
      </c>
      <c r="M145" s="173">
        <f t="shared" si="29"/>
        <v>2742.6614502375</v>
      </c>
      <c r="N145" s="173">
        <f t="shared" si="29"/>
        <v>1916.221494825</v>
      </c>
      <c r="O145" s="173">
        <f t="shared" si="29"/>
        <v>879036.26474812499</v>
      </c>
      <c r="P145" s="173">
        <f t="shared" si="29"/>
        <v>9513.2147220000006</v>
      </c>
      <c r="Q145" s="173">
        <f t="shared" si="29"/>
        <v>4969.5437199375001</v>
      </c>
      <c r="R145" s="173">
        <f t="shared" si="29"/>
        <v>3201.2461305000002</v>
      </c>
    </row>
    <row r="146" spans="1:18" x14ac:dyDescent="0.35">
      <c r="A146" s="155">
        <v>45962</v>
      </c>
      <c r="B146" s="156">
        <f t="shared" si="4"/>
        <v>2025</v>
      </c>
      <c r="C146" s="155" t="str">
        <f t="shared" si="5"/>
        <v>Q4</v>
      </c>
      <c r="D146" s="173">
        <f t="shared" si="19"/>
        <v>8169.5788799625007</v>
      </c>
      <c r="E146" s="173">
        <f t="shared" si="19"/>
        <v>8155.0956322687507</v>
      </c>
      <c r="F146" s="173">
        <f t="shared" ref="F146:R146" si="30">F134*(1+$AA$16)</f>
        <v>877183.82129317487</v>
      </c>
      <c r="G146" s="173">
        <f t="shared" si="30"/>
        <v>9197.822028037499</v>
      </c>
      <c r="H146" s="173">
        <f t="shared" si="30"/>
        <v>7116.8063075999999</v>
      </c>
      <c r="I146" s="173">
        <f t="shared" si="30"/>
        <v>115.8291498375</v>
      </c>
      <c r="J146" s="173">
        <f t="shared" si="30"/>
        <v>148.23250880624997</v>
      </c>
      <c r="K146" s="173">
        <f t="shared" si="30"/>
        <v>417.84902898749993</v>
      </c>
      <c r="L146" s="173">
        <f t="shared" si="30"/>
        <v>303.87149966249996</v>
      </c>
      <c r="M146" s="173">
        <f t="shared" si="30"/>
        <v>2742.6614502375</v>
      </c>
      <c r="N146" s="173">
        <f t="shared" si="30"/>
        <v>1916.221494825</v>
      </c>
      <c r="O146" s="173">
        <f t="shared" si="30"/>
        <v>879036.26474812499</v>
      </c>
      <c r="P146" s="173">
        <f t="shared" si="30"/>
        <v>9513.2147220000006</v>
      </c>
      <c r="Q146" s="173">
        <f t="shared" si="30"/>
        <v>4969.5437199375001</v>
      </c>
      <c r="R146" s="173">
        <f t="shared" si="30"/>
        <v>3201.2461305000002</v>
      </c>
    </row>
    <row r="147" spans="1:18" x14ac:dyDescent="0.35">
      <c r="A147" s="155">
        <v>45992</v>
      </c>
      <c r="B147" s="156">
        <f t="shared" si="4"/>
        <v>2025</v>
      </c>
      <c r="C147" s="155" t="str">
        <f t="shared" si="5"/>
        <v>Q4</v>
      </c>
      <c r="D147" s="173">
        <f t="shared" si="19"/>
        <v>8153.7602973750008</v>
      </c>
      <c r="E147" s="173">
        <f t="shared" si="19"/>
        <v>8153.9657335125012</v>
      </c>
      <c r="F147" s="173">
        <f t="shared" ref="F147:R147" si="31">F135*(1+$AA$16)</f>
        <v>877183.82129317487</v>
      </c>
      <c r="G147" s="173">
        <f t="shared" si="31"/>
        <v>9197.822028037499</v>
      </c>
      <c r="H147" s="173">
        <f t="shared" si="31"/>
        <v>7116.8063075999999</v>
      </c>
      <c r="I147" s="173">
        <f t="shared" si="31"/>
        <v>115.8291498375</v>
      </c>
      <c r="J147" s="173">
        <f t="shared" si="31"/>
        <v>148.23250880624997</v>
      </c>
      <c r="K147" s="173">
        <f t="shared" si="31"/>
        <v>417.84902898749993</v>
      </c>
      <c r="L147" s="173">
        <f t="shared" si="31"/>
        <v>303.87149966249996</v>
      </c>
      <c r="M147" s="173">
        <f t="shared" si="31"/>
        <v>2742.6614502375</v>
      </c>
      <c r="N147" s="173">
        <f t="shared" si="31"/>
        <v>1916.221494825</v>
      </c>
      <c r="O147" s="173">
        <f t="shared" si="31"/>
        <v>879036.26474812499</v>
      </c>
      <c r="P147" s="173">
        <f t="shared" si="31"/>
        <v>9513.2147220000006</v>
      </c>
      <c r="Q147" s="173">
        <f t="shared" si="31"/>
        <v>4969.5437199375001</v>
      </c>
      <c r="R147" s="173">
        <f t="shared" si="31"/>
        <v>3201.2461305000002</v>
      </c>
    </row>
    <row r="148" spans="1:18" x14ac:dyDescent="0.35">
      <c r="A148" s="157"/>
      <c r="C148" s="148"/>
      <c r="D148" s="174"/>
      <c r="E148" s="174"/>
      <c r="F148" s="174"/>
      <c r="G148" s="174"/>
      <c r="H148" s="174"/>
      <c r="I148" s="174"/>
      <c r="J148" s="174"/>
      <c r="K148" s="174"/>
      <c r="L148" s="174"/>
      <c r="M148" s="174"/>
      <c r="N148" s="174"/>
    </row>
    <row r="149" spans="1:18" x14ac:dyDescent="0.35">
      <c r="C149" s="148"/>
      <c r="F149" s="175"/>
      <c r="G149" s="175"/>
      <c r="H149" s="175"/>
      <c r="I149" s="175"/>
      <c r="J149" s="175"/>
      <c r="K149" s="142"/>
      <c r="L149" s="142"/>
      <c r="M149" s="142"/>
      <c r="N149" s="142"/>
      <c r="O149" s="176"/>
      <c r="P149" s="176"/>
    </row>
    <row r="155" spans="1:18" x14ac:dyDescent="0.35">
      <c r="D155" s="171"/>
      <c r="E155" s="171"/>
      <c r="Q155" s="147"/>
      <c r="R155" s="147"/>
    </row>
    <row r="156" spans="1:18" x14ac:dyDescent="0.35">
      <c r="D156" s="171"/>
      <c r="E156" s="171"/>
      <c r="Q156" s="147"/>
      <c r="R156" s="147"/>
    </row>
    <row r="157" spans="1:18" x14ac:dyDescent="0.35">
      <c r="D157" s="171"/>
      <c r="E157" s="171"/>
      <c r="Q157" s="147"/>
      <c r="R157" s="147"/>
    </row>
    <row r="158" spans="1:18" x14ac:dyDescent="0.35">
      <c r="D158" s="171"/>
      <c r="E158" s="171"/>
      <c r="Q158" s="147"/>
      <c r="R158" s="147"/>
    </row>
    <row r="159" spans="1:18" x14ac:dyDescent="0.35">
      <c r="D159" s="171"/>
      <c r="E159" s="171"/>
      <c r="Q159" s="147"/>
      <c r="R159" s="147"/>
    </row>
    <row r="160" spans="1:18" x14ac:dyDescent="0.35">
      <c r="D160" s="171"/>
      <c r="E160" s="171"/>
      <c r="Q160" s="147"/>
      <c r="R160" s="147"/>
    </row>
    <row r="161" spans="4:18" x14ac:dyDescent="0.35">
      <c r="D161" s="171"/>
      <c r="E161" s="171"/>
      <c r="Q161" s="147"/>
      <c r="R161" s="147"/>
    </row>
    <row r="162" spans="4:18" x14ac:dyDescent="0.35">
      <c r="D162" s="171"/>
      <c r="E162" s="171"/>
      <c r="Q162" s="147"/>
      <c r="R162" s="147"/>
    </row>
    <row r="163" spans="4:18" x14ac:dyDescent="0.35">
      <c r="D163" s="171"/>
      <c r="E163" s="171"/>
      <c r="Q163" s="147"/>
      <c r="R163" s="147"/>
    </row>
    <row r="164" spans="4:18" x14ac:dyDescent="0.35">
      <c r="D164" s="171"/>
      <c r="E164" s="171"/>
      <c r="Q164" s="147"/>
      <c r="R164" s="147"/>
    </row>
    <row r="165" spans="4:18" x14ac:dyDescent="0.35">
      <c r="D165" s="171"/>
      <c r="E165" s="171"/>
      <c r="Q165" s="147"/>
      <c r="R165" s="147"/>
    </row>
    <row r="166" spans="4:18" x14ac:dyDescent="0.35">
      <c r="D166" s="171"/>
      <c r="E166" s="171"/>
      <c r="Q166" s="147"/>
      <c r="R166" s="147"/>
    </row>
    <row r="167" spans="4:18" x14ac:dyDescent="0.35">
      <c r="D167" s="177"/>
      <c r="E167" s="177"/>
      <c r="Q167" s="147"/>
      <c r="R167" s="147"/>
    </row>
    <row r="168" spans="4:18" x14ac:dyDescent="0.35">
      <c r="D168" s="177"/>
      <c r="E168" s="177"/>
      <c r="Q168" s="147"/>
      <c r="R168" s="147"/>
    </row>
    <row r="169" spans="4:18" x14ac:dyDescent="0.35">
      <c r="D169" s="177"/>
      <c r="E169" s="177"/>
      <c r="Q169" s="147"/>
      <c r="R169" s="147"/>
    </row>
    <row r="170" spans="4:18" x14ac:dyDescent="0.35">
      <c r="D170" s="177"/>
      <c r="E170" s="177"/>
      <c r="Q170" s="147"/>
      <c r="R170" s="147"/>
    </row>
    <row r="171" spans="4:18" x14ac:dyDescent="0.35">
      <c r="D171" s="177"/>
      <c r="E171" s="177"/>
      <c r="Q171" s="147"/>
      <c r="R171" s="147"/>
    </row>
    <row r="172" spans="4:18" x14ac:dyDescent="0.35">
      <c r="D172" s="177"/>
      <c r="E172" s="177"/>
      <c r="Q172" s="147"/>
      <c r="R172" s="147"/>
    </row>
    <row r="173" spans="4:18" x14ac:dyDescent="0.35">
      <c r="D173" s="177"/>
      <c r="E173" s="177"/>
      <c r="Q173" s="147"/>
      <c r="R173" s="147"/>
    </row>
    <row r="174" spans="4:18" x14ac:dyDescent="0.35">
      <c r="D174" s="177"/>
      <c r="E174" s="177"/>
      <c r="Q174" s="147"/>
      <c r="R174" s="147"/>
    </row>
    <row r="175" spans="4:18" x14ac:dyDescent="0.35">
      <c r="D175" s="177"/>
      <c r="E175" s="177"/>
      <c r="Q175" s="147"/>
      <c r="R175" s="147"/>
    </row>
    <row r="176" spans="4:18" x14ac:dyDescent="0.35">
      <c r="D176" s="177"/>
      <c r="E176" s="177"/>
      <c r="Q176" s="147"/>
      <c r="R176" s="147"/>
    </row>
  </sheetData>
  <mergeCells count="6">
    <mergeCell ref="D1:E1"/>
    <mergeCell ref="F1:J1"/>
    <mergeCell ref="O1:P1"/>
    <mergeCell ref="D3:E3"/>
    <mergeCell ref="F3:N3"/>
    <mergeCell ref="O3:R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8AFC-083E-4A2F-94C9-DEF4141C1AC3}">
  <sheetPr codeName="Sheet3"/>
  <dimension ref="B1:DP251"/>
  <sheetViews>
    <sheetView topLeftCell="A226" workbookViewId="0">
      <selection activeCell="X250" sqref="X250"/>
    </sheetView>
  </sheetViews>
  <sheetFormatPr defaultRowHeight="14.5" x14ac:dyDescent="0.35"/>
  <cols>
    <col min="4" max="4" width="9.1796875" bestFit="1" customWidth="1"/>
    <col min="5" max="5" width="8.81640625" bestFit="1" customWidth="1"/>
    <col min="6" max="6" width="9.1796875" bestFit="1" customWidth="1"/>
    <col min="7" max="7" width="8.81640625" bestFit="1" customWidth="1"/>
    <col min="8" max="8" width="9.1796875" bestFit="1" customWidth="1"/>
    <col min="9" max="9" width="8.81640625" bestFit="1" customWidth="1"/>
    <col min="10" max="10" width="9.1796875" bestFit="1" customWidth="1"/>
    <col min="11" max="11" width="8.81640625" bestFit="1" customWidth="1"/>
    <col min="12" max="12" width="9.1796875" bestFit="1" customWidth="1"/>
    <col min="13" max="13" width="8.81640625" bestFit="1" customWidth="1"/>
    <col min="14" max="14" width="9.1796875" bestFit="1" customWidth="1"/>
    <col min="15" max="15" width="8.81640625" bestFit="1" customWidth="1"/>
    <col min="16" max="17" width="8.81640625" customWidth="1"/>
    <col min="18" max="18" width="8.81640625" bestFit="1" customWidth="1"/>
    <col min="20" max="22" width="12.7265625" bestFit="1" customWidth="1"/>
    <col min="25" max="28" width="9.1796875" bestFit="1" customWidth="1"/>
    <col min="29" max="29" width="8.90625" bestFit="1" customWidth="1"/>
    <col min="30" max="35" width="8.81640625" bestFit="1" customWidth="1"/>
    <col min="36" max="36" width="9.1796875" bestFit="1" customWidth="1"/>
    <col min="42" max="42" width="9.1796875" bestFit="1" customWidth="1"/>
    <col min="43" max="43" width="8.81640625" bestFit="1" customWidth="1"/>
  </cols>
  <sheetData>
    <row r="1" spans="2:120" x14ac:dyDescent="0.35">
      <c r="B1" t="s">
        <v>1</v>
      </c>
      <c r="C1" t="s">
        <v>2</v>
      </c>
      <c r="D1" t="s">
        <v>3</v>
      </c>
      <c r="E1" t="s">
        <v>4</v>
      </c>
      <c r="F1" t="s">
        <v>5</v>
      </c>
      <c r="G1" t="s">
        <v>6</v>
      </c>
      <c r="H1" t="s">
        <v>7</v>
      </c>
      <c r="I1" t="s">
        <v>8</v>
      </c>
      <c r="J1" t="s">
        <v>9</v>
      </c>
      <c r="K1" t="s">
        <v>10</v>
      </c>
      <c r="L1" t="s">
        <v>11</v>
      </c>
      <c r="M1" t="s">
        <v>12</v>
      </c>
      <c r="N1" t="s">
        <v>13</v>
      </c>
      <c r="O1" t="s">
        <v>14</v>
      </c>
      <c r="P1" t="s">
        <v>468</v>
      </c>
      <c r="Q1" t="s">
        <v>469</v>
      </c>
      <c r="R1" t="s">
        <v>15</v>
      </c>
    </row>
    <row r="2" spans="2:120" x14ac:dyDescent="0.35">
      <c r="B2">
        <v>2004</v>
      </c>
      <c r="C2">
        <v>1</v>
      </c>
      <c r="D2" s="4">
        <v>1371.5649305513891</v>
      </c>
      <c r="E2" s="4">
        <v>0</v>
      </c>
      <c r="F2" s="4">
        <v>1309.5649305513891</v>
      </c>
      <c r="G2" s="4">
        <v>0</v>
      </c>
      <c r="H2" s="4">
        <v>1247.5649305513891</v>
      </c>
      <c r="I2" s="4">
        <v>0</v>
      </c>
      <c r="J2" s="4">
        <v>1185.5649305513891</v>
      </c>
      <c r="K2" s="4">
        <v>0</v>
      </c>
      <c r="L2" s="4">
        <v>1123.5649305513891</v>
      </c>
      <c r="M2" s="4">
        <v>0</v>
      </c>
      <c r="N2" s="4">
        <v>1061.5649305513891</v>
      </c>
      <c r="O2" s="4">
        <v>0</v>
      </c>
      <c r="P2" s="4">
        <v>999.56493055138912</v>
      </c>
      <c r="Q2" s="4">
        <v>0</v>
      </c>
      <c r="R2" s="3">
        <v>-24.244030017786748</v>
      </c>
    </row>
    <row r="3" spans="2:120" x14ac:dyDescent="0.35">
      <c r="B3">
        <v>2004</v>
      </c>
      <c r="C3">
        <v>2</v>
      </c>
      <c r="D3" s="4">
        <v>904.2288139837209</v>
      </c>
      <c r="E3" s="4">
        <v>0</v>
      </c>
      <c r="F3" s="4">
        <v>846.2288139837209</v>
      </c>
      <c r="G3" s="4">
        <v>0</v>
      </c>
      <c r="H3" s="4">
        <v>788.2288139837209</v>
      </c>
      <c r="I3" s="4">
        <v>0</v>
      </c>
      <c r="J3" s="4">
        <v>730.2288139837209</v>
      </c>
      <c r="K3" s="4">
        <v>0</v>
      </c>
      <c r="L3" s="4">
        <v>672.22881398372078</v>
      </c>
      <c r="M3" s="4">
        <v>0</v>
      </c>
      <c r="N3" s="4">
        <v>614.22881398372078</v>
      </c>
      <c r="O3" s="4">
        <v>0</v>
      </c>
      <c r="P3" s="4">
        <v>556.22881398372078</v>
      </c>
      <c r="Q3" s="4">
        <v>0</v>
      </c>
      <c r="R3" s="3">
        <v>-11.180303930473128</v>
      </c>
    </row>
    <row r="4" spans="2:120" x14ac:dyDescent="0.35">
      <c r="B4">
        <v>2004</v>
      </c>
      <c r="C4">
        <v>3</v>
      </c>
      <c r="D4" s="4">
        <v>819.85858626077459</v>
      </c>
      <c r="E4" s="4">
        <v>0</v>
      </c>
      <c r="F4" s="4">
        <v>757.8585862607747</v>
      </c>
      <c r="G4" s="4">
        <v>0</v>
      </c>
      <c r="H4" s="4">
        <v>695.8585862607747</v>
      </c>
      <c r="I4" s="4">
        <v>0</v>
      </c>
      <c r="J4" s="4">
        <v>633.85858626077481</v>
      </c>
      <c r="K4" s="4">
        <v>0</v>
      </c>
      <c r="L4" s="4">
        <v>571.85858626077493</v>
      </c>
      <c r="M4" s="4">
        <v>0</v>
      </c>
      <c r="N4" s="4">
        <v>509.85858626077493</v>
      </c>
      <c r="O4" s="4">
        <v>0</v>
      </c>
      <c r="P4" s="4">
        <v>447.85858626077493</v>
      </c>
      <c r="Q4" s="4">
        <v>0</v>
      </c>
      <c r="R4" s="3">
        <v>-6.4470511697024113</v>
      </c>
      <c r="X4" s="5" t="str">
        <f>D1</f>
        <v>HDD20</v>
      </c>
      <c r="Y4" s="6">
        <v>1</v>
      </c>
      <c r="Z4" s="6">
        <f>Y4+1</f>
        <v>2</v>
      </c>
      <c r="AA4" s="6">
        <f t="shared" ref="AA4:AJ4" si="0">Z4+1</f>
        <v>3</v>
      </c>
      <c r="AB4" s="6">
        <f t="shared" si="0"/>
        <v>4</v>
      </c>
      <c r="AC4" s="6">
        <f t="shared" si="0"/>
        <v>5</v>
      </c>
      <c r="AD4" s="6">
        <f t="shared" si="0"/>
        <v>6</v>
      </c>
      <c r="AE4" s="6">
        <f t="shared" si="0"/>
        <v>7</v>
      </c>
      <c r="AF4" s="6">
        <f t="shared" si="0"/>
        <v>8</v>
      </c>
      <c r="AG4" s="6">
        <f t="shared" si="0"/>
        <v>9</v>
      </c>
      <c r="AH4" s="6">
        <f t="shared" si="0"/>
        <v>10</v>
      </c>
      <c r="AI4" s="6">
        <f t="shared" si="0"/>
        <v>11</v>
      </c>
      <c r="AJ4" s="6">
        <f t="shared" si="0"/>
        <v>12</v>
      </c>
      <c r="AL4" s="5" t="str">
        <f>F1</f>
        <v>HDD18</v>
      </c>
      <c r="AM4" s="6">
        <v>1</v>
      </c>
      <c r="AN4" s="6">
        <f>AM4+1</f>
        <v>2</v>
      </c>
      <c r="AO4" s="6">
        <f t="shared" ref="AO4:AX4" si="1">AN4+1</f>
        <v>3</v>
      </c>
      <c r="AP4" s="6">
        <f t="shared" si="1"/>
        <v>4</v>
      </c>
      <c r="AQ4" s="6">
        <f t="shared" si="1"/>
        <v>5</v>
      </c>
      <c r="AR4" s="6">
        <f t="shared" si="1"/>
        <v>6</v>
      </c>
      <c r="AS4" s="6">
        <f t="shared" si="1"/>
        <v>7</v>
      </c>
      <c r="AT4" s="6">
        <f t="shared" si="1"/>
        <v>8</v>
      </c>
      <c r="AU4" s="6">
        <f t="shared" si="1"/>
        <v>9</v>
      </c>
      <c r="AV4" s="6">
        <f t="shared" si="1"/>
        <v>10</v>
      </c>
      <c r="AW4" s="6">
        <f t="shared" si="1"/>
        <v>11</v>
      </c>
      <c r="AX4" s="6">
        <f t="shared" si="1"/>
        <v>12</v>
      </c>
      <c r="AZ4" s="5" t="str">
        <f>H1</f>
        <v>HDD16</v>
      </c>
      <c r="BA4" s="6">
        <v>1</v>
      </c>
      <c r="BB4" s="6">
        <f>BA4+1</f>
        <v>2</v>
      </c>
      <c r="BC4" s="6">
        <f t="shared" ref="BC4:BL4" si="2">BB4+1</f>
        <v>3</v>
      </c>
      <c r="BD4" s="6">
        <f t="shared" si="2"/>
        <v>4</v>
      </c>
      <c r="BE4" s="6">
        <f t="shared" si="2"/>
        <v>5</v>
      </c>
      <c r="BF4" s="6">
        <f t="shared" si="2"/>
        <v>6</v>
      </c>
      <c r="BG4" s="6">
        <f t="shared" si="2"/>
        <v>7</v>
      </c>
      <c r="BH4" s="6">
        <f t="shared" si="2"/>
        <v>8</v>
      </c>
      <c r="BI4" s="6">
        <f t="shared" si="2"/>
        <v>9</v>
      </c>
      <c r="BJ4" s="6">
        <f t="shared" si="2"/>
        <v>10</v>
      </c>
      <c r="BK4" s="6">
        <f t="shared" si="2"/>
        <v>11</v>
      </c>
      <c r="BL4" s="6">
        <f t="shared" si="2"/>
        <v>12</v>
      </c>
      <c r="BN4" s="5" t="str">
        <f>J1</f>
        <v>HDD14</v>
      </c>
      <c r="BO4" s="6">
        <v>1</v>
      </c>
      <c r="BP4" s="6">
        <f>BO4+1</f>
        <v>2</v>
      </c>
      <c r="BQ4" s="6">
        <f t="shared" ref="BQ4:BZ4" si="3">BP4+1</f>
        <v>3</v>
      </c>
      <c r="BR4" s="6">
        <f t="shared" si="3"/>
        <v>4</v>
      </c>
      <c r="BS4" s="6">
        <f t="shared" si="3"/>
        <v>5</v>
      </c>
      <c r="BT4" s="6">
        <f t="shared" si="3"/>
        <v>6</v>
      </c>
      <c r="BU4" s="6">
        <f t="shared" si="3"/>
        <v>7</v>
      </c>
      <c r="BV4" s="6">
        <f t="shared" si="3"/>
        <v>8</v>
      </c>
      <c r="BW4" s="6">
        <f t="shared" si="3"/>
        <v>9</v>
      </c>
      <c r="BX4" s="6">
        <f t="shared" si="3"/>
        <v>10</v>
      </c>
      <c r="BY4" s="6">
        <f t="shared" si="3"/>
        <v>11</v>
      </c>
      <c r="BZ4" s="6">
        <f t="shared" si="3"/>
        <v>12</v>
      </c>
      <c r="CB4" s="5" t="str">
        <f>L1</f>
        <v>HDD12</v>
      </c>
      <c r="CC4" s="6">
        <v>1</v>
      </c>
      <c r="CD4" s="6">
        <f>CC4+1</f>
        <v>2</v>
      </c>
      <c r="CE4" s="6">
        <f t="shared" ref="CE4:CN4" si="4">CD4+1</f>
        <v>3</v>
      </c>
      <c r="CF4" s="6">
        <f t="shared" si="4"/>
        <v>4</v>
      </c>
      <c r="CG4" s="6">
        <f t="shared" si="4"/>
        <v>5</v>
      </c>
      <c r="CH4" s="6">
        <f t="shared" si="4"/>
        <v>6</v>
      </c>
      <c r="CI4" s="6">
        <f t="shared" si="4"/>
        <v>7</v>
      </c>
      <c r="CJ4" s="6">
        <f t="shared" si="4"/>
        <v>8</v>
      </c>
      <c r="CK4" s="6">
        <f t="shared" si="4"/>
        <v>9</v>
      </c>
      <c r="CL4" s="6">
        <f t="shared" si="4"/>
        <v>10</v>
      </c>
      <c r="CM4" s="6">
        <f t="shared" si="4"/>
        <v>11</v>
      </c>
      <c r="CN4" s="6">
        <f t="shared" si="4"/>
        <v>12</v>
      </c>
      <c r="CP4" s="5" t="str">
        <f>N1</f>
        <v>HDD10</v>
      </c>
      <c r="CQ4" s="6">
        <v>1</v>
      </c>
      <c r="CR4" s="6">
        <f>CQ4+1</f>
        <v>2</v>
      </c>
      <c r="CS4" s="6">
        <f t="shared" ref="CS4:DB4" si="5">CR4+1</f>
        <v>3</v>
      </c>
      <c r="CT4" s="6">
        <f t="shared" si="5"/>
        <v>4</v>
      </c>
      <c r="CU4" s="6">
        <f t="shared" si="5"/>
        <v>5</v>
      </c>
      <c r="CV4" s="6">
        <f t="shared" si="5"/>
        <v>6</v>
      </c>
      <c r="CW4" s="6">
        <f t="shared" si="5"/>
        <v>7</v>
      </c>
      <c r="CX4" s="6">
        <f t="shared" si="5"/>
        <v>8</v>
      </c>
      <c r="CY4" s="6">
        <f t="shared" si="5"/>
        <v>9</v>
      </c>
      <c r="CZ4" s="6">
        <f t="shared" si="5"/>
        <v>10</v>
      </c>
      <c r="DA4" s="6">
        <f t="shared" si="5"/>
        <v>11</v>
      </c>
      <c r="DB4" s="6">
        <f t="shared" si="5"/>
        <v>12</v>
      </c>
      <c r="DD4" s="5" t="str">
        <f>P1</f>
        <v>HDD8</v>
      </c>
      <c r="DE4" s="6">
        <v>1</v>
      </c>
      <c r="DF4" s="6">
        <f>DE4+1</f>
        <v>2</v>
      </c>
      <c r="DG4" s="6">
        <f t="shared" ref="DG4" si="6">DF4+1</f>
        <v>3</v>
      </c>
      <c r="DH4" s="6">
        <f t="shared" ref="DH4" si="7">DG4+1</f>
        <v>4</v>
      </c>
      <c r="DI4" s="6">
        <f t="shared" ref="DI4" si="8">DH4+1</f>
        <v>5</v>
      </c>
      <c r="DJ4" s="6">
        <f t="shared" ref="DJ4" si="9">DI4+1</f>
        <v>6</v>
      </c>
      <c r="DK4" s="6">
        <f t="shared" ref="DK4" si="10">DJ4+1</f>
        <v>7</v>
      </c>
      <c r="DL4" s="6">
        <f t="shared" ref="DL4" si="11">DK4+1</f>
        <v>8</v>
      </c>
      <c r="DM4" s="6">
        <f t="shared" ref="DM4" si="12">DL4+1</f>
        <v>9</v>
      </c>
      <c r="DN4" s="6">
        <f t="shared" ref="DN4" si="13">DM4+1</f>
        <v>10</v>
      </c>
      <c r="DO4" s="6">
        <f t="shared" ref="DO4" si="14">DN4+1</f>
        <v>11</v>
      </c>
      <c r="DP4" s="6">
        <f t="shared" ref="DP4" si="15">DO4+1</f>
        <v>12</v>
      </c>
    </row>
    <row r="5" spans="2:120" x14ac:dyDescent="0.35">
      <c r="B5">
        <v>2004</v>
      </c>
      <c r="C5">
        <v>4</v>
      </c>
      <c r="D5" s="4">
        <v>638.9559436311273</v>
      </c>
      <c r="E5" s="4">
        <v>0</v>
      </c>
      <c r="F5" s="4">
        <v>578.95594363112718</v>
      </c>
      <c r="G5" s="4">
        <v>0</v>
      </c>
      <c r="H5" s="4">
        <v>518.95594363112718</v>
      </c>
      <c r="I5" s="4">
        <v>0</v>
      </c>
      <c r="J5" s="4">
        <v>458.95594363112724</v>
      </c>
      <c r="K5" s="4">
        <v>0</v>
      </c>
      <c r="L5" s="4">
        <v>398.95594363112724</v>
      </c>
      <c r="M5" s="4">
        <v>0</v>
      </c>
      <c r="N5" s="4">
        <v>338.9559436311273</v>
      </c>
      <c r="O5" s="4">
        <v>0</v>
      </c>
      <c r="P5" s="4">
        <v>278.9559436311273</v>
      </c>
      <c r="Q5" s="4">
        <v>0</v>
      </c>
      <c r="R5" s="3">
        <v>-1.2985314543709092</v>
      </c>
      <c r="X5">
        <v>2013</v>
      </c>
      <c r="Y5" s="3">
        <f t="shared" ref="Y5:AJ15" si="16">SUMIFS($D:$D,$B:$B,$X5,$C:$C,Y$4)</f>
        <v>1115.2416666666668</v>
      </c>
      <c r="Z5" s="3">
        <f t="shared" si="16"/>
        <v>1010.0041666666666</v>
      </c>
      <c r="AA5" s="3">
        <f t="shared" si="16"/>
        <v>859.95833333333337</v>
      </c>
      <c r="AB5" s="3">
        <f t="shared" si="16"/>
        <v>654.0291666666667</v>
      </c>
      <c r="AC5" s="3">
        <f t="shared" si="16"/>
        <v>375.6470254644907</v>
      </c>
      <c r="AD5" s="3">
        <f t="shared" si="16"/>
        <v>182.19166666666663</v>
      </c>
      <c r="AE5" s="3">
        <f t="shared" si="16"/>
        <v>104.30161628767416</v>
      </c>
      <c r="AF5" s="3">
        <f t="shared" si="16"/>
        <v>121.80355664886693</v>
      </c>
      <c r="AG5" s="3">
        <f t="shared" si="16"/>
        <v>261.24193933871322</v>
      </c>
      <c r="AH5" s="3">
        <f t="shared" si="16"/>
        <v>454.33367987140264</v>
      </c>
      <c r="AI5" s="3">
        <f t="shared" si="16"/>
        <v>732.02246153326939</v>
      </c>
      <c r="AJ5" s="3">
        <f t="shared" si="16"/>
        <v>1210.1803536854268</v>
      </c>
      <c r="AL5">
        <v>2013</v>
      </c>
      <c r="AM5" s="3">
        <f t="shared" ref="AM5:AX15" si="17">SUMIFS($F:$F,$B:$B,$X5,$C:$C,AM$4)</f>
        <v>1053.2416666666668</v>
      </c>
      <c r="AN5" s="3">
        <f t="shared" si="17"/>
        <v>954.00416666666661</v>
      </c>
      <c r="AO5" s="3">
        <f t="shared" si="17"/>
        <v>797.95833333333348</v>
      </c>
      <c r="AP5" s="3">
        <f t="shared" si="17"/>
        <v>594.0291666666667</v>
      </c>
      <c r="AQ5" s="3">
        <f t="shared" si="17"/>
        <v>313.6470254644907</v>
      </c>
      <c r="AR5" s="3">
        <f t="shared" si="17"/>
        <v>129.99583333333334</v>
      </c>
      <c r="AS5" s="3">
        <f t="shared" si="17"/>
        <v>61.655782954340864</v>
      </c>
      <c r="AT5" s="3">
        <f t="shared" si="17"/>
        <v>76.967140864682676</v>
      </c>
      <c r="AU5" s="3">
        <f t="shared" si="17"/>
        <v>201.24193933871319</v>
      </c>
      <c r="AV5" s="3">
        <f t="shared" si="17"/>
        <v>392.33367987140264</v>
      </c>
      <c r="AW5" s="3">
        <f t="shared" si="17"/>
        <v>672.02246153326939</v>
      </c>
      <c r="AX5" s="3">
        <f t="shared" si="17"/>
        <v>1148.1803536854266</v>
      </c>
      <c r="AY5" s="8">
        <f>SUM(AM5:AX5)</f>
        <v>6395.2775503789926</v>
      </c>
      <c r="AZ5">
        <v>2013</v>
      </c>
      <c r="BA5" s="3">
        <f t="shared" ref="BA5:BL15" si="18">SUMIFS($H:$H,$B:$B,$X5,$C:$C,BA$4)</f>
        <v>991.24166666666679</v>
      </c>
      <c r="BB5" s="3">
        <f t="shared" si="18"/>
        <v>898.00416666666661</v>
      </c>
      <c r="BC5" s="3">
        <f t="shared" si="18"/>
        <v>735.95833333333337</v>
      </c>
      <c r="BD5" s="3">
        <f t="shared" si="18"/>
        <v>534.0291666666667</v>
      </c>
      <c r="BE5" s="3">
        <f t="shared" si="18"/>
        <v>252.50535879782399</v>
      </c>
      <c r="BF5" s="3">
        <f t="shared" si="18"/>
        <v>87.404166666666683</v>
      </c>
      <c r="BG5" s="3">
        <f t="shared" si="18"/>
        <v>32.220833333333339</v>
      </c>
      <c r="BH5" s="3">
        <f t="shared" si="18"/>
        <v>38.792140864682665</v>
      </c>
      <c r="BI5" s="3">
        <f t="shared" si="18"/>
        <v>145.52943933871322</v>
      </c>
      <c r="BJ5" s="3">
        <f t="shared" si="18"/>
        <v>330.67117987140261</v>
      </c>
      <c r="BK5" s="3">
        <f t="shared" si="18"/>
        <v>612.02246153326939</v>
      </c>
      <c r="BL5" s="3">
        <f t="shared" si="18"/>
        <v>1086.1803536854266</v>
      </c>
      <c r="BN5">
        <v>2013</v>
      </c>
      <c r="BO5" s="3">
        <f t="shared" ref="BO5:BZ15" si="19">SUMIFS($J:$J,$B:$B,$X5,$C:$C,BO$4)</f>
        <v>929.2416666666669</v>
      </c>
      <c r="BP5" s="3">
        <f t="shared" si="19"/>
        <v>842.00416666666649</v>
      </c>
      <c r="BQ5" s="3">
        <f t="shared" si="19"/>
        <v>673.95833333333337</v>
      </c>
      <c r="BR5" s="3">
        <f t="shared" si="19"/>
        <v>474.02916666666675</v>
      </c>
      <c r="BS5" s="3">
        <f t="shared" si="19"/>
        <v>195.74702546449066</v>
      </c>
      <c r="BT5" s="3">
        <f t="shared" si="19"/>
        <v>57.65</v>
      </c>
      <c r="BU5" s="3">
        <f t="shared" si="19"/>
        <v>11.25416666666667</v>
      </c>
      <c r="BV5" s="3">
        <f t="shared" si="19"/>
        <v>16.333333333333329</v>
      </c>
      <c r="BW5" s="3">
        <f t="shared" si="19"/>
        <v>96.09610600537988</v>
      </c>
      <c r="BX5" s="3">
        <f t="shared" si="19"/>
        <v>272.82951320473603</v>
      </c>
      <c r="BY5" s="3">
        <f t="shared" si="19"/>
        <v>552.02246153326928</v>
      </c>
      <c r="BZ5" s="3">
        <f t="shared" si="19"/>
        <v>1024.1803536854263</v>
      </c>
      <c r="CB5">
        <v>2013</v>
      </c>
      <c r="CC5" s="3">
        <f t="shared" ref="CC5:CN15" si="20">SUMIFS($L:$L,$B:$B,$X5,$C:$C,CC$4)</f>
        <v>867.2416666666669</v>
      </c>
      <c r="CD5" s="3">
        <f t="shared" si="20"/>
        <v>786.00416666666649</v>
      </c>
      <c r="CE5" s="3">
        <f t="shared" si="20"/>
        <v>611.95833333333337</v>
      </c>
      <c r="CF5" s="3">
        <f t="shared" si="20"/>
        <v>414.0291666666667</v>
      </c>
      <c r="CG5" s="3">
        <f t="shared" si="20"/>
        <v>143.82619213115734</v>
      </c>
      <c r="CH5" s="3">
        <f t="shared" si="20"/>
        <v>36.325000000000003</v>
      </c>
      <c r="CI5" s="3">
        <f t="shared" si="20"/>
        <v>1.6083333333333361</v>
      </c>
      <c r="CJ5" s="3">
        <f t="shared" si="20"/>
        <v>6.6374999999999975</v>
      </c>
      <c r="CK5" s="3">
        <f t="shared" si="20"/>
        <v>56.921106005379869</v>
      </c>
      <c r="CL5" s="3">
        <f t="shared" si="20"/>
        <v>218.75867987140265</v>
      </c>
      <c r="CM5" s="3">
        <f t="shared" si="20"/>
        <v>492.02246153326939</v>
      </c>
      <c r="CN5" s="3">
        <f t="shared" si="20"/>
        <v>962.18035368542633</v>
      </c>
      <c r="CP5">
        <v>2013</v>
      </c>
      <c r="CQ5" s="3">
        <f t="shared" ref="CQ5:DB15" si="21">SUMIFS($N:$N,$B:$B,$X5,$C:$C,CQ$4)</f>
        <v>805.24166666666667</v>
      </c>
      <c r="CR5" s="3">
        <f t="shared" si="21"/>
        <v>730.00416666666649</v>
      </c>
      <c r="CS5" s="3">
        <f t="shared" si="21"/>
        <v>549.9583333333336</v>
      </c>
      <c r="CT5" s="3">
        <f t="shared" si="21"/>
        <v>356.28333333333336</v>
      </c>
      <c r="CU5" s="3">
        <f t="shared" si="21"/>
        <v>100.44702546449065</v>
      </c>
      <c r="CV5" s="3">
        <f t="shared" si="21"/>
        <v>20.308333333333337</v>
      </c>
      <c r="CW5" s="3">
        <f t="shared" si="21"/>
        <v>0</v>
      </c>
      <c r="CX5" s="3">
        <f t="shared" si="21"/>
        <v>2.2541666666666664</v>
      </c>
      <c r="CY5" s="3">
        <f t="shared" si="21"/>
        <v>30.441666666666666</v>
      </c>
      <c r="CZ5" s="3">
        <f t="shared" si="21"/>
        <v>168.73367987140264</v>
      </c>
      <c r="DA5" s="3">
        <f t="shared" si="21"/>
        <v>432.02246153326939</v>
      </c>
      <c r="DB5" s="3">
        <f t="shared" si="21"/>
        <v>900.18035368542644</v>
      </c>
      <c r="DD5">
        <v>2013</v>
      </c>
      <c r="DE5" s="3">
        <f>SUMIFS($P:$P,$B:$B,$X5,$C:$C,DE$4)</f>
        <v>743.24166666666656</v>
      </c>
      <c r="DF5" s="3">
        <f t="shared" ref="DF5:DP5" si="22">SUMIFS($P:$P,$B:$B,$X5,$C:$C,DF$4)</f>
        <v>674.00416666666649</v>
      </c>
      <c r="DG5" s="3">
        <f t="shared" si="22"/>
        <v>487.95833333333337</v>
      </c>
      <c r="DH5" s="3">
        <f t="shared" si="22"/>
        <v>300.29583333333341</v>
      </c>
      <c r="DI5" s="3">
        <f t="shared" si="22"/>
        <v>65.83035879782399</v>
      </c>
      <c r="DJ5" s="3">
        <f t="shared" si="22"/>
        <v>10.183333333333334</v>
      </c>
      <c r="DK5" s="3">
        <f t="shared" si="22"/>
        <v>0</v>
      </c>
      <c r="DL5" s="3">
        <f t="shared" si="22"/>
        <v>0.25416666666666643</v>
      </c>
      <c r="DM5" s="3">
        <f t="shared" si="22"/>
        <v>14.116666666666667</v>
      </c>
      <c r="DN5" s="3">
        <f t="shared" si="22"/>
        <v>124.22117987140265</v>
      </c>
      <c r="DO5" s="3">
        <f t="shared" si="22"/>
        <v>373.68496153326942</v>
      </c>
      <c r="DP5" s="3">
        <f t="shared" si="22"/>
        <v>838.18035368542633</v>
      </c>
    </row>
    <row r="6" spans="2:120" x14ac:dyDescent="0.35">
      <c r="B6">
        <v>2004</v>
      </c>
      <c r="C6">
        <v>5</v>
      </c>
      <c r="D6" s="4">
        <v>416.42205712135762</v>
      </c>
      <c r="E6" s="4">
        <v>0</v>
      </c>
      <c r="F6" s="4">
        <v>354.42205712135762</v>
      </c>
      <c r="G6" s="4">
        <v>0</v>
      </c>
      <c r="H6" s="4">
        <v>292.42205712135757</v>
      </c>
      <c r="I6" s="4">
        <v>0</v>
      </c>
      <c r="J6" s="4">
        <v>230.4220571213576</v>
      </c>
      <c r="K6" s="4">
        <v>0</v>
      </c>
      <c r="L6" s="4">
        <v>172.26789045469087</v>
      </c>
      <c r="M6" s="4">
        <v>3.8458333333333297</v>
      </c>
      <c r="N6" s="4">
        <v>120.78872378802423</v>
      </c>
      <c r="O6" s="4">
        <v>14.366666666666664</v>
      </c>
      <c r="P6" s="4">
        <v>74.905390454690917</v>
      </c>
      <c r="Q6" s="4">
        <v>30.483333333333327</v>
      </c>
      <c r="R6" s="3">
        <v>6.5670304154400787</v>
      </c>
      <c r="X6">
        <f>X5+1</f>
        <v>2014</v>
      </c>
      <c r="Y6" s="3">
        <f t="shared" si="16"/>
        <v>1233.8693065763684</v>
      </c>
      <c r="Z6" s="3">
        <f t="shared" si="16"/>
        <v>1030.3601038254235</v>
      </c>
      <c r="AA6" s="3">
        <f t="shared" si="16"/>
        <v>1028.2909803903922</v>
      </c>
      <c r="AB6" s="3">
        <f t="shared" si="16"/>
        <v>642.04088813973726</v>
      </c>
      <c r="AC6" s="3">
        <f t="shared" si="16"/>
        <v>336.18488766724647</v>
      </c>
      <c r="AD6" s="3">
        <f t="shared" si="16"/>
        <v>125.79087622747539</v>
      </c>
      <c r="AE6" s="3">
        <f t="shared" si="16"/>
        <v>133.16666666666669</v>
      </c>
      <c r="AF6" s="3">
        <f t="shared" si="16"/>
        <v>130.47083333333333</v>
      </c>
      <c r="AG6" s="3">
        <f t="shared" si="16"/>
        <v>288.13718511879762</v>
      </c>
      <c r="AH6" s="3">
        <f t="shared" si="16"/>
        <v>482.59999999999997</v>
      </c>
      <c r="AI6" s="3">
        <f t="shared" si="16"/>
        <v>825.22500000000002</v>
      </c>
      <c r="AJ6" s="3">
        <f t="shared" si="16"/>
        <v>959.30879458660854</v>
      </c>
      <c r="AL6">
        <f>AL5+1</f>
        <v>2014</v>
      </c>
      <c r="AM6" s="3">
        <f t="shared" si="17"/>
        <v>1171.8693065763684</v>
      </c>
      <c r="AN6" s="3">
        <f t="shared" si="17"/>
        <v>974.36010382542349</v>
      </c>
      <c r="AO6" s="3">
        <f t="shared" si="17"/>
        <v>966.29098039039206</v>
      </c>
      <c r="AP6" s="3">
        <f t="shared" si="17"/>
        <v>582.04088813973726</v>
      </c>
      <c r="AQ6" s="3">
        <f t="shared" si="17"/>
        <v>276.75155433391319</v>
      </c>
      <c r="AR6" s="3">
        <f t="shared" si="17"/>
        <v>81.08254289414208</v>
      </c>
      <c r="AS6" s="3">
        <f t="shared" si="17"/>
        <v>84.508333333333354</v>
      </c>
      <c r="AT6" s="3">
        <f t="shared" si="17"/>
        <v>80.912500000000023</v>
      </c>
      <c r="AU6" s="3">
        <f t="shared" si="17"/>
        <v>228.76218511879759</v>
      </c>
      <c r="AV6" s="3">
        <f t="shared" si="17"/>
        <v>420.6</v>
      </c>
      <c r="AW6" s="3">
        <f t="shared" si="17"/>
        <v>765.22500000000002</v>
      </c>
      <c r="AX6" s="3">
        <f t="shared" si="17"/>
        <v>897.30879458660854</v>
      </c>
      <c r="AY6" s="8">
        <f>SUM(AM6:AX6)</f>
        <v>6529.7121891987172</v>
      </c>
      <c r="AZ6">
        <f>AZ5+1</f>
        <v>2014</v>
      </c>
      <c r="BA6" s="3">
        <f t="shared" si="18"/>
        <v>1109.8693065763684</v>
      </c>
      <c r="BB6" s="3">
        <f t="shared" si="18"/>
        <v>918.36010382542349</v>
      </c>
      <c r="BC6" s="3">
        <f t="shared" si="18"/>
        <v>904.29098039039206</v>
      </c>
      <c r="BD6" s="3">
        <f t="shared" si="18"/>
        <v>522.04088813973726</v>
      </c>
      <c r="BE6" s="3">
        <f t="shared" si="18"/>
        <v>220.69322100057985</v>
      </c>
      <c r="BF6" s="3">
        <f t="shared" si="18"/>
        <v>46.461892702145953</v>
      </c>
      <c r="BG6" s="3">
        <f t="shared" si="18"/>
        <v>46.274999999999999</v>
      </c>
      <c r="BH6" s="3">
        <f t="shared" si="18"/>
        <v>42.191666666666677</v>
      </c>
      <c r="BI6" s="3">
        <f t="shared" si="18"/>
        <v>177.93718511879763</v>
      </c>
      <c r="BJ6" s="3">
        <f t="shared" si="18"/>
        <v>358.59999999999997</v>
      </c>
      <c r="BK6" s="3">
        <f t="shared" si="18"/>
        <v>705.22500000000014</v>
      </c>
      <c r="BL6" s="3">
        <f t="shared" si="18"/>
        <v>835.30879458660854</v>
      </c>
      <c r="BN6">
        <f>BN5+1</f>
        <v>2014</v>
      </c>
      <c r="BO6" s="3">
        <f t="shared" si="19"/>
        <v>1047.8693065763682</v>
      </c>
      <c r="BP6" s="3">
        <f t="shared" si="19"/>
        <v>862.36010382542349</v>
      </c>
      <c r="BQ6" s="3">
        <f t="shared" si="19"/>
        <v>842.29098039039206</v>
      </c>
      <c r="BR6" s="3">
        <f t="shared" si="19"/>
        <v>462.04088813973715</v>
      </c>
      <c r="BS6" s="3">
        <f t="shared" si="19"/>
        <v>165.41845418341626</v>
      </c>
      <c r="BT6" s="3">
        <f t="shared" si="19"/>
        <v>19.608333333333341</v>
      </c>
      <c r="BU6" s="3">
        <f t="shared" si="19"/>
        <v>20.06666666666667</v>
      </c>
      <c r="BV6" s="3">
        <f t="shared" si="19"/>
        <v>16.945833333333333</v>
      </c>
      <c r="BW6" s="3">
        <f t="shared" si="19"/>
        <v>137.41670615587688</v>
      </c>
      <c r="BX6" s="3">
        <f t="shared" si="19"/>
        <v>297.02499999999998</v>
      </c>
      <c r="BY6" s="3">
        <f t="shared" si="19"/>
        <v>645.22500000000014</v>
      </c>
      <c r="BZ6" s="3">
        <f t="shared" si="19"/>
        <v>773.30879458660854</v>
      </c>
      <c r="CB6">
        <f>CB5+1</f>
        <v>2014</v>
      </c>
      <c r="CC6" s="3">
        <f t="shared" si="20"/>
        <v>985.86930657636822</v>
      </c>
      <c r="CD6" s="3">
        <f t="shared" si="20"/>
        <v>806.36010382542349</v>
      </c>
      <c r="CE6" s="3">
        <f t="shared" si="20"/>
        <v>780.29098039039206</v>
      </c>
      <c r="CF6" s="3">
        <f t="shared" si="20"/>
        <v>402.04088813973715</v>
      </c>
      <c r="CG6" s="3">
        <f t="shared" si="20"/>
        <v>117.02392769644609</v>
      </c>
      <c r="CH6" s="3">
        <f t="shared" si="20"/>
        <v>5.9500000000000064</v>
      </c>
      <c r="CI6" s="3">
        <f t="shared" si="20"/>
        <v>3.1999999999999975</v>
      </c>
      <c r="CJ6" s="3">
        <f t="shared" si="20"/>
        <v>5.1833333333333353</v>
      </c>
      <c r="CK6" s="3">
        <f t="shared" si="20"/>
        <v>99.445872822543521</v>
      </c>
      <c r="CL6" s="3">
        <f t="shared" si="20"/>
        <v>238.10416666666671</v>
      </c>
      <c r="CM6" s="3">
        <f t="shared" si="20"/>
        <v>585.22500000000014</v>
      </c>
      <c r="CN6" s="3">
        <f t="shared" si="20"/>
        <v>711.30879458660854</v>
      </c>
      <c r="CP6">
        <f>CP5+1</f>
        <v>2014</v>
      </c>
      <c r="CQ6" s="3">
        <f t="shared" si="21"/>
        <v>923.86930657636822</v>
      </c>
      <c r="CR6" s="3">
        <f t="shared" si="21"/>
        <v>750.36010382542349</v>
      </c>
      <c r="CS6" s="3">
        <f t="shared" si="21"/>
        <v>718.29098039039206</v>
      </c>
      <c r="CT6" s="3">
        <f t="shared" si="21"/>
        <v>342.04088813973715</v>
      </c>
      <c r="CU6" s="3">
        <f t="shared" si="21"/>
        <v>76.76559436311274</v>
      </c>
      <c r="CV6" s="3">
        <f t="shared" si="21"/>
        <v>0</v>
      </c>
      <c r="CW6" s="3">
        <f t="shared" si="21"/>
        <v>0</v>
      </c>
      <c r="CX6" s="3">
        <f t="shared" si="21"/>
        <v>0.84166666666666856</v>
      </c>
      <c r="CY6" s="3">
        <f t="shared" si="21"/>
        <v>63.679206155876841</v>
      </c>
      <c r="CZ6" s="3">
        <f t="shared" si="21"/>
        <v>180.10416666666666</v>
      </c>
      <c r="DA6" s="3">
        <f t="shared" si="21"/>
        <v>525.22500000000002</v>
      </c>
      <c r="DB6" s="3">
        <f t="shared" si="21"/>
        <v>649.30879458660854</v>
      </c>
      <c r="DD6">
        <f>DD5+1</f>
        <v>2014</v>
      </c>
      <c r="DE6" s="3">
        <f t="shared" ref="DE6:DP15" si="23">SUMIFS($P:$P,$B:$B,$X6,$C:$C,DE$4)</f>
        <v>861.86930657636822</v>
      </c>
      <c r="DF6" s="3">
        <f t="shared" si="23"/>
        <v>694.36010382542349</v>
      </c>
      <c r="DG6" s="3">
        <f t="shared" si="23"/>
        <v>656.29098039039206</v>
      </c>
      <c r="DH6" s="3">
        <f t="shared" si="23"/>
        <v>282.04088813973726</v>
      </c>
      <c r="DI6" s="3">
        <f t="shared" si="23"/>
        <v>47.078094363112726</v>
      </c>
      <c r="DJ6" s="3">
        <f t="shared" si="23"/>
        <v>0</v>
      </c>
      <c r="DK6" s="3">
        <f t="shared" si="23"/>
        <v>0</v>
      </c>
      <c r="DL6" s="3">
        <f t="shared" si="23"/>
        <v>0</v>
      </c>
      <c r="DM6" s="3">
        <f t="shared" si="23"/>
        <v>36.845833333333331</v>
      </c>
      <c r="DN6" s="3">
        <f t="shared" si="23"/>
        <v>122.175</v>
      </c>
      <c r="DO6" s="3">
        <f t="shared" si="23"/>
        <v>465.22500000000002</v>
      </c>
      <c r="DP6" s="3">
        <f t="shared" si="23"/>
        <v>587.30879458660854</v>
      </c>
    </row>
    <row r="7" spans="2:120" x14ac:dyDescent="0.35">
      <c r="B7">
        <v>2004</v>
      </c>
      <c r="C7">
        <v>6</v>
      </c>
      <c r="D7" s="4">
        <v>215.44189848953016</v>
      </c>
      <c r="E7" s="4">
        <v>2.408333333333335</v>
      </c>
      <c r="F7" s="4">
        <v>157.44189848953013</v>
      </c>
      <c r="G7" s="4">
        <v>4.408333333333335</v>
      </c>
      <c r="H7" s="4">
        <v>104.14189848953018</v>
      </c>
      <c r="I7" s="4">
        <v>11.108333333333324</v>
      </c>
      <c r="J7" s="4">
        <v>58.72939848953019</v>
      </c>
      <c r="K7" s="4">
        <v>25.695833333333319</v>
      </c>
      <c r="L7" s="4">
        <v>27.675231822863516</v>
      </c>
      <c r="M7" s="4">
        <v>54.641666666666644</v>
      </c>
      <c r="N7" s="4">
        <v>8.4710651561968469</v>
      </c>
      <c r="O7" s="4">
        <v>95.437499999999972</v>
      </c>
      <c r="P7" s="4">
        <v>1.333333333333333</v>
      </c>
      <c r="Q7" s="4">
        <v>148.29976817713649</v>
      </c>
      <c r="R7" s="3">
        <v>12.898881161460109</v>
      </c>
      <c r="X7">
        <f t="shared" ref="X7:X15" si="24">X6+1</f>
        <v>2015</v>
      </c>
      <c r="Y7" s="3">
        <f t="shared" si="16"/>
        <v>1198.8347552223963</v>
      </c>
      <c r="Z7" s="3">
        <f t="shared" si="16"/>
        <v>1205.7993361882764</v>
      </c>
      <c r="AA7" s="3">
        <f t="shared" si="16"/>
        <v>914.8724417886641</v>
      </c>
      <c r="AB7" s="3">
        <f t="shared" si="16"/>
        <v>609.39652575448429</v>
      </c>
      <c r="AC7" s="3">
        <f t="shared" si="16"/>
        <v>574.69401843962544</v>
      </c>
      <c r="AD7" s="3">
        <f t="shared" si="16"/>
        <v>157.9932724020519</v>
      </c>
      <c r="AE7" s="3">
        <f t="shared" si="16"/>
        <v>72.574018587128251</v>
      </c>
      <c r="AF7" s="3">
        <f t="shared" si="16"/>
        <v>102.55000000000001</v>
      </c>
      <c r="AG7" s="3">
        <f t="shared" si="16"/>
        <v>158.24211056778861</v>
      </c>
      <c r="AH7" s="3">
        <f t="shared" si="16"/>
        <v>514.48891612167768</v>
      </c>
      <c r="AI7" s="3">
        <f t="shared" si="16"/>
        <v>593.98749999999984</v>
      </c>
      <c r="AJ7" s="3">
        <f t="shared" si="16"/>
        <v>775.28750000000002</v>
      </c>
      <c r="AL7">
        <f t="shared" ref="AL7:AL15" si="25">AL6+1</f>
        <v>2015</v>
      </c>
      <c r="AM7" s="3">
        <f t="shared" si="17"/>
        <v>1136.8347552223961</v>
      </c>
      <c r="AN7" s="3">
        <f t="shared" si="17"/>
        <v>1149.7993361882766</v>
      </c>
      <c r="AO7" s="3">
        <f t="shared" si="17"/>
        <v>852.8724417886641</v>
      </c>
      <c r="AP7" s="3">
        <f t="shared" si="17"/>
        <v>549.39652575448429</v>
      </c>
      <c r="AQ7" s="3">
        <f t="shared" si="17"/>
        <v>512.69401843962544</v>
      </c>
      <c r="AR7" s="3">
        <f t="shared" si="17"/>
        <v>105.04743906871853</v>
      </c>
      <c r="AS7" s="3">
        <f t="shared" si="17"/>
        <v>37.511518587128251</v>
      </c>
      <c r="AT7" s="3">
        <f t="shared" si="17"/>
        <v>54.945833333333326</v>
      </c>
      <c r="AU7" s="3">
        <f t="shared" si="17"/>
        <v>114.85044390112195</v>
      </c>
      <c r="AV7" s="3">
        <f t="shared" si="17"/>
        <v>452.48891612167768</v>
      </c>
      <c r="AW7" s="3">
        <f t="shared" si="17"/>
        <v>533.98749999999995</v>
      </c>
      <c r="AX7" s="3">
        <f t="shared" si="17"/>
        <v>713.28750000000002</v>
      </c>
      <c r="AY7" s="8">
        <f t="shared" ref="AY7:AY17" si="26">SUM(AM7:AX7)</f>
        <v>6213.7162284054275</v>
      </c>
      <c r="AZ7">
        <f t="shared" ref="AZ7:AZ15" si="27">AZ6+1</f>
        <v>2015</v>
      </c>
      <c r="BA7" s="3">
        <f t="shared" si="18"/>
        <v>1074.8347552223961</v>
      </c>
      <c r="BB7" s="3">
        <f t="shared" si="18"/>
        <v>1093.7993361882764</v>
      </c>
      <c r="BC7" s="3">
        <f t="shared" si="18"/>
        <v>790.8724417886641</v>
      </c>
      <c r="BD7" s="3">
        <f t="shared" si="18"/>
        <v>489.39652575448429</v>
      </c>
      <c r="BE7" s="3">
        <f t="shared" si="18"/>
        <v>451.36485177295879</v>
      </c>
      <c r="BF7" s="3">
        <f t="shared" si="18"/>
        <v>61.272439068718555</v>
      </c>
      <c r="BG7" s="3">
        <f t="shared" si="18"/>
        <v>16.965685253794909</v>
      </c>
      <c r="BH7" s="3">
        <f t="shared" si="18"/>
        <v>25.15</v>
      </c>
      <c r="BI7" s="3">
        <f t="shared" si="18"/>
        <v>79.200443901121943</v>
      </c>
      <c r="BJ7" s="3">
        <f t="shared" si="18"/>
        <v>390.48891612167762</v>
      </c>
      <c r="BK7" s="3">
        <f t="shared" si="18"/>
        <v>473.98749999999995</v>
      </c>
      <c r="BL7" s="3">
        <f t="shared" si="18"/>
        <v>651.28750000000002</v>
      </c>
      <c r="BN7">
        <f t="shared" ref="BN7:BN15" si="28">BN6+1</f>
        <v>2015</v>
      </c>
      <c r="BO7" s="3">
        <f t="shared" si="19"/>
        <v>1012.8347552223962</v>
      </c>
      <c r="BP7" s="3">
        <f t="shared" si="19"/>
        <v>1037.7993361882764</v>
      </c>
      <c r="BQ7" s="3">
        <f t="shared" si="19"/>
        <v>728.8724417886641</v>
      </c>
      <c r="BR7" s="3">
        <f t="shared" si="19"/>
        <v>429.39652575448434</v>
      </c>
      <c r="BS7" s="3">
        <f t="shared" si="19"/>
        <v>392.23968054388337</v>
      </c>
      <c r="BT7" s="3">
        <f t="shared" si="19"/>
        <v>32.180772402051879</v>
      </c>
      <c r="BU7" s="3">
        <f t="shared" si="19"/>
        <v>4.8323519204615764</v>
      </c>
      <c r="BV7" s="3">
        <f t="shared" si="19"/>
        <v>7.2833333333333332</v>
      </c>
      <c r="BW7" s="3">
        <f t="shared" si="19"/>
        <v>50.910729507909807</v>
      </c>
      <c r="BX7" s="3">
        <f t="shared" si="19"/>
        <v>328.75141612167755</v>
      </c>
      <c r="BY7" s="3">
        <f t="shared" si="19"/>
        <v>413.98749999999995</v>
      </c>
      <c r="BZ7" s="3">
        <f t="shared" si="19"/>
        <v>589.28749999999991</v>
      </c>
      <c r="CB7">
        <f t="shared" ref="CB7:CB15" si="29">CB6+1</f>
        <v>2015</v>
      </c>
      <c r="CC7" s="3">
        <f t="shared" si="20"/>
        <v>950.83475522239621</v>
      </c>
      <c r="CD7" s="3">
        <f t="shared" si="20"/>
        <v>981.79933618827647</v>
      </c>
      <c r="CE7" s="3">
        <f t="shared" si="20"/>
        <v>666.87244178866422</v>
      </c>
      <c r="CF7" s="3">
        <f t="shared" si="20"/>
        <v>369.39652575448434</v>
      </c>
      <c r="CG7" s="3">
        <f t="shared" si="20"/>
        <v>339.36884721055009</v>
      </c>
      <c r="CH7" s="3">
        <f t="shared" si="20"/>
        <v>14.268272402051874</v>
      </c>
      <c r="CI7" s="3">
        <f t="shared" si="20"/>
        <v>5.8333333333335347E-2</v>
      </c>
      <c r="CJ7" s="3">
        <f t="shared" si="20"/>
        <v>1.9708333333333368</v>
      </c>
      <c r="CK7" s="3">
        <f t="shared" si="20"/>
        <v>31.310729507909812</v>
      </c>
      <c r="CL7" s="3">
        <f t="shared" si="20"/>
        <v>270.03891612167757</v>
      </c>
      <c r="CM7" s="3">
        <f t="shared" si="20"/>
        <v>354.19166666666661</v>
      </c>
      <c r="CN7" s="3">
        <f t="shared" si="20"/>
        <v>527.28750000000002</v>
      </c>
      <c r="CP7">
        <f t="shared" ref="CP7:CP15" si="30">CP6+1</f>
        <v>2015</v>
      </c>
      <c r="CQ7" s="3">
        <f t="shared" si="21"/>
        <v>888.83475522239621</v>
      </c>
      <c r="CR7" s="3">
        <f t="shared" si="21"/>
        <v>925.79933618827647</v>
      </c>
      <c r="CS7" s="3">
        <f t="shared" si="21"/>
        <v>604.8724417886641</v>
      </c>
      <c r="CT7" s="3">
        <f t="shared" si="21"/>
        <v>309.39652575448434</v>
      </c>
      <c r="CU7" s="3">
        <f t="shared" si="21"/>
        <v>288.41468054388343</v>
      </c>
      <c r="CV7" s="3">
        <f t="shared" si="21"/>
        <v>6.6599390687185451</v>
      </c>
      <c r="CW7" s="3">
        <f t="shared" si="21"/>
        <v>0</v>
      </c>
      <c r="CX7" s="3">
        <f t="shared" si="21"/>
        <v>0</v>
      </c>
      <c r="CY7" s="3">
        <f t="shared" si="21"/>
        <v>16.877396174576482</v>
      </c>
      <c r="CZ7" s="3">
        <f t="shared" si="21"/>
        <v>212.50558278834421</v>
      </c>
      <c r="DA7" s="3">
        <f t="shared" si="21"/>
        <v>296.19166666666666</v>
      </c>
      <c r="DB7" s="3">
        <f t="shared" si="21"/>
        <v>465.28749999999997</v>
      </c>
      <c r="DD7">
        <f t="shared" ref="DD7:DD15" si="31">DD6+1</f>
        <v>2015</v>
      </c>
      <c r="DE7" s="3">
        <f t="shared" si="23"/>
        <v>826.83475522239621</v>
      </c>
      <c r="DF7" s="3">
        <f t="shared" si="23"/>
        <v>869.79933618827647</v>
      </c>
      <c r="DG7" s="3">
        <f t="shared" si="23"/>
        <v>542.87244178866399</v>
      </c>
      <c r="DH7" s="3">
        <f t="shared" si="23"/>
        <v>249.80485908781765</v>
      </c>
      <c r="DI7" s="3">
        <f t="shared" si="23"/>
        <v>239.23551387721685</v>
      </c>
      <c r="DJ7" s="3">
        <f t="shared" si="23"/>
        <v>0.80160573538520907</v>
      </c>
      <c r="DK7" s="3">
        <f t="shared" si="23"/>
        <v>0</v>
      </c>
      <c r="DL7" s="3">
        <f t="shared" si="23"/>
        <v>0</v>
      </c>
      <c r="DM7" s="3">
        <f t="shared" si="23"/>
        <v>5.876931168876605</v>
      </c>
      <c r="DN7" s="3">
        <f t="shared" si="23"/>
        <v>156.80974945501092</v>
      </c>
      <c r="DO7" s="3">
        <f t="shared" si="23"/>
        <v>238.80416666666665</v>
      </c>
      <c r="DP7" s="3">
        <f t="shared" si="23"/>
        <v>403.28749999999997</v>
      </c>
    </row>
    <row r="8" spans="2:120" x14ac:dyDescent="0.35">
      <c r="B8">
        <v>2004</v>
      </c>
      <c r="C8">
        <v>7</v>
      </c>
      <c r="D8" s="4">
        <v>115.61100217995637</v>
      </c>
      <c r="E8" s="4">
        <v>5.6416666666666622</v>
      </c>
      <c r="F8" s="4">
        <v>69.34016884662303</v>
      </c>
      <c r="G8" s="4">
        <v>21.370833333333326</v>
      </c>
      <c r="H8" s="4">
        <v>35.527668846623037</v>
      </c>
      <c r="I8" s="4">
        <v>49.558333333333323</v>
      </c>
      <c r="J8" s="4">
        <v>14.965168846623026</v>
      </c>
      <c r="K8" s="4">
        <v>90.995833333333323</v>
      </c>
      <c r="L8" s="4">
        <v>5.0125500414991482</v>
      </c>
      <c r="M8" s="4">
        <v>143.04321452820946</v>
      </c>
      <c r="N8" s="4">
        <v>0.56255004149915067</v>
      </c>
      <c r="O8" s="4">
        <v>200.59321452820944</v>
      </c>
      <c r="P8" s="4">
        <v>0</v>
      </c>
      <c r="Q8" s="4">
        <v>262.03066448671035</v>
      </c>
      <c r="R8" s="3">
        <v>16.452602080216462</v>
      </c>
      <c r="X8">
        <f t="shared" si="24"/>
        <v>2016</v>
      </c>
      <c r="Y8" s="3">
        <f t="shared" si="16"/>
        <v>1028.4679840653187</v>
      </c>
      <c r="Z8" s="3">
        <f t="shared" si="16"/>
        <v>1022.4199547234056</v>
      </c>
      <c r="AA8" s="3">
        <f t="shared" si="16"/>
        <v>825.41411900761989</v>
      </c>
      <c r="AB8" s="3">
        <f t="shared" si="16"/>
        <v>661.50000000000011</v>
      </c>
      <c r="AC8" s="3">
        <f t="shared" si="16"/>
        <v>322.33633680576384</v>
      </c>
      <c r="AD8" s="3">
        <f t="shared" si="16"/>
        <v>168.23333333333329</v>
      </c>
      <c r="AE8" s="3">
        <f t="shared" si="16"/>
        <v>83.154166666666669</v>
      </c>
      <c r="AF8" s="3">
        <f t="shared" si="16"/>
        <v>79.283333333333346</v>
      </c>
      <c r="AG8" s="3">
        <f t="shared" si="16"/>
        <v>204.68817708395829</v>
      </c>
      <c r="AH8" s="3">
        <f t="shared" si="16"/>
        <v>449.36482502849941</v>
      </c>
      <c r="AI8" s="3">
        <f t="shared" si="16"/>
        <v>565.00833333333333</v>
      </c>
      <c r="AJ8" s="3">
        <f t="shared" si="16"/>
        <v>959.50833333333333</v>
      </c>
      <c r="AL8">
        <f t="shared" si="25"/>
        <v>2016</v>
      </c>
      <c r="AM8" s="3">
        <f t="shared" si="17"/>
        <v>966.46798406531866</v>
      </c>
      <c r="AN8" s="3">
        <f t="shared" si="17"/>
        <v>964.41995472340557</v>
      </c>
      <c r="AO8" s="3">
        <f t="shared" si="17"/>
        <v>763.41411900761989</v>
      </c>
      <c r="AP8" s="3">
        <f t="shared" si="17"/>
        <v>601.50000000000011</v>
      </c>
      <c r="AQ8" s="3">
        <f t="shared" si="17"/>
        <v>263.09467013909722</v>
      </c>
      <c r="AR8" s="3">
        <f t="shared" si="17"/>
        <v>123.0291666666667</v>
      </c>
      <c r="AS8" s="3">
        <f t="shared" si="17"/>
        <v>42.916666666666671</v>
      </c>
      <c r="AT8" s="3">
        <f t="shared" si="17"/>
        <v>42.754166666666691</v>
      </c>
      <c r="AU8" s="3">
        <f t="shared" si="17"/>
        <v>149.03401041729165</v>
      </c>
      <c r="AV8" s="3">
        <f t="shared" si="17"/>
        <v>387.36482502849941</v>
      </c>
      <c r="AW8" s="3">
        <f t="shared" si="17"/>
        <v>505.00833333333338</v>
      </c>
      <c r="AX8" s="3">
        <f t="shared" si="17"/>
        <v>897.50833333333333</v>
      </c>
      <c r="AY8" s="8">
        <f t="shared" si="26"/>
        <v>5706.5122300478979</v>
      </c>
      <c r="AZ8">
        <f t="shared" si="27"/>
        <v>2016</v>
      </c>
      <c r="BA8" s="3">
        <f t="shared" si="18"/>
        <v>904.46798406531866</v>
      </c>
      <c r="BB8" s="3">
        <f t="shared" si="18"/>
        <v>906.41995472340557</v>
      </c>
      <c r="BC8" s="3">
        <f t="shared" si="18"/>
        <v>701.41411900761989</v>
      </c>
      <c r="BD8" s="3">
        <f t="shared" si="18"/>
        <v>541.50000000000011</v>
      </c>
      <c r="BE8" s="3">
        <f t="shared" si="18"/>
        <v>205.10717013909721</v>
      </c>
      <c r="BF8" s="3">
        <f t="shared" si="18"/>
        <v>82.970833333333346</v>
      </c>
      <c r="BG8" s="3">
        <f t="shared" si="18"/>
        <v>16.449999999999996</v>
      </c>
      <c r="BH8" s="3">
        <f t="shared" si="18"/>
        <v>16.483333333333345</v>
      </c>
      <c r="BI8" s="3">
        <f t="shared" si="18"/>
        <v>98.346510417291611</v>
      </c>
      <c r="BJ8" s="3">
        <f t="shared" si="18"/>
        <v>325.6606583618327</v>
      </c>
      <c r="BK8" s="3">
        <f t="shared" si="18"/>
        <v>445.00833333333338</v>
      </c>
      <c r="BL8" s="3">
        <f t="shared" si="18"/>
        <v>835.50833333333333</v>
      </c>
      <c r="BN8">
        <f t="shared" si="28"/>
        <v>2016</v>
      </c>
      <c r="BO8" s="3">
        <f t="shared" si="19"/>
        <v>842.46798406531866</v>
      </c>
      <c r="BP8" s="3">
        <f t="shared" si="19"/>
        <v>848.41995472340557</v>
      </c>
      <c r="BQ8" s="3">
        <f t="shared" si="19"/>
        <v>639.41411900761977</v>
      </c>
      <c r="BR8" s="3">
        <f t="shared" si="19"/>
        <v>481.5</v>
      </c>
      <c r="BS8" s="3">
        <f t="shared" si="19"/>
        <v>150.80717013909722</v>
      </c>
      <c r="BT8" s="3">
        <f t="shared" si="19"/>
        <v>46.012500000000003</v>
      </c>
      <c r="BU8" s="3">
        <f t="shared" si="19"/>
        <v>4.7375000000000025</v>
      </c>
      <c r="BV8" s="3">
        <f t="shared" si="19"/>
        <v>3.5291666666666703</v>
      </c>
      <c r="BW8" s="3">
        <f t="shared" si="19"/>
        <v>55.874999999999993</v>
      </c>
      <c r="BX8" s="3">
        <f t="shared" si="19"/>
        <v>267.39399169516605</v>
      </c>
      <c r="BY8" s="3">
        <f t="shared" si="19"/>
        <v>385.00833333333327</v>
      </c>
      <c r="BZ8" s="3">
        <f t="shared" si="19"/>
        <v>773.5083333333331</v>
      </c>
      <c r="CB8">
        <f t="shared" si="29"/>
        <v>2016</v>
      </c>
      <c r="CC8" s="3">
        <f t="shared" si="20"/>
        <v>780.46798406531877</v>
      </c>
      <c r="CD8" s="3">
        <f t="shared" si="20"/>
        <v>790.41995472340568</v>
      </c>
      <c r="CE8" s="3">
        <f t="shared" si="20"/>
        <v>577.41411900761989</v>
      </c>
      <c r="CF8" s="3">
        <f t="shared" si="20"/>
        <v>421.5</v>
      </c>
      <c r="CG8" s="3">
        <f t="shared" si="20"/>
        <v>106.94467013909721</v>
      </c>
      <c r="CH8" s="3">
        <f t="shared" si="20"/>
        <v>21.787500000000001</v>
      </c>
      <c r="CI8" s="3">
        <f t="shared" si="20"/>
        <v>0.49166666666666714</v>
      </c>
      <c r="CJ8" s="3">
        <f t="shared" si="20"/>
        <v>0.40833333333333321</v>
      </c>
      <c r="CK8" s="3">
        <f t="shared" si="20"/>
        <v>21.633333333333333</v>
      </c>
      <c r="CL8" s="3">
        <f t="shared" si="20"/>
        <v>213.61482502849938</v>
      </c>
      <c r="CM8" s="3">
        <f t="shared" si="20"/>
        <v>325.69583333333338</v>
      </c>
      <c r="CN8" s="3">
        <f t="shared" si="20"/>
        <v>711.5083333333331</v>
      </c>
      <c r="CP8">
        <f t="shared" si="30"/>
        <v>2016</v>
      </c>
      <c r="CQ8" s="3">
        <f t="shared" si="21"/>
        <v>718.46798406531877</v>
      </c>
      <c r="CR8" s="3">
        <f t="shared" si="21"/>
        <v>732.41995472340568</v>
      </c>
      <c r="CS8" s="3">
        <f t="shared" si="21"/>
        <v>515.41411900761977</v>
      </c>
      <c r="CT8" s="3">
        <f t="shared" si="21"/>
        <v>361.875</v>
      </c>
      <c r="CU8" s="3">
        <f t="shared" si="21"/>
        <v>72.507170139097227</v>
      </c>
      <c r="CV8" s="3">
        <f t="shared" si="21"/>
        <v>10.937500000000002</v>
      </c>
      <c r="CW8" s="3">
        <f t="shared" si="21"/>
        <v>0</v>
      </c>
      <c r="CX8" s="3">
        <f t="shared" si="21"/>
        <v>0</v>
      </c>
      <c r="CY8" s="3">
        <f t="shared" si="21"/>
        <v>7.7458333333333318</v>
      </c>
      <c r="CZ8" s="3">
        <f t="shared" si="21"/>
        <v>165.32732502849939</v>
      </c>
      <c r="DA8" s="3">
        <f t="shared" si="21"/>
        <v>267.69583333333338</v>
      </c>
      <c r="DB8" s="3">
        <f t="shared" si="21"/>
        <v>649.50833333333321</v>
      </c>
      <c r="DD8">
        <f t="shared" si="31"/>
        <v>2016</v>
      </c>
      <c r="DE8" s="3">
        <f t="shared" si="23"/>
        <v>656.46798406531866</v>
      </c>
      <c r="DF8" s="3">
        <f t="shared" si="23"/>
        <v>674.41995472340557</v>
      </c>
      <c r="DG8" s="3">
        <f t="shared" si="23"/>
        <v>453.41411900761983</v>
      </c>
      <c r="DH8" s="3">
        <f t="shared" si="23"/>
        <v>305.875</v>
      </c>
      <c r="DI8" s="3">
        <f t="shared" si="23"/>
        <v>44.182170139097217</v>
      </c>
      <c r="DJ8" s="3">
        <f t="shared" si="23"/>
        <v>5.8791666666666664</v>
      </c>
      <c r="DK8" s="3">
        <f t="shared" si="23"/>
        <v>0</v>
      </c>
      <c r="DL8" s="3">
        <f t="shared" si="23"/>
        <v>0</v>
      </c>
      <c r="DM8" s="3">
        <f t="shared" si="23"/>
        <v>1.375</v>
      </c>
      <c r="DN8" s="3">
        <f t="shared" si="23"/>
        <v>120.38656862862739</v>
      </c>
      <c r="DO8" s="3">
        <f t="shared" si="23"/>
        <v>209.77083333333331</v>
      </c>
      <c r="DP8" s="3">
        <f t="shared" si="23"/>
        <v>587.50833333333333</v>
      </c>
    </row>
    <row r="9" spans="2:120" x14ac:dyDescent="0.35">
      <c r="B9">
        <v>2004</v>
      </c>
      <c r="C9">
        <v>8</v>
      </c>
      <c r="D9" s="4">
        <v>207.01517939891198</v>
      </c>
      <c r="E9" s="4">
        <v>0.14166666666666927</v>
      </c>
      <c r="F9" s="4">
        <v>149.43601273224533</v>
      </c>
      <c r="G9" s="4">
        <v>4.5624999999999964</v>
      </c>
      <c r="H9" s="4">
        <v>97.923512732245328</v>
      </c>
      <c r="I9" s="4">
        <v>15.04999999999999</v>
      </c>
      <c r="J9" s="4">
        <v>58.606846065578637</v>
      </c>
      <c r="K9" s="4">
        <v>37.73333333333332</v>
      </c>
      <c r="L9" s="4">
        <v>25.915179398911988</v>
      </c>
      <c r="M9" s="4">
        <v>67.041666666666657</v>
      </c>
      <c r="N9" s="4">
        <v>5.1749999999999954</v>
      </c>
      <c r="O9" s="4">
        <v>108.30148726775465</v>
      </c>
      <c r="P9" s="4">
        <v>0</v>
      </c>
      <c r="Q9" s="4">
        <v>165.12648726775464</v>
      </c>
      <c r="R9" s="3">
        <v>13.32666087960499</v>
      </c>
      <c r="X9">
        <f t="shared" si="24"/>
        <v>2017</v>
      </c>
      <c r="Y9" s="3">
        <f t="shared" si="16"/>
        <v>935.60416666666652</v>
      </c>
      <c r="Z9" s="3">
        <f t="shared" si="16"/>
        <v>888.23750000000007</v>
      </c>
      <c r="AA9" s="3">
        <f t="shared" si="16"/>
        <v>883.71046635567313</v>
      </c>
      <c r="AB9" s="3">
        <f t="shared" si="16"/>
        <v>546.73333333333323</v>
      </c>
      <c r="AC9" s="3">
        <f t="shared" si="16"/>
        <v>359.24879595658081</v>
      </c>
      <c r="AD9" s="3">
        <f t="shared" si="16"/>
        <v>161.02916666666667</v>
      </c>
      <c r="AE9" s="3">
        <f t="shared" si="16"/>
        <v>94.6</v>
      </c>
      <c r="AF9" s="3">
        <f t="shared" si="16"/>
        <v>169.40416666666664</v>
      </c>
      <c r="AG9" s="3">
        <f t="shared" si="16"/>
        <v>218.23333333333338</v>
      </c>
      <c r="AH9" s="3">
        <f t="shared" si="16"/>
        <v>408.13382047609019</v>
      </c>
      <c r="AI9" s="3">
        <f t="shared" si="16"/>
        <v>768.65833333333319</v>
      </c>
      <c r="AJ9" s="3">
        <f t="shared" si="16"/>
        <v>1117.0920673261537</v>
      </c>
      <c r="AL9">
        <f t="shared" si="25"/>
        <v>2017</v>
      </c>
      <c r="AM9" s="3">
        <f t="shared" si="17"/>
        <v>873.60416666666652</v>
      </c>
      <c r="AN9" s="3">
        <f t="shared" si="17"/>
        <v>832.23750000000007</v>
      </c>
      <c r="AO9" s="3">
        <f t="shared" si="17"/>
        <v>821.71046635567313</v>
      </c>
      <c r="AP9" s="3">
        <f t="shared" si="17"/>
        <v>486.73333333333323</v>
      </c>
      <c r="AQ9" s="3">
        <f t="shared" si="17"/>
        <v>297.51129595658074</v>
      </c>
      <c r="AR9" s="3">
        <f t="shared" si="17"/>
        <v>105.38333333333333</v>
      </c>
      <c r="AS9" s="3">
        <f t="shared" si="17"/>
        <v>49.858333333333334</v>
      </c>
      <c r="AT9" s="3">
        <f t="shared" si="17"/>
        <v>114.60833333333332</v>
      </c>
      <c r="AU9" s="3">
        <f t="shared" si="17"/>
        <v>167.75833333333335</v>
      </c>
      <c r="AV9" s="3">
        <f t="shared" si="17"/>
        <v>346.13382047609019</v>
      </c>
      <c r="AW9" s="3">
        <f t="shared" si="17"/>
        <v>708.6583333333333</v>
      </c>
      <c r="AX9" s="3">
        <f t="shared" si="17"/>
        <v>1055.0920673261537</v>
      </c>
      <c r="AY9" s="8">
        <f t="shared" si="26"/>
        <v>5859.2893167811635</v>
      </c>
      <c r="AZ9">
        <f t="shared" si="27"/>
        <v>2017</v>
      </c>
      <c r="BA9" s="3">
        <f t="shared" si="18"/>
        <v>811.60416666666674</v>
      </c>
      <c r="BB9" s="3">
        <f t="shared" si="18"/>
        <v>776.23750000000007</v>
      </c>
      <c r="BC9" s="3">
        <f t="shared" si="18"/>
        <v>759.71046635567313</v>
      </c>
      <c r="BD9" s="3">
        <f t="shared" si="18"/>
        <v>426.73333333333323</v>
      </c>
      <c r="BE9" s="3">
        <f t="shared" si="18"/>
        <v>238.34046262324753</v>
      </c>
      <c r="BF9" s="3">
        <f t="shared" si="18"/>
        <v>58.212499999999999</v>
      </c>
      <c r="BG9" s="3">
        <f t="shared" si="18"/>
        <v>17.69583333333334</v>
      </c>
      <c r="BH9" s="3">
        <f t="shared" si="18"/>
        <v>62.124999999999993</v>
      </c>
      <c r="BI9" s="3">
        <f t="shared" si="18"/>
        <v>121.76249999999999</v>
      </c>
      <c r="BJ9" s="3">
        <f t="shared" si="18"/>
        <v>284.13382047609014</v>
      </c>
      <c r="BK9" s="3">
        <f t="shared" si="18"/>
        <v>648.65833333333319</v>
      </c>
      <c r="BL9" s="3">
        <f t="shared" si="18"/>
        <v>993.0920673261536</v>
      </c>
      <c r="BN9">
        <f t="shared" si="28"/>
        <v>2017</v>
      </c>
      <c r="BO9" s="3">
        <f t="shared" si="19"/>
        <v>749.60416666666674</v>
      </c>
      <c r="BP9" s="3">
        <f t="shared" si="19"/>
        <v>720.23750000000018</v>
      </c>
      <c r="BQ9" s="3">
        <f t="shared" si="19"/>
        <v>697.71046635567313</v>
      </c>
      <c r="BR9" s="3">
        <f t="shared" si="19"/>
        <v>366.73333333333329</v>
      </c>
      <c r="BS9" s="3">
        <f t="shared" si="19"/>
        <v>184.11962928991417</v>
      </c>
      <c r="BT9" s="3">
        <f t="shared" si="19"/>
        <v>24.262500000000003</v>
      </c>
      <c r="BU9" s="3">
        <f t="shared" si="19"/>
        <v>3.4666666666666703</v>
      </c>
      <c r="BV9" s="3">
        <f t="shared" si="19"/>
        <v>28.56666666666667</v>
      </c>
      <c r="BW9" s="3">
        <f t="shared" si="19"/>
        <v>80.587500000000006</v>
      </c>
      <c r="BX9" s="3">
        <f t="shared" si="19"/>
        <v>224.20048714275683</v>
      </c>
      <c r="BY9" s="3">
        <f t="shared" si="19"/>
        <v>588.6583333333333</v>
      </c>
      <c r="BZ9" s="3">
        <f t="shared" si="19"/>
        <v>931.0920673261536</v>
      </c>
      <c r="CB9">
        <f t="shared" si="29"/>
        <v>2017</v>
      </c>
      <c r="CC9" s="3">
        <f t="shared" si="20"/>
        <v>687.60416666666652</v>
      </c>
      <c r="CD9" s="3">
        <f t="shared" si="20"/>
        <v>664.23750000000007</v>
      </c>
      <c r="CE9" s="3">
        <f t="shared" si="20"/>
        <v>635.71046635567325</v>
      </c>
      <c r="CF9" s="3">
        <f t="shared" si="20"/>
        <v>306.73333333333335</v>
      </c>
      <c r="CG9" s="3">
        <f t="shared" si="20"/>
        <v>136.33629595658084</v>
      </c>
      <c r="CH9" s="3">
        <f t="shared" si="20"/>
        <v>8.8708333333333353</v>
      </c>
      <c r="CI9" s="3">
        <f t="shared" si="20"/>
        <v>0.24583333333333179</v>
      </c>
      <c r="CJ9" s="3">
        <f t="shared" si="20"/>
        <v>11.525000000000002</v>
      </c>
      <c r="CK9" s="3">
        <f t="shared" si="20"/>
        <v>47.054166666666667</v>
      </c>
      <c r="CL9" s="3">
        <f t="shared" si="20"/>
        <v>167.97548714275683</v>
      </c>
      <c r="CM9" s="3">
        <f t="shared" si="20"/>
        <v>528.6583333333333</v>
      </c>
      <c r="CN9" s="3">
        <f t="shared" si="20"/>
        <v>869.0920673261536</v>
      </c>
      <c r="CP9">
        <f t="shared" si="30"/>
        <v>2017</v>
      </c>
      <c r="CQ9" s="3">
        <f t="shared" si="21"/>
        <v>625.60416666666674</v>
      </c>
      <c r="CR9" s="3">
        <f t="shared" si="21"/>
        <v>608.23750000000007</v>
      </c>
      <c r="CS9" s="3">
        <f t="shared" si="21"/>
        <v>573.71046635567325</v>
      </c>
      <c r="CT9" s="3">
        <f t="shared" si="21"/>
        <v>246.73333333333338</v>
      </c>
      <c r="CU9" s="3">
        <f t="shared" si="21"/>
        <v>94.194629289914161</v>
      </c>
      <c r="CV9" s="3">
        <f t="shared" si="21"/>
        <v>4.8083333333333345</v>
      </c>
      <c r="CW9" s="3">
        <f t="shared" si="21"/>
        <v>0</v>
      </c>
      <c r="CX9" s="3">
        <f t="shared" si="21"/>
        <v>2.2708333333333357</v>
      </c>
      <c r="CY9" s="3">
        <f t="shared" si="21"/>
        <v>19.666666666666668</v>
      </c>
      <c r="CZ9" s="3">
        <f t="shared" si="21"/>
        <v>119.86995575588458</v>
      </c>
      <c r="DA9" s="3">
        <f t="shared" si="21"/>
        <v>468.65833333333336</v>
      </c>
      <c r="DB9" s="3">
        <f t="shared" si="21"/>
        <v>807.0920673261536</v>
      </c>
      <c r="DD9">
        <f t="shared" si="31"/>
        <v>2017</v>
      </c>
      <c r="DE9" s="3">
        <f t="shared" si="23"/>
        <v>563.60416666666652</v>
      </c>
      <c r="DF9" s="3">
        <f t="shared" si="23"/>
        <v>552.23750000000007</v>
      </c>
      <c r="DG9" s="3">
        <f t="shared" si="23"/>
        <v>511.71046635567336</v>
      </c>
      <c r="DH9" s="3">
        <f t="shared" si="23"/>
        <v>187.79166666666669</v>
      </c>
      <c r="DI9" s="3">
        <f t="shared" si="23"/>
        <v>64.283333333333331</v>
      </c>
      <c r="DJ9" s="3">
        <f t="shared" si="23"/>
        <v>2.4750000000000005</v>
      </c>
      <c r="DK9" s="3">
        <f t="shared" si="23"/>
        <v>0</v>
      </c>
      <c r="DL9" s="3">
        <f t="shared" si="23"/>
        <v>0</v>
      </c>
      <c r="DM9" s="3">
        <f t="shared" si="23"/>
        <v>3.7541666666666655</v>
      </c>
      <c r="DN9" s="3">
        <f t="shared" si="23"/>
        <v>82.115836738265216</v>
      </c>
      <c r="DO9" s="3">
        <f t="shared" si="23"/>
        <v>408.65833333333336</v>
      </c>
      <c r="DP9" s="3">
        <f t="shared" si="23"/>
        <v>745.0920673261536</v>
      </c>
    </row>
    <row r="10" spans="2:120" x14ac:dyDescent="0.35">
      <c r="B10">
        <v>2004</v>
      </c>
      <c r="C10">
        <v>9</v>
      </c>
      <c r="D10" s="4">
        <v>200.88549632507346</v>
      </c>
      <c r="E10" s="4">
        <v>1.0708333333333329</v>
      </c>
      <c r="F10" s="4">
        <v>147.11049632507346</v>
      </c>
      <c r="G10" s="4">
        <v>7.2958333333333272</v>
      </c>
      <c r="H10" s="4">
        <v>99.960496325073478</v>
      </c>
      <c r="I10" s="4">
        <v>20.145833333333321</v>
      </c>
      <c r="J10" s="4">
        <v>59.41049632507346</v>
      </c>
      <c r="K10" s="4">
        <v>39.595833333333324</v>
      </c>
      <c r="L10" s="4">
        <v>32.689662991740128</v>
      </c>
      <c r="M10" s="4">
        <v>72.875</v>
      </c>
      <c r="N10" s="4">
        <v>17.022996325073457</v>
      </c>
      <c r="O10" s="4">
        <v>117.2083333333333</v>
      </c>
      <c r="P10" s="4">
        <v>8.3021629917401221</v>
      </c>
      <c r="Q10" s="4">
        <v>168.48749999999998</v>
      </c>
      <c r="R10" s="3">
        <v>13.339511233608659</v>
      </c>
      <c r="X10">
        <f t="shared" si="24"/>
        <v>2018</v>
      </c>
      <c r="Y10" s="3">
        <f t="shared" si="16"/>
        <v>1120.9833333333336</v>
      </c>
      <c r="Z10" s="3">
        <f t="shared" si="16"/>
        <v>985.50416666666672</v>
      </c>
      <c r="AA10" s="3">
        <f t="shared" si="16"/>
        <v>934.80416666666633</v>
      </c>
      <c r="AB10" s="3">
        <f t="shared" si="16"/>
        <v>701.04999999999984</v>
      </c>
      <c r="AC10" s="3">
        <f t="shared" si="16"/>
        <v>306.95346847813039</v>
      </c>
      <c r="AD10" s="3">
        <f t="shared" si="16"/>
        <v>146.125</v>
      </c>
      <c r="AE10" s="3">
        <f t="shared" si="16"/>
        <v>33.508333333333326</v>
      </c>
      <c r="AF10" s="3">
        <f t="shared" si="16"/>
        <v>117.84166666666667</v>
      </c>
      <c r="AG10" s="3">
        <f t="shared" si="16"/>
        <v>251.97257216855661</v>
      </c>
      <c r="AH10" s="3">
        <f t="shared" si="16"/>
        <v>595.1166956035878</v>
      </c>
      <c r="AI10" s="3">
        <f t="shared" si="16"/>
        <v>810.11250000000007</v>
      </c>
      <c r="AJ10" s="3">
        <f t="shared" si="16"/>
        <v>932.7</v>
      </c>
      <c r="AL10">
        <f t="shared" si="25"/>
        <v>2018</v>
      </c>
      <c r="AM10" s="3">
        <f t="shared" si="17"/>
        <v>1058.9833333333336</v>
      </c>
      <c r="AN10" s="3">
        <f t="shared" si="17"/>
        <v>929.50416666666672</v>
      </c>
      <c r="AO10" s="3">
        <f t="shared" si="17"/>
        <v>872.80416666666633</v>
      </c>
      <c r="AP10" s="3">
        <f t="shared" si="17"/>
        <v>641.04999999999984</v>
      </c>
      <c r="AQ10" s="3">
        <f t="shared" si="17"/>
        <v>249.01180181146378</v>
      </c>
      <c r="AR10" s="3">
        <f t="shared" si="17"/>
        <v>100.95000000000002</v>
      </c>
      <c r="AS10" s="3">
        <f t="shared" si="17"/>
        <v>15.983333333333334</v>
      </c>
      <c r="AT10" s="3">
        <f t="shared" si="17"/>
        <v>77.666666666666657</v>
      </c>
      <c r="AU10" s="3">
        <f t="shared" si="17"/>
        <v>202.78923883522327</v>
      </c>
      <c r="AV10" s="3">
        <f t="shared" si="17"/>
        <v>533.1166956035878</v>
      </c>
      <c r="AW10" s="3">
        <f t="shared" si="17"/>
        <v>750.11250000000007</v>
      </c>
      <c r="AX10" s="3">
        <f t="shared" si="17"/>
        <v>870.7</v>
      </c>
      <c r="AY10" s="8">
        <f t="shared" si="26"/>
        <v>6302.6719029169399</v>
      </c>
      <c r="AZ10">
        <f t="shared" si="27"/>
        <v>2018</v>
      </c>
      <c r="BA10" s="3">
        <f t="shared" si="18"/>
        <v>996.98333333333346</v>
      </c>
      <c r="BB10" s="3">
        <f t="shared" si="18"/>
        <v>873.50416666666672</v>
      </c>
      <c r="BC10" s="3">
        <f t="shared" si="18"/>
        <v>810.80416666666656</v>
      </c>
      <c r="BD10" s="3">
        <f t="shared" si="18"/>
        <v>581.04999999999995</v>
      </c>
      <c r="BE10" s="3">
        <f t="shared" si="18"/>
        <v>198.27846847813043</v>
      </c>
      <c r="BF10" s="3">
        <f t="shared" si="18"/>
        <v>65.32083333333334</v>
      </c>
      <c r="BG10" s="3">
        <f t="shared" si="18"/>
        <v>5.970833333333335</v>
      </c>
      <c r="BH10" s="3">
        <f t="shared" si="18"/>
        <v>45.787499999999994</v>
      </c>
      <c r="BI10" s="3">
        <f t="shared" si="18"/>
        <v>156.95590550188993</v>
      </c>
      <c r="BJ10" s="3">
        <f t="shared" si="18"/>
        <v>471.1166956035878</v>
      </c>
      <c r="BK10" s="3">
        <f t="shared" si="18"/>
        <v>690.11250000000007</v>
      </c>
      <c r="BL10" s="3">
        <f t="shared" si="18"/>
        <v>808.7</v>
      </c>
      <c r="BN10">
        <f t="shared" si="28"/>
        <v>2018</v>
      </c>
      <c r="BO10" s="3">
        <f t="shared" si="19"/>
        <v>934.98333333333346</v>
      </c>
      <c r="BP10" s="3">
        <f t="shared" si="19"/>
        <v>817.50416666666672</v>
      </c>
      <c r="BQ10" s="3">
        <f t="shared" si="19"/>
        <v>748.80416666666633</v>
      </c>
      <c r="BR10" s="3">
        <f t="shared" si="19"/>
        <v>521.04999999999995</v>
      </c>
      <c r="BS10" s="3">
        <f t="shared" si="19"/>
        <v>153.14096847813045</v>
      </c>
      <c r="BT10" s="3">
        <f t="shared" si="19"/>
        <v>37.141666666666673</v>
      </c>
      <c r="BU10" s="3">
        <f t="shared" si="19"/>
        <v>1.970833333333335</v>
      </c>
      <c r="BV10" s="3">
        <f t="shared" si="19"/>
        <v>22.312499999999993</v>
      </c>
      <c r="BW10" s="3">
        <f t="shared" si="19"/>
        <v>115.87257216855662</v>
      </c>
      <c r="BX10" s="3">
        <f t="shared" si="19"/>
        <v>409.1166956035878</v>
      </c>
      <c r="BY10" s="3">
        <f t="shared" si="19"/>
        <v>630.11249999999995</v>
      </c>
      <c r="BZ10" s="3">
        <f t="shared" si="19"/>
        <v>746.7</v>
      </c>
      <c r="CB10">
        <f t="shared" si="29"/>
        <v>2018</v>
      </c>
      <c r="CC10" s="3">
        <f t="shared" si="20"/>
        <v>872.98333333333335</v>
      </c>
      <c r="CD10" s="3">
        <f t="shared" si="20"/>
        <v>761.50416666666672</v>
      </c>
      <c r="CE10" s="3">
        <f t="shared" si="20"/>
        <v>686.80416666666656</v>
      </c>
      <c r="CF10" s="3">
        <f t="shared" si="20"/>
        <v>461.05</v>
      </c>
      <c r="CG10" s="3">
        <f t="shared" si="20"/>
        <v>110.52846847813041</v>
      </c>
      <c r="CH10" s="3">
        <f t="shared" si="20"/>
        <v>19.587499999999999</v>
      </c>
      <c r="CI10" s="3">
        <f t="shared" si="20"/>
        <v>0</v>
      </c>
      <c r="CJ10" s="3">
        <f t="shared" si="20"/>
        <v>8.8833333333333329</v>
      </c>
      <c r="CK10" s="3">
        <f t="shared" si="20"/>
        <v>83.141666666666666</v>
      </c>
      <c r="CL10" s="3">
        <f t="shared" si="20"/>
        <v>347.11669560358774</v>
      </c>
      <c r="CM10" s="3">
        <f t="shared" si="20"/>
        <v>570.11250000000007</v>
      </c>
      <c r="CN10" s="3">
        <f t="shared" si="20"/>
        <v>684.7</v>
      </c>
      <c r="CP10">
        <f t="shared" si="30"/>
        <v>2018</v>
      </c>
      <c r="CQ10" s="3">
        <f t="shared" si="21"/>
        <v>810.98333333333335</v>
      </c>
      <c r="CR10" s="3">
        <f t="shared" si="21"/>
        <v>705.50416666666672</v>
      </c>
      <c r="CS10" s="3">
        <f t="shared" si="21"/>
        <v>624.80416666666656</v>
      </c>
      <c r="CT10" s="3">
        <f t="shared" si="21"/>
        <v>402.86250000000007</v>
      </c>
      <c r="CU10" s="3">
        <f t="shared" si="21"/>
        <v>71.978468478130409</v>
      </c>
      <c r="CV10" s="3">
        <f t="shared" si="21"/>
        <v>8.1458333333333357</v>
      </c>
      <c r="CW10" s="3">
        <f t="shared" si="21"/>
        <v>0</v>
      </c>
      <c r="CX10" s="3">
        <f t="shared" si="21"/>
        <v>0.77916666666666679</v>
      </c>
      <c r="CY10" s="3">
        <f t="shared" si="21"/>
        <v>55.145833333333329</v>
      </c>
      <c r="CZ10" s="3">
        <f t="shared" si="21"/>
        <v>285.1166956035878</v>
      </c>
      <c r="DA10" s="3">
        <f t="shared" si="21"/>
        <v>510.11249999999995</v>
      </c>
      <c r="DB10" s="3">
        <f t="shared" si="21"/>
        <v>622.70000000000005</v>
      </c>
      <c r="DD10">
        <f t="shared" si="31"/>
        <v>2018</v>
      </c>
      <c r="DE10" s="3">
        <f t="shared" si="23"/>
        <v>748.98333333333323</v>
      </c>
      <c r="DF10" s="3">
        <f t="shared" si="23"/>
        <v>649.50416666666672</v>
      </c>
      <c r="DG10" s="3">
        <f t="shared" si="23"/>
        <v>562.80416666666656</v>
      </c>
      <c r="DH10" s="3">
        <f t="shared" si="23"/>
        <v>345.32083333333338</v>
      </c>
      <c r="DI10" s="3">
        <f t="shared" si="23"/>
        <v>41.732635144797079</v>
      </c>
      <c r="DJ10" s="3">
        <f t="shared" si="23"/>
        <v>3.0833333333333348</v>
      </c>
      <c r="DK10" s="3">
        <f t="shared" si="23"/>
        <v>0</v>
      </c>
      <c r="DL10" s="3">
        <f t="shared" si="23"/>
        <v>0</v>
      </c>
      <c r="DM10" s="3">
        <f t="shared" si="23"/>
        <v>32.745833333333337</v>
      </c>
      <c r="DN10" s="3">
        <f t="shared" si="23"/>
        <v>223.11669560358791</v>
      </c>
      <c r="DO10" s="3">
        <f t="shared" si="23"/>
        <v>450.11249999999995</v>
      </c>
      <c r="DP10" s="3">
        <f t="shared" si="23"/>
        <v>560.70000000000005</v>
      </c>
    </row>
    <row r="11" spans="2:120" x14ac:dyDescent="0.35">
      <c r="B11">
        <v>2004</v>
      </c>
      <c r="C11">
        <v>10</v>
      </c>
      <c r="D11" s="4">
        <v>467.09974707255844</v>
      </c>
      <c r="E11" s="4">
        <v>0</v>
      </c>
      <c r="F11" s="4">
        <v>405.09974707255844</v>
      </c>
      <c r="G11" s="4">
        <v>0</v>
      </c>
      <c r="H11" s="4">
        <v>343.0997470725585</v>
      </c>
      <c r="I11" s="4">
        <v>0</v>
      </c>
      <c r="J11" s="4">
        <v>281.67891373922521</v>
      </c>
      <c r="K11" s="4">
        <v>0.57916666666666572</v>
      </c>
      <c r="L11" s="4">
        <v>224.72058040589192</v>
      </c>
      <c r="M11" s="4">
        <v>5.6208333333333318</v>
      </c>
      <c r="N11" s="4">
        <v>169.29141373922522</v>
      </c>
      <c r="O11" s="4">
        <v>12.191666666666665</v>
      </c>
      <c r="P11" s="4">
        <v>118.19558040589186</v>
      </c>
      <c r="Q11" s="4">
        <v>23.095833333333331</v>
      </c>
      <c r="R11" s="3">
        <v>4.9322662234658523</v>
      </c>
      <c r="X11">
        <f t="shared" si="24"/>
        <v>2019</v>
      </c>
      <c r="Y11" s="3">
        <f t="shared" si="16"/>
        <v>1247.7493835098301</v>
      </c>
      <c r="Z11" s="3">
        <f t="shared" si="16"/>
        <v>1035.4541666666667</v>
      </c>
      <c r="AA11" s="3">
        <f t="shared" si="16"/>
        <v>884.84424598258045</v>
      </c>
      <c r="AB11" s="3">
        <f t="shared" si="16"/>
        <v>595.23333333333335</v>
      </c>
      <c r="AC11" s="3">
        <f t="shared" si="16"/>
        <v>391.57083333333338</v>
      </c>
      <c r="AD11" s="3">
        <f t="shared" si="16"/>
        <v>183.45833333333331</v>
      </c>
      <c r="AE11" s="3">
        <f t="shared" si="16"/>
        <v>54.962499999999999</v>
      </c>
      <c r="AF11" s="3">
        <f t="shared" si="16"/>
        <v>151.11214122217501</v>
      </c>
      <c r="AG11" s="3">
        <f t="shared" si="16"/>
        <v>260.47916666666663</v>
      </c>
      <c r="AH11" s="3">
        <f t="shared" si="16"/>
        <v>455.0916666666667</v>
      </c>
      <c r="AI11" s="3">
        <f t="shared" si="16"/>
        <v>793.48750000000007</v>
      </c>
      <c r="AJ11" s="3">
        <f t="shared" si="16"/>
        <v>1012.3625</v>
      </c>
      <c r="AL11">
        <f t="shared" si="25"/>
        <v>2019</v>
      </c>
      <c r="AM11" s="3">
        <f t="shared" si="17"/>
        <v>1185.7493835098301</v>
      </c>
      <c r="AN11" s="3">
        <f t="shared" si="17"/>
        <v>979.45416666666665</v>
      </c>
      <c r="AO11" s="3">
        <f t="shared" si="17"/>
        <v>822.84424598258033</v>
      </c>
      <c r="AP11" s="3">
        <f t="shared" si="17"/>
        <v>535.23333333333335</v>
      </c>
      <c r="AQ11" s="3">
        <f t="shared" si="17"/>
        <v>329.57083333333338</v>
      </c>
      <c r="AR11" s="3">
        <f t="shared" si="17"/>
        <v>133.06666666666663</v>
      </c>
      <c r="AS11" s="3">
        <f t="shared" si="17"/>
        <v>27.620833333333337</v>
      </c>
      <c r="AT11" s="3">
        <f t="shared" si="17"/>
        <v>96.537141222174995</v>
      </c>
      <c r="AU11" s="3">
        <f t="shared" si="17"/>
        <v>205.75000000000003</v>
      </c>
      <c r="AV11" s="3">
        <f t="shared" si="17"/>
        <v>393.0916666666667</v>
      </c>
      <c r="AW11" s="3">
        <f t="shared" si="17"/>
        <v>733.48749999999995</v>
      </c>
      <c r="AX11" s="3">
        <f t="shared" si="17"/>
        <v>950.36249999999995</v>
      </c>
      <c r="AY11" s="8">
        <f t="shared" si="26"/>
        <v>6392.768270714585</v>
      </c>
      <c r="AZ11">
        <f t="shared" si="27"/>
        <v>2019</v>
      </c>
      <c r="BA11" s="3">
        <f t="shared" si="18"/>
        <v>1123.7493835098301</v>
      </c>
      <c r="BB11" s="3">
        <f t="shared" si="18"/>
        <v>923.45416666666665</v>
      </c>
      <c r="BC11" s="3">
        <f t="shared" si="18"/>
        <v>760.84424598258022</v>
      </c>
      <c r="BD11" s="3">
        <f t="shared" si="18"/>
        <v>475.23333333333329</v>
      </c>
      <c r="BE11" s="3">
        <f t="shared" si="18"/>
        <v>267.57083333333333</v>
      </c>
      <c r="BF11" s="3">
        <f t="shared" si="18"/>
        <v>86.879166666666649</v>
      </c>
      <c r="BG11" s="3">
        <f t="shared" si="18"/>
        <v>7.2250000000000014</v>
      </c>
      <c r="BH11" s="3">
        <f t="shared" si="18"/>
        <v>56.012141222175018</v>
      </c>
      <c r="BI11" s="3">
        <f t="shared" si="18"/>
        <v>153.75</v>
      </c>
      <c r="BJ11" s="3">
        <f t="shared" si="18"/>
        <v>331.0916666666667</v>
      </c>
      <c r="BK11" s="3">
        <f t="shared" si="18"/>
        <v>673.48749999999995</v>
      </c>
      <c r="BL11" s="3">
        <f t="shared" si="18"/>
        <v>888.36249999999995</v>
      </c>
      <c r="BN11">
        <f t="shared" si="28"/>
        <v>2019</v>
      </c>
      <c r="BO11" s="3">
        <f t="shared" si="19"/>
        <v>1061.7493835098298</v>
      </c>
      <c r="BP11" s="3">
        <f t="shared" si="19"/>
        <v>867.45416666666665</v>
      </c>
      <c r="BQ11" s="3">
        <f t="shared" si="19"/>
        <v>698.84424598258033</v>
      </c>
      <c r="BR11" s="3">
        <f t="shared" si="19"/>
        <v>415.23333333333329</v>
      </c>
      <c r="BS11" s="3">
        <f t="shared" si="19"/>
        <v>206.94166666666666</v>
      </c>
      <c r="BT11" s="3">
        <f t="shared" si="19"/>
        <v>47.966666666666661</v>
      </c>
      <c r="BU11" s="3">
        <f t="shared" si="19"/>
        <v>2.0416666666666661</v>
      </c>
      <c r="BV11" s="3">
        <f t="shared" si="19"/>
        <v>29.911707873342053</v>
      </c>
      <c r="BW11" s="3">
        <f t="shared" si="19"/>
        <v>102.92083333333333</v>
      </c>
      <c r="BX11" s="3">
        <f t="shared" si="19"/>
        <v>269.09166666666675</v>
      </c>
      <c r="BY11" s="3">
        <f t="shared" si="19"/>
        <v>613.48750000000007</v>
      </c>
      <c r="BZ11" s="3">
        <f t="shared" si="19"/>
        <v>826.36249999999995</v>
      </c>
      <c r="CB11">
        <f t="shared" si="29"/>
        <v>2019</v>
      </c>
      <c r="CC11" s="3">
        <f t="shared" si="20"/>
        <v>999.74938350982984</v>
      </c>
      <c r="CD11" s="3">
        <f t="shared" si="20"/>
        <v>811.45416666666677</v>
      </c>
      <c r="CE11" s="3">
        <f t="shared" si="20"/>
        <v>636.84424598258033</v>
      </c>
      <c r="CF11" s="3">
        <f t="shared" si="20"/>
        <v>355.23333333333323</v>
      </c>
      <c r="CG11" s="3">
        <f t="shared" si="20"/>
        <v>148.64583333333331</v>
      </c>
      <c r="CH11" s="3">
        <f t="shared" si="20"/>
        <v>23.412500000000001</v>
      </c>
      <c r="CI11" s="3">
        <f t="shared" si="20"/>
        <v>4.1666666666666075E-2</v>
      </c>
      <c r="CJ11" s="3">
        <f t="shared" si="20"/>
        <v>16.545041206675382</v>
      </c>
      <c r="CK11" s="3">
        <f t="shared" si="20"/>
        <v>60.704166666666666</v>
      </c>
      <c r="CL11" s="3">
        <f t="shared" si="20"/>
        <v>208.17916666666667</v>
      </c>
      <c r="CM11" s="3">
        <f t="shared" si="20"/>
        <v>553.48750000000007</v>
      </c>
      <c r="CN11" s="3">
        <f t="shared" si="20"/>
        <v>764.36249999999995</v>
      </c>
      <c r="CP11">
        <f t="shared" si="30"/>
        <v>2019</v>
      </c>
      <c r="CQ11" s="3">
        <f t="shared" si="21"/>
        <v>937.74938350982984</v>
      </c>
      <c r="CR11" s="3">
        <f t="shared" si="21"/>
        <v>755.45416666666677</v>
      </c>
      <c r="CS11" s="3">
        <f t="shared" si="21"/>
        <v>574.84424598258033</v>
      </c>
      <c r="CT11" s="3">
        <f t="shared" si="21"/>
        <v>295.23333333333335</v>
      </c>
      <c r="CU11" s="3">
        <f t="shared" si="21"/>
        <v>95.812499999999957</v>
      </c>
      <c r="CV11" s="3">
        <f t="shared" si="21"/>
        <v>10.320833333333335</v>
      </c>
      <c r="CW11" s="3">
        <f t="shared" si="21"/>
        <v>0</v>
      </c>
      <c r="CX11" s="3">
        <f t="shared" si="21"/>
        <v>9.3492078733420492</v>
      </c>
      <c r="CY11" s="3">
        <f t="shared" si="21"/>
        <v>29.270833333333339</v>
      </c>
      <c r="CZ11" s="3">
        <f t="shared" si="21"/>
        <v>151.38749999999999</v>
      </c>
      <c r="DA11" s="3">
        <f t="shared" si="21"/>
        <v>493.48750000000007</v>
      </c>
      <c r="DB11" s="3">
        <f t="shared" si="21"/>
        <v>702.36249999999995</v>
      </c>
      <c r="DD11">
        <f t="shared" si="31"/>
        <v>2019</v>
      </c>
      <c r="DE11" s="3">
        <f t="shared" si="23"/>
        <v>875.74938350982984</v>
      </c>
      <c r="DF11" s="3">
        <f t="shared" si="23"/>
        <v>699.45416666666677</v>
      </c>
      <c r="DG11" s="3">
        <f t="shared" si="23"/>
        <v>512.84424598258033</v>
      </c>
      <c r="DH11" s="3">
        <f t="shared" si="23"/>
        <v>236.58749999999998</v>
      </c>
      <c r="DI11" s="3">
        <f t="shared" si="23"/>
        <v>53.012499999999996</v>
      </c>
      <c r="DJ11" s="3">
        <f t="shared" si="23"/>
        <v>3.8916666666666675</v>
      </c>
      <c r="DK11" s="3">
        <f t="shared" si="23"/>
        <v>0</v>
      </c>
      <c r="DL11" s="3">
        <f t="shared" si="23"/>
        <v>4.3904347188053254</v>
      </c>
      <c r="DM11" s="3">
        <f t="shared" si="23"/>
        <v>11.05</v>
      </c>
      <c r="DN11" s="3">
        <f t="shared" si="23"/>
        <v>100.69583333333335</v>
      </c>
      <c r="DO11" s="3">
        <f t="shared" si="23"/>
        <v>433.48750000000007</v>
      </c>
      <c r="DP11" s="3">
        <f t="shared" si="23"/>
        <v>640.36250000000007</v>
      </c>
    </row>
    <row r="12" spans="2:120" x14ac:dyDescent="0.35">
      <c r="B12">
        <v>2004</v>
      </c>
      <c r="C12">
        <v>11</v>
      </c>
      <c r="D12" s="4">
        <v>652.39583333333337</v>
      </c>
      <c r="E12" s="4">
        <v>0</v>
      </c>
      <c r="F12" s="4">
        <v>592.39583333333326</v>
      </c>
      <c r="G12" s="4">
        <v>0</v>
      </c>
      <c r="H12" s="4">
        <v>532.39583333333326</v>
      </c>
      <c r="I12" s="4">
        <v>0</v>
      </c>
      <c r="J12" s="4">
        <v>472.39583333333326</v>
      </c>
      <c r="K12" s="4">
        <v>0</v>
      </c>
      <c r="L12" s="4">
        <v>412.39583333333326</v>
      </c>
      <c r="M12" s="4">
        <v>0</v>
      </c>
      <c r="N12" s="4">
        <v>352.39583333333331</v>
      </c>
      <c r="O12" s="4">
        <v>0</v>
      </c>
      <c r="P12" s="4">
        <v>292.39583333333337</v>
      </c>
      <c r="Q12" s="4">
        <v>0</v>
      </c>
      <c r="R12" s="3">
        <v>-1.7465277777777781</v>
      </c>
      <c r="X12">
        <f t="shared" si="24"/>
        <v>2020</v>
      </c>
      <c r="Y12" s="3">
        <f t="shared" si="16"/>
        <v>1002.15</v>
      </c>
      <c r="Z12" s="3">
        <f t="shared" si="16"/>
        <v>944.39166666666677</v>
      </c>
      <c r="AA12" s="3">
        <f t="shared" si="16"/>
        <v>824.96666666666658</v>
      </c>
      <c r="AB12" s="3">
        <f t="shared" si="16"/>
        <v>643.1875</v>
      </c>
      <c r="AC12" s="3">
        <f t="shared" si="16"/>
        <v>385.58750000000003</v>
      </c>
      <c r="AD12" s="3">
        <f t="shared" si="16"/>
        <v>149.93124999999998</v>
      </c>
      <c r="AE12" s="3">
        <f t="shared" si="16"/>
        <v>32.341666666666661</v>
      </c>
      <c r="AF12" s="3">
        <f t="shared" si="16"/>
        <v>132.28686751764945</v>
      </c>
      <c r="AG12" s="3">
        <f t="shared" si="16"/>
        <v>278.61250000000007</v>
      </c>
      <c r="AH12" s="3">
        <f t="shared" si="16"/>
        <v>575.12500000000011</v>
      </c>
      <c r="AI12" s="3">
        <f t="shared" si="16"/>
        <v>647.4</v>
      </c>
      <c r="AJ12" s="3">
        <f t="shared" si="16"/>
        <v>927.46666666666658</v>
      </c>
      <c r="AL12">
        <f t="shared" si="25"/>
        <v>2020</v>
      </c>
      <c r="AM12" s="3">
        <f t="shared" si="17"/>
        <v>940.15</v>
      </c>
      <c r="AN12" s="3">
        <f t="shared" si="17"/>
        <v>886.39166666666677</v>
      </c>
      <c r="AO12" s="3">
        <f t="shared" si="17"/>
        <v>762.96666666666681</v>
      </c>
      <c r="AP12" s="3">
        <f t="shared" si="17"/>
        <v>583.18749999999989</v>
      </c>
      <c r="AQ12" s="3">
        <f t="shared" si="17"/>
        <v>333.47916666666674</v>
      </c>
      <c r="AR12" s="3">
        <f t="shared" si="17"/>
        <v>109.80208333333333</v>
      </c>
      <c r="AS12" s="3">
        <f t="shared" si="17"/>
        <v>11.624999999999995</v>
      </c>
      <c r="AT12" s="3">
        <f t="shared" si="17"/>
        <v>89.261867517649449</v>
      </c>
      <c r="AU12" s="3">
        <f t="shared" si="17"/>
        <v>218.61250000000001</v>
      </c>
      <c r="AV12" s="3">
        <f t="shared" si="17"/>
        <v>513.12500000000011</v>
      </c>
      <c r="AW12" s="3">
        <f t="shared" si="17"/>
        <v>587.4</v>
      </c>
      <c r="AX12" s="3">
        <f t="shared" si="17"/>
        <v>865.46666666666658</v>
      </c>
      <c r="AY12" s="8">
        <f t="shared" si="26"/>
        <v>5901.4681175176493</v>
      </c>
      <c r="AZ12">
        <f t="shared" si="27"/>
        <v>2020</v>
      </c>
      <c r="BA12" s="3">
        <f t="shared" si="18"/>
        <v>878.15</v>
      </c>
      <c r="BB12" s="3">
        <f t="shared" si="18"/>
        <v>828.39166666666677</v>
      </c>
      <c r="BC12" s="3">
        <f t="shared" si="18"/>
        <v>700.9666666666667</v>
      </c>
      <c r="BD12" s="3">
        <f t="shared" si="18"/>
        <v>523.1875</v>
      </c>
      <c r="BE12" s="3">
        <f t="shared" si="18"/>
        <v>284.15416666666675</v>
      </c>
      <c r="BF12" s="3">
        <f t="shared" si="18"/>
        <v>75.07083333333334</v>
      </c>
      <c r="BG12" s="3">
        <f t="shared" si="18"/>
        <v>3.045833333333329</v>
      </c>
      <c r="BH12" s="3">
        <f t="shared" si="18"/>
        <v>53.670200850982781</v>
      </c>
      <c r="BI12" s="3">
        <f t="shared" si="18"/>
        <v>159.08749999999998</v>
      </c>
      <c r="BJ12" s="3">
        <f t="shared" si="18"/>
        <v>451.12500000000006</v>
      </c>
      <c r="BK12" s="3">
        <f t="shared" si="18"/>
        <v>527.40000000000009</v>
      </c>
      <c r="BL12" s="3">
        <f t="shared" si="18"/>
        <v>803.46666666666681</v>
      </c>
      <c r="BN12">
        <f t="shared" si="28"/>
        <v>2020</v>
      </c>
      <c r="BO12" s="3">
        <f t="shared" si="19"/>
        <v>816.15</v>
      </c>
      <c r="BP12" s="3">
        <f t="shared" si="19"/>
        <v>770.39166666666677</v>
      </c>
      <c r="BQ12" s="3">
        <f t="shared" si="19"/>
        <v>638.9666666666667</v>
      </c>
      <c r="BR12" s="3">
        <f t="shared" si="19"/>
        <v>463.1875</v>
      </c>
      <c r="BS12" s="3">
        <f t="shared" si="19"/>
        <v>237.35833333333335</v>
      </c>
      <c r="BT12" s="3">
        <f t="shared" si="19"/>
        <v>44.308333333333337</v>
      </c>
      <c r="BU12" s="3">
        <f t="shared" si="19"/>
        <v>0</v>
      </c>
      <c r="BV12" s="3">
        <f t="shared" si="19"/>
        <v>24.186867517649446</v>
      </c>
      <c r="BW12" s="3">
        <f t="shared" si="19"/>
        <v>108.50416666666668</v>
      </c>
      <c r="BX12" s="3">
        <f t="shared" si="19"/>
        <v>389.125</v>
      </c>
      <c r="BY12" s="3">
        <f t="shared" si="19"/>
        <v>468.30416666666667</v>
      </c>
      <c r="BZ12" s="3">
        <f t="shared" si="19"/>
        <v>741.46666666666681</v>
      </c>
      <c r="CB12">
        <f t="shared" si="29"/>
        <v>2020</v>
      </c>
      <c r="CC12" s="3">
        <f t="shared" si="20"/>
        <v>754.15</v>
      </c>
      <c r="CD12" s="3">
        <f t="shared" si="20"/>
        <v>712.39166666666665</v>
      </c>
      <c r="CE12" s="3">
        <f t="shared" si="20"/>
        <v>576.96666666666658</v>
      </c>
      <c r="CF12" s="3">
        <f t="shared" si="20"/>
        <v>403.18750000000006</v>
      </c>
      <c r="CG12" s="3">
        <f t="shared" si="20"/>
        <v>194.12916666666666</v>
      </c>
      <c r="CH12" s="3">
        <f t="shared" si="20"/>
        <v>23.783333333333339</v>
      </c>
      <c r="CI12" s="3">
        <f t="shared" si="20"/>
        <v>0</v>
      </c>
      <c r="CJ12" s="3">
        <f t="shared" si="20"/>
        <v>4.5785341843161174</v>
      </c>
      <c r="CK12" s="3">
        <f t="shared" si="20"/>
        <v>63.32083333333334</v>
      </c>
      <c r="CL12" s="3">
        <f t="shared" si="20"/>
        <v>327.125</v>
      </c>
      <c r="CM12" s="3">
        <f t="shared" si="20"/>
        <v>410.30416666666673</v>
      </c>
      <c r="CN12" s="3">
        <f t="shared" si="20"/>
        <v>679.46666666666681</v>
      </c>
      <c r="CP12">
        <f t="shared" si="30"/>
        <v>2020</v>
      </c>
      <c r="CQ12" s="3">
        <f t="shared" si="21"/>
        <v>692.15</v>
      </c>
      <c r="CR12" s="3">
        <f t="shared" si="21"/>
        <v>654.39166666666677</v>
      </c>
      <c r="CS12" s="3">
        <f t="shared" si="21"/>
        <v>514.9666666666667</v>
      </c>
      <c r="CT12" s="3">
        <f t="shared" si="21"/>
        <v>343.1875</v>
      </c>
      <c r="CU12" s="3">
        <f t="shared" si="21"/>
        <v>153.04999999999995</v>
      </c>
      <c r="CV12" s="3">
        <f t="shared" si="21"/>
        <v>10.508333333333333</v>
      </c>
      <c r="CW12" s="3">
        <f t="shared" si="21"/>
        <v>0</v>
      </c>
      <c r="CX12" s="3">
        <f t="shared" si="21"/>
        <v>0</v>
      </c>
      <c r="CY12" s="3">
        <f t="shared" si="21"/>
        <v>30.970833333333331</v>
      </c>
      <c r="CZ12" s="3">
        <f t="shared" si="21"/>
        <v>265.67500000000001</v>
      </c>
      <c r="DA12" s="3">
        <f t="shared" si="21"/>
        <v>352.30416666666673</v>
      </c>
      <c r="DB12" s="3">
        <f t="shared" si="21"/>
        <v>617.46666666666681</v>
      </c>
      <c r="DD12">
        <f t="shared" si="31"/>
        <v>2020</v>
      </c>
      <c r="DE12" s="3">
        <f t="shared" si="23"/>
        <v>630.15</v>
      </c>
      <c r="DF12" s="3">
        <f t="shared" si="23"/>
        <v>596.39166666666677</v>
      </c>
      <c r="DG12" s="3">
        <f t="shared" si="23"/>
        <v>452.96666666666675</v>
      </c>
      <c r="DH12" s="3">
        <f t="shared" si="23"/>
        <v>283.1875</v>
      </c>
      <c r="DI12" s="3">
        <f t="shared" si="23"/>
        <v>115.39999999999999</v>
      </c>
      <c r="DJ12" s="3">
        <f t="shared" si="23"/>
        <v>1.3791666666666655</v>
      </c>
      <c r="DK12" s="3">
        <f t="shared" si="23"/>
        <v>0</v>
      </c>
      <c r="DL12" s="3">
        <f t="shared" si="23"/>
        <v>0</v>
      </c>
      <c r="DM12" s="3">
        <f t="shared" si="23"/>
        <v>12.591666666666665</v>
      </c>
      <c r="DN12" s="3">
        <f t="shared" si="23"/>
        <v>208.15833333333327</v>
      </c>
      <c r="DO12" s="3">
        <f t="shared" si="23"/>
        <v>294.90833333333336</v>
      </c>
      <c r="DP12" s="3">
        <f t="shared" si="23"/>
        <v>555.4666666666667</v>
      </c>
    </row>
    <row r="13" spans="2:120" x14ac:dyDescent="0.35">
      <c r="B13">
        <v>2004</v>
      </c>
      <c r="C13">
        <v>12</v>
      </c>
      <c r="D13" s="4">
        <v>1143.8958333333335</v>
      </c>
      <c r="E13" s="4">
        <v>0</v>
      </c>
      <c r="F13" s="4">
        <v>1081.8958333333335</v>
      </c>
      <c r="G13" s="4">
        <v>0</v>
      </c>
      <c r="H13" s="4">
        <v>1019.8958333333336</v>
      </c>
      <c r="I13" s="4">
        <v>0</v>
      </c>
      <c r="J13" s="4">
        <v>957.8958333333336</v>
      </c>
      <c r="K13" s="4">
        <v>0</v>
      </c>
      <c r="L13" s="4">
        <v>895.8958333333336</v>
      </c>
      <c r="M13" s="4">
        <v>0</v>
      </c>
      <c r="N13" s="4">
        <v>833.89583333333337</v>
      </c>
      <c r="O13" s="4">
        <v>0</v>
      </c>
      <c r="P13" s="4">
        <v>771.89583333333337</v>
      </c>
      <c r="Q13" s="4">
        <v>0</v>
      </c>
      <c r="R13" s="3">
        <v>-16.899865591397852</v>
      </c>
      <c r="X13">
        <f t="shared" si="24"/>
        <v>2021</v>
      </c>
      <c r="Y13" s="3">
        <f t="shared" si="16"/>
        <v>962.06666666666683</v>
      </c>
      <c r="Z13" s="3">
        <f t="shared" si="16"/>
        <v>1033.4958333333332</v>
      </c>
      <c r="AA13" s="3">
        <f t="shared" si="16"/>
        <v>802.00833333333344</v>
      </c>
      <c r="AB13" s="3">
        <f t="shared" si="16"/>
        <v>510.89166666666665</v>
      </c>
      <c r="AC13" s="3">
        <f t="shared" si="16"/>
        <v>316.82083333333338</v>
      </c>
      <c r="AD13" s="3">
        <f t="shared" si="16"/>
        <v>114.52916666666668</v>
      </c>
      <c r="AE13" s="3">
        <f t="shared" si="16"/>
        <v>118.30475525239467</v>
      </c>
      <c r="AF13" s="3">
        <f t="shared" si="16"/>
        <v>77.445833333333326</v>
      </c>
      <c r="AG13" s="3">
        <f t="shared" si="16"/>
        <v>255.56249999999997</v>
      </c>
      <c r="AH13" s="3">
        <f t="shared" si="16"/>
        <v>349.22499999999997</v>
      </c>
      <c r="AI13" s="3">
        <f t="shared" si="16"/>
        <v>664.64166666666677</v>
      </c>
      <c r="AJ13" s="3">
        <f t="shared" si="16"/>
        <v>993.00833333333321</v>
      </c>
      <c r="AL13">
        <f t="shared" si="25"/>
        <v>2021</v>
      </c>
      <c r="AM13" s="3">
        <f t="shared" si="17"/>
        <v>900.06666666666683</v>
      </c>
      <c r="AN13" s="3">
        <f t="shared" si="17"/>
        <v>977.49583333333317</v>
      </c>
      <c r="AO13" s="3">
        <f t="shared" si="17"/>
        <v>740.00833333333344</v>
      </c>
      <c r="AP13" s="3">
        <f t="shared" si="17"/>
        <v>450.89166666666665</v>
      </c>
      <c r="AQ13" s="3">
        <f t="shared" si="17"/>
        <v>261.4666666666667</v>
      </c>
      <c r="AR13" s="3">
        <f t="shared" si="17"/>
        <v>70.870833333333323</v>
      </c>
      <c r="AS13" s="3">
        <f t="shared" si="17"/>
        <v>72.775588585728002</v>
      </c>
      <c r="AT13" s="3">
        <f t="shared" si="17"/>
        <v>44.262500000000003</v>
      </c>
      <c r="AU13" s="3">
        <f t="shared" si="17"/>
        <v>197.56249999999997</v>
      </c>
      <c r="AV13" s="3">
        <f t="shared" si="17"/>
        <v>287.22499999999997</v>
      </c>
      <c r="AW13" s="3">
        <f t="shared" si="17"/>
        <v>604.64166666666665</v>
      </c>
      <c r="AX13" s="3">
        <f t="shared" si="17"/>
        <v>931.00833333333321</v>
      </c>
      <c r="AY13" s="8">
        <f t="shared" si="26"/>
        <v>5538.2755885857277</v>
      </c>
      <c r="AZ13">
        <f t="shared" si="27"/>
        <v>2021</v>
      </c>
      <c r="BA13" s="3">
        <f t="shared" si="18"/>
        <v>838.06666666666661</v>
      </c>
      <c r="BB13" s="3">
        <f t="shared" si="18"/>
        <v>921.49583333333317</v>
      </c>
      <c r="BC13" s="3">
        <f t="shared" si="18"/>
        <v>678.00833333333344</v>
      </c>
      <c r="BD13" s="3">
        <f t="shared" si="18"/>
        <v>390.89166666666665</v>
      </c>
      <c r="BE13" s="3">
        <f t="shared" si="18"/>
        <v>209.46666666666664</v>
      </c>
      <c r="BF13" s="3">
        <f t="shared" si="18"/>
        <v>38.616666666666674</v>
      </c>
      <c r="BG13" s="3">
        <f t="shared" si="18"/>
        <v>38.888088585727999</v>
      </c>
      <c r="BH13" s="3">
        <f t="shared" si="18"/>
        <v>19.387500000000003</v>
      </c>
      <c r="BI13" s="3">
        <f t="shared" si="18"/>
        <v>140.19166666666666</v>
      </c>
      <c r="BJ13" s="3">
        <f t="shared" si="18"/>
        <v>229.09999999999997</v>
      </c>
      <c r="BK13" s="3">
        <f t="shared" si="18"/>
        <v>544.64166666666665</v>
      </c>
      <c r="BL13" s="3">
        <f t="shared" si="18"/>
        <v>869.00833333333321</v>
      </c>
      <c r="BN13">
        <f t="shared" si="28"/>
        <v>2021</v>
      </c>
      <c r="BO13" s="3">
        <f t="shared" si="19"/>
        <v>776.06666666666683</v>
      </c>
      <c r="BP13" s="3">
        <f t="shared" si="19"/>
        <v>865.49583333333328</v>
      </c>
      <c r="BQ13" s="3">
        <f t="shared" si="19"/>
        <v>616.00833333333344</v>
      </c>
      <c r="BR13" s="3">
        <f t="shared" si="19"/>
        <v>330.89166666666665</v>
      </c>
      <c r="BS13" s="3">
        <f t="shared" si="19"/>
        <v>161.02499999999995</v>
      </c>
      <c r="BT13" s="3">
        <f t="shared" si="19"/>
        <v>19.562499999999996</v>
      </c>
      <c r="BU13" s="3">
        <f t="shared" si="19"/>
        <v>15.892255252394667</v>
      </c>
      <c r="BV13" s="3">
        <f t="shared" si="19"/>
        <v>5.5166666666666657</v>
      </c>
      <c r="BW13" s="3">
        <f t="shared" si="19"/>
        <v>88.3</v>
      </c>
      <c r="BX13" s="3">
        <f t="shared" si="19"/>
        <v>177.39999999999998</v>
      </c>
      <c r="BY13" s="3">
        <f t="shared" si="19"/>
        <v>484.64166666666671</v>
      </c>
      <c r="BZ13" s="3">
        <f t="shared" si="19"/>
        <v>807.00833333333321</v>
      </c>
      <c r="CB13">
        <f t="shared" si="29"/>
        <v>2021</v>
      </c>
      <c r="CC13" s="3">
        <f t="shared" si="20"/>
        <v>714.06666666666683</v>
      </c>
      <c r="CD13" s="3">
        <f t="shared" si="20"/>
        <v>809.49583333333328</v>
      </c>
      <c r="CE13" s="3">
        <f t="shared" si="20"/>
        <v>554.00833333333344</v>
      </c>
      <c r="CF13" s="3">
        <f t="shared" si="20"/>
        <v>270.89166666666665</v>
      </c>
      <c r="CG13" s="3">
        <f t="shared" si="20"/>
        <v>121.40416666666664</v>
      </c>
      <c r="CH13" s="3">
        <f t="shared" si="20"/>
        <v>10.362499999999999</v>
      </c>
      <c r="CI13" s="3">
        <f t="shared" si="20"/>
        <v>5.4130885857279898</v>
      </c>
      <c r="CJ13" s="3">
        <f t="shared" si="20"/>
        <v>0</v>
      </c>
      <c r="CK13" s="3">
        <f t="shared" si="20"/>
        <v>49.94166666666667</v>
      </c>
      <c r="CL13" s="3">
        <f t="shared" si="20"/>
        <v>132.99583333333334</v>
      </c>
      <c r="CM13" s="3">
        <f t="shared" si="20"/>
        <v>424.64166666666671</v>
      </c>
      <c r="CN13" s="3">
        <f t="shared" si="20"/>
        <v>745.00833333333321</v>
      </c>
      <c r="CP13">
        <f t="shared" si="30"/>
        <v>2021</v>
      </c>
      <c r="CQ13" s="3">
        <f t="shared" si="21"/>
        <v>652.06666666666683</v>
      </c>
      <c r="CR13" s="3">
        <f t="shared" si="21"/>
        <v>753.49583333333328</v>
      </c>
      <c r="CS13" s="3">
        <f t="shared" si="21"/>
        <v>492.00833333333338</v>
      </c>
      <c r="CT13" s="3">
        <f t="shared" si="21"/>
        <v>213.375</v>
      </c>
      <c r="CU13" s="3">
        <f t="shared" si="21"/>
        <v>86.762499999999974</v>
      </c>
      <c r="CV13" s="3">
        <f t="shared" si="21"/>
        <v>2.9166666666666679</v>
      </c>
      <c r="CW13" s="3">
        <f t="shared" si="21"/>
        <v>2.104755252394658</v>
      </c>
      <c r="CX13" s="3">
        <f t="shared" si="21"/>
        <v>0</v>
      </c>
      <c r="CY13" s="3">
        <f t="shared" si="21"/>
        <v>22.32083333333334</v>
      </c>
      <c r="CZ13" s="3">
        <f t="shared" si="21"/>
        <v>99.116666666666674</v>
      </c>
      <c r="DA13" s="3">
        <f t="shared" si="21"/>
        <v>364.64166666666665</v>
      </c>
      <c r="DB13" s="3">
        <f t="shared" si="21"/>
        <v>683.00833333333321</v>
      </c>
      <c r="DD13">
        <f t="shared" si="31"/>
        <v>2021</v>
      </c>
      <c r="DE13" s="3">
        <f t="shared" si="23"/>
        <v>590.06666666666672</v>
      </c>
      <c r="DF13" s="3">
        <f t="shared" si="23"/>
        <v>697.49583333333339</v>
      </c>
      <c r="DG13" s="3">
        <f t="shared" si="23"/>
        <v>430.00833333333338</v>
      </c>
      <c r="DH13" s="3">
        <f t="shared" si="23"/>
        <v>164.13333333333333</v>
      </c>
      <c r="DI13" s="3">
        <f t="shared" si="23"/>
        <v>58.620833333333337</v>
      </c>
      <c r="DJ13" s="3">
        <f t="shared" si="23"/>
        <v>0</v>
      </c>
      <c r="DK13" s="3">
        <f t="shared" si="23"/>
        <v>0.10475525239465799</v>
      </c>
      <c r="DL13" s="3">
        <f t="shared" si="23"/>
        <v>0</v>
      </c>
      <c r="DM13" s="3">
        <f t="shared" si="23"/>
        <v>7.4833333333333352</v>
      </c>
      <c r="DN13" s="3">
        <f t="shared" si="23"/>
        <v>69.233333333333334</v>
      </c>
      <c r="DO13" s="3">
        <f t="shared" si="23"/>
        <v>305.45416666666665</v>
      </c>
      <c r="DP13" s="3">
        <f t="shared" si="23"/>
        <v>621.00833333333344</v>
      </c>
    </row>
    <row r="14" spans="2:120" x14ac:dyDescent="0.35">
      <c r="B14">
        <v>2005</v>
      </c>
      <c r="C14">
        <v>1</v>
      </c>
      <c r="D14" s="4">
        <v>1220.5333333333338</v>
      </c>
      <c r="E14" s="4">
        <v>0</v>
      </c>
      <c r="F14" s="4">
        <v>1158.5333333333335</v>
      </c>
      <c r="G14" s="4">
        <v>0</v>
      </c>
      <c r="H14" s="4">
        <v>1096.5333333333335</v>
      </c>
      <c r="I14" s="4">
        <v>0</v>
      </c>
      <c r="J14" s="4">
        <v>1034.5333333333335</v>
      </c>
      <c r="K14" s="4">
        <v>0</v>
      </c>
      <c r="L14" s="4">
        <v>972.53333333333353</v>
      </c>
      <c r="M14" s="4">
        <v>0</v>
      </c>
      <c r="N14" s="4">
        <v>910.53333333333353</v>
      </c>
      <c r="O14" s="4">
        <v>0</v>
      </c>
      <c r="P14" s="4">
        <v>848.53333333333342</v>
      </c>
      <c r="Q14" s="4">
        <v>0</v>
      </c>
      <c r="R14" s="3">
        <v>-19.372043010752694</v>
      </c>
      <c r="X14">
        <f t="shared" si="24"/>
        <v>2022</v>
      </c>
      <c r="Y14" s="3">
        <f t="shared" si="16"/>
        <v>1300.5749999999996</v>
      </c>
      <c r="Z14" s="3">
        <f t="shared" si="16"/>
        <v>1083.7208333333335</v>
      </c>
      <c r="AA14" s="3">
        <f t="shared" si="16"/>
        <v>865.07083333333344</v>
      </c>
      <c r="AB14" s="3">
        <f t="shared" si="16"/>
        <v>569.69166666666672</v>
      </c>
      <c r="AC14" s="3">
        <f t="shared" si="16"/>
        <v>248.15</v>
      </c>
      <c r="AD14" s="3">
        <f t="shared" si="16"/>
        <v>146.92083333333335</v>
      </c>
      <c r="AE14" s="3">
        <f t="shared" si="16"/>
        <v>102.94120813333726</v>
      </c>
      <c r="AF14" s="3">
        <f t="shared" si="16"/>
        <v>113.175</v>
      </c>
      <c r="AG14" s="3">
        <f t="shared" si="16"/>
        <v>245.7166666666667</v>
      </c>
      <c r="AH14" s="3">
        <f t="shared" si="16"/>
        <v>415.68333333333339</v>
      </c>
      <c r="AI14" s="3">
        <f t="shared" si="16"/>
        <v>651.92499999999995</v>
      </c>
      <c r="AJ14" s="3">
        <f t="shared" si="16"/>
        <v>938.47916666666686</v>
      </c>
      <c r="AL14">
        <f t="shared" si="25"/>
        <v>2022</v>
      </c>
      <c r="AM14" s="3">
        <f t="shared" si="17"/>
        <v>1238.5749999999994</v>
      </c>
      <c r="AN14" s="3">
        <f t="shared" si="17"/>
        <v>1027.7208333333335</v>
      </c>
      <c r="AO14" s="3">
        <f t="shared" si="17"/>
        <v>803.07083333333333</v>
      </c>
      <c r="AP14" s="3">
        <f t="shared" si="17"/>
        <v>509.69166666666672</v>
      </c>
      <c r="AQ14" s="3">
        <f t="shared" si="17"/>
        <v>192.75416666666672</v>
      </c>
      <c r="AR14" s="3">
        <f t="shared" si="17"/>
        <v>101.08333333333334</v>
      </c>
      <c r="AS14" s="3">
        <f t="shared" si="17"/>
        <v>55.062041466670522</v>
      </c>
      <c r="AT14" s="3">
        <f t="shared" si="17"/>
        <v>63.124999999999993</v>
      </c>
      <c r="AU14" s="3">
        <f t="shared" si="17"/>
        <v>187.99583333333334</v>
      </c>
      <c r="AV14" s="3">
        <f t="shared" si="17"/>
        <v>353.68333333333339</v>
      </c>
      <c r="AW14" s="3">
        <f t="shared" si="17"/>
        <v>591.92500000000007</v>
      </c>
      <c r="AX14" s="3">
        <f t="shared" si="17"/>
        <v>876.47916666666674</v>
      </c>
      <c r="AY14" s="8">
        <f>SUM(AM14:AX14)</f>
        <v>6001.166208133337</v>
      </c>
      <c r="AZ14">
        <f t="shared" si="27"/>
        <v>2022</v>
      </c>
      <c r="BA14" s="3">
        <f t="shared" si="18"/>
        <v>1176.5749999999996</v>
      </c>
      <c r="BB14" s="3">
        <f t="shared" si="18"/>
        <v>971.72083333333342</v>
      </c>
      <c r="BC14" s="3">
        <f t="shared" si="18"/>
        <v>741.07083333333333</v>
      </c>
      <c r="BD14" s="3">
        <f t="shared" si="18"/>
        <v>449.69166666666666</v>
      </c>
      <c r="BE14" s="3">
        <f t="shared" si="18"/>
        <v>143.22916666666671</v>
      </c>
      <c r="BF14" s="3">
        <f t="shared" si="18"/>
        <v>60.712500000000006</v>
      </c>
      <c r="BG14" s="3">
        <f t="shared" si="18"/>
        <v>24.778708133337197</v>
      </c>
      <c r="BH14" s="3">
        <f t="shared" si="18"/>
        <v>28.729166666666671</v>
      </c>
      <c r="BI14" s="3">
        <f t="shared" si="18"/>
        <v>134.60000000000002</v>
      </c>
      <c r="BJ14" s="3">
        <f t="shared" si="18"/>
        <v>291.68333333333334</v>
      </c>
      <c r="BK14" s="3">
        <f t="shared" si="18"/>
        <v>531.92500000000007</v>
      </c>
      <c r="BL14" s="3">
        <f t="shared" si="18"/>
        <v>814.47916666666663</v>
      </c>
      <c r="BN14">
        <f t="shared" si="28"/>
        <v>2022</v>
      </c>
      <c r="BO14" s="3">
        <f t="shared" si="19"/>
        <v>1114.5749999999998</v>
      </c>
      <c r="BP14" s="3">
        <f t="shared" si="19"/>
        <v>915.72083333333342</v>
      </c>
      <c r="BQ14" s="3">
        <f t="shared" si="19"/>
        <v>679.07083333333321</v>
      </c>
      <c r="BR14" s="3">
        <f t="shared" si="19"/>
        <v>389.69166666666666</v>
      </c>
      <c r="BS14" s="3">
        <f t="shared" si="19"/>
        <v>98.941666666666663</v>
      </c>
      <c r="BT14" s="3">
        <f t="shared" si="19"/>
        <v>27.729166666666664</v>
      </c>
      <c r="BU14" s="3">
        <f t="shared" si="19"/>
        <v>6.3162081333372093</v>
      </c>
      <c r="BV14" s="3">
        <f t="shared" si="19"/>
        <v>12.033333333333337</v>
      </c>
      <c r="BW14" s="3">
        <f t="shared" si="19"/>
        <v>87.166666666666657</v>
      </c>
      <c r="BX14" s="3">
        <f t="shared" si="19"/>
        <v>232.70416666666665</v>
      </c>
      <c r="BY14" s="3">
        <f t="shared" si="19"/>
        <v>471.92500000000007</v>
      </c>
      <c r="BZ14" s="3">
        <f t="shared" si="19"/>
        <v>752.47916666666674</v>
      </c>
      <c r="CB14">
        <f t="shared" si="29"/>
        <v>2022</v>
      </c>
      <c r="CC14" s="3">
        <f t="shared" si="20"/>
        <v>1052.575</v>
      </c>
      <c r="CD14" s="3">
        <f t="shared" si="20"/>
        <v>859.72083333333319</v>
      </c>
      <c r="CE14" s="3">
        <f t="shared" si="20"/>
        <v>617.07083333333333</v>
      </c>
      <c r="CF14" s="3">
        <f t="shared" si="20"/>
        <v>329.69166666666666</v>
      </c>
      <c r="CG14" s="3">
        <f t="shared" si="20"/>
        <v>64.333333333333314</v>
      </c>
      <c r="CH14" s="3">
        <f t="shared" si="20"/>
        <v>9.05833333333333</v>
      </c>
      <c r="CI14" s="3">
        <f t="shared" si="20"/>
        <v>2.7662081333372104</v>
      </c>
      <c r="CJ14" s="3">
        <f t="shared" si="20"/>
        <v>4.0625000000000018</v>
      </c>
      <c r="CK14" s="3">
        <f t="shared" si="20"/>
        <v>49.329166666666666</v>
      </c>
      <c r="CL14" s="3">
        <f t="shared" si="20"/>
        <v>180.46250000000001</v>
      </c>
      <c r="CM14" s="3">
        <f t="shared" si="20"/>
        <v>413.58750000000003</v>
      </c>
      <c r="CN14" s="3">
        <f t="shared" si="20"/>
        <v>690.47916666666674</v>
      </c>
      <c r="CP14">
        <f t="shared" si="30"/>
        <v>2022</v>
      </c>
      <c r="CQ14" s="3">
        <f t="shared" si="21"/>
        <v>990.57499999999993</v>
      </c>
      <c r="CR14" s="3">
        <f t="shared" si="21"/>
        <v>803.72083333333319</v>
      </c>
      <c r="CS14" s="3">
        <f t="shared" si="21"/>
        <v>555.07083333333333</v>
      </c>
      <c r="CT14" s="3">
        <f t="shared" si="21"/>
        <v>269.69166666666661</v>
      </c>
      <c r="CU14" s="3">
        <f t="shared" si="21"/>
        <v>37.020833333333329</v>
      </c>
      <c r="CV14" s="3">
        <f t="shared" si="21"/>
        <v>0.58750000000000036</v>
      </c>
      <c r="CW14" s="3">
        <f t="shared" si="21"/>
        <v>0.76620813333721038</v>
      </c>
      <c r="CX14" s="3">
        <f t="shared" si="21"/>
        <v>1.0791666666666657</v>
      </c>
      <c r="CY14" s="3">
        <f t="shared" si="21"/>
        <v>23.4375</v>
      </c>
      <c r="CZ14" s="3">
        <f t="shared" si="21"/>
        <v>133.35833333333338</v>
      </c>
      <c r="DA14" s="3">
        <f t="shared" si="21"/>
        <v>355.58750000000009</v>
      </c>
      <c r="DB14" s="3">
        <f t="shared" si="21"/>
        <v>628.47916666666674</v>
      </c>
      <c r="DD14">
        <f t="shared" si="31"/>
        <v>2022</v>
      </c>
      <c r="DE14" s="3">
        <f t="shared" si="23"/>
        <v>928.57499999999982</v>
      </c>
      <c r="DF14" s="3">
        <f t="shared" si="23"/>
        <v>747.72083333333319</v>
      </c>
      <c r="DG14" s="3">
        <f t="shared" si="23"/>
        <v>493.07083333333327</v>
      </c>
      <c r="DH14" s="3">
        <f t="shared" si="23"/>
        <v>211.05833333333334</v>
      </c>
      <c r="DI14" s="3">
        <f t="shared" si="23"/>
        <v>19.362499999999997</v>
      </c>
      <c r="DJ14" s="3">
        <f t="shared" si="23"/>
        <v>0</v>
      </c>
      <c r="DK14" s="3">
        <f t="shared" si="23"/>
        <v>0</v>
      </c>
      <c r="DL14" s="3">
        <f t="shared" si="23"/>
        <v>0</v>
      </c>
      <c r="DM14" s="3">
        <f t="shared" si="23"/>
        <v>12.216666666666665</v>
      </c>
      <c r="DN14" s="3">
        <f t="shared" si="23"/>
        <v>90.466666666666669</v>
      </c>
      <c r="DO14" s="3">
        <f t="shared" si="23"/>
        <v>298.625</v>
      </c>
      <c r="DP14" s="3">
        <f t="shared" si="23"/>
        <v>566.47916666666674</v>
      </c>
    </row>
    <row r="15" spans="2:120" x14ac:dyDescent="0.35">
      <c r="B15">
        <v>2005</v>
      </c>
      <c r="C15">
        <v>2</v>
      </c>
      <c r="D15" s="4">
        <v>923.08295921831575</v>
      </c>
      <c r="E15" s="4">
        <v>0</v>
      </c>
      <c r="F15" s="4">
        <v>867.08295921831575</v>
      </c>
      <c r="G15" s="4">
        <v>0</v>
      </c>
      <c r="H15" s="4">
        <v>811.08295921831575</v>
      </c>
      <c r="I15" s="4">
        <v>0</v>
      </c>
      <c r="J15" s="4">
        <v>755.08295921831575</v>
      </c>
      <c r="K15" s="4">
        <v>0</v>
      </c>
      <c r="L15" s="4">
        <v>699.08295921831552</v>
      </c>
      <c r="M15" s="4">
        <v>0</v>
      </c>
      <c r="N15" s="4">
        <v>643.08295921831552</v>
      </c>
      <c r="O15" s="4">
        <v>0</v>
      </c>
      <c r="P15" s="4">
        <v>587.08295921831552</v>
      </c>
      <c r="Q15" s="4">
        <v>0</v>
      </c>
      <c r="R15" s="3">
        <v>-12.967248543511273</v>
      </c>
      <c r="X15">
        <f t="shared" si="24"/>
        <v>2023</v>
      </c>
      <c r="Y15" s="3">
        <f t="shared" si="16"/>
        <v>1004.5458333333333</v>
      </c>
      <c r="Z15" s="3">
        <f t="shared" si="16"/>
        <v>951.62499999999977</v>
      </c>
      <c r="AA15" s="3">
        <f t="shared" si="16"/>
        <v>908.18749999999989</v>
      </c>
      <c r="AB15" s="3">
        <f t="shared" si="16"/>
        <v>588.91250000000014</v>
      </c>
      <c r="AC15" s="3">
        <f t="shared" si="16"/>
        <v>286.91666666666657</v>
      </c>
      <c r="AD15" s="3">
        <f t="shared" si="16"/>
        <v>109.80416666666666</v>
      </c>
      <c r="AE15" s="3">
        <f t="shared" si="16"/>
        <v>96.268966510669557</v>
      </c>
      <c r="AF15" s="3">
        <f t="shared" si="16"/>
        <v>142.70416666666671</v>
      </c>
      <c r="AG15" s="3">
        <f t="shared" si="16"/>
        <v>204.76249999999999</v>
      </c>
      <c r="AH15" s="3">
        <f t="shared" si="16"/>
        <v>434.83750000000003</v>
      </c>
      <c r="AI15" s="3">
        <f t="shared" si="16"/>
        <v>706.07916666666677</v>
      </c>
      <c r="AJ15" s="3">
        <f t="shared" si="16"/>
        <v>781.83333333333337</v>
      </c>
      <c r="AL15">
        <f t="shared" si="25"/>
        <v>2023</v>
      </c>
      <c r="AM15" s="3">
        <f t="shared" si="17"/>
        <v>942.54583333333335</v>
      </c>
      <c r="AN15" s="3">
        <f t="shared" si="17"/>
        <v>895.62499999999977</v>
      </c>
      <c r="AO15" s="3">
        <f t="shared" si="17"/>
        <v>846.1875</v>
      </c>
      <c r="AP15" s="3">
        <f t="shared" si="17"/>
        <v>528.91250000000014</v>
      </c>
      <c r="AQ15" s="3">
        <f t="shared" si="17"/>
        <v>232.91666666666663</v>
      </c>
      <c r="AR15" s="3">
        <f t="shared" si="17"/>
        <v>70.174999999999997</v>
      </c>
      <c r="AS15" s="3">
        <f t="shared" si="17"/>
        <v>46.773133177336241</v>
      </c>
      <c r="AT15" s="3">
        <f t="shared" si="17"/>
        <v>84.345833333333346</v>
      </c>
      <c r="AU15" s="3">
        <f t="shared" si="17"/>
        <v>152.76249999999999</v>
      </c>
      <c r="AV15" s="3">
        <f t="shared" si="17"/>
        <v>378.83750000000003</v>
      </c>
      <c r="AW15" s="3">
        <f t="shared" si="17"/>
        <v>646.07916666666677</v>
      </c>
      <c r="AX15" s="3">
        <f t="shared" si="17"/>
        <v>719.83333333333337</v>
      </c>
      <c r="AY15" s="8">
        <f t="shared" si="26"/>
        <v>5544.9939665106685</v>
      </c>
      <c r="AZ15">
        <f t="shared" si="27"/>
        <v>2023</v>
      </c>
      <c r="BA15" s="3">
        <f t="shared" si="18"/>
        <v>880.54583333333335</v>
      </c>
      <c r="BB15" s="3">
        <f t="shared" si="18"/>
        <v>839.625</v>
      </c>
      <c r="BC15" s="3">
        <f t="shared" si="18"/>
        <v>784.18749999999989</v>
      </c>
      <c r="BD15" s="3">
        <f t="shared" si="18"/>
        <v>468.91250000000008</v>
      </c>
      <c r="BE15" s="3">
        <f t="shared" si="18"/>
        <v>182.42916666666667</v>
      </c>
      <c r="BF15" s="3">
        <f t="shared" si="18"/>
        <v>38.679166666666653</v>
      </c>
      <c r="BG15" s="3">
        <f t="shared" si="18"/>
        <v>16.823133177336238</v>
      </c>
      <c r="BH15" s="3">
        <f t="shared" si="18"/>
        <v>39.037500000000001</v>
      </c>
      <c r="BI15" s="3">
        <f t="shared" si="18"/>
        <v>103.3875</v>
      </c>
      <c r="BJ15" s="3">
        <f t="shared" si="18"/>
        <v>323.7791666666667</v>
      </c>
      <c r="BK15" s="3">
        <f t="shared" si="18"/>
        <v>586.07916666666677</v>
      </c>
      <c r="BL15" s="3">
        <f t="shared" si="18"/>
        <v>657.83333333333326</v>
      </c>
      <c r="BN15">
        <f t="shared" si="28"/>
        <v>2023</v>
      </c>
      <c r="BO15" s="3">
        <f t="shared" si="19"/>
        <v>818.54583333333335</v>
      </c>
      <c r="BP15" s="3">
        <f t="shared" si="19"/>
        <v>783.625</v>
      </c>
      <c r="BQ15" s="3">
        <f t="shared" si="19"/>
        <v>722.18749999999989</v>
      </c>
      <c r="BR15" s="3">
        <f t="shared" si="19"/>
        <v>408.91250000000014</v>
      </c>
      <c r="BS15" s="3">
        <f t="shared" si="19"/>
        <v>132.56666666666666</v>
      </c>
      <c r="BT15" s="3">
        <f t="shared" si="19"/>
        <v>16.779166666666661</v>
      </c>
      <c r="BU15" s="3">
        <f t="shared" si="19"/>
        <v>3.614799844002901</v>
      </c>
      <c r="BV15" s="3">
        <f t="shared" si="19"/>
        <v>15.599999999999998</v>
      </c>
      <c r="BW15" s="3">
        <f t="shared" si="19"/>
        <v>62.845833333333331</v>
      </c>
      <c r="BX15" s="3">
        <f t="shared" si="19"/>
        <v>270.49166666666673</v>
      </c>
      <c r="BY15" s="3">
        <f t="shared" si="19"/>
        <v>526.07916666666677</v>
      </c>
      <c r="BZ15" s="3">
        <f t="shared" si="19"/>
        <v>595.83333333333337</v>
      </c>
      <c r="CB15">
        <f t="shared" si="29"/>
        <v>2023</v>
      </c>
      <c r="CC15" s="3">
        <f t="shared" si="20"/>
        <v>756.54583333333312</v>
      </c>
      <c r="CD15" s="3">
        <f t="shared" si="20"/>
        <v>727.625</v>
      </c>
      <c r="CE15" s="3">
        <f t="shared" si="20"/>
        <v>660.18749999999989</v>
      </c>
      <c r="CF15" s="3">
        <f t="shared" si="20"/>
        <v>348.91250000000014</v>
      </c>
      <c r="CG15" s="3">
        <f t="shared" si="20"/>
        <v>89.120833333333323</v>
      </c>
      <c r="CH15" s="3">
        <f t="shared" si="20"/>
        <v>5.9208333333333325</v>
      </c>
      <c r="CI15" s="3">
        <f t="shared" si="20"/>
        <v>0</v>
      </c>
      <c r="CJ15" s="3">
        <f t="shared" si="20"/>
        <v>7.3791666666666682</v>
      </c>
      <c r="CK15" s="3">
        <f t="shared" si="20"/>
        <v>33.549999999999997</v>
      </c>
      <c r="CL15" s="3">
        <f t="shared" si="20"/>
        <v>218.4916666666667</v>
      </c>
      <c r="CM15" s="3">
        <f t="shared" si="20"/>
        <v>466.07916666666671</v>
      </c>
      <c r="CN15" s="3">
        <f t="shared" si="20"/>
        <v>533.83333333333348</v>
      </c>
      <c r="CP15">
        <f t="shared" si="30"/>
        <v>2023</v>
      </c>
      <c r="CQ15" s="3">
        <f t="shared" si="21"/>
        <v>694.54583333333335</v>
      </c>
      <c r="CR15" s="3">
        <f t="shared" si="21"/>
        <v>671.62500000000023</v>
      </c>
      <c r="CS15" s="3">
        <f t="shared" si="21"/>
        <v>598.18749999999989</v>
      </c>
      <c r="CT15" s="3">
        <f t="shared" si="21"/>
        <v>288.91250000000008</v>
      </c>
      <c r="CU15" s="3">
        <f t="shared" si="21"/>
        <v>53.558333333333323</v>
      </c>
      <c r="CV15" s="3">
        <f t="shared" si="21"/>
        <v>1.0041666666666664</v>
      </c>
      <c r="CW15" s="3">
        <f t="shared" si="21"/>
        <v>0</v>
      </c>
      <c r="CX15" s="3">
        <f t="shared" si="21"/>
        <v>2.44166666666667</v>
      </c>
      <c r="CY15" s="3">
        <f t="shared" si="21"/>
        <v>13.108333333333334</v>
      </c>
      <c r="CZ15" s="3">
        <f t="shared" si="21"/>
        <v>167.78333333333333</v>
      </c>
      <c r="DA15" s="3">
        <f t="shared" si="21"/>
        <v>406.07916666666671</v>
      </c>
      <c r="DB15" s="3">
        <f t="shared" si="21"/>
        <v>471.83333333333337</v>
      </c>
      <c r="DD15">
        <f t="shared" si="31"/>
        <v>2023</v>
      </c>
      <c r="DE15" s="3">
        <f t="shared" si="23"/>
        <v>632.54583333333335</v>
      </c>
      <c r="DF15" s="3">
        <f t="shared" si="23"/>
        <v>615.62500000000011</v>
      </c>
      <c r="DG15" s="3">
        <f t="shared" si="23"/>
        <v>536.18749999999989</v>
      </c>
      <c r="DH15" s="3">
        <f t="shared" si="23"/>
        <v>231.31666666666666</v>
      </c>
      <c r="DI15" s="3">
        <f t="shared" si="23"/>
        <v>30.920833333333331</v>
      </c>
      <c r="DJ15" s="3">
        <f t="shared" si="23"/>
        <v>0</v>
      </c>
      <c r="DK15" s="3">
        <f t="shared" si="23"/>
        <v>0</v>
      </c>
      <c r="DL15" s="3">
        <f t="shared" si="23"/>
        <v>0</v>
      </c>
      <c r="DM15" s="3">
        <f t="shared" si="23"/>
        <v>2.4124999999999988</v>
      </c>
      <c r="DN15" s="3">
        <f t="shared" si="23"/>
        <v>118.31249999999999</v>
      </c>
      <c r="DO15" s="3">
        <f t="shared" si="23"/>
        <v>346.07916666666671</v>
      </c>
      <c r="DP15" s="3">
        <f t="shared" si="23"/>
        <v>409.83333333333337</v>
      </c>
    </row>
    <row r="16" spans="2:120" x14ac:dyDescent="0.35">
      <c r="B16">
        <v>2005</v>
      </c>
      <c r="C16">
        <v>3</v>
      </c>
      <c r="D16" s="4">
        <v>928.18862370502609</v>
      </c>
      <c r="E16" s="4">
        <v>0</v>
      </c>
      <c r="F16" s="4">
        <v>866.18862370502609</v>
      </c>
      <c r="G16" s="4">
        <v>0</v>
      </c>
      <c r="H16" s="4">
        <v>804.18862370502609</v>
      </c>
      <c r="I16" s="4">
        <v>0</v>
      </c>
      <c r="J16" s="4">
        <v>742.18862370502609</v>
      </c>
      <c r="K16" s="4">
        <v>0</v>
      </c>
      <c r="L16" s="4">
        <v>680.18862370502609</v>
      </c>
      <c r="M16" s="4">
        <v>0</v>
      </c>
      <c r="N16" s="4">
        <v>618.18862370502586</v>
      </c>
      <c r="O16" s="4">
        <v>0</v>
      </c>
      <c r="P16" s="4">
        <v>556.18862370502586</v>
      </c>
      <c r="Q16" s="4">
        <v>0</v>
      </c>
      <c r="R16" s="3">
        <v>-9.9415685066137414</v>
      </c>
      <c r="Y16" s="3"/>
      <c r="Z16" s="3"/>
      <c r="AA16" s="3"/>
      <c r="AB16" s="3"/>
      <c r="AC16" s="3"/>
      <c r="AD16" s="3"/>
      <c r="AE16" s="3"/>
      <c r="AF16" s="3"/>
      <c r="AG16" s="3"/>
      <c r="AH16" s="3"/>
      <c r="AI16" s="3"/>
      <c r="AJ16" s="3"/>
      <c r="AM16" s="3"/>
      <c r="AN16" s="3"/>
      <c r="AO16" s="3"/>
      <c r="AP16" s="3"/>
      <c r="AQ16" s="3"/>
      <c r="AR16" s="3"/>
      <c r="AS16" s="3"/>
      <c r="AT16" s="3"/>
      <c r="AU16" s="3"/>
      <c r="AV16" s="3"/>
      <c r="AW16" s="3"/>
      <c r="AX16" s="3"/>
      <c r="BA16" s="3"/>
      <c r="BB16" s="3"/>
      <c r="BC16" s="3"/>
      <c r="BD16" s="3"/>
      <c r="BE16" s="3"/>
      <c r="BF16" s="3"/>
      <c r="BG16" s="3"/>
      <c r="BH16" s="3"/>
      <c r="BI16" s="3"/>
      <c r="BJ16" s="3"/>
      <c r="BK16" s="3"/>
      <c r="BL16" s="3"/>
      <c r="BO16" s="3"/>
      <c r="BP16" s="3"/>
      <c r="BQ16" s="3"/>
      <c r="BR16" s="3"/>
      <c r="BS16" s="3"/>
      <c r="BT16" s="3"/>
      <c r="BU16" s="3"/>
      <c r="BV16" s="3"/>
      <c r="BW16" s="3"/>
      <c r="BX16" s="3"/>
      <c r="BY16" s="3"/>
      <c r="BZ16" s="3"/>
      <c r="CC16" s="3"/>
      <c r="CD16" s="3"/>
      <c r="CE16" s="3"/>
      <c r="CF16" s="3"/>
      <c r="CG16" s="3"/>
      <c r="CH16" s="3"/>
      <c r="CI16" s="3"/>
      <c r="CJ16" s="3"/>
      <c r="CK16" s="3"/>
      <c r="CL16" s="3"/>
      <c r="CM16" s="3"/>
      <c r="CN16" s="3"/>
      <c r="CQ16" s="3"/>
      <c r="CR16" s="3"/>
      <c r="CS16" s="3"/>
      <c r="CT16" s="3"/>
      <c r="CU16" s="3"/>
      <c r="CV16" s="3"/>
      <c r="CW16" s="3"/>
      <c r="CX16" s="3"/>
      <c r="CY16" s="3"/>
      <c r="CZ16" s="3"/>
      <c r="DA16" s="3"/>
      <c r="DB16" s="3"/>
      <c r="DE16" s="3"/>
      <c r="DF16" s="3"/>
      <c r="DG16" s="3"/>
      <c r="DH16" s="3"/>
      <c r="DI16" s="3"/>
      <c r="DJ16" s="3"/>
      <c r="DK16" s="3"/>
      <c r="DL16" s="3"/>
      <c r="DM16" s="3"/>
      <c r="DN16" s="3"/>
      <c r="DO16" s="3"/>
      <c r="DP16" s="3"/>
    </row>
    <row r="17" spans="2:120" x14ac:dyDescent="0.35">
      <c r="B17">
        <v>2005</v>
      </c>
      <c r="C17">
        <v>4</v>
      </c>
      <c r="D17" s="4">
        <v>496.88868293884121</v>
      </c>
      <c r="E17" s="4">
        <v>0</v>
      </c>
      <c r="F17" s="4">
        <v>436.88868293884116</v>
      </c>
      <c r="G17" s="4">
        <v>0</v>
      </c>
      <c r="H17" s="4">
        <v>376.88868293884127</v>
      </c>
      <c r="I17" s="4">
        <v>0</v>
      </c>
      <c r="J17" s="4">
        <v>316.88868293884127</v>
      </c>
      <c r="K17" s="4">
        <v>0</v>
      </c>
      <c r="L17" s="4">
        <v>256.88868293884116</v>
      </c>
      <c r="M17" s="4">
        <v>0</v>
      </c>
      <c r="N17" s="4">
        <v>200.00951627217449</v>
      </c>
      <c r="O17" s="4">
        <v>3.1208333333333371</v>
      </c>
      <c r="P17" s="4">
        <v>146.00951627217455</v>
      </c>
      <c r="Q17" s="4">
        <v>9.1208333333333371</v>
      </c>
      <c r="R17" s="3">
        <v>3.4370439020386261</v>
      </c>
      <c r="X17" s="9" t="s">
        <v>16</v>
      </c>
      <c r="Y17" s="3">
        <f>AVERAGE(Y6:Y15)</f>
        <v>1103.4846429373915</v>
      </c>
      <c r="Z17" s="3">
        <f>AVERAGE(Z6:Z15)</f>
        <v>1018.1008561403772</v>
      </c>
      <c r="AA17" s="3">
        <f>AVERAGE(AA6:AA15)</f>
        <v>887.2169753524928</v>
      </c>
      <c r="AB17" s="3">
        <f t="shared" ref="AB17:AH17" si="32">AVERAGE(AB6:AB15)</f>
        <v>606.8637413894221</v>
      </c>
      <c r="AC17" s="3">
        <f t="shared" si="32"/>
        <v>352.84633406806802</v>
      </c>
      <c r="AD17" s="3">
        <f t="shared" si="32"/>
        <v>146.38153986295271</v>
      </c>
      <c r="AE17" s="3">
        <f t="shared" si="32"/>
        <v>82.182228181686298</v>
      </c>
      <c r="AF17" s="3">
        <f t="shared" si="32"/>
        <v>121.62740087398245</v>
      </c>
      <c r="AG17" s="3">
        <f t="shared" si="32"/>
        <v>236.64067116057677</v>
      </c>
      <c r="AH17" s="3">
        <f t="shared" si="32"/>
        <v>467.96667572298549</v>
      </c>
      <c r="AI17" s="3">
        <f>AVERAGE(AI6:AI15)</f>
        <v>702.65249999999992</v>
      </c>
      <c r="AJ17" s="3">
        <f>AVERAGE(AJ6:AJ15)</f>
        <v>939.70466952460959</v>
      </c>
      <c r="AL17" s="9" t="s">
        <v>16</v>
      </c>
      <c r="AM17" s="3">
        <f>AVERAGE(AM6:AM15)</f>
        <v>1041.4846429373913</v>
      </c>
      <c r="AN17" s="3">
        <f>AVERAGE(AN6:AN15)</f>
        <v>961.70085614037725</v>
      </c>
      <c r="AO17" s="3">
        <f>AVERAGE(AO6:AO15)</f>
        <v>825.21697535249291</v>
      </c>
      <c r="AP17" s="3">
        <f t="shared" ref="AP17:AV17" si="33">AVERAGE(AP6:AP15)</f>
        <v>546.8637413894221</v>
      </c>
      <c r="AQ17" s="3">
        <f t="shared" si="33"/>
        <v>294.92508406806803</v>
      </c>
      <c r="AR17" s="3">
        <f t="shared" si="33"/>
        <v>100.04903986295272</v>
      </c>
      <c r="AS17" s="3">
        <f t="shared" si="33"/>
        <v>44.463478181686312</v>
      </c>
      <c r="AT17" s="3">
        <f t="shared" si="33"/>
        <v>74.841984207315789</v>
      </c>
      <c r="AU17" s="3">
        <f t="shared" si="33"/>
        <v>182.58775449391013</v>
      </c>
      <c r="AV17" s="3">
        <f t="shared" si="33"/>
        <v>406.56667572298551</v>
      </c>
      <c r="AW17" s="3">
        <f>AVERAGE(AW6:AW15)</f>
        <v>642.65249999999992</v>
      </c>
      <c r="AX17" s="3">
        <f>AVERAGE(AX6:AX15)</f>
        <v>877.70466952460959</v>
      </c>
      <c r="AY17" s="8">
        <f t="shared" si="26"/>
        <v>5999.0574018812122</v>
      </c>
      <c r="AZ17" s="9" t="s">
        <v>16</v>
      </c>
      <c r="BA17" s="3">
        <f>AVERAGE(BA6:BA15)</f>
        <v>979.4846429373913</v>
      </c>
      <c r="BB17" s="3">
        <f>AVERAGE(BB6:BB15)</f>
        <v>905.30085614037728</v>
      </c>
      <c r="BC17" s="3">
        <f>AVERAGE(BC6:BC15)</f>
        <v>763.21697535249291</v>
      </c>
      <c r="BD17" s="3">
        <f t="shared" ref="BD17:BJ17" si="34">AVERAGE(BD6:BD15)</f>
        <v>486.86374138942222</v>
      </c>
      <c r="BE17" s="3">
        <f t="shared" si="34"/>
        <v>240.06341740140138</v>
      </c>
      <c r="BF17" s="3">
        <f t="shared" si="34"/>
        <v>61.419683177086448</v>
      </c>
      <c r="BG17" s="3">
        <f t="shared" si="34"/>
        <v>19.411811515019636</v>
      </c>
      <c r="BH17" s="3">
        <f t="shared" si="34"/>
        <v>38.857400873982456</v>
      </c>
      <c r="BI17" s="3">
        <f t="shared" si="34"/>
        <v>132.5219211605768</v>
      </c>
      <c r="BJ17" s="3">
        <f t="shared" si="34"/>
        <v>345.67792572298549</v>
      </c>
      <c r="BK17" s="3">
        <f>AVERAGE(BK6:BK15)</f>
        <v>582.65250000000003</v>
      </c>
      <c r="BL17" s="3">
        <f>AVERAGE(BL6:BL15)</f>
        <v>815.70466952460959</v>
      </c>
      <c r="BN17" s="9" t="s">
        <v>16</v>
      </c>
      <c r="BO17" s="3">
        <f>AVERAGE(BO6:BO15)</f>
        <v>917.4846429373913</v>
      </c>
      <c r="BP17" s="3">
        <f>AVERAGE(BP6:BP15)</f>
        <v>848.9008561403773</v>
      </c>
      <c r="BQ17" s="3">
        <f>AVERAGE(BQ6:BQ15)</f>
        <v>701.21697535249291</v>
      </c>
      <c r="BR17" s="3">
        <f t="shared" ref="BR17:BX17" si="35">AVERAGE(BR6:BR15)</f>
        <v>426.86374138942222</v>
      </c>
      <c r="BS17" s="3">
        <f t="shared" si="35"/>
        <v>188.25592359677745</v>
      </c>
      <c r="BT17" s="3">
        <f t="shared" si="35"/>
        <v>31.555160573538522</v>
      </c>
      <c r="BU17" s="3">
        <f t="shared" si="35"/>
        <v>6.29389484835297</v>
      </c>
      <c r="BV17" s="3">
        <f t="shared" si="35"/>
        <v>16.588607539099151</v>
      </c>
      <c r="BW17" s="3">
        <f t="shared" si="35"/>
        <v>89.040000783234319</v>
      </c>
      <c r="BX17" s="3">
        <f t="shared" si="35"/>
        <v>286.53000905631887</v>
      </c>
      <c r="BY17" s="3">
        <f>AVERAGE(BY6:BY15)</f>
        <v>522.7429166666667</v>
      </c>
      <c r="BZ17" s="3">
        <f>AVERAGE(BZ6:BZ15)</f>
        <v>753.70466952460959</v>
      </c>
      <c r="CB17" s="9" t="s">
        <v>16</v>
      </c>
      <c r="CC17" s="3">
        <f>AVERAGE(CC6:CC15)</f>
        <v>855.4846429373913</v>
      </c>
      <c r="CD17" s="3">
        <f>AVERAGE(CD6:CD15)</f>
        <v>792.50085614037721</v>
      </c>
      <c r="CE17" s="3">
        <f>AVERAGE(CE6:CE15)</f>
        <v>639.21697535249291</v>
      </c>
      <c r="CF17" s="3">
        <f t="shared" ref="CF17:CL17" si="36">AVERAGE(CF6:CF15)</f>
        <v>366.86374138942222</v>
      </c>
      <c r="CG17" s="3">
        <f t="shared" si="36"/>
        <v>142.78355428141379</v>
      </c>
      <c r="CH17" s="3">
        <f t="shared" si="36"/>
        <v>14.300160573538523</v>
      </c>
      <c r="CI17" s="3">
        <f t="shared" si="36"/>
        <v>1.2216796719065199</v>
      </c>
      <c r="CJ17" s="3">
        <f t="shared" si="36"/>
        <v>6.0536075390991515</v>
      </c>
      <c r="CK17" s="3">
        <f t="shared" si="36"/>
        <v>53.943160233045333</v>
      </c>
      <c r="CL17" s="3">
        <f t="shared" si="36"/>
        <v>230.41042572298551</v>
      </c>
      <c r="CM17" s="3">
        <f>AVERAGE(CM6:CM15)</f>
        <v>463.19833333333338</v>
      </c>
      <c r="CN17" s="3">
        <f>AVERAGE(CN6:CN15)</f>
        <v>691.70466952460959</v>
      </c>
      <c r="CP17" s="9" t="s">
        <v>16</v>
      </c>
      <c r="CQ17" s="3">
        <f>AVERAGE(CQ6:CQ15)</f>
        <v>793.4846429373913</v>
      </c>
      <c r="CR17" s="3">
        <f>AVERAGE(CR6:CR15)</f>
        <v>736.10085614037712</v>
      </c>
      <c r="CS17" s="3">
        <f>AVERAGE(CS6:CS15)</f>
        <v>577.21697535249291</v>
      </c>
      <c r="CT17" s="3">
        <f t="shared" ref="CT17:CZ17" si="37">AVERAGE(CT6:CT15)</f>
        <v>307.33082472275549</v>
      </c>
      <c r="CU17" s="3">
        <f t="shared" si="37"/>
        <v>103.00647094808046</v>
      </c>
      <c r="CV17" s="3">
        <f t="shared" si="37"/>
        <v>5.5889105735385218</v>
      </c>
      <c r="CW17" s="3">
        <f t="shared" si="37"/>
        <v>0.28709633857318684</v>
      </c>
      <c r="CX17" s="3">
        <f t="shared" si="37"/>
        <v>1.6761707873342053</v>
      </c>
      <c r="CY17" s="3">
        <f t="shared" si="37"/>
        <v>28.222326899712005</v>
      </c>
      <c r="CZ17" s="3">
        <f t="shared" si="37"/>
        <v>178.0244559176316</v>
      </c>
      <c r="DA17" s="3">
        <f>AVERAGE(DA6:DA15)</f>
        <v>403.99833333333333</v>
      </c>
      <c r="DB17" s="3">
        <f>AVERAGE(DB6:DB15)</f>
        <v>629.70466952460959</v>
      </c>
      <c r="DD17" s="9" t="s">
        <v>16</v>
      </c>
      <c r="DE17" s="3">
        <f>AVERAGE(DE6:DE15)</f>
        <v>731.4846429373913</v>
      </c>
      <c r="DF17" s="3">
        <f>AVERAGE(DF6:DF15)</f>
        <v>679.70085614037714</v>
      </c>
      <c r="DG17" s="3">
        <f>AVERAGE(DG6:DG15)</f>
        <v>515.21697535249291</v>
      </c>
      <c r="DH17" s="3">
        <f t="shared" ref="DH17:DN17" si="38">AVERAGE(DH6:DH15)</f>
        <v>249.71165805608885</v>
      </c>
      <c r="DI17" s="3">
        <f t="shared" si="38"/>
        <v>71.382841352422389</v>
      </c>
      <c r="DJ17" s="3">
        <f t="shared" si="38"/>
        <v>1.7509939068718547</v>
      </c>
      <c r="DK17" s="3">
        <f t="shared" si="38"/>
        <v>1.0475525239465799E-2</v>
      </c>
      <c r="DL17" s="3">
        <f t="shared" si="38"/>
        <v>0.43904347188053255</v>
      </c>
      <c r="DM17" s="3">
        <f t="shared" si="38"/>
        <v>12.63519311688766</v>
      </c>
      <c r="DN17" s="3">
        <f t="shared" si="38"/>
        <v>129.14705170921579</v>
      </c>
      <c r="DO17" s="3">
        <f>AVERAGE(DO6:DO15)</f>
        <v>345.11250000000007</v>
      </c>
      <c r="DP17" s="3">
        <f>AVERAGE(DP6:DP15)</f>
        <v>567.70466952460959</v>
      </c>
    </row>
    <row r="18" spans="2:120" x14ac:dyDescent="0.35">
      <c r="B18">
        <v>2005</v>
      </c>
      <c r="C18">
        <v>5</v>
      </c>
      <c r="D18" s="4">
        <v>321.5201759939801</v>
      </c>
      <c r="E18" s="4">
        <v>0</v>
      </c>
      <c r="F18" s="4">
        <v>260.6451759939801</v>
      </c>
      <c r="G18" s="4">
        <v>1.1250000000000036</v>
      </c>
      <c r="H18" s="4">
        <v>202.69100932731345</v>
      </c>
      <c r="I18" s="4">
        <v>5.1708333333333378</v>
      </c>
      <c r="J18" s="4">
        <v>152.29517599398008</v>
      </c>
      <c r="K18" s="4">
        <v>16.774999999999999</v>
      </c>
      <c r="L18" s="4">
        <v>112.65350932731346</v>
      </c>
      <c r="M18" s="4">
        <v>39.133333333333333</v>
      </c>
      <c r="N18" s="4">
        <v>83.636842660646792</v>
      </c>
      <c r="O18" s="4">
        <v>72.11666666666666</v>
      </c>
      <c r="P18" s="4">
        <v>58.141009327313455</v>
      </c>
      <c r="Q18" s="4">
        <v>108.62083333333332</v>
      </c>
      <c r="R18" s="3">
        <v>9.6283814195490294</v>
      </c>
    </row>
    <row r="19" spans="2:120" x14ac:dyDescent="0.35">
      <c r="B19">
        <v>2005</v>
      </c>
      <c r="C19">
        <v>6</v>
      </c>
      <c r="D19" s="4">
        <v>86.344062841243172</v>
      </c>
      <c r="E19" s="4">
        <v>21.337500000000002</v>
      </c>
      <c r="F19" s="4">
        <v>48.402396174576488</v>
      </c>
      <c r="G19" s="4">
        <v>43.395833333333329</v>
      </c>
      <c r="H19" s="4">
        <v>27.82083333333334</v>
      </c>
      <c r="I19" s="4">
        <v>82.814270492090188</v>
      </c>
      <c r="J19" s="4">
        <v>14.520833333333336</v>
      </c>
      <c r="K19" s="4">
        <v>129.51427049209019</v>
      </c>
      <c r="L19" s="4">
        <v>6.8458333333333279</v>
      </c>
      <c r="M19" s="4">
        <v>181.83927049209024</v>
      </c>
      <c r="N19" s="4">
        <v>1.7833333333333314</v>
      </c>
      <c r="O19" s="4">
        <v>236.77677049209024</v>
      </c>
      <c r="P19" s="4">
        <v>0</v>
      </c>
      <c r="Q19" s="4">
        <v>294.99343715875682</v>
      </c>
      <c r="R19" s="3">
        <v>17.833114571958557</v>
      </c>
    </row>
    <row r="20" spans="2:120" x14ac:dyDescent="0.35">
      <c r="B20">
        <v>2005</v>
      </c>
      <c r="C20">
        <v>7</v>
      </c>
      <c r="D20" s="4">
        <v>76.231744622607494</v>
      </c>
      <c r="E20" s="4">
        <v>46.858333333333334</v>
      </c>
      <c r="F20" s="4">
        <v>43.556744622607503</v>
      </c>
      <c r="G20" s="4">
        <v>76.183333333333323</v>
      </c>
      <c r="H20" s="4">
        <v>21.99166666666666</v>
      </c>
      <c r="I20" s="4">
        <v>116.61825537739249</v>
      </c>
      <c r="J20" s="4">
        <v>7.0416666666666607</v>
      </c>
      <c r="K20" s="4">
        <v>163.66825537739248</v>
      </c>
      <c r="L20" s="4">
        <v>0.50833333333333286</v>
      </c>
      <c r="M20" s="4">
        <v>219.13492204405912</v>
      </c>
      <c r="N20" s="4">
        <v>0</v>
      </c>
      <c r="O20" s="4">
        <v>280.6265887107258</v>
      </c>
      <c r="P20" s="4">
        <v>0</v>
      </c>
      <c r="Q20" s="4">
        <v>342.62658871072591</v>
      </c>
      <c r="R20" s="3">
        <v>19.052470603571802</v>
      </c>
      <c r="X20" s="5" t="str">
        <f>E1</f>
        <v>CDD20</v>
      </c>
      <c r="Y20" s="6" t="s">
        <v>17</v>
      </c>
      <c r="Z20" s="6" t="s">
        <v>18</v>
      </c>
      <c r="AA20" s="6" t="s">
        <v>19</v>
      </c>
      <c r="AB20" s="6" t="s">
        <v>20</v>
      </c>
      <c r="AC20" s="6" t="s">
        <v>21</v>
      </c>
      <c r="AD20" s="6" t="s">
        <v>22</v>
      </c>
      <c r="AE20" s="6" t="s">
        <v>23</v>
      </c>
      <c r="AF20" s="10" t="s">
        <v>24</v>
      </c>
      <c r="AG20" s="10" t="s">
        <v>25</v>
      </c>
      <c r="AH20" s="10" t="s">
        <v>26</v>
      </c>
      <c r="AI20" s="10" t="s">
        <v>27</v>
      </c>
      <c r="AJ20" s="10" t="s">
        <v>28</v>
      </c>
      <c r="AL20" s="5" t="str">
        <f>G1</f>
        <v>CDD18</v>
      </c>
      <c r="AM20" s="6" t="s">
        <v>17</v>
      </c>
      <c r="AN20" s="6" t="s">
        <v>18</v>
      </c>
      <c r="AO20" s="6" t="s">
        <v>19</v>
      </c>
      <c r="AP20" s="6" t="s">
        <v>20</v>
      </c>
      <c r="AQ20" s="6" t="s">
        <v>21</v>
      </c>
      <c r="AR20" s="6" t="s">
        <v>22</v>
      </c>
      <c r="AS20" s="6" t="s">
        <v>23</v>
      </c>
      <c r="AT20" s="10" t="s">
        <v>24</v>
      </c>
      <c r="AU20" s="10" t="s">
        <v>25</v>
      </c>
      <c r="AV20" s="10" t="s">
        <v>26</v>
      </c>
      <c r="AW20" s="10" t="s">
        <v>27</v>
      </c>
      <c r="AX20" s="10" t="s">
        <v>28</v>
      </c>
      <c r="AZ20" s="5" t="str">
        <f>I1</f>
        <v>CDD16</v>
      </c>
      <c r="BA20" s="6" t="s">
        <v>17</v>
      </c>
      <c r="BB20" s="6" t="s">
        <v>18</v>
      </c>
      <c r="BC20" s="6" t="s">
        <v>19</v>
      </c>
      <c r="BD20" s="6" t="s">
        <v>20</v>
      </c>
      <c r="BE20" s="6" t="s">
        <v>21</v>
      </c>
      <c r="BF20" s="6" t="s">
        <v>22</v>
      </c>
      <c r="BG20" s="6" t="s">
        <v>23</v>
      </c>
      <c r="BH20" s="10" t="s">
        <v>24</v>
      </c>
      <c r="BI20" s="10" t="s">
        <v>25</v>
      </c>
      <c r="BJ20" s="10" t="s">
        <v>26</v>
      </c>
      <c r="BK20" s="10" t="s">
        <v>27</v>
      </c>
      <c r="BL20" s="10" t="s">
        <v>28</v>
      </c>
      <c r="BN20" s="5" t="str">
        <f>K1</f>
        <v>CDD14</v>
      </c>
      <c r="BO20" s="6" t="s">
        <v>17</v>
      </c>
      <c r="BP20" s="6" t="s">
        <v>18</v>
      </c>
      <c r="BQ20" s="6" t="s">
        <v>19</v>
      </c>
      <c r="BR20" s="6" t="s">
        <v>20</v>
      </c>
      <c r="BS20" s="6" t="s">
        <v>21</v>
      </c>
      <c r="BT20" s="6" t="s">
        <v>22</v>
      </c>
      <c r="BU20" s="6" t="s">
        <v>23</v>
      </c>
      <c r="BV20" s="10" t="s">
        <v>24</v>
      </c>
      <c r="BW20" s="10" t="s">
        <v>25</v>
      </c>
      <c r="BX20" s="10" t="s">
        <v>26</v>
      </c>
      <c r="BY20" s="10" t="s">
        <v>27</v>
      </c>
      <c r="BZ20" s="10" t="s">
        <v>28</v>
      </c>
      <c r="CB20" s="5" t="str">
        <f>M1</f>
        <v>CDD12</v>
      </c>
      <c r="CC20" s="6" t="s">
        <v>17</v>
      </c>
      <c r="CD20" s="6" t="s">
        <v>18</v>
      </c>
      <c r="CE20" s="6" t="s">
        <v>19</v>
      </c>
      <c r="CF20" s="6" t="s">
        <v>20</v>
      </c>
      <c r="CG20" s="6" t="s">
        <v>21</v>
      </c>
      <c r="CH20" s="6" t="s">
        <v>22</v>
      </c>
      <c r="CI20" s="6" t="s">
        <v>23</v>
      </c>
      <c r="CJ20" s="10" t="s">
        <v>24</v>
      </c>
      <c r="CK20" s="10" t="s">
        <v>25</v>
      </c>
      <c r="CL20" s="10" t="s">
        <v>26</v>
      </c>
      <c r="CM20" s="10" t="s">
        <v>27</v>
      </c>
      <c r="CN20" s="10" t="s">
        <v>28</v>
      </c>
      <c r="CP20" s="5" t="str">
        <f>O1</f>
        <v>CDD10</v>
      </c>
      <c r="CQ20" s="6" t="s">
        <v>17</v>
      </c>
      <c r="CR20" s="6" t="s">
        <v>18</v>
      </c>
      <c r="CS20" s="6" t="s">
        <v>19</v>
      </c>
      <c r="CT20" s="6" t="s">
        <v>20</v>
      </c>
      <c r="CU20" s="6" t="s">
        <v>21</v>
      </c>
      <c r="CV20" s="6" t="s">
        <v>22</v>
      </c>
      <c r="CW20" s="6" t="s">
        <v>23</v>
      </c>
      <c r="CX20" s="10" t="s">
        <v>24</v>
      </c>
      <c r="CY20" s="10" t="s">
        <v>25</v>
      </c>
      <c r="CZ20" s="10" t="s">
        <v>26</v>
      </c>
      <c r="DA20" s="10" t="s">
        <v>27</v>
      </c>
      <c r="DB20" s="10" t="s">
        <v>28</v>
      </c>
      <c r="DD20" s="5" t="str">
        <f>Q1</f>
        <v>CDD8</v>
      </c>
      <c r="DE20" s="6" t="s">
        <v>17</v>
      </c>
      <c r="DF20" s="6" t="s">
        <v>18</v>
      </c>
      <c r="DG20" s="6" t="s">
        <v>19</v>
      </c>
      <c r="DH20" s="6" t="s">
        <v>20</v>
      </c>
      <c r="DI20" s="6" t="s">
        <v>21</v>
      </c>
      <c r="DJ20" s="6" t="s">
        <v>22</v>
      </c>
      <c r="DK20" s="6" t="s">
        <v>23</v>
      </c>
      <c r="DL20" s="10" t="s">
        <v>24</v>
      </c>
      <c r="DM20" s="10" t="s">
        <v>25</v>
      </c>
      <c r="DN20" s="10" t="s">
        <v>26</v>
      </c>
      <c r="DO20" s="10" t="s">
        <v>27</v>
      </c>
      <c r="DP20" s="10" t="s">
        <v>28</v>
      </c>
    </row>
    <row r="21" spans="2:120" x14ac:dyDescent="0.35">
      <c r="B21">
        <v>2005</v>
      </c>
      <c r="C21">
        <v>8</v>
      </c>
      <c r="D21" s="4">
        <v>109.19441449171005</v>
      </c>
      <c r="E21" s="4">
        <v>12.766666666666659</v>
      </c>
      <c r="F21" s="4">
        <v>64.136081158376726</v>
      </c>
      <c r="G21" s="4">
        <v>29.708333333333325</v>
      </c>
      <c r="H21" s="4">
        <v>28.955995032599269</v>
      </c>
      <c r="I21" s="4">
        <v>56.528247207555864</v>
      </c>
      <c r="J21" s="4">
        <v>10.389328365932608</v>
      </c>
      <c r="K21" s="4">
        <v>99.961580540889244</v>
      </c>
      <c r="L21" s="4">
        <v>0.43333333333333535</v>
      </c>
      <c r="M21" s="4">
        <v>152.00558550828993</v>
      </c>
      <c r="N21" s="4">
        <v>0</v>
      </c>
      <c r="O21" s="4">
        <v>213.57225217495653</v>
      </c>
      <c r="P21" s="4">
        <v>0</v>
      </c>
      <c r="Q21" s="4">
        <v>275.57225217495653</v>
      </c>
      <c r="R21" s="3">
        <v>16.889427489514727</v>
      </c>
      <c r="X21">
        <v>2013</v>
      </c>
      <c r="Y21" s="7">
        <f t="shared" ref="Y21:AJ31" si="39">SUMIFS($E:$E,$B:$B,$X21,$C:$C,Y$4)</f>
        <v>0</v>
      </c>
      <c r="Z21" s="7">
        <f t="shared" si="39"/>
        <v>0</v>
      </c>
      <c r="AA21" s="7">
        <f t="shared" si="39"/>
        <v>0</v>
      </c>
      <c r="AB21" s="7">
        <f t="shared" si="39"/>
        <v>0</v>
      </c>
      <c r="AC21" s="7">
        <f t="shared" si="39"/>
        <v>0</v>
      </c>
      <c r="AD21" s="7">
        <f t="shared" si="39"/>
        <v>3.6166666666666636</v>
      </c>
      <c r="AE21" s="7">
        <f t="shared" si="39"/>
        <v>20.187500000000011</v>
      </c>
      <c r="AF21" s="7">
        <f t="shared" si="39"/>
        <v>9.5958333333333279</v>
      </c>
      <c r="AG21" s="7">
        <f t="shared" si="39"/>
        <v>0</v>
      </c>
      <c r="AH21" s="7">
        <f t="shared" si="39"/>
        <v>0</v>
      </c>
      <c r="AI21" s="7">
        <f t="shared" si="39"/>
        <v>0</v>
      </c>
      <c r="AJ21" s="7">
        <f t="shared" si="39"/>
        <v>0</v>
      </c>
      <c r="AL21">
        <v>2013</v>
      </c>
      <c r="AM21" s="7">
        <f t="shared" ref="AM21:AX31" si="40">SUMIFS($G:$G,$B:$B,$X21,$C:$C,AM$4)</f>
        <v>0</v>
      </c>
      <c r="AN21" s="7">
        <f t="shared" si="40"/>
        <v>0</v>
      </c>
      <c r="AO21" s="7">
        <f t="shared" si="40"/>
        <v>0</v>
      </c>
      <c r="AP21" s="7">
        <f t="shared" si="40"/>
        <v>0</v>
      </c>
      <c r="AQ21" s="7">
        <f t="shared" si="40"/>
        <v>0</v>
      </c>
      <c r="AR21" s="7">
        <f t="shared" si="40"/>
        <v>11.420833333333331</v>
      </c>
      <c r="AS21" s="7">
        <f t="shared" si="40"/>
        <v>39.541666666666686</v>
      </c>
      <c r="AT21" s="7">
        <f t="shared" si="40"/>
        <v>26.759417549149088</v>
      </c>
      <c r="AU21" s="7">
        <f t="shared" si="40"/>
        <v>0</v>
      </c>
      <c r="AV21" s="7">
        <f t="shared" si="40"/>
        <v>0</v>
      </c>
      <c r="AW21" s="7">
        <f t="shared" si="40"/>
        <v>0</v>
      </c>
      <c r="AX21" s="7">
        <f t="shared" si="40"/>
        <v>0</v>
      </c>
      <c r="AY21" s="8">
        <f>SUM(AM21:AX21)</f>
        <v>77.721917549149111</v>
      </c>
      <c r="AZ21">
        <v>2013</v>
      </c>
      <c r="BA21" s="7">
        <f t="shared" ref="BA21:BL31" si="41">SUMIFS($I:$I,$B:$B,$X21,$C:$C,BA$4)</f>
        <v>0</v>
      </c>
      <c r="BB21" s="7">
        <f t="shared" si="41"/>
        <v>0</v>
      </c>
      <c r="BC21" s="7">
        <f t="shared" si="41"/>
        <v>0</v>
      </c>
      <c r="BD21" s="7">
        <f t="shared" si="41"/>
        <v>0</v>
      </c>
      <c r="BE21" s="7">
        <f t="shared" si="41"/>
        <v>0.85833333333333428</v>
      </c>
      <c r="BF21" s="7">
        <f t="shared" si="41"/>
        <v>28.829166666666666</v>
      </c>
      <c r="BG21" s="7">
        <f t="shared" si="41"/>
        <v>72.106717045659195</v>
      </c>
      <c r="BH21" s="7">
        <f t="shared" si="41"/>
        <v>50.584417549149094</v>
      </c>
      <c r="BI21" s="7">
        <f t="shared" si="41"/>
        <v>4.2875000000000014</v>
      </c>
      <c r="BJ21" s="7">
        <f t="shared" si="41"/>
        <v>0.33750000000000213</v>
      </c>
      <c r="BK21" s="7">
        <f t="shared" si="41"/>
        <v>0</v>
      </c>
      <c r="BL21" s="7">
        <f t="shared" si="41"/>
        <v>0</v>
      </c>
      <c r="BN21">
        <v>2013</v>
      </c>
      <c r="BO21" s="7">
        <f t="shared" ref="BO21:BZ31" si="42">SUMIFS($K:$K,$B:$B,$X21,$C:$C,BO$4)</f>
        <v>0</v>
      </c>
      <c r="BP21" s="7">
        <f t="shared" si="42"/>
        <v>0</v>
      </c>
      <c r="BQ21" s="7">
        <f t="shared" si="42"/>
        <v>0</v>
      </c>
      <c r="BR21" s="7">
        <f t="shared" si="42"/>
        <v>0</v>
      </c>
      <c r="BS21" s="7">
        <f t="shared" si="42"/>
        <v>6.1000000000000032</v>
      </c>
      <c r="BT21" s="7">
        <f t="shared" si="42"/>
        <v>59.074999999999989</v>
      </c>
      <c r="BU21" s="7">
        <f t="shared" si="42"/>
        <v>113.1400503789925</v>
      </c>
      <c r="BV21" s="7">
        <f t="shared" si="42"/>
        <v>90.125610017799744</v>
      </c>
      <c r="BW21" s="7">
        <f t="shared" si="42"/>
        <v>14.854166666666663</v>
      </c>
      <c r="BX21" s="7">
        <f t="shared" si="42"/>
        <v>4.4958333333333407</v>
      </c>
      <c r="BY21" s="7">
        <f t="shared" si="42"/>
        <v>0</v>
      </c>
      <c r="BZ21" s="7">
        <f t="shared" si="42"/>
        <v>0</v>
      </c>
      <c r="CB21">
        <v>2013</v>
      </c>
      <c r="CC21" s="7">
        <f t="shared" ref="CC21:CN31" si="43">SUMIFS($M:$M,$B:$B,$X21,$C:$C,CC$4)</f>
        <v>0</v>
      </c>
      <c r="CD21" s="7">
        <f t="shared" si="43"/>
        <v>0</v>
      </c>
      <c r="CE21" s="7">
        <f t="shared" si="43"/>
        <v>0</v>
      </c>
      <c r="CF21" s="7">
        <f t="shared" si="43"/>
        <v>0</v>
      </c>
      <c r="CG21" s="7">
        <f t="shared" si="43"/>
        <v>16.179166666666674</v>
      </c>
      <c r="CH21" s="7">
        <f t="shared" si="43"/>
        <v>97.75</v>
      </c>
      <c r="CI21" s="7">
        <f t="shared" si="43"/>
        <v>165.49421704565913</v>
      </c>
      <c r="CJ21" s="7">
        <f t="shared" si="43"/>
        <v>142.42977668446642</v>
      </c>
      <c r="CK21" s="7">
        <f t="shared" si="43"/>
        <v>35.67916666666666</v>
      </c>
      <c r="CL21" s="7">
        <f t="shared" si="43"/>
        <v>12.42500000000001</v>
      </c>
      <c r="CM21" s="7">
        <f t="shared" si="43"/>
        <v>0</v>
      </c>
      <c r="CN21" s="7">
        <f t="shared" si="43"/>
        <v>0</v>
      </c>
      <c r="CP21">
        <v>2013</v>
      </c>
      <c r="CQ21" s="7">
        <f t="shared" ref="CQ21:DB31" si="44">SUMIFS($O:$O,$B:$B,$X21,$C:$C,CQ$4)</f>
        <v>0</v>
      </c>
      <c r="CR21" s="7">
        <f t="shared" si="44"/>
        <v>0</v>
      </c>
      <c r="CS21" s="7">
        <f t="shared" si="44"/>
        <v>0</v>
      </c>
      <c r="CT21" s="7">
        <f t="shared" si="44"/>
        <v>2.25416666666667</v>
      </c>
      <c r="CU21" s="7">
        <f t="shared" si="44"/>
        <v>34.800000000000011</v>
      </c>
      <c r="CV21" s="7">
        <f t="shared" si="44"/>
        <v>141.73333333333332</v>
      </c>
      <c r="CW21" s="7">
        <f t="shared" si="44"/>
        <v>225.88588371232578</v>
      </c>
      <c r="CX21" s="7">
        <f t="shared" si="44"/>
        <v>200.04644335113309</v>
      </c>
      <c r="CY21" s="7">
        <f t="shared" si="44"/>
        <v>69.199727327953454</v>
      </c>
      <c r="CZ21" s="7">
        <f t="shared" si="44"/>
        <v>24.400000000000006</v>
      </c>
      <c r="DA21" s="7">
        <f t="shared" si="44"/>
        <v>0</v>
      </c>
      <c r="DB21" s="7">
        <f t="shared" si="44"/>
        <v>0</v>
      </c>
      <c r="DD21">
        <v>2013</v>
      </c>
      <c r="DE21" s="7">
        <f>SUMIFS($Q:$Q,$B:$B,$X21,$C:$C,DE$4)</f>
        <v>0</v>
      </c>
      <c r="DF21" s="7">
        <f t="shared" ref="DF21:DP21" si="45">SUMIFS($Q:$Q,$B:$B,$X21,$C:$C,DF$4)</f>
        <v>0</v>
      </c>
      <c r="DG21" s="7">
        <f t="shared" si="45"/>
        <v>0</v>
      </c>
      <c r="DH21" s="7">
        <f t="shared" si="45"/>
        <v>6.266666666666671</v>
      </c>
      <c r="DI21" s="7">
        <f t="shared" si="45"/>
        <v>62.183333333333337</v>
      </c>
      <c r="DJ21" s="7">
        <f t="shared" si="45"/>
        <v>191.60833333333332</v>
      </c>
      <c r="DK21" s="7">
        <f t="shared" si="45"/>
        <v>287.88588371232578</v>
      </c>
      <c r="DL21" s="7">
        <f t="shared" si="45"/>
        <v>260.04644335113301</v>
      </c>
      <c r="DM21" s="7">
        <f t="shared" si="45"/>
        <v>112.87472732795345</v>
      </c>
      <c r="DN21" s="7">
        <f t="shared" si="45"/>
        <v>41.887500000000003</v>
      </c>
      <c r="DO21" s="7">
        <f t="shared" si="45"/>
        <v>1.6624999999999996</v>
      </c>
      <c r="DP21" s="7">
        <f t="shared" si="45"/>
        <v>0</v>
      </c>
    </row>
    <row r="22" spans="2:120" x14ac:dyDescent="0.35">
      <c r="B22">
        <v>2005</v>
      </c>
      <c r="C22">
        <v>9</v>
      </c>
      <c r="D22" s="4">
        <v>215.28333333333333</v>
      </c>
      <c r="E22" s="4">
        <v>7.9791666666666643</v>
      </c>
      <c r="F22" s="4">
        <v>161.625</v>
      </c>
      <c r="G22" s="4">
        <v>14.320833333333336</v>
      </c>
      <c r="H22" s="4">
        <v>113.08333333333333</v>
      </c>
      <c r="I22" s="4">
        <v>25.779166666666658</v>
      </c>
      <c r="J22" s="4">
        <v>72.608333333333334</v>
      </c>
      <c r="K22" s="4">
        <v>45.304166666666653</v>
      </c>
      <c r="L22" s="4">
        <v>39.912500000000001</v>
      </c>
      <c r="M22" s="4">
        <v>72.608333333333306</v>
      </c>
      <c r="N22" s="4">
        <v>15.770833333333327</v>
      </c>
      <c r="O22" s="4">
        <v>108.46666666666664</v>
      </c>
      <c r="P22" s="4">
        <v>7.974999999999997</v>
      </c>
      <c r="Q22" s="4">
        <v>160.67083333333335</v>
      </c>
      <c r="R22" s="3">
        <v>13.089861111111111</v>
      </c>
      <c r="X22">
        <f>X21+1</f>
        <v>2014</v>
      </c>
      <c r="Y22" s="7">
        <f t="shared" si="39"/>
        <v>0</v>
      </c>
      <c r="Z22" s="7">
        <f t="shared" si="39"/>
        <v>0</v>
      </c>
      <c r="AA22" s="7">
        <f t="shared" si="39"/>
        <v>0</v>
      </c>
      <c r="AB22" s="7">
        <f t="shared" si="39"/>
        <v>0</v>
      </c>
      <c r="AC22" s="7">
        <f t="shared" si="39"/>
        <v>0</v>
      </c>
      <c r="AD22" s="7">
        <f t="shared" si="39"/>
        <v>9.19166666666667</v>
      </c>
      <c r="AE22" s="7">
        <f t="shared" si="39"/>
        <v>2.0374999999999979</v>
      </c>
      <c r="AF22" s="7">
        <f t="shared" si="39"/>
        <v>3.8458333333333314</v>
      </c>
      <c r="AG22" s="7">
        <f t="shared" si="39"/>
        <v>0</v>
      </c>
      <c r="AH22" s="7">
        <f t="shared" si="39"/>
        <v>0</v>
      </c>
      <c r="AI22" s="7">
        <f t="shared" si="39"/>
        <v>0</v>
      </c>
      <c r="AJ22" s="7">
        <f t="shared" si="39"/>
        <v>0</v>
      </c>
      <c r="AL22">
        <f>AL21+1</f>
        <v>2014</v>
      </c>
      <c r="AM22" s="7">
        <f t="shared" si="40"/>
        <v>0</v>
      </c>
      <c r="AN22" s="7">
        <f t="shared" si="40"/>
        <v>0</v>
      </c>
      <c r="AO22" s="7">
        <f t="shared" si="40"/>
        <v>0</v>
      </c>
      <c r="AP22" s="7">
        <f t="shared" si="40"/>
        <v>0</v>
      </c>
      <c r="AQ22" s="7">
        <f t="shared" si="40"/>
        <v>2.5666666666666629</v>
      </c>
      <c r="AR22" s="7">
        <f t="shared" si="40"/>
        <v>24.483333333333334</v>
      </c>
      <c r="AS22" s="7">
        <f t="shared" si="40"/>
        <v>15.379166666666656</v>
      </c>
      <c r="AT22" s="7">
        <f t="shared" si="40"/>
        <v>16.287500000000001</v>
      </c>
      <c r="AU22" s="7">
        <f t="shared" si="40"/>
        <v>0.62499999999999289</v>
      </c>
      <c r="AV22" s="7">
        <f t="shared" si="40"/>
        <v>0</v>
      </c>
      <c r="AW22" s="7">
        <f t="shared" si="40"/>
        <v>0</v>
      </c>
      <c r="AX22" s="7">
        <f t="shared" si="40"/>
        <v>0</v>
      </c>
      <c r="AY22" s="8">
        <f>SUM(AM22:AX22)</f>
        <v>59.341666666666647</v>
      </c>
      <c r="AZ22">
        <f>AZ21+1</f>
        <v>2014</v>
      </c>
      <c r="BA22" s="7">
        <f t="shared" si="41"/>
        <v>0</v>
      </c>
      <c r="BB22" s="7">
        <f t="shared" si="41"/>
        <v>0</v>
      </c>
      <c r="BC22" s="7">
        <f t="shared" si="41"/>
        <v>0</v>
      </c>
      <c r="BD22" s="7">
        <f t="shared" si="41"/>
        <v>0</v>
      </c>
      <c r="BE22" s="7">
        <f t="shared" si="41"/>
        <v>8.5083333333333293</v>
      </c>
      <c r="BF22" s="7">
        <f t="shared" si="41"/>
        <v>49.862683141337214</v>
      </c>
      <c r="BG22" s="7">
        <f t="shared" si="41"/>
        <v>39.1458333333333</v>
      </c>
      <c r="BH22" s="7">
        <f t="shared" si="41"/>
        <v>39.56666666666667</v>
      </c>
      <c r="BI22" s="7">
        <f t="shared" si="41"/>
        <v>9.7999999999999865</v>
      </c>
      <c r="BJ22" s="7">
        <f t="shared" si="41"/>
        <v>0</v>
      </c>
      <c r="BK22" s="7">
        <f t="shared" si="41"/>
        <v>0</v>
      </c>
      <c r="BL22" s="7">
        <f t="shared" si="41"/>
        <v>0</v>
      </c>
      <c r="BN22">
        <f>BN21+1</f>
        <v>2014</v>
      </c>
      <c r="BO22" s="7">
        <f t="shared" si="42"/>
        <v>0</v>
      </c>
      <c r="BP22" s="7">
        <f t="shared" si="42"/>
        <v>0</v>
      </c>
      <c r="BQ22" s="7">
        <f t="shared" si="42"/>
        <v>0</v>
      </c>
      <c r="BR22" s="7">
        <f t="shared" si="42"/>
        <v>0</v>
      </c>
      <c r="BS22" s="7">
        <f t="shared" si="42"/>
        <v>15.233566516169693</v>
      </c>
      <c r="BT22" s="7">
        <f t="shared" si="42"/>
        <v>83.009123772524603</v>
      </c>
      <c r="BU22" s="7">
        <f t="shared" si="42"/>
        <v>74.937499999999972</v>
      </c>
      <c r="BV22" s="7">
        <f t="shared" si="42"/>
        <v>76.320833333333297</v>
      </c>
      <c r="BW22" s="7">
        <f t="shared" si="42"/>
        <v>29.279521037079267</v>
      </c>
      <c r="BX22" s="7">
        <f t="shared" si="42"/>
        <v>0.42500000000000249</v>
      </c>
      <c r="BY22" s="7">
        <f t="shared" si="42"/>
        <v>0</v>
      </c>
      <c r="BZ22" s="7">
        <f t="shared" si="42"/>
        <v>0</v>
      </c>
      <c r="CB22">
        <f>CB21+1</f>
        <v>2014</v>
      </c>
      <c r="CC22" s="7">
        <f t="shared" si="43"/>
        <v>0</v>
      </c>
      <c r="CD22" s="7">
        <f t="shared" si="43"/>
        <v>0</v>
      </c>
      <c r="CE22" s="7">
        <f t="shared" si="43"/>
        <v>0</v>
      </c>
      <c r="CF22" s="7">
        <f t="shared" si="43"/>
        <v>0</v>
      </c>
      <c r="CG22" s="7">
        <f t="shared" si="43"/>
        <v>28.839040029199509</v>
      </c>
      <c r="CH22" s="7">
        <f t="shared" si="43"/>
        <v>129.35079043919126</v>
      </c>
      <c r="CI22" s="7">
        <f t="shared" si="43"/>
        <v>120.0708333333333</v>
      </c>
      <c r="CJ22" s="7">
        <f t="shared" si="43"/>
        <v>126.55833333333331</v>
      </c>
      <c r="CK22" s="7">
        <f t="shared" si="43"/>
        <v>51.308687703745932</v>
      </c>
      <c r="CL22" s="7">
        <f t="shared" si="43"/>
        <v>3.5041666666666664</v>
      </c>
      <c r="CM22" s="7">
        <f t="shared" si="43"/>
        <v>0</v>
      </c>
      <c r="CN22" s="7">
        <f t="shared" si="43"/>
        <v>0</v>
      </c>
      <c r="CP22">
        <f>CP21+1</f>
        <v>2014</v>
      </c>
      <c r="CQ22" s="7">
        <f t="shared" si="44"/>
        <v>0</v>
      </c>
      <c r="CR22" s="7">
        <f t="shared" si="44"/>
        <v>0</v>
      </c>
      <c r="CS22" s="7">
        <f t="shared" si="44"/>
        <v>0</v>
      </c>
      <c r="CT22" s="7">
        <f t="shared" si="44"/>
        <v>0</v>
      </c>
      <c r="CU22" s="7">
        <f t="shared" si="44"/>
        <v>50.580706695866176</v>
      </c>
      <c r="CV22" s="7">
        <f t="shared" si="44"/>
        <v>183.40079043919127</v>
      </c>
      <c r="CW22" s="7">
        <f t="shared" si="44"/>
        <v>178.87083333333334</v>
      </c>
      <c r="CX22" s="7">
        <f t="shared" si="44"/>
        <v>184.21666666666664</v>
      </c>
      <c r="CY22" s="7">
        <f t="shared" si="44"/>
        <v>75.542021037079252</v>
      </c>
      <c r="CZ22" s="7">
        <f t="shared" si="44"/>
        <v>7.5041666666666664</v>
      </c>
      <c r="DA22" s="7">
        <f t="shared" si="44"/>
        <v>0</v>
      </c>
      <c r="DB22" s="7">
        <f t="shared" si="44"/>
        <v>0</v>
      </c>
      <c r="DD22">
        <f>DD21+1</f>
        <v>2014</v>
      </c>
      <c r="DE22" s="7">
        <f t="shared" ref="DE22:DP31" si="46">SUMIFS($Q:$Q,$B:$B,$X22,$C:$C,DE$4)</f>
        <v>0</v>
      </c>
      <c r="DF22" s="7">
        <f t="shared" si="46"/>
        <v>0</v>
      </c>
      <c r="DG22" s="7">
        <f t="shared" si="46"/>
        <v>0</v>
      </c>
      <c r="DH22" s="7">
        <f t="shared" si="46"/>
        <v>0</v>
      </c>
      <c r="DI22" s="7">
        <f t="shared" si="46"/>
        <v>82.893206695866169</v>
      </c>
      <c r="DJ22" s="7">
        <f t="shared" si="46"/>
        <v>243.40079043919121</v>
      </c>
      <c r="DK22" s="7">
        <f t="shared" si="46"/>
        <v>240.87083333333334</v>
      </c>
      <c r="DL22" s="7">
        <f t="shared" si="46"/>
        <v>245.37499999999997</v>
      </c>
      <c r="DM22" s="7">
        <f t="shared" si="46"/>
        <v>108.70864821453576</v>
      </c>
      <c r="DN22" s="7">
        <f t="shared" si="46"/>
        <v>11.574999999999999</v>
      </c>
      <c r="DO22" s="7">
        <f t="shared" si="46"/>
        <v>0</v>
      </c>
      <c r="DP22" s="7">
        <f t="shared" si="46"/>
        <v>0</v>
      </c>
    </row>
    <row r="23" spans="2:120" x14ac:dyDescent="0.35">
      <c r="B23">
        <v>2005</v>
      </c>
      <c r="C23">
        <v>10</v>
      </c>
      <c r="D23" s="4">
        <v>449.98938112737738</v>
      </c>
      <c r="E23" s="4">
        <v>0</v>
      </c>
      <c r="F23" s="4">
        <v>389.72271446071079</v>
      </c>
      <c r="G23" s="4">
        <v>1.7333333333333378</v>
      </c>
      <c r="H23" s="4">
        <v>331.72271446071073</v>
      </c>
      <c r="I23" s="4">
        <v>5.7333333333333378</v>
      </c>
      <c r="J23" s="4">
        <v>274.16021446071073</v>
      </c>
      <c r="K23" s="4">
        <v>10.17083333333334</v>
      </c>
      <c r="L23" s="4">
        <v>218.24771446071082</v>
      </c>
      <c r="M23" s="4">
        <v>16.25833333333334</v>
      </c>
      <c r="N23" s="4">
        <v>166.13104779404421</v>
      </c>
      <c r="O23" s="4">
        <v>26.141666666666673</v>
      </c>
      <c r="P23" s="4">
        <v>118.99354779404412</v>
      </c>
      <c r="Q23" s="4">
        <v>41.004166666666663</v>
      </c>
      <c r="R23" s="3">
        <v>5.4842135120200819</v>
      </c>
      <c r="X23">
        <f t="shared" ref="X23:X31" si="47">X22+1</f>
        <v>2015</v>
      </c>
      <c r="Y23" s="7">
        <f t="shared" si="39"/>
        <v>0</v>
      </c>
      <c r="Z23" s="7">
        <f t="shared" si="39"/>
        <v>0</v>
      </c>
      <c r="AA23" s="7">
        <f t="shared" si="39"/>
        <v>0</v>
      </c>
      <c r="AB23" s="7">
        <f t="shared" si="39"/>
        <v>0</v>
      </c>
      <c r="AC23" s="7">
        <f t="shared" si="39"/>
        <v>0</v>
      </c>
      <c r="AD23" s="7">
        <f t="shared" si="39"/>
        <v>1.1500000000000021</v>
      </c>
      <c r="AE23" s="7">
        <f t="shared" si="39"/>
        <v>22.854166666666661</v>
      </c>
      <c r="AF23" s="7">
        <f t="shared" si="39"/>
        <v>8.274999999999995</v>
      </c>
      <c r="AG23" s="7">
        <f t="shared" si="39"/>
        <v>13.362499999999997</v>
      </c>
      <c r="AH23" s="7">
        <f t="shared" si="39"/>
        <v>0</v>
      </c>
      <c r="AI23" s="7">
        <f t="shared" si="39"/>
        <v>0</v>
      </c>
      <c r="AJ23" s="7">
        <f t="shared" si="39"/>
        <v>0</v>
      </c>
      <c r="AL23">
        <f t="shared" ref="AL23:AL31" si="48">AL22+1</f>
        <v>2015</v>
      </c>
      <c r="AM23" s="7">
        <f t="shared" si="40"/>
        <v>0</v>
      </c>
      <c r="AN23" s="7">
        <f t="shared" si="40"/>
        <v>0</v>
      </c>
      <c r="AO23" s="7">
        <f t="shared" si="40"/>
        <v>0</v>
      </c>
      <c r="AP23" s="7">
        <f t="shared" si="40"/>
        <v>0</v>
      </c>
      <c r="AQ23" s="7">
        <f t="shared" si="40"/>
        <v>0</v>
      </c>
      <c r="AR23" s="7">
        <f t="shared" si="40"/>
        <v>8.2041666666666657</v>
      </c>
      <c r="AS23" s="7">
        <f t="shared" si="40"/>
        <v>49.791666666666671</v>
      </c>
      <c r="AT23" s="7">
        <f t="shared" si="40"/>
        <v>22.670833333333327</v>
      </c>
      <c r="AU23" s="7">
        <f t="shared" si="40"/>
        <v>29.970833333333335</v>
      </c>
      <c r="AV23" s="7">
        <f t="shared" si="40"/>
        <v>0</v>
      </c>
      <c r="AW23" s="7">
        <f t="shared" si="40"/>
        <v>0</v>
      </c>
      <c r="AX23" s="7">
        <f t="shared" si="40"/>
        <v>0</v>
      </c>
      <c r="AY23" s="8">
        <f t="shared" ref="AY23:AY31" si="49">SUM(AM23:AX23)</f>
        <v>110.63749999999999</v>
      </c>
      <c r="AZ23">
        <f t="shared" ref="AZ23:AZ31" si="50">AZ22+1</f>
        <v>2015</v>
      </c>
      <c r="BA23" s="7">
        <f t="shared" si="41"/>
        <v>0</v>
      </c>
      <c r="BB23" s="7">
        <f t="shared" si="41"/>
        <v>0</v>
      </c>
      <c r="BC23" s="7">
        <f t="shared" si="41"/>
        <v>0</v>
      </c>
      <c r="BD23" s="7">
        <f t="shared" si="41"/>
        <v>0</v>
      </c>
      <c r="BE23" s="7">
        <f t="shared" si="41"/>
        <v>0.67083333333333783</v>
      </c>
      <c r="BF23" s="7">
        <f t="shared" si="41"/>
        <v>24.429166666666664</v>
      </c>
      <c r="BG23" s="7">
        <f t="shared" si="41"/>
        <v>91.245833333333323</v>
      </c>
      <c r="BH23" s="7">
        <f t="shared" si="41"/>
        <v>54.874999999999979</v>
      </c>
      <c r="BI23" s="7">
        <f t="shared" si="41"/>
        <v>54.320833333333326</v>
      </c>
      <c r="BJ23" s="7">
        <f t="shared" si="41"/>
        <v>0</v>
      </c>
      <c r="BK23" s="7">
        <f t="shared" si="41"/>
        <v>0</v>
      </c>
      <c r="BL23" s="7">
        <f t="shared" si="41"/>
        <v>0</v>
      </c>
      <c r="BN23">
        <f t="shared" ref="BN23:BN31" si="51">BN22+1</f>
        <v>2015</v>
      </c>
      <c r="BO23" s="7">
        <f t="shared" si="42"/>
        <v>0</v>
      </c>
      <c r="BP23" s="7">
        <f t="shared" si="42"/>
        <v>0</v>
      </c>
      <c r="BQ23" s="7">
        <f t="shared" si="42"/>
        <v>0</v>
      </c>
      <c r="BR23" s="7">
        <f t="shared" si="42"/>
        <v>0</v>
      </c>
      <c r="BS23" s="7">
        <f t="shared" si="42"/>
        <v>3.5456621042579393</v>
      </c>
      <c r="BT23" s="7">
        <f t="shared" si="42"/>
        <v>55.337499999999977</v>
      </c>
      <c r="BU23" s="7">
        <f t="shared" si="42"/>
        <v>141.11249999999995</v>
      </c>
      <c r="BV23" s="7">
        <f t="shared" si="42"/>
        <v>99.008333333333326</v>
      </c>
      <c r="BW23" s="7">
        <f t="shared" si="42"/>
        <v>86.031118940121203</v>
      </c>
      <c r="BX23" s="7">
        <f t="shared" si="42"/>
        <v>0.26249999999999574</v>
      </c>
      <c r="BY23" s="7">
        <f t="shared" si="42"/>
        <v>0</v>
      </c>
      <c r="BZ23" s="7">
        <f t="shared" si="42"/>
        <v>0</v>
      </c>
      <c r="CB23">
        <f t="shared" ref="CB23:CB31" si="52">CB22+1</f>
        <v>2015</v>
      </c>
      <c r="CC23" s="7">
        <f t="shared" si="43"/>
        <v>0</v>
      </c>
      <c r="CD23" s="7">
        <f t="shared" si="43"/>
        <v>0</v>
      </c>
      <c r="CE23" s="7">
        <f t="shared" si="43"/>
        <v>0</v>
      </c>
      <c r="CF23" s="7">
        <f t="shared" si="43"/>
        <v>0</v>
      </c>
      <c r="CG23" s="7">
        <f t="shared" si="43"/>
        <v>12.674828770924604</v>
      </c>
      <c r="CH23" s="7">
        <f t="shared" si="43"/>
        <v>97.424999999999997</v>
      </c>
      <c r="CI23" s="7">
        <f t="shared" si="43"/>
        <v>198.33848141287172</v>
      </c>
      <c r="CJ23" s="7">
        <f t="shared" si="43"/>
        <v>155.69583333333333</v>
      </c>
      <c r="CK23" s="7">
        <f t="shared" si="43"/>
        <v>126.43111894012118</v>
      </c>
      <c r="CL23" s="7">
        <f t="shared" si="43"/>
        <v>3.5499999999999972</v>
      </c>
      <c r="CM23" s="7">
        <f t="shared" si="43"/>
        <v>0.20416666666666394</v>
      </c>
      <c r="CN23" s="7">
        <f t="shared" si="43"/>
        <v>0</v>
      </c>
      <c r="CP23">
        <f t="shared" ref="CP23:CP31" si="53">CP22+1</f>
        <v>2015</v>
      </c>
      <c r="CQ23" s="7">
        <f t="shared" si="44"/>
        <v>0</v>
      </c>
      <c r="CR23" s="7">
        <f t="shared" si="44"/>
        <v>0</v>
      </c>
      <c r="CS23" s="7">
        <f t="shared" si="44"/>
        <v>0</v>
      </c>
      <c r="CT23" s="7">
        <f t="shared" si="44"/>
        <v>0</v>
      </c>
      <c r="CU23" s="7">
        <f t="shared" si="44"/>
        <v>23.720662104257936</v>
      </c>
      <c r="CV23" s="7">
        <f t="shared" si="44"/>
        <v>149.81666666666663</v>
      </c>
      <c r="CW23" s="7">
        <f t="shared" si="44"/>
        <v>260.28014807953844</v>
      </c>
      <c r="CX23" s="7">
        <f t="shared" si="44"/>
        <v>215.72499999999999</v>
      </c>
      <c r="CY23" s="7">
        <f t="shared" si="44"/>
        <v>171.99778560678789</v>
      </c>
      <c r="CZ23" s="7">
        <f t="shared" si="44"/>
        <v>8.0166666666666639</v>
      </c>
      <c r="DA23" s="7">
        <f t="shared" si="44"/>
        <v>2.2041666666666639</v>
      </c>
      <c r="DB23" s="7">
        <f t="shared" si="44"/>
        <v>0</v>
      </c>
      <c r="DD23">
        <f t="shared" ref="DD23:DD31" si="54">DD22+1</f>
        <v>2015</v>
      </c>
      <c r="DE23" s="7">
        <f t="shared" si="46"/>
        <v>0</v>
      </c>
      <c r="DF23" s="7">
        <f t="shared" si="46"/>
        <v>0</v>
      </c>
      <c r="DG23" s="7">
        <f t="shared" si="46"/>
        <v>0</v>
      </c>
      <c r="DH23" s="7">
        <f t="shared" si="46"/>
        <v>0.40833333333333321</v>
      </c>
      <c r="DI23" s="7">
        <f t="shared" si="46"/>
        <v>36.541495437591266</v>
      </c>
      <c r="DJ23" s="7">
        <f t="shared" si="46"/>
        <v>203.95833333333334</v>
      </c>
      <c r="DK23" s="7">
        <f t="shared" si="46"/>
        <v>322.28014807953844</v>
      </c>
      <c r="DL23" s="7">
        <f t="shared" si="46"/>
        <v>277.72499999999997</v>
      </c>
      <c r="DM23" s="7">
        <f t="shared" si="46"/>
        <v>220.99732060108801</v>
      </c>
      <c r="DN23" s="7">
        <f t="shared" si="46"/>
        <v>14.320833333333331</v>
      </c>
      <c r="DO23" s="7">
        <f t="shared" si="46"/>
        <v>4.8166666666666629</v>
      </c>
      <c r="DP23" s="7">
        <f t="shared" si="46"/>
        <v>0</v>
      </c>
    </row>
    <row r="24" spans="2:120" x14ac:dyDescent="0.35">
      <c r="B24">
        <v>2005</v>
      </c>
      <c r="C24">
        <v>11</v>
      </c>
      <c r="D24" s="4">
        <v>723.96569613357781</v>
      </c>
      <c r="E24" s="4">
        <v>0</v>
      </c>
      <c r="F24" s="4">
        <v>663.96569613357769</v>
      </c>
      <c r="G24" s="4">
        <v>0</v>
      </c>
      <c r="H24" s="4">
        <v>603.96569613357769</v>
      </c>
      <c r="I24" s="4">
        <v>0</v>
      </c>
      <c r="J24" s="4">
        <v>543.96569613357769</v>
      </c>
      <c r="K24" s="4">
        <v>0</v>
      </c>
      <c r="L24" s="4">
        <v>483.96569613357758</v>
      </c>
      <c r="M24" s="4">
        <v>0</v>
      </c>
      <c r="N24" s="4">
        <v>423.96569613357764</v>
      </c>
      <c r="O24" s="4">
        <v>0</v>
      </c>
      <c r="P24" s="4">
        <v>363.96569613357764</v>
      </c>
      <c r="Q24" s="4">
        <v>0</v>
      </c>
      <c r="R24" s="3">
        <v>-4.1321898711192571</v>
      </c>
      <c r="X24">
        <f t="shared" si="47"/>
        <v>2016</v>
      </c>
      <c r="Y24" s="7">
        <f t="shared" si="39"/>
        <v>0</v>
      </c>
      <c r="Z24" s="7">
        <f t="shared" si="39"/>
        <v>0</v>
      </c>
      <c r="AA24" s="7">
        <f t="shared" si="39"/>
        <v>0</v>
      </c>
      <c r="AB24" s="7">
        <f t="shared" si="39"/>
        <v>0</v>
      </c>
      <c r="AC24" s="7">
        <f t="shared" si="39"/>
        <v>0.51249999999999929</v>
      </c>
      <c r="AD24" s="7">
        <f t="shared" si="39"/>
        <v>9.2916666666666643</v>
      </c>
      <c r="AE24" s="7">
        <f t="shared" si="39"/>
        <v>13.775000000000009</v>
      </c>
      <c r="AF24" s="7">
        <f t="shared" si="39"/>
        <v>16.262499999999996</v>
      </c>
      <c r="AG24" s="7">
        <f t="shared" si="39"/>
        <v>1.4583333333333321</v>
      </c>
      <c r="AH24" s="7">
        <f t="shared" si="39"/>
        <v>0</v>
      </c>
      <c r="AI24" s="7">
        <f t="shared" si="39"/>
        <v>0</v>
      </c>
      <c r="AJ24" s="7">
        <f t="shared" si="39"/>
        <v>0</v>
      </c>
      <c r="AL24">
        <f t="shared" si="48"/>
        <v>2016</v>
      </c>
      <c r="AM24" s="7">
        <f t="shared" si="40"/>
        <v>0</v>
      </c>
      <c r="AN24" s="7">
        <f t="shared" si="40"/>
        <v>0</v>
      </c>
      <c r="AO24" s="7">
        <f t="shared" si="40"/>
        <v>0</v>
      </c>
      <c r="AP24" s="7">
        <f t="shared" si="40"/>
        <v>0</v>
      </c>
      <c r="AQ24" s="7">
        <f t="shared" si="40"/>
        <v>3.2708333333333357</v>
      </c>
      <c r="AR24" s="7">
        <f t="shared" si="40"/>
        <v>24.087500000000002</v>
      </c>
      <c r="AS24" s="7">
        <f t="shared" si="40"/>
        <v>35.537500000000009</v>
      </c>
      <c r="AT24" s="7">
        <f t="shared" si="40"/>
        <v>41.733333333333334</v>
      </c>
      <c r="AU24" s="7">
        <f t="shared" si="40"/>
        <v>5.8041666666666636</v>
      </c>
      <c r="AV24" s="7">
        <f t="shared" si="40"/>
        <v>0</v>
      </c>
      <c r="AW24" s="7">
        <f t="shared" si="40"/>
        <v>0</v>
      </c>
      <c r="AX24" s="7">
        <f t="shared" si="40"/>
        <v>0</v>
      </c>
      <c r="AY24" s="8">
        <f t="shared" si="49"/>
        <v>110.43333333333334</v>
      </c>
      <c r="AZ24">
        <f t="shared" si="50"/>
        <v>2016</v>
      </c>
      <c r="BA24" s="7">
        <f t="shared" si="41"/>
        <v>0</v>
      </c>
      <c r="BB24" s="7">
        <f t="shared" si="41"/>
        <v>0</v>
      </c>
      <c r="BC24" s="7">
        <f t="shared" si="41"/>
        <v>0</v>
      </c>
      <c r="BD24" s="7">
        <f t="shared" si="41"/>
        <v>0</v>
      </c>
      <c r="BE24" s="7">
        <f t="shared" si="41"/>
        <v>7.283333333333335</v>
      </c>
      <c r="BF24" s="7">
        <f t="shared" si="41"/>
        <v>44.029166666666654</v>
      </c>
      <c r="BG24" s="7">
        <f t="shared" si="41"/>
        <v>71.070833333333354</v>
      </c>
      <c r="BH24" s="7">
        <f t="shared" si="41"/>
        <v>77.462499999999991</v>
      </c>
      <c r="BI24" s="7">
        <f t="shared" si="41"/>
        <v>15.116666666666664</v>
      </c>
      <c r="BJ24" s="7">
        <f t="shared" si="41"/>
        <v>0.29583333333333428</v>
      </c>
      <c r="BK24" s="7">
        <f t="shared" si="41"/>
        <v>0</v>
      </c>
      <c r="BL24" s="7">
        <f t="shared" si="41"/>
        <v>0</v>
      </c>
      <c r="BN24">
        <f t="shared" si="51"/>
        <v>2016</v>
      </c>
      <c r="BO24" s="7">
        <f t="shared" si="42"/>
        <v>0</v>
      </c>
      <c r="BP24" s="7">
        <f t="shared" si="42"/>
        <v>0</v>
      </c>
      <c r="BQ24" s="7">
        <f t="shared" si="42"/>
        <v>0</v>
      </c>
      <c r="BR24" s="7">
        <f t="shared" si="42"/>
        <v>0</v>
      </c>
      <c r="BS24" s="7">
        <f t="shared" si="42"/>
        <v>14.983333333333327</v>
      </c>
      <c r="BT24" s="7">
        <f t="shared" si="42"/>
        <v>67.070833333333312</v>
      </c>
      <c r="BU24" s="7">
        <f t="shared" si="42"/>
        <v>121.35833333333335</v>
      </c>
      <c r="BV24" s="7">
        <f t="shared" si="42"/>
        <v>126.50833333333333</v>
      </c>
      <c r="BW24" s="7">
        <f t="shared" si="42"/>
        <v>32.645156249375042</v>
      </c>
      <c r="BX24" s="7">
        <f t="shared" si="42"/>
        <v>4.0291666666666668</v>
      </c>
      <c r="BY24" s="7">
        <f t="shared" si="42"/>
        <v>0</v>
      </c>
      <c r="BZ24" s="7">
        <f t="shared" si="42"/>
        <v>0</v>
      </c>
      <c r="CB24">
        <f t="shared" si="52"/>
        <v>2016</v>
      </c>
      <c r="CC24" s="7">
        <f t="shared" si="43"/>
        <v>0</v>
      </c>
      <c r="CD24" s="7">
        <f t="shared" si="43"/>
        <v>0</v>
      </c>
      <c r="CE24" s="7">
        <f t="shared" si="43"/>
        <v>0</v>
      </c>
      <c r="CF24" s="7">
        <f t="shared" si="43"/>
        <v>0</v>
      </c>
      <c r="CG24" s="7">
        <f t="shared" si="43"/>
        <v>33.120833333333316</v>
      </c>
      <c r="CH24" s="7">
        <f t="shared" si="43"/>
        <v>102.84583333333333</v>
      </c>
      <c r="CI24" s="7">
        <f t="shared" si="43"/>
        <v>179.11250000000001</v>
      </c>
      <c r="CJ24" s="7">
        <f t="shared" si="43"/>
        <v>185.38750000000002</v>
      </c>
      <c r="CK24" s="7">
        <f t="shared" si="43"/>
        <v>58.403489582708374</v>
      </c>
      <c r="CL24" s="7">
        <f t="shared" si="43"/>
        <v>12.249999999999995</v>
      </c>
      <c r="CM24" s="7">
        <f t="shared" si="43"/>
        <v>0.6875</v>
      </c>
      <c r="CN24" s="7">
        <f t="shared" si="43"/>
        <v>0</v>
      </c>
      <c r="CP24">
        <f t="shared" si="53"/>
        <v>2016</v>
      </c>
      <c r="CQ24" s="7">
        <f t="shared" si="44"/>
        <v>0</v>
      </c>
      <c r="CR24" s="7">
        <f t="shared" si="44"/>
        <v>0</v>
      </c>
      <c r="CS24" s="7">
        <f t="shared" si="44"/>
        <v>0</v>
      </c>
      <c r="CT24" s="7">
        <f t="shared" si="44"/>
        <v>0.37499999999999822</v>
      </c>
      <c r="CU24" s="7">
        <f t="shared" si="44"/>
        <v>60.68333333333333</v>
      </c>
      <c r="CV24" s="7">
        <f t="shared" si="44"/>
        <v>151.99583333333334</v>
      </c>
      <c r="CW24" s="7">
        <f t="shared" si="44"/>
        <v>240.62083333333328</v>
      </c>
      <c r="CX24" s="7">
        <f t="shared" si="44"/>
        <v>246.97916666666666</v>
      </c>
      <c r="CY24" s="7">
        <f t="shared" si="44"/>
        <v>104.5159895827084</v>
      </c>
      <c r="CZ24" s="7">
        <f t="shared" si="44"/>
        <v>25.962499999999999</v>
      </c>
      <c r="DA24" s="7">
        <f t="shared" si="44"/>
        <v>2.6875</v>
      </c>
      <c r="DB24" s="7">
        <f t="shared" si="44"/>
        <v>0</v>
      </c>
      <c r="DD24">
        <f t="shared" si="54"/>
        <v>2016</v>
      </c>
      <c r="DE24" s="7">
        <f t="shared" si="46"/>
        <v>0</v>
      </c>
      <c r="DF24" s="7">
        <f t="shared" si="46"/>
        <v>0</v>
      </c>
      <c r="DG24" s="7">
        <f t="shared" si="46"/>
        <v>0</v>
      </c>
      <c r="DH24" s="7">
        <f t="shared" si="46"/>
        <v>4.3749999999999982</v>
      </c>
      <c r="DI24" s="7">
        <f t="shared" si="46"/>
        <v>94.358333333333334</v>
      </c>
      <c r="DJ24" s="7">
        <f t="shared" si="46"/>
        <v>206.9375</v>
      </c>
      <c r="DK24" s="7">
        <f t="shared" si="46"/>
        <v>302.62083333333328</v>
      </c>
      <c r="DL24" s="7">
        <f t="shared" si="46"/>
        <v>308.97916666666657</v>
      </c>
      <c r="DM24" s="7">
        <f t="shared" si="46"/>
        <v>158.14515624937508</v>
      </c>
      <c r="DN24" s="7">
        <f t="shared" si="46"/>
        <v>43.021743600128005</v>
      </c>
      <c r="DO24" s="7">
        <f t="shared" si="46"/>
        <v>4.7624999999999993</v>
      </c>
      <c r="DP24" s="7">
        <f t="shared" si="46"/>
        <v>0</v>
      </c>
    </row>
    <row r="25" spans="2:120" x14ac:dyDescent="0.35">
      <c r="B25">
        <v>2005</v>
      </c>
      <c r="C25">
        <v>12</v>
      </c>
      <c r="D25" s="4">
        <v>752.97997665047274</v>
      </c>
      <c r="E25" s="4">
        <v>0</v>
      </c>
      <c r="F25" s="4">
        <v>690.97997665047274</v>
      </c>
      <c r="G25" s="4">
        <v>0</v>
      </c>
      <c r="H25" s="4">
        <v>628.97997665047274</v>
      </c>
      <c r="I25" s="4">
        <v>0</v>
      </c>
      <c r="J25" s="4">
        <v>566.97997665047274</v>
      </c>
      <c r="K25" s="4">
        <v>0</v>
      </c>
      <c r="L25" s="4">
        <v>504.97997665047274</v>
      </c>
      <c r="M25" s="4">
        <v>0</v>
      </c>
      <c r="N25" s="4">
        <v>442.97997665047274</v>
      </c>
      <c r="O25" s="4">
        <v>0</v>
      </c>
      <c r="P25" s="4">
        <v>380.97997665047274</v>
      </c>
      <c r="Q25" s="4">
        <v>0</v>
      </c>
      <c r="R25" s="3">
        <v>-4.2896766661442873</v>
      </c>
      <c r="X25">
        <f t="shared" si="47"/>
        <v>2017</v>
      </c>
      <c r="Y25" s="7">
        <f t="shared" si="39"/>
        <v>0</v>
      </c>
      <c r="Z25" s="7">
        <f t="shared" si="39"/>
        <v>0</v>
      </c>
      <c r="AA25" s="7">
        <f t="shared" si="39"/>
        <v>0</v>
      </c>
      <c r="AB25" s="7">
        <f t="shared" si="39"/>
        <v>0</v>
      </c>
      <c r="AC25" s="7">
        <f t="shared" si="39"/>
        <v>0</v>
      </c>
      <c r="AD25" s="7">
        <f t="shared" si="39"/>
        <v>0</v>
      </c>
      <c r="AE25" s="7">
        <f t="shared" si="39"/>
        <v>7.5625000000000036</v>
      </c>
      <c r="AF25" s="7">
        <f t="shared" si="39"/>
        <v>0.85416666666666785</v>
      </c>
      <c r="AG25" s="7">
        <f t="shared" si="39"/>
        <v>0.55416666666666003</v>
      </c>
      <c r="AH25" s="7">
        <f t="shared" si="39"/>
        <v>0</v>
      </c>
      <c r="AI25" s="7">
        <f t="shared" si="39"/>
        <v>0</v>
      </c>
      <c r="AJ25" s="7">
        <f t="shared" si="39"/>
        <v>0</v>
      </c>
      <c r="AL25">
        <f t="shared" si="48"/>
        <v>2017</v>
      </c>
      <c r="AM25" s="7">
        <f t="shared" si="40"/>
        <v>0</v>
      </c>
      <c r="AN25" s="7">
        <f t="shared" si="40"/>
        <v>0</v>
      </c>
      <c r="AO25" s="7">
        <f t="shared" si="40"/>
        <v>0</v>
      </c>
      <c r="AP25" s="7">
        <f t="shared" si="40"/>
        <v>0</v>
      </c>
      <c r="AQ25" s="7">
        <f t="shared" si="40"/>
        <v>0.26249999999999929</v>
      </c>
      <c r="AR25" s="7">
        <f t="shared" si="40"/>
        <v>4.3541666666666607</v>
      </c>
      <c r="AS25" s="7">
        <f t="shared" si="40"/>
        <v>24.820833333333336</v>
      </c>
      <c r="AT25" s="7">
        <f t="shared" si="40"/>
        <v>8.0583333333333407</v>
      </c>
      <c r="AU25" s="7">
        <f t="shared" si="40"/>
        <v>10.079166666666655</v>
      </c>
      <c r="AV25" s="7">
        <f t="shared" si="40"/>
        <v>0</v>
      </c>
      <c r="AW25" s="7">
        <f t="shared" si="40"/>
        <v>0</v>
      </c>
      <c r="AX25" s="7">
        <f t="shared" si="40"/>
        <v>0</v>
      </c>
      <c r="AY25" s="8">
        <f t="shared" si="49"/>
        <v>47.574999999999989</v>
      </c>
      <c r="AZ25">
        <f t="shared" si="50"/>
        <v>2017</v>
      </c>
      <c r="BA25" s="7">
        <f t="shared" si="41"/>
        <v>0</v>
      </c>
      <c r="BB25" s="7">
        <f t="shared" si="41"/>
        <v>0</v>
      </c>
      <c r="BC25" s="7">
        <f t="shared" si="41"/>
        <v>0</v>
      </c>
      <c r="BD25" s="7">
        <f t="shared" si="41"/>
        <v>0</v>
      </c>
      <c r="BE25" s="7">
        <f t="shared" si="41"/>
        <v>3.091666666666665</v>
      </c>
      <c r="BF25" s="7">
        <f t="shared" si="41"/>
        <v>17.183333333333323</v>
      </c>
      <c r="BG25" s="7">
        <f t="shared" si="41"/>
        <v>54.658333333333346</v>
      </c>
      <c r="BH25" s="7">
        <f t="shared" si="41"/>
        <v>17.57500000000001</v>
      </c>
      <c r="BI25" s="7">
        <f t="shared" si="41"/>
        <v>24.083333333333321</v>
      </c>
      <c r="BJ25" s="7">
        <f t="shared" si="41"/>
        <v>0</v>
      </c>
      <c r="BK25" s="7">
        <f t="shared" si="41"/>
        <v>0</v>
      </c>
      <c r="BL25" s="7">
        <f t="shared" si="41"/>
        <v>0</v>
      </c>
      <c r="BN25">
        <f t="shared" si="51"/>
        <v>2017</v>
      </c>
      <c r="BO25" s="7">
        <f t="shared" si="42"/>
        <v>0</v>
      </c>
      <c r="BP25" s="7">
        <f t="shared" si="42"/>
        <v>0</v>
      </c>
      <c r="BQ25" s="7">
        <f t="shared" si="42"/>
        <v>0</v>
      </c>
      <c r="BR25" s="7">
        <f t="shared" si="42"/>
        <v>0</v>
      </c>
      <c r="BS25" s="7">
        <f t="shared" si="42"/>
        <v>10.870833333333339</v>
      </c>
      <c r="BT25" s="7">
        <f t="shared" si="42"/>
        <v>43.233333333333327</v>
      </c>
      <c r="BU25" s="7">
        <f t="shared" si="42"/>
        <v>102.42916666666667</v>
      </c>
      <c r="BV25" s="7">
        <f t="shared" si="42"/>
        <v>46.01666666666668</v>
      </c>
      <c r="BW25" s="7">
        <f t="shared" si="42"/>
        <v>42.908333333333324</v>
      </c>
      <c r="BX25" s="7">
        <f t="shared" si="42"/>
        <v>2.0666666666666682</v>
      </c>
      <c r="BY25" s="7">
        <f t="shared" si="42"/>
        <v>0</v>
      </c>
      <c r="BZ25" s="7">
        <f t="shared" si="42"/>
        <v>0</v>
      </c>
      <c r="CB25">
        <f t="shared" si="52"/>
        <v>2017</v>
      </c>
      <c r="CC25" s="7">
        <f t="shared" si="43"/>
        <v>0</v>
      </c>
      <c r="CD25" s="7">
        <f t="shared" si="43"/>
        <v>0</v>
      </c>
      <c r="CE25" s="7">
        <f t="shared" si="43"/>
        <v>0</v>
      </c>
      <c r="CF25" s="7">
        <f t="shared" si="43"/>
        <v>0</v>
      </c>
      <c r="CG25" s="7">
        <f t="shared" si="43"/>
        <v>25.087500000000006</v>
      </c>
      <c r="CH25" s="7">
        <f t="shared" si="43"/>
        <v>87.841666666666669</v>
      </c>
      <c r="CI25" s="7">
        <f t="shared" si="43"/>
        <v>161.20833333333334</v>
      </c>
      <c r="CJ25" s="7">
        <f t="shared" si="43"/>
        <v>90.975000000000023</v>
      </c>
      <c r="CK25" s="7">
        <f t="shared" si="43"/>
        <v>69.374999999999986</v>
      </c>
      <c r="CL25" s="7">
        <f t="shared" si="43"/>
        <v>7.8416666666666615</v>
      </c>
      <c r="CM25" s="7">
        <f t="shared" si="43"/>
        <v>0</v>
      </c>
      <c r="CN25" s="7">
        <f t="shared" si="43"/>
        <v>0</v>
      </c>
      <c r="CP25">
        <f t="shared" si="53"/>
        <v>2017</v>
      </c>
      <c r="CQ25" s="7">
        <f t="shared" si="44"/>
        <v>0</v>
      </c>
      <c r="CR25" s="7">
        <f t="shared" si="44"/>
        <v>0</v>
      </c>
      <c r="CS25" s="7">
        <f t="shared" si="44"/>
        <v>0</v>
      </c>
      <c r="CT25" s="7">
        <f t="shared" si="44"/>
        <v>0</v>
      </c>
      <c r="CU25" s="7">
        <f t="shared" si="44"/>
        <v>44.94583333333334</v>
      </c>
      <c r="CV25" s="7">
        <f t="shared" si="44"/>
        <v>143.77916666666667</v>
      </c>
      <c r="CW25" s="7">
        <f t="shared" si="44"/>
        <v>222.96250000000001</v>
      </c>
      <c r="CX25" s="7">
        <f t="shared" si="44"/>
        <v>143.72083333333336</v>
      </c>
      <c r="CY25" s="7">
        <f t="shared" si="44"/>
        <v>101.98749999999998</v>
      </c>
      <c r="CZ25" s="7">
        <f t="shared" si="44"/>
        <v>21.736135279794418</v>
      </c>
      <c r="DA25" s="7">
        <f t="shared" si="44"/>
        <v>0</v>
      </c>
      <c r="DB25" s="7">
        <f t="shared" si="44"/>
        <v>0</v>
      </c>
      <c r="DD25">
        <f t="shared" si="54"/>
        <v>2017</v>
      </c>
      <c r="DE25" s="7">
        <f t="shared" si="46"/>
        <v>0</v>
      </c>
      <c r="DF25" s="7">
        <f t="shared" si="46"/>
        <v>0</v>
      </c>
      <c r="DG25" s="7">
        <f t="shared" si="46"/>
        <v>0</v>
      </c>
      <c r="DH25" s="7">
        <f t="shared" si="46"/>
        <v>1.0583333333333318</v>
      </c>
      <c r="DI25" s="7">
        <f t="shared" si="46"/>
        <v>77.034537376752496</v>
      </c>
      <c r="DJ25" s="7">
        <f t="shared" si="46"/>
        <v>201.44583333333335</v>
      </c>
      <c r="DK25" s="7">
        <f t="shared" si="46"/>
        <v>284.96249999999998</v>
      </c>
      <c r="DL25" s="7">
        <f t="shared" si="46"/>
        <v>203.45000000000005</v>
      </c>
      <c r="DM25" s="7">
        <f t="shared" si="46"/>
        <v>146.07499999999996</v>
      </c>
      <c r="DN25" s="7">
        <f t="shared" si="46"/>
        <v>45.982016262175023</v>
      </c>
      <c r="DO25" s="7">
        <f t="shared" si="46"/>
        <v>0</v>
      </c>
      <c r="DP25" s="7">
        <f t="shared" si="46"/>
        <v>0</v>
      </c>
    </row>
    <row r="26" spans="2:120" x14ac:dyDescent="0.35">
      <c r="B26">
        <v>2006</v>
      </c>
      <c r="C26">
        <v>1</v>
      </c>
      <c r="D26" s="4">
        <v>893.77546017079874</v>
      </c>
      <c r="E26" s="4">
        <v>0</v>
      </c>
      <c r="F26" s="4">
        <v>831.77546017079862</v>
      </c>
      <c r="G26" s="4">
        <v>0</v>
      </c>
      <c r="H26" s="4">
        <v>769.77546017079862</v>
      </c>
      <c r="I26" s="4">
        <v>0</v>
      </c>
      <c r="J26" s="4">
        <v>707.77546017079862</v>
      </c>
      <c r="K26" s="4">
        <v>0</v>
      </c>
      <c r="L26" s="4">
        <v>645.77546017079874</v>
      </c>
      <c r="M26" s="4">
        <v>0</v>
      </c>
      <c r="N26" s="4">
        <v>583.77546017079862</v>
      </c>
      <c r="O26" s="4">
        <v>0</v>
      </c>
      <c r="P26" s="4">
        <v>521.77546017079862</v>
      </c>
      <c r="Q26" s="4">
        <v>0</v>
      </c>
      <c r="R26" s="3">
        <v>-8.8314664571225325</v>
      </c>
      <c r="X26">
        <f t="shared" si="47"/>
        <v>2018</v>
      </c>
      <c r="Y26" s="7">
        <f t="shared" si="39"/>
        <v>0</v>
      </c>
      <c r="Z26" s="7">
        <f t="shared" si="39"/>
        <v>0</v>
      </c>
      <c r="AA26" s="7">
        <f t="shared" si="39"/>
        <v>0</v>
      </c>
      <c r="AB26" s="7">
        <f t="shared" si="39"/>
        <v>0</v>
      </c>
      <c r="AC26" s="7">
        <f t="shared" si="39"/>
        <v>3.6999999999999993</v>
      </c>
      <c r="AD26" s="7">
        <f t="shared" si="39"/>
        <v>3.3458333333333208</v>
      </c>
      <c r="AE26" s="7">
        <f t="shared" si="39"/>
        <v>42.583333333333314</v>
      </c>
      <c r="AF26" s="7">
        <f t="shared" si="39"/>
        <v>12.279166666666661</v>
      </c>
      <c r="AG26" s="7">
        <f t="shared" si="39"/>
        <v>3.0666666666666806</v>
      </c>
      <c r="AH26" s="7">
        <f t="shared" si="39"/>
        <v>0</v>
      </c>
      <c r="AI26" s="7">
        <f t="shared" si="39"/>
        <v>0</v>
      </c>
      <c r="AJ26" s="7">
        <f t="shared" si="39"/>
        <v>0</v>
      </c>
      <c r="AL26">
        <f t="shared" si="48"/>
        <v>2018</v>
      </c>
      <c r="AM26" s="7">
        <f t="shared" si="40"/>
        <v>0</v>
      </c>
      <c r="AN26" s="7">
        <f t="shared" si="40"/>
        <v>0</v>
      </c>
      <c r="AO26" s="7">
        <f t="shared" si="40"/>
        <v>0</v>
      </c>
      <c r="AP26" s="7">
        <f t="shared" si="40"/>
        <v>0</v>
      </c>
      <c r="AQ26" s="7">
        <f t="shared" si="40"/>
        <v>7.7583333333333329</v>
      </c>
      <c r="AR26" s="7">
        <f t="shared" si="40"/>
        <v>18.17083333333332</v>
      </c>
      <c r="AS26" s="7">
        <f t="shared" si="40"/>
        <v>87.058333333333309</v>
      </c>
      <c r="AT26" s="7">
        <f t="shared" si="40"/>
        <v>34.104166666666657</v>
      </c>
      <c r="AU26" s="7">
        <f t="shared" si="40"/>
        <v>13.883333333333344</v>
      </c>
      <c r="AV26" s="7">
        <f t="shared" si="40"/>
        <v>0</v>
      </c>
      <c r="AW26" s="7">
        <f t="shared" si="40"/>
        <v>0</v>
      </c>
      <c r="AX26" s="7">
        <f t="shared" si="40"/>
        <v>0</v>
      </c>
      <c r="AY26" s="8">
        <f t="shared" si="49"/>
        <v>160.97499999999997</v>
      </c>
      <c r="AZ26">
        <f t="shared" si="50"/>
        <v>2018</v>
      </c>
      <c r="BA26" s="7">
        <f t="shared" si="41"/>
        <v>0</v>
      </c>
      <c r="BB26" s="7">
        <f t="shared" si="41"/>
        <v>0</v>
      </c>
      <c r="BC26" s="7">
        <f t="shared" si="41"/>
        <v>0</v>
      </c>
      <c r="BD26" s="7">
        <f t="shared" si="41"/>
        <v>0</v>
      </c>
      <c r="BE26" s="7">
        <f t="shared" si="41"/>
        <v>19.024999999999999</v>
      </c>
      <c r="BF26" s="7">
        <f t="shared" si="41"/>
        <v>42.541666666666657</v>
      </c>
      <c r="BG26" s="7">
        <f t="shared" si="41"/>
        <v>139.04583333333329</v>
      </c>
      <c r="BH26" s="7">
        <f t="shared" si="41"/>
        <v>64.225000000000009</v>
      </c>
      <c r="BI26" s="7">
        <f t="shared" si="41"/>
        <v>28.050000000000008</v>
      </c>
      <c r="BJ26" s="7">
        <f t="shared" si="41"/>
        <v>0</v>
      </c>
      <c r="BK26" s="7">
        <f t="shared" si="41"/>
        <v>0</v>
      </c>
      <c r="BL26" s="7">
        <f t="shared" si="41"/>
        <v>0</v>
      </c>
      <c r="BN26">
        <f t="shared" si="51"/>
        <v>2018</v>
      </c>
      <c r="BO26" s="7">
        <f t="shared" si="42"/>
        <v>0</v>
      </c>
      <c r="BP26" s="7">
        <f t="shared" si="42"/>
        <v>0</v>
      </c>
      <c r="BQ26" s="7">
        <f t="shared" si="42"/>
        <v>0</v>
      </c>
      <c r="BR26" s="7">
        <f t="shared" si="42"/>
        <v>0</v>
      </c>
      <c r="BS26" s="7">
        <f t="shared" si="42"/>
        <v>35.887500000000003</v>
      </c>
      <c r="BT26" s="7">
        <f t="shared" si="42"/>
        <v>74.362499999999997</v>
      </c>
      <c r="BU26" s="7">
        <f t="shared" si="42"/>
        <v>197.04583333333329</v>
      </c>
      <c r="BV26" s="7">
        <f t="shared" si="42"/>
        <v>102.75000000000001</v>
      </c>
      <c r="BW26" s="7">
        <f t="shared" si="42"/>
        <v>46.966666666666669</v>
      </c>
      <c r="BX26" s="7">
        <f t="shared" si="42"/>
        <v>0</v>
      </c>
      <c r="BY26" s="7">
        <f t="shared" si="42"/>
        <v>0</v>
      </c>
      <c r="BZ26" s="7">
        <f t="shared" si="42"/>
        <v>0</v>
      </c>
      <c r="CB26">
        <f t="shared" si="52"/>
        <v>2018</v>
      </c>
      <c r="CC26" s="7">
        <f t="shared" si="43"/>
        <v>0</v>
      </c>
      <c r="CD26" s="7">
        <f t="shared" si="43"/>
        <v>0</v>
      </c>
      <c r="CE26" s="7">
        <f t="shared" si="43"/>
        <v>0</v>
      </c>
      <c r="CF26" s="7">
        <f t="shared" si="43"/>
        <v>0</v>
      </c>
      <c r="CG26" s="7">
        <f t="shared" si="43"/>
        <v>55.275000000000006</v>
      </c>
      <c r="CH26" s="7">
        <f t="shared" si="43"/>
        <v>116.80833333333332</v>
      </c>
      <c r="CI26" s="7">
        <f t="shared" si="43"/>
        <v>257.07499999999993</v>
      </c>
      <c r="CJ26" s="7">
        <f t="shared" si="43"/>
        <v>151.3208333333333</v>
      </c>
      <c r="CK26" s="7">
        <f t="shared" si="43"/>
        <v>74.235761164776719</v>
      </c>
      <c r="CL26" s="7">
        <f t="shared" si="43"/>
        <v>0</v>
      </c>
      <c r="CM26" s="7">
        <f t="shared" si="43"/>
        <v>0</v>
      </c>
      <c r="CN26" s="7">
        <f t="shared" si="43"/>
        <v>0</v>
      </c>
      <c r="CP26">
        <f t="shared" si="53"/>
        <v>2018</v>
      </c>
      <c r="CQ26" s="7">
        <f t="shared" si="44"/>
        <v>0</v>
      </c>
      <c r="CR26" s="7">
        <f t="shared" si="44"/>
        <v>0</v>
      </c>
      <c r="CS26" s="7">
        <f t="shared" si="44"/>
        <v>0</v>
      </c>
      <c r="CT26" s="7">
        <f t="shared" si="44"/>
        <v>1.8125</v>
      </c>
      <c r="CU26" s="7">
        <f t="shared" si="44"/>
        <v>78.725000000000009</v>
      </c>
      <c r="CV26" s="7">
        <f t="shared" si="44"/>
        <v>165.36666666666662</v>
      </c>
      <c r="CW26" s="7">
        <f t="shared" si="44"/>
        <v>319.07499999999999</v>
      </c>
      <c r="CX26" s="7">
        <f t="shared" si="44"/>
        <v>205.21666666666664</v>
      </c>
      <c r="CY26" s="7">
        <f t="shared" si="44"/>
        <v>106.23992783144338</v>
      </c>
      <c r="CZ26" s="7">
        <f t="shared" si="44"/>
        <v>0</v>
      </c>
      <c r="DA26" s="7">
        <f t="shared" si="44"/>
        <v>0</v>
      </c>
      <c r="DB26" s="7">
        <f t="shared" si="44"/>
        <v>0</v>
      </c>
      <c r="DD26">
        <f t="shared" si="54"/>
        <v>2018</v>
      </c>
      <c r="DE26" s="7">
        <f t="shared" si="46"/>
        <v>0</v>
      </c>
      <c r="DF26" s="7">
        <f t="shared" si="46"/>
        <v>0</v>
      </c>
      <c r="DG26" s="7">
        <f t="shared" si="46"/>
        <v>0</v>
      </c>
      <c r="DH26" s="7">
        <f t="shared" si="46"/>
        <v>4.2708333333333339</v>
      </c>
      <c r="DI26" s="7">
        <f t="shared" si="46"/>
        <v>110.47916666666669</v>
      </c>
      <c r="DJ26" s="7">
        <f t="shared" si="46"/>
        <v>220.30416666666662</v>
      </c>
      <c r="DK26" s="7">
        <f t="shared" si="46"/>
        <v>381.0750000000001</v>
      </c>
      <c r="DL26" s="7">
        <f t="shared" si="46"/>
        <v>266.43749999999994</v>
      </c>
      <c r="DM26" s="7">
        <f t="shared" si="46"/>
        <v>143.83992783144336</v>
      </c>
      <c r="DN26" s="7">
        <f t="shared" si="46"/>
        <v>0</v>
      </c>
      <c r="DO26" s="7">
        <f t="shared" si="46"/>
        <v>0</v>
      </c>
      <c r="DP26" s="7">
        <f t="shared" si="46"/>
        <v>0</v>
      </c>
    </row>
    <row r="27" spans="2:120" x14ac:dyDescent="0.35">
      <c r="B27">
        <v>2006</v>
      </c>
      <c r="C27">
        <v>2</v>
      </c>
      <c r="D27" s="4">
        <v>1010.9760222620547</v>
      </c>
      <c r="E27" s="4">
        <v>0</v>
      </c>
      <c r="F27" s="4">
        <v>954.9760222620547</v>
      </c>
      <c r="G27" s="4">
        <v>0</v>
      </c>
      <c r="H27" s="4">
        <v>898.9760222620547</v>
      </c>
      <c r="I27" s="4">
        <v>0</v>
      </c>
      <c r="J27" s="4">
        <v>842.9760222620547</v>
      </c>
      <c r="K27" s="4">
        <v>0</v>
      </c>
      <c r="L27" s="4">
        <v>786.97602226205481</v>
      </c>
      <c r="M27" s="4">
        <v>0</v>
      </c>
      <c r="N27" s="4">
        <v>730.97602226205481</v>
      </c>
      <c r="O27" s="4">
        <v>0</v>
      </c>
      <c r="P27" s="4">
        <v>674.97602226205493</v>
      </c>
      <c r="Q27" s="4">
        <v>0</v>
      </c>
      <c r="R27" s="3">
        <v>-16.106286509359101</v>
      </c>
      <c r="X27">
        <f t="shared" si="47"/>
        <v>2019</v>
      </c>
      <c r="Y27" s="7">
        <f t="shared" si="39"/>
        <v>0</v>
      </c>
      <c r="Z27" s="7">
        <f t="shared" si="39"/>
        <v>0</v>
      </c>
      <c r="AA27" s="7">
        <f t="shared" si="39"/>
        <v>0</v>
      </c>
      <c r="AB27" s="7">
        <f t="shared" si="39"/>
        <v>0</v>
      </c>
      <c r="AC27" s="7">
        <f t="shared" si="39"/>
        <v>0</v>
      </c>
      <c r="AD27" s="7">
        <f t="shared" si="39"/>
        <v>5.4208333333333307</v>
      </c>
      <c r="AE27" s="7">
        <f t="shared" si="39"/>
        <v>27.408333333333317</v>
      </c>
      <c r="AF27" s="7">
        <f t="shared" si="39"/>
        <v>0.84583333333333499</v>
      </c>
      <c r="AG27" s="7">
        <f t="shared" si="39"/>
        <v>0.37083333333333357</v>
      </c>
      <c r="AH27" s="7">
        <f t="shared" si="39"/>
        <v>0</v>
      </c>
      <c r="AI27" s="7">
        <f t="shared" si="39"/>
        <v>0</v>
      </c>
      <c r="AJ27" s="7">
        <f t="shared" si="39"/>
        <v>0</v>
      </c>
      <c r="AL27">
        <f t="shared" si="48"/>
        <v>2019</v>
      </c>
      <c r="AM27" s="7">
        <f t="shared" si="40"/>
        <v>0</v>
      </c>
      <c r="AN27" s="7">
        <f t="shared" si="40"/>
        <v>0</v>
      </c>
      <c r="AO27" s="7">
        <f t="shared" si="40"/>
        <v>0</v>
      </c>
      <c r="AP27" s="7">
        <f t="shared" si="40"/>
        <v>0</v>
      </c>
      <c r="AQ27" s="7">
        <f t="shared" si="40"/>
        <v>0</v>
      </c>
      <c r="AR27" s="7">
        <f t="shared" si="40"/>
        <v>15.029166666666669</v>
      </c>
      <c r="AS27" s="7">
        <f t="shared" si="40"/>
        <v>62.066666666666663</v>
      </c>
      <c r="AT27" s="7">
        <f t="shared" si="40"/>
        <v>8.2708333333333321</v>
      </c>
      <c r="AU27" s="7">
        <f t="shared" si="40"/>
        <v>5.6416666666666764</v>
      </c>
      <c r="AV27" s="7">
        <f t="shared" si="40"/>
        <v>0</v>
      </c>
      <c r="AW27" s="7">
        <f t="shared" si="40"/>
        <v>0</v>
      </c>
      <c r="AX27" s="7">
        <f t="shared" si="40"/>
        <v>0</v>
      </c>
      <c r="AY27" s="8">
        <f t="shared" si="49"/>
        <v>91.00833333333334</v>
      </c>
      <c r="AZ27">
        <f t="shared" si="50"/>
        <v>2019</v>
      </c>
      <c r="BA27" s="7">
        <f t="shared" si="41"/>
        <v>0</v>
      </c>
      <c r="BB27" s="7">
        <f t="shared" si="41"/>
        <v>0</v>
      </c>
      <c r="BC27" s="7">
        <f t="shared" si="41"/>
        <v>0</v>
      </c>
      <c r="BD27" s="7">
        <f t="shared" si="41"/>
        <v>0</v>
      </c>
      <c r="BE27" s="7">
        <f t="shared" si="41"/>
        <v>0</v>
      </c>
      <c r="BF27" s="7">
        <f t="shared" si="41"/>
        <v>28.841666666666658</v>
      </c>
      <c r="BG27" s="7">
        <f t="shared" si="41"/>
        <v>103.67083333333333</v>
      </c>
      <c r="BH27" s="7">
        <f t="shared" si="41"/>
        <v>29.74583333333333</v>
      </c>
      <c r="BI27" s="7">
        <f t="shared" si="41"/>
        <v>13.641666666666676</v>
      </c>
      <c r="BJ27" s="7">
        <f t="shared" si="41"/>
        <v>0</v>
      </c>
      <c r="BK27" s="7">
        <f t="shared" si="41"/>
        <v>0</v>
      </c>
      <c r="BL27" s="7">
        <f t="shared" si="41"/>
        <v>0</v>
      </c>
      <c r="BN27">
        <f t="shared" si="51"/>
        <v>2019</v>
      </c>
      <c r="BO27" s="7">
        <f t="shared" si="42"/>
        <v>0</v>
      </c>
      <c r="BP27" s="7">
        <f t="shared" si="42"/>
        <v>0</v>
      </c>
      <c r="BQ27" s="7">
        <f t="shared" si="42"/>
        <v>0</v>
      </c>
      <c r="BR27" s="7">
        <f t="shared" si="42"/>
        <v>0</v>
      </c>
      <c r="BS27" s="7">
        <f t="shared" si="42"/>
        <v>1.3708333333333353</v>
      </c>
      <c r="BT27" s="7">
        <f t="shared" si="42"/>
        <v>49.929166666666646</v>
      </c>
      <c r="BU27" s="7">
        <f t="shared" si="42"/>
        <v>160.48749999999998</v>
      </c>
      <c r="BV27" s="7">
        <f t="shared" si="42"/>
        <v>65.645399984500358</v>
      </c>
      <c r="BW27" s="7">
        <f t="shared" si="42"/>
        <v>22.812500000000011</v>
      </c>
      <c r="BX27" s="7">
        <f t="shared" si="42"/>
        <v>0</v>
      </c>
      <c r="BY27" s="7">
        <f t="shared" si="42"/>
        <v>0</v>
      </c>
      <c r="BZ27" s="7">
        <f t="shared" si="42"/>
        <v>0</v>
      </c>
      <c r="CB27">
        <f t="shared" si="52"/>
        <v>2019</v>
      </c>
      <c r="CC27" s="7">
        <f t="shared" si="43"/>
        <v>0</v>
      </c>
      <c r="CD27" s="7">
        <f t="shared" si="43"/>
        <v>0</v>
      </c>
      <c r="CE27" s="7">
        <f t="shared" si="43"/>
        <v>0</v>
      </c>
      <c r="CF27" s="7">
        <f t="shared" si="43"/>
        <v>0</v>
      </c>
      <c r="CG27" s="7">
        <f t="shared" si="43"/>
        <v>5.0750000000000028</v>
      </c>
      <c r="CH27" s="7">
        <f t="shared" si="43"/>
        <v>85.374999999999986</v>
      </c>
      <c r="CI27" s="7">
        <f t="shared" si="43"/>
        <v>220.48749999999998</v>
      </c>
      <c r="CJ27" s="7">
        <f t="shared" si="43"/>
        <v>114.2787333178337</v>
      </c>
      <c r="CK27" s="7">
        <f t="shared" si="43"/>
        <v>40.595833333333346</v>
      </c>
      <c r="CL27" s="7">
        <f t="shared" si="43"/>
        <v>1.0875000000000004</v>
      </c>
      <c r="CM27" s="7">
        <f t="shared" si="43"/>
        <v>0</v>
      </c>
      <c r="CN27" s="7">
        <f t="shared" si="43"/>
        <v>0</v>
      </c>
      <c r="CP27">
        <f t="shared" si="53"/>
        <v>2019</v>
      </c>
      <c r="CQ27" s="7">
        <f t="shared" si="44"/>
        <v>0</v>
      </c>
      <c r="CR27" s="7">
        <f t="shared" si="44"/>
        <v>0</v>
      </c>
      <c r="CS27" s="7">
        <f t="shared" si="44"/>
        <v>0</v>
      </c>
      <c r="CT27" s="7">
        <f t="shared" si="44"/>
        <v>0</v>
      </c>
      <c r="CU27" s="7">
        <f t="shared" si="44"/>
        <v>14.241666666666672</v>
      </c>
      <c r="CV27" s="7">
        <f t="shared" si="44"/>
        <v>132.28333333333333</v>
      </c>
      <c r="CW27" s="7">
        <f t="shared" si="44"/>
        <v>282.44583333333338</v>
      </c>
      <c r="CX27" s="7">
        <f t="shared" si="44"/>
        <v>169.08289998450033</v>
      </c>
      <c r="CY27" s="7">
        <f t="shared" si="44"/>
        <v>69.162500000000009</v>
      </c>
      <c r="CZ27" s="7">
        <f t="shared" si="44"/>
        <v>6.2958333333333343</v>
      </c>
      <c r="DA27" s="7">
        <f t="shared" si="44"/>
        <v>0</v>
      </c>
      <c r="DB27" s="7">
        <f t="shared" si="44"/>
        <v>0</v>
      </c>
      <c r="DD27">
        <f t="shared" si="54"/>
        <v>2019</v>
      </c>
      <c r="DE27" s="7">
        <f t="shared" si="46"/>
        <v>0</v>
      </c>
      <c r="DF27" s="7">
        <f t="shared" si="46"/>
        <v>0</v>
      </c>
      <c r="DG27" s="7">
        <f t="shared" si="46"/>
        <v>0</v>
      </c>
      <c r="DH27" s="7">
        <f t="shared" si="46"/>
        <v>1.3541666666666661</v>
      </c>
      <c r="DI27" s="7">
        <f t="shared" si="46"/>
        <v>33.441666666666677</v>
      </c>
      <c r="DJ27" s="7">
        <f t="shared" si="46"/>
        <v>185.85416666666671</v>
      </c>
      <c r="DK27" s="7">
        <f t="shared" si="46"/>
        <v>344.44583333333338</v>
      </c>
      <c r="DL27" s="7">
        <f t="shared" si="46"/>
        <v>226.12412682996364</v>
      </c>
      <c r="DM27" s="7">
        <f t="shared" si="46"/>
        <v>110.94166666666668</v>
      </c>
      <c r="DN27" s="7">
        <f t="shared" si="46"/>
        <v>17.604166666666668</v>
      </c>
      <c r="DO27" s="7">
        <f t="shared" si="46"/>
        <v>0</v>
      </c>
      <c r="DP27" s="7">
        <f t="shared" si="46"/>
        <v>0</v>
      </c>
    </row>
    <row r="28" spans="2:120" x14ac:dyDescent="0.35">
      <c r="B28">
        <v>2006</v>
      </c>
      <c r="C28">
        <v>3</v>
      </c>
      <c r="D28" s="4">
        <v>781.01121561818741</v>
      </c>
      <c r="E28" s="4">
        <v>0</v>
      </c>
      <c r="F28" s="4">
        <v>719.01121561818741</v>
      </c>
      <c r="G28" s="4">
        <v>0</v>
      </c>
      <c r="H28" s="4">
        <v>657.01121561818741</v>
      </c>
      <c r="I28" s="4">
        <v>0</v>
      </c>
      <c r="J28" s="4">
        <v>595.01121561818752</v>
      </c>
      <c r="K28" s="4">
        <v>0</v>
      </c>
      <c r="L28" s="4">
        <v>533.01121561818763</v>
      </c>
      <c r="M28" s="4">
        <v>0</v>
      </c>
      <c r="N28" s="4">
        <v>471.01121561818769</v>
      </c>
      <c r="O28" s="4">
        <v>0</v>
      </c>
      <c r="P28" s="4">
        <v>409.01121561818763</v>
      </c>
      <c r="Q28" s="4">
        <v>0</v>
      </c>
      <c r="R28" s="3">
        <v>-5.1939101812318604</v>
      </c>
      <c r="X28">
        <f t="shared" si="47"/>
        <v>2020</v>
      </c>
      <c r="Y28" s="7">
        <f t="shared" si="39"/>
        <v>0</v>
      </c>
      <c r="Z28" s="7">
        <f t="shared" si="39"/>
        <v>0</v>
      </c>
      <c r="AA28" s="7">
        <f t="shared" si="39"/>
        <v>0</v>
      </c>
      <c r="AB28" s="7">
        <f t="shared" si="39"/>
        <v>0</v>
      </c>
      <c r="AC28" s="7">
        <f t="shared" si="39"/>
        <v>3.0375000000000014</v>
      </c>
      <c r="AD28" s="7">
        <f t="shared" si="39"/>
        <v>22.449999999999989</v>
      </c>
      <c r="AE28" s="7">
        <f t="shared" si="39"/>
        <v>38.016666666666666</v>
      </c>
      <c r="AF28" s="7">
        <f t="shared" si="39"/>
        <v>12.905653934421348</v>
      </c>
      <c r="AG28" s="7">
        <f t="shared" si="39"/>
        <v>0</v>
      </c>
      <c r="AH28" s="7">
        <f t="shared" si="39"/>
        <v>0</v>
      </c>
      <c r="AI28" s="7">
        <f t="shared" si="39"/>
        <v>0</v>
      </c>
      <c r="AJ28" s="7">
        <f t="shared" si="39"/>
        <v>0</v>
      </c>
      <c r="AL28">
        <f t="shared" si="48"/>
        <v>2020</v>
      </c>
      <c r="AM28" s="7">
        <f t="shared" si="40"/>
        <v>0</v>
      </c>
      <c r="AN28" s="7">
        <f t="shared" si="40"/>
        <v>0</v>
      </c>
      <c r="AO28" s="7">
        <f t="shared" si="40"/>
        <v>0</v>
      </c>
      <c r="AP28" s="7">
        <f t="shared" si="40"/>
        <v>0</v>
      </c>
      <c r="AQ28" s="7">
        <f t="shared" si="40"/>
        <v>12.929166666666664</v>
      </c>
      <c r="AR28" s="7">
        <f t="shared" si="40"/>
        <v>42.32083333333334</v>
      </c>
      <c r="AS28" s="7">
        <f t="shared" si="40"/>
        <v>79.299999999999969</v>
      </c>
      <c r="AT28" s="7">
        <f t="shared" si="40"/>
        <v>31.880653934421346</v>
      </c>
      <c r="AU28" s="7">
        <f t="shared" si="40"/>
        <v>0</v>
      </c>
      <c r="AV28" s="7">
        <f t="shared" si="40"/>
        <v>0</v>
      </c>
      <c r="AW28" s="7">
        <f t="shared" si="40"/>
        <v>0</v>
      </c>
      <c r="AX28" s="7">
        <f t="shared" si="40"/>
        <v>0</v>
      </c>
      <c r="AY28" s="8">
        <f t="shared" si="49"/>
        <v>166.43065393442129</v>
      </c>
      <c r="AZ28">
        <f t="shared" si="50"/>
        <v>2020</v>
      </c>
      <c r="BA28" s="7">
        <f t="shared" si="41"/>
        <v>0</v>
      </c>
      <c r="BB28" s="7">
        <f t="shared" si="41"/>
        <v>0</v>
      </c>
      <c r="BC28" s="7">
        <f t="shared" si="41"/>
        <v>0</v>
      </c>
      <c r="BD28" s="7">
        <f t="shared" si="41"/>
        <v>0</v>
      </c>
      <c r="BE28" s="7">
        <f t="shared" si="41"/>
        <v>25.604166666666664</v>
      </c>
      <c r="BF28" s="7">
        <f t="shared" si="41"/>
        <v>67.589583333333337</v>
      </c>
      <c r="BG28" s="7">
        <f t="shared" si="41"/>
        <v>132.72083333333333</v>
      </c>
      <c r="BH28" s="7">
        <f t="shared" si="41"/>
        <v>58.288987267754671</v>
      </c>
      <c r="BI28" s="7">
        <f t="shared" si="41"/>
        <v>0.47499999999999787</v>
      </c>
      <c r="BJ28" s="7">
        <f t="shared" si="41"/>
        <v>0</v>
      </c>
      <c r="BK28" s="7">
        <f t="shared" si="41"/>
        <v>0</v>
      </c>
      <c r="BL28" s="7">
        <f t="shared" si="41"/>
        <v>0</v>
      </c>
      <c r="BN28">
        <f t="shared" si="51"/>
        <v>2020</v>
      </c>
      <c r="BO28" s="7">
        <f t="shared" si="42"/>
        <v>0</v>
      </c>
      <c r="BP28" s="7">
        <f t="shared" si="42"/>
        <v>0</v>
      </c>
      <c r="BQ28" s="7">
        <f t="shared" si="42"/>
        <v>0</v>
      </c>
      <c r="BR28" s="7">
        <f t="shared" si="42"/>
        <v>0</v>
      </c>
      <c r="BS28" s="7">
        <f t="shared" si="42"/>
        <v>40.808333333333337</v>
      </c>
      <c r="BT28" s="7">
        <f t="shared" si="42"/>
        <v>96.827083333333334</v>
      </c>
      <c r="BU28" s="7">
        <f t="shared" si="42"/>
        <v>191.67500000000001</v>
      </c>
      <c r="BV28" s="7">
        <f t="shared" si="42"/>
        <v>90.805653934421315</v>
      </c>
      <c r="BW28" s="7">
        <f t="shared" si="42"/>
        <v>9.8916666666666675</v>
      </c>
      <c r="BX28" s="7">
        <f t="shared" si="42"/>
        <v>0</v>
      </c>
      <c r="BY28" s="7">
        <f t="shared" si="42"/>
        <v>0.90416666666666679</v>
      </c>
      <c r="BZ28" s="7">
        <f t="shared" si="42"/>
        <v>0</v>
      </c>
      <c r="CB28">
        <f t="shared" si="52"/>
        <v>2020</v>
      </c>
      <c r="CC28" s="7">
        <f t="shared" si="43"/>
        <v>0</v>
      </c>
      <c r="CD28" s="7">
        <f t="shared" si="43"/>
        <v>0</v>
      </c>
      <c r="CE28" s="7">
        <f t="shared" si="43"/>
        <v>0</v>
      </c>
      <c r="CF28" s="7">
        <f t="shared" si="43"/>
        <v>0</v>
      </c>
      <c r="CG28" s="7">
        <f t="shared" si="43"/>
        <v>59.579166666666666</v>
      </c>
      <c r="CH28" s="7">
        <f t="shared" si="43"/>
        <v>136.30208333333334</v>
      </c>
      <c r="CI28" s="7">
        <f t="shared" si="43"/>
        <v>253.67500000000001</v>
      </c>
      <c r="CJ28" s="7">
        <f t="shared" si="43"/>
        <v>133.19732060108799</v>
      </c>
      <c r="CK28" s="7">
        <f t="shared" si="43"/>
        <v>24.708333333333343</v>
      </c>
      <c r="CL28" s="7">
        <f t="shared" si="43"/>
        <v>0</v>
      </c>
      <c r="CM28" s="7">
        <f t="shared" si="43"/>
        <v>2.9041666666666668</v>
      </c>
      <c r="CN28" s="7">
        <f t="shared" si="43"/>
        <v>0</v>
      </c>
      <c r="CP28">
        <f t="shared" si="53"/>
        <v>2020</v>
      </c>
      <c r="CQ28" s="7">
        <f t="shared" si="44"/>
        <v>0</v>
      </c>
      <c r="CR28" s="7">
        <f t="shared" si="44"/>
        <v>0</v>
      </c>
      <c r="CS28" s="7">
        <f t="shared" si="44"/>
        <v>0</v>
      </c>
      <c r="CT28" s="7">
        <f t="shared" si="44"/>
        <v>0</v>
      </c>
      <c r="CU28" s="7">
        <f t="shared" si="44"/>
        <v>80.5</v>
      </c>
      <c r="CV28" s="7">
        <f t="shared" si="44"/>
        <v>183.02708333333334</v>
      </c>
      <c r="CW28" s="7">
        <f t="shared" si="44"/>
        <v>315.67499999999995</v>
      </c>
      <c r="CX28" s="7">
        <f t="shared" si="44"/>
        <v>190.61878641677185</v>
      </c>
      <c r="CY28" s="7">
        <f t="shared" si="44"/>
        <v>52.358333333333334</v>
      </c>
      <c r="CZ28" s="7">
        <f t="shared" si="44"/>
        <v>0.55000000000000249</v>
      </c>
      <c r="DA28" s="7">
        <f t="shared" si="44"/>
        <v>4.9041666666666668</v>
      </c>
      <c r="DB28" s="7">
        <f t="shared" si="44"/>
        <v>0</v>
      </c>
      <c r="DD28">
        <f t="shared" si="54"/>
        <v>2020</v>
      </c>
      <c r="DE28" s="7">
        <f t="shared" si="46"/>
        <v>0</v>
      </c>
      <c r="DF28" s="7">
        <f t="shared" si="46"/>
        <v>0</v>
      </c>
      <c r="DG28" s="7">
        <f t="shared" si="46"/>
        <v>0</v>
      </c>
      <c r="DH28" s="7">
        <f t="shared" si="46"/>
        <v>0</v>
      </c>
      <c r="DI28" s="7">
        <f t="shared" si="46"/>
        <v>104.85000000000001</v>
      </c>
      <c r="DJ28" s="7">
        <f t="shared" si="46"/>
        <v>233.89791666666665</v>
      </c>
      <c r="DK28" s="7">
        <f t="shared" si="46"/>
        <v>377.67500000000001</v>
      </c>
      <c r="DL28" s="7">
        <f t="shared" si="46"/>
        <v>252.61878641677185</v>
      </c>
      <c r="DM28" s="7">
        <f t="shared" si="46"/>
        <v>93.979166666666629</v>
      </c>
      <c r="DN28" s="7">
        <f t="shared" si="46"/>
        <v>5.033333333333335</v>
      </c>
      <c r="DO28" s="7">
        <f t="shared" si="46"/>
        <v>7.5083333333333329</v>
      </c>
      <c r="DP28" s="7">
        <f t="shared" si="46"/>
        <v>0</v>
      </c>
    </row>
    <row r="29" spans="2:120" x14ac:dyDescent="0.35">
      <c r="B29">
        <v>2006</v>
      </c>
      <c r="C29">
        <v>4</v>
      </c>
      <c r="D29" s="4">
        <v>498.3</v>
      </c>
      <c r="E29" s="4">
        <v>0</v>
      </c>
      <c r="F29" s="4">
        <v>438.3</v>
      </c>
      <c r="G29" s="4">
        <v>0</v>
      </c>
      <c r="H29" s="4">
        <v>378.30000000000013</v>
      </c>
      <c r="I29" s="4">
        <v>0</v>
      </c>
      <c r="J29" s="4">
        <v>318.3</v>
      </c>
      <c r="K29" s="4">
        <v>0</v>
      </c>
      <c r="L29" s="4">
        <v>259.39166666666671</v>
      </c>
      <c r="M29" s="4">
        <v>1.0916666666666703</v>
      </c>
      <c r="N29" s="4">
        <v>204.82916666666671</v>
      </c>
      <c r="O29" s="4">
        <v>6.5291666666666703</v>
      </c>
      <c r="P29" s="4">
        <v>155.63333333333335</v>
      </c>
      <c r="Q29" s="4">
        <v>17.333333333333336</v>
      </c>
      <c r="R29" s="3">
        <v>3.39</v>
      </c>
      <c r="X29">
        <f t="shared" si="47"/>
        <v>2021</v>
      </c>
      <c r="Y29" s="7">
        <f t="shared" si="39"/>
        <v>0</v>
      </c>
      <c r="Z29" s="7">
        <f t="shared" si="39"/>
        <v>0</v>
      </c>
      <c r="AA29" s="7">
        <f t="shared" si="39"/>
        <v>0</v>
      </c>
      <c r="AB29" s="7">
        <f t="shared" si="39"/>
        <v>0</v>
      </c>
      <c r="AC29" s="7">
        <f t="shared" si="39"/>
        <v>1.8999999999999986</v>
      </c>
      <c r="AD29" s="7">
        <f t="shared" si="39"/>
        <v>10.295833333333338</v>
      </c>
      <c r="AE29" s="7">
        <f t="shared" si="39"/>
        <v>5.88333333333334</v>
      </c>
      <c r="AF29" s="7">
        <f t="shared" si="39"/>
        <v>26.645833333333343</v>
      </c>
      <c r="AG29" s="7">
        <f t="shared" si="39"/>
        <v>1.3833333333333293</v>
      </c>
      <c r="AH29" s="7">
        <f t="shared" si="39"/>
        <v>0</v>
      </c>
      <c r="AI29" s="7">
        <f t="shared" si="39"/>
        <v>0</v>
      </c>
      <c r="AJ29" s="7">
        <f t="shared" si="39"/>
        <v>0</v>
      </c>
      <c r="AL29">
        <f t="shared" si="48"/>
        <v>2021</v>
      </c>
      <c r="AM29" s="7">
        <f t="shared" si="40"/>
        <v>0</v>
      </c>
      <c r="AN29" s="7">
        <f t="shared" si="40"/>
        <v>0</v>
      </c>
      <c r="AO29" s="7">
        <f t="shared" si="40"/>
        <v>0</v>
      </c>
      <c r="AP29" s="7">
        <f t="shared" si="40"/>
        <v>0</v>
      </c>
      <c r="AQ29" s="7">
        <f t="shared" si="40"/>
        <v>8.5458333333333343</v>
      </c>
      <c r="AR29" s="7">
        <f t="shared" si="40"/>
        <v>26.637500000000006</v>
      </c>
      <c r="AS29" s="7">
        <f t="shared" si="40"/>
        <v>22.354166666666671</v>
      </c>
      <c r="AT29" s="7">
        <f t="shared" si="40"/>
        <v>55.46250000000002</v>
      </c>
      <c r="AU29" s="7">
        <f t="shared" si="40"/>
        <v>3.3833333333333293</v>
      </c>
      <c r="AV29" s="7">
        <f t="shared" si="40"/>
        <v>0</v>
      </c>
      <c r="AW29" s="7">
        <f t="shared" si="40"/>
        <v>0</v>
      </c>
      <c r="AX29" s="7">
        <f t="shared" si="40"/>
        <v>0</v>
      </c>
      <c r="AY29" s="8">
        <f t="shared" si="49"/>
        <v>116.38333333333335</v>
      </c>
      <c r="AZ29">
        <f t="shared" si="50"/>
        <v>2021</v>
      </c>
      <c r="BA29" s="7">
        <f t="shared" si="41"/>
        <v>0</v>
      </c>
      <c r="BB29" s="7">
        <f t="shared" si="41"/>
        <v>0</v>
      </c>
      <c r="BC29" s="7">
        <f t="shared" si="41"/>
        <v>0</v>
      </c>
      <c r="BD29" s="7">
        <f t="shared" si="41"/>
        <v>0</v>
      </c>
      <c r="BE29" s="7">
        <f t="shared" si="41"/>
        <v>18.545833333333334</v>
      </c>
      <c r="BF29" s="7">
        <f t="shared" si="41"/>
        <v>54.383333333333326</v>
      </c>
      <c r="BG29" s="7">
        <f t="shared" si="41"/>
        <v>50.466666666666669</v>
      </c>
      <c r="BH29" s="7">
        <f t="shared" si="41"/>
        <v>92.58750000000002</v>
      </c>
      <c r="BI29" s="7">
        <f t="shared" si="41"/>
        <v>6.0124999999999957</v>
      </c>
      <c r="BJ29" s="7">
        <f t="shared" si="41"/>
        <v>3.8750000000000036</v>
      </c>
      <c r="BK29" s="7">
        <f t="shared" si="41"/>
        <v>0</v>
      </c>
      <c r="BL29" s="7">
        <f t="shared" si="41"/>
        <v>0</v>
      </c>
      <c r="BN29">
        <f t="shared" si="51"/>
        <v>2021</v>
      </c>
      <c r="BO29" s="7">
        <f t="shared" si="42"/>
        <v>0</v>
      </c>
      <c r="BP29" s="7">
        <f t="shared" si="42"/>
        <v>0</v>
      </c>
      <c r="BQ29" s="7">
        <f t="shared" si="42"/>
        <v>0</v>
      </c>
      <c r="BR29" s="7">
        <f t="shared" si="42"/>
        <v>0</v>
      </c>
      <c r="BS29" s="7">
        <f t="shared" si="42"/>
        <v>32.104166666666664</v>
      </c>
      <c r="BT29" s="7">
        <f t="shared" si="42"/>
        <v>95.329166666666666</v>
      </c>
      <c r="BU29" s="7">
        <f t="shared" si="42"/>
        <v>89.470833333333346</v>
      </c>
      <c r="BV29" s="7">
        <f t="shared" si="42"/>
        <v>140.7166666666667</v>
      </c>
      <c r="BW29" s="7">
        <f t="shared" si="42"/>
        <v>14.12083333333333</v>
      </c>
      <c r="BX29" s="7">
        <f t="shared" si="42"/>
        <v>14.175000000000004</v>
      </c>
      <c r="BY29" s="7">
        <f t="shared" si="42"/>
        <v>0</v>
      </c>
      <c r="BZ29" s="7">
        <f t="shared" si="42"/>
        <v>0</v>
      </c>
      <c r="CB29">
        <f t="shared" si="52"/>
        <v>2021</v>
      </c>
      <c r="CC29" s="7">
        <f t="shared" si="43"/>
        <v>0</v>
      </c>
      <c r="CD29" s="7">
        <f t="shared" si="43"/>
        <v>0</v>
      </c>
      <c r="CE29" s="7">
        <f t="shared" si="43"/>
        <v>0</v>
      </c>
      <c r="CF29" s="7">
        <f t="shared" si="43"/>
        <v>0</v>
      </c>
      <c r="CG29" s="7">
        <f t="shared" si="43"/>
        <v>54.483333333333327</v>
      </c>
      <c r="CH29" s="7">
        <f t="shared" si="43"/>
        <v>146.12916666666661</v>
      </c>
      <c r="CI29" s="7">
        <f t="shared" si="43"/>
        <v>140.99166666666667</v>
      </c>
      <c r="CJ29" s="7">
        <f t="shared" si="43"/>
        <v>197.20000000000007</v>
      </c>
      <c r="CK29" s="7">
        <f t="shared" si="43"/>
        <v>35.762499999999996</v>
      </c>
      <c r="CL29" s="7">
        <f t="shared" si="43"/>
        <v>31.770833333333343</v>
      </c>
      <c r="CM29" s="7">
        <f t="shared" si="43"/>
        <v>0</v>
      </c>
      <c r="CN29" s="7">
        <f t="shared" si="43"/>
        <v>0</v>
      </c>
      <c r="CP29">
        <f t="shared" si="53"/>
        <v>2021</v>
      </c>
      <c r="CQ29" s="7">
        <f t="shared" si="44"/>
        <v>0</v>
      </c>
      <c r="CR29" s="7">
        <f t="shared" si="44"/>
        <v>0</v>
      </c>
      <c r="CS29" s="7">
        <f t="shared" si="44"/>
        <v>0</v>
      </c>
      <c r="CT29" s="7">
        <f t="shared" si="44"/>
        <v>2.4833333333333307</v>
      </c>
      <c r="CU29" s="7">
        <f t="shared" si="44"/>
        <v>81.84166666666664</v>
      </c>
      <c r="CV29" s="7">
        <f t="shared" si="44"/>
        <v>198.68333333333328</v>
      </c>
      <c r="CW29" s="7">
        <f t="shared" si="44"/>
        <v>199.68333333333331</v>
      </c>
      <c r="CX29" s="7">
        <f t="shared" si="44"/>
        <v>259.20000000000005</v>
      </c>
      <c r="CY29" s="7">
        <f t="shared" si="44"/>
        <v>68.141666666666652</v>
      </c>
      <c r="CZ29" s="7">
        <f t="shared" si="44"/>
        <v>59.89166666666668</v>
      </c>
      <c r="DA29" s="7">
        <f t="shared" si="44"/>
        <v>0</v>
      </c>
      <c r="DB29" s="7">
        <f t="shared" si="44"/>
        <v>0</v>
      </c>
      <c r="DD29">
        <f t="shared" si="54"/>
        <v>2021</v>
      </c>
      <c r="DE29" s="7">
        <f t="shared" si="46"/>
        <v>0</v>
      </c>
      <c r="DF29" s="7">
        <f t="shared" si="46"/>
        <v>0</v>
      </c>
      <c r="DG29" s="7">
        <f t="shared" si="46"/>
        <v>0</v>
      </c>
      <c r="DH29" s="7">
        <f t="shared" si="46"/>
        <v>13.24166666666666</v>
      </c>
      <c r="DI29" s="7">
        <f t="shared" si="46"/>
        <v>115.69999999999999</v>
      </c>
      <c r="DJ29" s="7">
        <f t="shared" si="46"/>
        <v>255.76666666666665</v>
      </c>
      <c r="DK29" s="7">
        <f t="shared" si="46"/>
        <v>259.68333333333328</v>
      </c>
      <c r="DL29" s="7">
        <f t="shared" si="46"/>
        <v>321.2</v>
      </c>
      <c r="DM29" s="7">
        <f t="shared" si="46"/>
        <v>113.30416666666666</v>
      </c>
      <c r="DN29" s="7">
        <f t="shared" si="46"/>
        <v>92.008333333333368</v>
      </c>
      <c r="DO29" s="7">
        <f t="shared" si="46"/>
        <v>0.81249999999999822</v>
      </c>
      <c r="DP29" s="7">
        <f t="shared" si="46"/>
        <v>0</v>
      </c>
    </row>
    <row r="30" spans="2:120" x14ac:dyDescent="0.35">
      <c r="B30">
        <v>2006</v>
      </c>
      <c r="C30">
        <v>5</v>
      </c>
      <c r="D30" s="4">
        <v>275.28963269484609</v>
      </c>
      <c r="E30" s="4">
        <v>4.3797239230215759</v>
      </c>
      <c r="F30" s="4">
        <v>220.32713269484603</v>
      </c>
      <c r="G30" s="4">
        <v>11.417223923021574</v>
      </c>
      <c r="H30" s="4">
        <v>167.16046602817934</v>
      </c>
      <c r="I30" s="4">
        <v>20.250557256354909</v>
      </c>
      <c r="J30" s="4">
        <v>122.31046602817938</v>
      </c>
      <c r="K30" s="4">
        <v>37.400557256354901</v>
      </c>
      <c r="L30" s="4">
        <v>86.25833333333334</v>
      </c>
      <c r="M30" s="4">
        <v>63.34842456150885</v>
      </c>
      <c r="N30" s="4">
        <v>58.529166666666683</v>
      </c>
      <c r="O30" s="4">
        <v>97.619257894842178</v>
      </c>
      <c r="P30" s="4">
        <v>35.795833333333334</v>
      </c>
      <c r="Q30" s="4">
        <v>136.88592456150889</v>
      </c>
      <c r="R30" s="3">
        <v>11.260970684779855</v>
      </c>
      <c r="X30">
        <f t="shared" si="47"/>
        <v>2022</v>
      </c>
      <c r="Y30" s="7">
        <f t="shared" si="39"/>
        <v>0</v>
      </c>
      <c r="Z30" s="7">
        <f t="shared" si="39"/>
        <v>0</v>
      </c>
      <c r="AA30" s="7">
        <f t="shared" si="39"/>
        <v>0</v>
      </c>
      <c r="AB30" s="7">
        <f t="shared" si="39"/>
        <v>0</v>
      </c>
      <c r="AC30" s="7">
        <f t="shared" si="39"/>
        <v>1.8166666666666629</v>
      </c>
      <c r="AD30" s="7">
        <f t="shared" si="39"/>
        <v>6.5916666666666615</v>
      </c>
      <c r="AE30" s="7">
        <f t="shared" si="39"/>
        <v>4.9333333333333336</v>
      </c>
      <c r="AF30" s="7">
        <f t="shared" si="39"/>
        <v>2.4083333333333279</v>
      </c>
      <c r="AG30" s="7">
        <f t="shared" si="39"/>
        <v>0.10833333333333428</v>
      </c>
      <c r="AH30" s="7">
        <f t="shared" si="39"/>
        <v>0</v>
      </c>
      <c r="AI30" s="7">
        <f t="shared" si="39"/>
        <v>0</v>
      </c>
      <c r="AJ30" s="7">
        <f t="shared" si="39"/>
        <v>0</v>
      </c>
      <c r="AL30">
        <f t="shared" si="48"/>
        <v>2022</v>
      </c>
      <c r="AM30" s="7">
        <f t="shared" si="40"/>
        <v>0</v>
      </c>
      <c r="AN30" s="7">
        <f t="shared" si="40"/>
        <v>0</v>
      </c>
      <c r="AO30" s="7">
        <f t="shared" si="40"/>
        <v>0</v>
      </c>
      <c r="AP30" s="7">
        <f t="shared" si="40"/>
        <v>0</v>
      </c>
      <c r="AQ30" s="7">
        <f t="shared" si="40"/>
        <v>8.4208333333333307</v>
      </c>
      <c r="AR30" s="7">
        <f t="shared" si="40"/>
        <v>20.754166666666666</v>
      </c>
      <c r="AS30" s="7">
        <f t="shared" si="40"/>
        <v>19.05416666666666</v>
      </c>
      <c r="AT30" s="7">
        <f t="shared" si="40"/>
        <v>14.35833333333332</v>
      </c>
      <c r="AU30" s="7">
        <f t="shared" si="40"/>
        <v>2.3875000000000028</v>
      </c>
      <c r="AV30" s="7">
        <f t="shared" si="40"/>
        <v>0</v>
      </c>
      <c r="AW30" s="7">
        <f t="shared" si="40"/>
        <v>0</v>
      </c>
      <c r="AX30" s="7">
        <f t="shared" si="40"/>
        <v>0</v>
      </c>
      <c r="AY30" s="8">
        <f>SUM(AM30:AX30)</f>
        <v>64.97499999999998</v>
      </c>
      <c r="AZ30">
        <f t="shared" si="50"/>
        <v>2022</v>
      </c>
      <c r="BA30" s="7">
        <f t="shared" si="41"/>
        <v>0</v>
      </c>
      <c r="BB30" s="7">
        <f t="shared" si="41"/>
        <v>0</v>
      </c>
      <c r="BC30" s="7">
        <f t="shared" si="41"/>
        <v>0</v>
      </c>
      <c r="BD30" s="7">
        <f t="shared" si="41"/>
        <v>0</v>
      </c>
      <c r="BE30" s="7">
        <f t="shared" si="41"/>
        <v>20.895833333333329</v>
      </c>
      <c r="BF30" s="7">
        <f t="shared" si="41"/>
        <v>40.38333333333334</v>
      </c>
      <c r="BG30" s="7">
        <f t="shared" si="41"/>
        <v>50.770833333333336</v>
      </c>
      <c r="BH30" s="7">
        <f t="shared" si="41"/>
        <v>41.962499999999991</v>
      </c>
      <c r="BI30" s="7">
        <f t="shared" si="41"/>
        <v>8.9916666666666707</v>
      </c>
      <c r="BJ30" s="7">
        <f t="shared" si="41"/>
        <v>0</v>
      </c>
      <c r="BK30" s="7">
        <f t="shared" si="41"/>
        <v>0</v>
      </c>
      <c r="BL30" s="7">
        <f t="shared" si="41"/>
        <v>0</v>
      </c>
      <c r="BN30">
        <f t="shared" si="51"/>
        <v>2022</v>
      </c>
      <c r="BO30" s="7">
        <f t="shared" si="42"/>
        <v>0</v>
      </c>
      <c r="BP30" s="7">
        <f t="shared" si="42"/>
        <v>0</v>
      </c>
      <c r="BQ30" s="7">
        <f t="shared" si="42"/>
        <v>0</v>
      </c>
      <c r="BR30" s="7">
        <f t="shared" si="42"/>
        <v>0</v>
      </c>
      <c r="BS30" s="7">
        <f t="shared" si="42"/>
        <v>38.608333333333327</v>
      </c>
      <c r="BT30" s="7">
        <f t="shared" si="42"/>
        <v>67.400000000000006</v>
      </c>
      <c r="BU30" s="7">
        <f t="shared" si="42"/>
        <v>94.308333333333309</v>
      </c>
      <c r="BV30" s="7">
        <f t="shared" si="42"/>
        <v>87.266666666666666</v>
      </c>
      <c r="BW30" s="7">
        <f t="shared" si="42"/>
        <v>21.558333333333341</v>
      </c>
      <c r="BX30" s="7">
        <f t="shared" si="42"/>
        <v>3.0208333333333304</v>
      </c>
      <c r="BY30" s="7">
        <f t="shared" si="42"/>
        <v>0</v>
      </c>
      <c r="BZ30" s="7">
        <f t="shared" si="42"/>
        <v>0</v>
      </c>
      <c r="CB30">
        <f t="shared" si="52"/>
        <v>2022</v>
      </c>
      <c r="CC30" s="7">
        <f t="shared" si="43"/>
        <v>0</v>
      </c>
      <c r="CD30" s="7">
        <f t="shared" si="43"/>
        <v>0</v>
      </c>
      <c r="CE30" s="7">
        <f t="shared" si="43"/>
        <v>0</v>
      </c>
      <c r="CF30" s="7">
        <f t="shared" si="43"/>
        <v>0</v>
      </c>
      <c r="CG30" s="7">
        <f t="shared" si="43"/>
        <v>66.000000000000014</v>
      </c>
      <c r="CH30" s="7">
        <f t="shared" si="43"/>
        <v>108.72916666666666</v>
      </c>
      <c r="CI30" s="7">
        <f t="shared" si="43"/>
        <v>152.75833333333333</v>
      </c>
      <c r="CJ30" s="7">
        <f t="shared" si="43"/>
        <v>141.29583333333332</v>
      </c>
      <c r="CK30" s="7">
        <f t="shared" si="43"/>
        <v>43.720833333333346</v>
      </c>
      <c r="CL30" s="7">
        <f t="shared" si="43"/>
        <v>12.779166666666661</v>
      </c>
      <c r="CM30" s="7">
        <f t="shared" si="43"/>
        <v>1.6625000000000014</v>
      </c>
      <c r="CN30" s="7">
        <f t="shared" si="43"/>
        <v>0</v>
      </c>
      <c r="CP30">
        <f t="shared" si="53"/>
        <v>2022</v>
      </c>
      <c r="CQ30" s="7">
        <f t="shared" si="44"/>
        <v>0</v>
      </c>
      <c r="CR30" s="7">
        <f t="shared" si="44"/>
        <v>0</v>
      </c>
      <c r="CS30" s="7">
        <f t="shared" si="44"/>
        <v>0</v>
      </c>
      <c r="CT30" s="7">
        <f t="shared" si="44"/>
        <v>0</v>
      </c>
      <c r="CU30" s="7">
        <f t="shared" si="44"/>
        <v>100.68750000000004</v>
      </c>
      <c r="CV30" s="7">
        <f t="shared" si="44"/>
        <v>160.25833333333335</v>
      </c>
      <c r="CW30" s="7">
        <f t="shared" si="44"/>
        <v>212.75833333333333</v>
      </c>
      <c r="CX30" s="7">
        <f t="shared" si="44"/>
        <v>200.3125</v>
      </c>
      <c r="CY30" s="7">
        <f t="shared" si="44"/>
        <v>77.829166666666666</v>
      </c>
      <c r="CZ30" s="7">
        <f t="shared" si="44"/>
        <v>27.674999999999997</v>
      </c>
      <c r="DA30" s="7">
        <f t="shared" si="44"/>
        <v>3.6625000000000014</v>
      </c>
      <c r="DB30" s="7">
        <f t="shared" si="44"/>
        <v>0</v>
      </c>
      <c r="DD30">
        <f t="shared" si="54"/>
        <v>2022</v>
      </c>
      <c r="DE30" s="7">
        <f t="shared" si="46"/>
        <v>0</v>
      </c>
      <c r="DF30" s="7">
        <f t="shared" si="46"/>
        <v>0</v>
      </c>
      <c r="DG30" s="7">
        <f t="shared" si="46"/>
        <v>0</v>
      </c>
      <c r="DH30" s="7">
        <f t="shared" si="46"/>
        <v>1.3666666666666689</v>
      </c>
      <c r="DI30" s="7">
        <f t="shared" si="46"/>
        <v>145.02916666666667</v>
      </c>
      <c r="DJ30" s="7">
        <f t="shared" si="46"/>
        <v>219.67083333333332</v>
      </c>
      <c r="DK30" s="7">
        <f t="shared" si="46"/>
        <v>273.99212519999611</v>
      </c>
      <c r="DL30" s="7">
        <f t="shared" si="46"/>
        <v>261.23333333333335</v>
      </c>
      <c r="DM30" s="7">
        <f t="shared" si="46"/>
        <v>126.60833333333332</v>
      </c>
      <c r="DN30" s="7">
        <f t="shared" si="46"/>
        <v>46.783333333333331</v>
      </c>
      <c r="DO30" s="7">
        <f t="shared" si="46"/>
        <v>6.7000000000000011</v>
      </c>
      <c r="DP30" s="7">
        <f t="shared" si="46"/>
        <v>0</v>
      </c>
    </row>
    <row r="31" spans="2:120" x14ac:dyDescent="0.35">
      <c r="B31">
        <v>2006</v>
      </c>
      <c r="C31">
        <v>6</v>
      </c>
      <c r="D31" s="4">
        <v>148.27391578418423</v>
      </c>
      <c r="E31" s="4">
        <v>7.6083333333333378</v>
      </c>
      <c r="F31" s="4">
        <v>102.86141578418426</v>
      </c>
      <c r="G31" s="4">
        <v>22.195833333333344</v>
      </c>
      <c r="H31" s="4">
        <v>62.182249117517571</v>
      </c>
      <c r="I31" s="4">
        <v>41.51666666666668</v>
      </c>
      <c r="J31" s="4">
        <v>33.432249117517571</v>
      </c>
      <c r="K31" s="4">
        <v>72.766666666666652</v>
      </c>
      <c r="L31" s="4">
        <v>17.698915784184237</v>
      </c>
      <c r="M31" s="4">
        <v>117.03333333333333</v>
      </c>
      <c r="N31" s="4">
        <v>8.8197491175175706</v>
      </c>
      <c r="O31" s="4">
        <v>168.15416666666667</v>
      </c>
      <c r="P31" s="4">
        <v>2.9000000000000004</v>
      </c>
      <c r="Q31" s="4">
        <v>222.2344175491491</v>
      </c>
      <c r="R31" s="3">
        <v>15.311147251638301</v>
      </c>
      <c r="X31">
        <f t="shared" si="47"/>
        <v>2023</v>
      </c>
      <c r="Y31" s="7">
        <f t="shared" si="39"/>
        <v>0</v>
      </c>
      <c r="Z31" s="7">
        <f t="shared" si="39"/>
        <v>0</v>
      </c>
      <c r="AA31" s="7">
        <f t="shared" si="39"/>
        <v>0</v>
      </c>
      <c r="AB31" s="7">
        <f t="shared" si="39"/>
        <v>0</v>
      </c>
      <c r="AC31" s="7">
        <f t="shared" si="39"/>
        <v>13.062499999999993</v>
      </c>
      <c r="AD31" s="7">
        <f t="shared" si="39"/>
        <v>21.108333333333341</v>
      </c>
      <c r="AE31" s="7">
        <f t="shared" si="39"/>
        <v>10.320833333333336</v>
      </c>
      <c r="AF31" s="7">
        <f t="shared" si="39"/>
        <v>0</v>
      </c>
      <c r="AG31" s="7">
        <f t="shared" si="39"/>
        <v>11.42916666666666</v>
      </c>
      <c r="AH31" s="7">
        <f t="shared" si="39"/>
        <v>4.1666666666666643</v>
      </c>
      <c r="AI31" s="7">
        <f t="shared" si="39"/>
        <v>0</v>
      </c>
      <c r="AJ31" s="7">
        <f t="shared" si="39"/>
        <v>0</v>
      </c>
      <c r="AL31">
        <f t="shared" si="48"/>
        <v>2023</v>
      </c>
      <c r="AM31" s="7">
        <f t="shared" si="40"/>
        <v>0</v>
      </c>
      <c r="AN31" s="7">
        <f t="shared" si="40"/>
        <v>0</v>
      </c>
      <c r="AO31" s="7">
        <f t="shared" si="40"/>
        <v>0</v>
      </c>
      <c r="AP31" s="7">
        <f t="shared" si="40"/>
        <v>0</v>
      </c>
      <c r="AQ31" s="7">
        <f t="shared" si="40"/>
        <v>21.062499999999993</v>
      </c>
      <c r="AR31" s="7">
        <f t="shared" si="40"/>
        <v>41.479166666666671</v>
      </c>
      <c r="AS31" s="7">
        <f t="shared" si="40"/>
        <v>22.82500000000001</v>
      </c>
      <c r="AT31" s="7">
        <f t="shared" si="40"/>
        <v>3.6416666666666551</v>
      </c>
      <c r="AU31" s="7">
        <f t="shared" si="40"/>
        <v>19.42916666666666</v>
      </c>
      <c r="AV31" s="7">
        <f t="shared" si="40"/>
        <v>10.166666666666664</v>
      </c>
      <c r="AW31" s="7">
        <f t="shared" si="40"/>
        <v>0</v>
      </c>
      <c r="AX31" s="7">
        <f t="shared" si="40"/>
        <v>0</v>
      </c>
      <c r="AY31" s="8">
        <f t="shared" si="49"/>
        <v>118.60416666666666</v>
      </c>
      <c r="AZ31">
        <f t="shared" si="50"/>
        <v>2023</v>
      </c>
      <c r="BA31" s="7">
        <f t="shared" si="41"/>
        <v>0</v>
      </c>
      <c r="BB31" s="7">
        <f t="shared" si="41"/>
        <v>0</v>
      </c>
      <c r="BC31" s="7">
        <f t="shared" si="41"/>
        <v>0</v>
      </c>
      <c r="BD31" s="7">
        <f t="shared" si="41"/>
        <v>0</v>
      </c>
      <c r="BE31" s="7">
        <f t="shared" si="41"/>
        <v>32.574999999999989</v>
      </c>
      <c r="BF31" s="7">
        <f t="shared" si="41"/>
        <v>69.983333333333334</v>
      </c>
      <c r="BG31" s="7">
        <f t="shared" si="41"/>
        <v>54.875000000000014</v>
      </c>
      <c r="BH31" s="7">
        <f t="shared" si="41"/>
        <v>20.333333333333318</v>
      </c>
      <c r="BI31" s="7">
        <f t="shared" si="41"/>
        <v>30.054166666666656</v>
      </c>
      <c r="BJ31" s="7">
        <f t="shared" si="41"/>
        <v>17.108333333333331</v>
      </c>
      <c r="BK31" s="7">
        <f t="shared" si="41"/>
        <v>0</v>
      </c>
      <c r="BL31" s="7">
        <f t="shared" si="41"/>
        <v>0</v>
      </c>
      <c r="BN31">
        <f t="shared" si="51"/>
        <v>2023</v>
      </c>
      <c r="BO31" s="7">
        <f t="shared" si="42"/>
        <v>0</v>
      </c>
      <c r="BP31" s="7">
        <f t="shared" si="42"/>
        <v>0</v>
      </c>
      <c r="BQ31" s="7">
        <f t="shared" si="42"/>
        <v>0</v>
      </c>
      <c r="BR31" s="7">
        <f t="shared" si="42"/>
        <v>0</v>
      </c>
      <c r="BS31" s="7">
        <f t="shared" si="42"/>
        <v>44.712499999999991</v>
      </c>
      <c r="BT31" s="7">
        <f t="shared" si="42"/>
        <v>108.08333333333336</v>
      </c>
      <c r="BU31" s="7">
        <f t="shared" si="42"/>
        <v>103.66666666666666</v>
      </c>
      <c r="BV31" s="7">
        <f t="shared" si="42"/>
        <v>58.895833333333314</v>
      </c>
      <c r="BW31" s="7">
        <f t="shared" si="42"/>
        <v>49.512499999999989</v>
      </c>
      <c r="BX31" s="7">
        <f t="shared" si="42"/>
        <v>25.820833333333329</v>
      </c>
      <c r="BY31" s="7">
        <f t="shared" si="42"/>
        <v>0</v>
      </c>
      <c r="BZ31" s="7">
        <f t="shared" si="42"/>
        <v>0</v>
      </c>
      <c r="CB31">
        <f t="shared" si="52"/>
        <v>2023</v>
      </c>
      <c r="CC31" s="7">
        <f t="shared" si="43"/>
        <v>0</v>
      </c>
      <c r="CD31" s="7">
        <f t="shared" si="43"/>
        <v>0</v>
      </c>
      <c r="CE31" s="7">
        <f t="shared" si="43"/>
        <v>0</v>
      </c>
      <c r="CF31" s="7">
        <f t="shared" si="43"/>
        <v>0</v>
      </c>
      <c r="CG31" s="7">
        <f t="shared" si="43"/>
        <v>63.266666666666666</v>
      </c>
      <c r="CH31" s="7">
        <f t="shared" si="43"/>
        <v>157.22499999999999</v>
      </c>
      <c r="CI31" s="7">
        <f t="shared" si="43"/>
        <v>162.05186682266375</v>
      </c>
      <c r="CJ31" s="7">
        <f t="shared" si="43"/>
        <v>112.67499999999995</v>
      </c>
      <c r="CK31" s="7">
        <f t="shared" si="43"/>
        <v>80.216666666666669</v>
      </c>
      <c r="CL31" s="7">
        <f t="shared" si="43"/>
        <v>35.820833333333333</v>
      </c>
      <c r="CM31" s="7">
        <f t="shared" si="43"/>
        <v>0</v>
      </c>
      <c r="CN31" s="7">
        <f t="shared" si="43"/>
        <v>0</v>
      </c>
      <c r="CP31">
        <f t="shared" si="53"/>
        <v>2023</v>
      </c>
      <c r="CQ31" s="7">
        <f t="shared" si="44"/>
        <v>0</v>
      </c>
      <c r="CR31" s="7">
        <f t="shared" si="44"/>
        <v>0</v>
      </c>
      <c r="CS31" s="7">
        <f t="shared" si="44"/>
        <v>0</v>
      </c>
      <c r="CT31" s="7">
        <f t="shared" si="44"/>
        <v>0</v>
      </c>
      <c r="CU31" s="7">
        <f t="shared" si="44"/>
        <v>89.704166666666652</v>
      </c>
      <c r="CV31" s="7">
        <f t="shared" si="44"/>
        <v>212.30833333333337</v>
      </c>
      <c r="CW31" s="7">
        <f t="shared" si="44"/>
        <v>224.05186682266375</v>
      </c>
      <c r="CX31" s="7">
        <f t="shared" si="44"/>
        <v>169.73749999999998</v>
      </c>
      <c r="CY31" s="7">
        <f t="shared" si="44"/>
        <v>119.77500000000001</v>
      </c>
      <c r="CZ31" s="7">
        <f t="shared" si="44"/>
        <v>47.11249999999999</v>
      </c>
      <c r="DA31" s="7">
        <f t="shared" si="44"/>
        <v>0</v>
      </c>
      <c r="DB31" s="7">
        <f t="shared" si="44"/>
        <v>0</v>
      </c>
      <c r="DD31">
        <f t="shared" si="54"/>
        <v>2023</v>
      </c>
      <c r="DE31" s="7">
        <f t="shared" si="46"/>
        <v>0</v>
      </c>
      <c r="DF31" s="7">
        <f t="shared" si="46"/>
        <v>0</v>
      </c>
      <c r="DG31" s="7">
        <f t="shared" si="46"/>
        <v>0</v>
      </c>
      <c r="DH31" s="7">
        <f t="shared" si="46"/>
        <v>2.4041666666666668</v>
      </c>
      <c r="DI31" s="7">
        <f t="shared" si="46"/>
        <v>129.06666666666666</v>
      </c>
      <c r="DJ31" s="7">
        <f t="shared" si="46"/>
        <v>271.30416666666667</v>
      </c>
      <c r="DK31" s="7">
        <f t="shared" si="46"/>
        <v>286.05186682266384</v>
      </c>
      <c r="DL31" s="7">
        <f t="shared" si="46"/>
        <v>229.29583333333335</v>
      </c>
      <c r="DM31" s="7">
        <f t="shared" si="46"/>
        <v>169.07916666666668</v>
      </c>
      <c r="DN31" s="7">
        <f t="shared" si="46"/>
        <v>59.641666666666659</v>
      </c>
      <c r="DO31" s="7">
        <f t="shared" si="46"/>
        <v>0</v>
      </c>
      <c r="DP31" s="7">
        <f t="shared" si="46"/>
        <v>0</v>
      </c>
    </row>
    <row r="32" spans="2:120" x14ac:dyDescent="0.35">
      <c r="B32">
        <v>2006</v>
      </c>
      <c r="C32">
        <v>7</v>
      </c>
      <c r="D32" s="4">
        <v>93.279166666666654</v>
      </c>
      <c r="E32" s="4">
        <v>16.729166666666675</v>
      </c>
      <c r="F32" s="4">
        <v>56.091666666666676</v>
      </c>
      <c r="G32" s="4">
        <v>41.541666666666686</v>
      </c>
      <c r="H32" s="4">
        <v>29.462500000000006</v>
      </c>
      <c r="I32" s="4">
        <v>76.912500000000009</v>
      </c>
      <c r="J32" s="4">
        <v>10.337499999999999</v>
      </c>
      <c r="K32" s="4">
        <v>119.78750000000001</v>
      </c>
      <c r="L32" s="4">
        <v>1.1833333333333318</v>
      </c>
      <c r="M32" s="4">
        <v>172.63333333333338</v>
      </c>
      <c r="N32" s="4">
        <v>0</v>
      </c>
      <c r="O32" s="4">
        <v>233.45000000000005</v>
      </c>
      <c r="P32" s="4">
        <v>0</v>
      </c>
      <c r="Q32" s="4">
        <v>295.45000000000005</v>
      </c>
      <c r="R32" s="3">
        <v>17.53064516129032</v>
      </c>
      <c r="Y32" s="7"/>
      <c r="Z32" s="7"/>
      <c r="AA32" s="7"/>
      <c r="AB32" s="7"/>
      <c r="AC32" s="7"/>
      <c r="AD32" s="7"/>
      <c r="AE32" s="7"/>
      <c r="AF32" s="7"/>
      <c r="AG32" s="7"/>
      <c r="AH32" s="7"/>
      <c r="AI32" s="7"/>
      <c r="AJ32" s="7"/>
      <c r="AM32" s="7"/>
      <c r="AN32" s="7"/>
      <c r="AO32" s="7"/>
      <c r="AP32" s="7"/>
      <c r="AQ32" s="7"/>
      <c r="AR32" s="7"/>
      <c r="AS32" s="7"/>
      <c r="AT32" s="7"/>
      <c r="AU32" s="7"/>
      <c r="AV32" s="7"/>
      <c r="AW32" s="7"/>
      <c r="AX32" s="7"/>
      <c r="BA32" s="7"/>
      <c r="BB32" s="7"/>
      <c r="BC32" s="7"/>
      <c r="BD32" s="7"/>
      <c r="BE32" s="7"/>
      <c r="BF32" s="7"/>
      <c r="BG32" s="7"/>
      <c r="BH32" s="7"/>
      <c r="BI32" s="7"/>
      <c r="BJ32" s="7"/>
      <c r="BK32" s="7"/>
      <c r="BL32" s="7"/>
      <c r="BO32" s="7"/>
      <c r="BP32" s="7"/>
      <c r="BQ32" s="7"/>
      <c r="BR32" s="7"/>
      <c r="BS32" s="7"/>
      <c r="BT32" s="7"/>
      <c r="BU32" s="7"/>
      <c r="BV32" s="7"/>
      <c r="BW32" s="7"/>
      <c r="BX32" s="7"/>
      <c r="BY32" s="7"/>
      <c r="BZ32" s="7"/>
      <c r="CC32" s="7"/>
      <c r="CD32" s="7"/>
      <c r="CE32" s="7"/>
      <c r="CF32" s="7"/>
      <c r="CG32" s="7"/>
      <c r="CH32" s="7"/>
      <c r="CI32" s="7"/>
      <c r="CJ32" s="7"/>
      <c r="CK32" s="7"/>
      <c r="CL32" s="7"/>
      <c r="CM32" s="7"/>
      <c r="CN32" s="7"/>
      <c r="CQ32" s="7"/>
      <c r="CR32" s="7"/>
      <c r="CS32" s="7"/>
      <c r="CT32" s="7"/>
      <c r="CU32" s="7"/>
      <c r="CV32" s="7"/>
      <c r="CW32" s="7"/>
      <c r="CX32" s="7"/>
      <c r="CY32" s="7"/>
      <c r="CZ32" s="7"/>
      <c r="DA32" s="7"/>
      <c r="DB32" s="7"/>
      <c r="DE32" s="7"/>
      <c r="DF32" s="7"/>
      <c r="DG32" s="7"/>
      <c r="DH32" s="7"/>
      <c r="DI32" s="7"/>
      <c r="DJ32" s="7"/>
      <c r="DK32" s="7"/>
      <c r="DL32" s="7"/>
      <c r="DM32" s="7"/>
      <c r="DN32" s="7"/>
      <c r="DO32" s="7"/>
      <c r="DP32" s="7"/>
    </row>
    <row r="33" spans="2:120" x14ac:dyDescent="0.35">
      <c r="B33">
        <v>2006</v>
      </c>
      <c r="C33">
        <v>8</v>
      </c>
      <c r="D33" s="4">
        <v>169.26666666666668</v>
      </c>
      <c r="E33" s="4">
        <v>3.2916666666666607</v>
      </c>
      <c r="F33" s="4">
        <v>113.42916666666666</v>
      </c>
      <c r="G33" s="4">
        <v>9.4541666666666622</v>
      </c>
      <c r="H33" s="4">
        <v>68.091666666666654</v>
      </c>
      <c r="I33" s="4">
        <v>26.116666666666667</v>
      </c>
      <c r="J33" s="4">
        <v>38.254166666666663</v>
      </c>
      <c r="K33" s="4">
        <v>58.279166666666669</v>
      </c>
      <c r="L33" s="4">
        <v>15.620833333333332</v>
      </c>
      <c r="M33" s="4">
        <v>97.645833333333357</v>
      </c>
      <c r="N33" s="4">
        <v>4.0791666666666666</v>
      </c>
      <c r="O33" s="4">
        <v>148.10416666666663</v>
      </c>
      <c r="P33" s="4">
        <v>0.10000000000000053</v>
      </c>
      <c r="Q33" s="4">
        <v>206.12499999999997</v>
      </c>
      <c r="R33" s="3">
        <v>14.645967741935488</v>
      </c>
      <c r="X33" s="9" t="s">
        <v>16</v>
      </c>
      <c r="Y33" s="7">
        <f>AVERAGE(Y22:Y31)</f>
        <v>0</v>
      </c>
      <c r="Z33" s="7">
        <f>AVERAGE(Z22:Z31)</f>
        <v>0</v>
      </c>
      <c r="AA33" s="7">
        <f>AVERAGE(AA22:AA31)</f>
        <v>0</v>
      </c>
      <c r="AB33" s="7">
        <f t="shared" ref="AB33:AH33" si="55">AVERAGE(AB22:AB31)</f>
        <v>0</v>
      </c>
      <c r="AC33" s="7">
        <f t="shared" si="55"/>
        <v>2.4029166666666653</v>
      </c>
      <c r="AD33" s="7">
        <f t="shared" si="55"/>
        <v>8.8845833333333335</v>
      </c>
      <c r="AE33" s="7">
        <f t="shared" si="55"/>
        <v>17.537499999999994</v>
      </c>
      <c r="AF33" s="7">
        <f t="shared" si="55"/>
        <v>8.4322320601088006</v>
      </c>
      <c r="AG33" s="7">
        <f t="shared" si="55"/>
        <v>3.1733333333333329</v>
      </c>
      <c r="AH33" s="7">
        <f t="shared" si="55"/>
        <v>0.41666666666666641</v>
      </c>
      <c r="AI33" s="7">
        <f>AVERAGE(AI22:AI31)</f>
        <v>0</v>
      </c>
      <c r="AJ33" s="7">
        <f>AVERAGE(AJ22:AJ31)</f>
        <v>0</v>
      </c>
      <c r="AL33" s="9" t="s">
        <v>16</v>
      </c>
      <c r="AM33" s="7">
        <f>AVERAGE(AM22:AM31)</f>
        <v>0</v>
      </c>
      <c r="AN33" s="7">
        <f>AVERAGE(AN22:AN31)</f>
        <v>0</v>
      </c>
      <c r="AO33" s="7">
        <f>AVERAGE(AO22:AO31)</f>
        <v>0</v>
      </c>
      <c r="AP33" s="7">
        <f t="shared" ref="AP33:AV33" si="56">AVERAGE(AP22:AP31)</f>
        <v>0</v>
      </c>
      <c r="AQ33" s="7">
        <f t="shared" si="56"/>
        <v>6.4816666666666665</v>
      </c>
      <c r="AR33" s="7">
        <f t="shared" si="56"/>
        <v>22.552083333333332</v>
      </c>
      <c r="AS33" s="7">
        <f t="shared" si="56"/>
        <v>41.818749999999994</v>
      </c>
      <c r="AT33" s="7">
        <f t="shared" si="56"/>
        <v>23.646815393442132</v>
      </c>
      <c r="AU33" s="7">
        <f t="shared" si="56"/>
        <v>9.1204166666666655</v>
      </c>
      <c r="AV33" s="7">
        <f t="shared" si="56"/>
        <v>1.0166666666666664</v>
      </c>
      <c r="AW33" s="7">
        <f>AVERAGE(AW22:AW31)</f>
        <v>0</v>
      </c>
      <c r="AX33" s="7">
        <f>AVERAGE(AX22:AX31)</f>
        <v>0</v>
      </c>
      <c r="AY33" s="8">
        <f>SUM(AM33:AX33)</f>
        <v>104.63639872677545</v>
      </c>
      <c r="AZ33" s="9" t="s">
        <v>16</v>
      </c>
      <c r="BA33" s="7">
        <f>AVERAGE(BA22:BA31)</f>
        <v>0</v>
      </c>
      <c r="BB33" s="7">
        <f>AVERAGE(BB22:BB31)</f>
        <v>0</v>
      </c>
      <c r="BC33" s="7">
        <f>AVERAGE(BC22:BC31)</f>
        <v>0</v>
      </c>
      <c r="BD33" s="7">
        <f t="shared" ref="BD33:BJ33" si="57">AVERAGE(BD22:BD31)</f>
        <v>0</v>
      </c>
      <c r="BE33" s="7">
        <f t="shared" si="57"/>
        <v>13.62</v>
      </c>
      <c r="BF33" s="7">
        <f t="shared" si="57"/>
        <v>43.922726647467051</v>
      </c>
      <c r="BG33" s="7">
        <f t="shared" si="57"/>
        <v>78.767083333333332</v>
      </c>
      <c r="BH33" s="7">
        <f t="shared" si="57"/>
        <v>49.662232060108799</v>
      </c>
      <c r="BI33" s="7">
        <f t="shared" si="57"/>
        <v>19.05458333333333</v>
      </c>
      <c r="BJ33" s="7">
        <f t="shared" si="57"/>
        <v>2.1279166666666667</v>
      </c>
      <c r="BK33" s="7">
        <f>AVERAGE(BK22:BK31)</f>
        <v>0</v>
      </c>
      <c r="BL33" s="7">
        <f>AVERAGE(BL22:BL31)</f>
        <v>0</v>
      </c>
      <c r="BN33" s="9" t="s">
        <v>16</v>
      </c>
      <c r="BO33" s="7">
        <f>AVERAGE(BO22:BO31)</f>
        <v>0</v>
      </c>
      <c r="BP33" s="7">
        <f>AVERAGE(BP22:BP31)</f>
        <v>0</v>
      </c>
      <c r="BQ33" s="7">
        <f>AVERAGE(BQ22:BQ31)</f>
        <v>0</v>
      </c>
      <c r="BR33" s="7">
        <f t="shared" ref="BR33:BX33" si="58">AVERAGE(BR22:BR31)</f>
        <v>0</v>
      </c>
      <c r="BS33" s="7">
        <f t="shared" si="58"/>
        <v>23.812506195376095</v>
      </c>
      <c r="BT33" s="7">
        <f t="shared" si="58"/>
        <v>74.058204043919119</v>
      </c>
      <c r="BU33" s="7">
        <f t="shared" si="58"/>
        <v>127.64916666666666</v>
      </c>
      <c r="BV33" s="7">
        <f t="shared" si="58"/>
        <v>89.393438725225494</v>
      </c>
      <c r="BW33" s="7">
        <f t="shared" si="58"/>
        <v>35.572662955990879</v>
      </c>
      <c r="BX33" s="7">
        <f t="shared" si="58"/>
        <v>4.9799999999999995</v>
      </c>
      <c r="BY33" s="7">
        <f>AVERAGE(BY22:BY31)</f>
        <v>9.0416666666666673E-2</v>
      </c>
      <c r="BZ33" s="7">
        <f>AVERAGE(BZ22:BZ31)</f>
        <v>0</v>
      </c>
      <c r="CB33" s="9" t="s">
        <v>16</v>
      </c>
      <c r="CC33" s="7">
        <f>AVERAGE(CC22:CC31)</f>
        <v>0</v>
      </c>
      <c r="CD33" s="7">
        <f>AVERAGE(CD22:CD31)</f>
        <v>0</v>
      </c>
      <c r="CE33" s="7">
        <f>AVERAGE(CE22:CE31)</f>
        <v>0</v>
      </c>
      <c r="CF33" s="7">
        <f t="shared" ref="CF33:CL33" si="59">AVERAGE(CF22:CF31)</f>
        <v>0</v>
      </c>
      <c r="CG33" s="7">
        <f t="shared" si="59"/>
        <v>40.340136880012409</v>
      </c>
      <c r="CH33" s="7">
        <f t="shared" si="59"/>
        <v>116.80320404391912</v>
      </c>
      <c r="CI33" s="7">
        <f t="shared" si="59"/>
        <v>184.57695149022021</v>
      </c>
      <c r="CJ33" s="7">
        <f t="shared" si="59"/>
        <v>140.85843872522551</v>
      </c>
      <c r="CK33" s="7">
        <f t="shared" si="59"/>
        <v>60.475822405801885</v>
      </c>
      <c r="CL33" s="7">
        <f t="shared" si="59"/>
        <v>10.860416666666666</v>
      </c>
      <c r="CM33" s="7">
        <f>AVERAGE(CM22:CM31)</f>
        <v>0.54583333333333317</v>
      </c>
      <c r="CN33" s="7">
        <f>AVERAGE(CN22:CN31)</f>
        <v>0</v>
      </c>
      <c r="CP33" s="9" t="s">
        <v>16</v>
      </c>
      <c r="CQ33" s="7">
        <f>AVERAGE(CQ22:CQ31)</f>
        <v>0</v>
      </c>
      <c r="CR33" s="7">
        <f>AVERAGE(CR22:CR31)</f>
        <v>0</v>
      </c>
      <c r="CS33" s="7">
        <f>AVERAGE(CS22:CS31)</f>
        <v>0</v>
      </c>
      <c r="CT33" s="7">
        <f t="shared" ref="CT33:CZ33" si="60">AVERAGE(CT22:CT31)</f>
        <v>0.46708333333333291</v>
      </c>
      <c r="CU33" s="7">
        <f t="shared" si="60"/>
        <v>62.563053546679079</v>
      </c>
      <c r="CV33" s="7">
        <f t="shared" si="60"/>
        <v>168.09195404391915</v>
      </c>
      <c r="CW33" s="7">
        <f t="shared" si="60"/>
        <v>245.64236815688687</v>
      </c>
      <c r="CX33" s="7">
        <f t="shared" si="60"/>
        <v>198.48100197346054</v>
      </c>
      <c r="CY33" s="7">
        <f t="shared" si="60"/>
        <v>94.754989072468561</v>
      </c>
      <c r="CZ33" s="7">
        <f t="shared" si="60"/>
        <v>20.474446861312774</v>
      </c>
      <c r="DA33" s="7">
        <f>AVERAGE(DA22:DA31)</f>
        <v>1.3458333333333332</v>
      </c>
      <c r="DB33" s="7">
        <f>AVERAGE(DB22:DB31)</f>
        <v>0</v>
      </c>
      <c r="DD33" s="9" t="s">
        <v>16</v>
      </c>
      <c r="DE33" s="7">
        <f>AVERAGE(DE22:DE31)</f>
        <v>0</v>
      </c>
      <c r="DF33" s="7">
        <f>AVERAGE(DF22:DF31)</f>
        <v>0</v>
      </c>
      <c r="DG33" s="7">
        <f>AVERAGE(DG22:DG31)</f>
        <v>0</v>
      </c>
      <c r="DH33" s="7">
        <f t="shared" ref="DH33:DN33" si="61">AVERAGE(DH22:DH31)</f>
        <v>2.8479166666666655</v>
      </c>
      <c r="DI33" s="7">
        <f t="shared" si="61"/>
        <v>92.939423951020984</v>
      </c>
      <c r="DJ33" s="7">
        <f t="shared" si="61"/>
        <v>224.25403737725247</v>
      </c>
      <c r="DK33" s="7">
        <f t="shared" si="61"/>
        <v>307.36574734355315</v>
      </c>
      <c r="DL33" s="7">
        <f t="shared" si="61"/>
        <v>259.24387465800692</v>
      </c>
      <c r="DM33" s="7">
        <f t="shared" si="61"/>
        <v>139.16785528964422</v>
      </c>
      <c r="DN33" s="7">
        <f t="shared" si="61"/>
        <v>33.597042652896974</v>
      </c>
      <c r="DO33" s="7">
        <f>AVERAGE(DO22:DO31)</f>
        <v>2.4599999999999995</v>
      </c>
      <c r="DP33" s="7">
        <f>AVERAGE(DP22:DP31)</f>
        <v>0</v>
      </c>
    </row>
    <row r="34" spans="2:120" x14ac:dyDescent="0.35">
      <c r="B34">
        <v>2006</v>
      </c>
      <c r="C34">
        <v>9</v>
      </c>
      <c r="D34" s="4">
        <v>300.4041666666667</v>
      </c>
      <c r="E34" s="4">
        <v>0</v>
      </c>
      <c r="F34" s="4">
        <v>240.40416666666661</v>
      </c>
      <c r="G34" s="4">
        <v>0</v>
      </c>
      <c r="H34" s="4">
        <v>182.82916666666662</v>
      </c>
      <c r="I34" s="4">
        <v>2.4250000000000007</v>
      </c>
      <c r="J34" s="4">
        <v>135.01666666666665</v>
      </c>
      <c r="K34" s="4">
        <v>14.612500000000004</v>
      </c>
      <c r="L34" s="4">
        <v>94.837500000000006</v>
      </c>
      <c r="M34" s="4">
        <v>34.433333333333337</v>
      </c>
      <c r="N34" s="4">
        <v>57.783333333333324</v>
      </c>
      <c r="O34" s="4">
        <v>57.379166666666677</v>
      </c>
      <c r="P34" s="4">
        <v>27.35</v>
      </c>
      <c r="Q34" s="4">
        <v>86.94583333333334</v>
      </c>
      <c r="R34" s="3">
        <v>9.986527777777777</v>
      </c>
    </row>
    <row r="35" spans="2:120" x14ac:dyDescent="0.35">
      <c r="B35">
        <v>2006</v>
      </c>
      <c r="C35">
        <v>10</v>
      </c>
      <c r="D35" s="4">
        <v>522.85833333333335</v>
      </c>
      <c r="E35" s="4">
        <v>0</v>
      </c>
      <c r="F35" s="4">
        <v>460.85833333333341</v>
      </c>
      <c r="G35" s="4">
        <v>0</v>
      </c>
      <c r="H35" s="4">
        <v>398.85833333333335</v>
      </c>
      <c r="I35" s="4">
        <v>0</v>
      </c>
      <c r="J35" s="4">
        <v>338.36666666666673</v>
      </c>
      <c r="K35" s="4">
        <v>1.5083333333333329</v>
      </c>
      <c r="L35" s="4">
        <v>278.36666666666662</v>
      </c>
      <c r="M35" s="4">
        <v>3.5083333333333329</v>
      </c>
      <c r="N35" s="4">
        <v>220.63749999999999</v>
      </c>
      <c r="O35" s="4">
        <v>7.7791666666666668</v>
      </c>
      <c r="P35" s="4">
        <v>168.0708333333333</v>
      </c>
      <c r="Q35" s="4">
        <v>17.212499999999999</v>
      </c>
      <c r="R35" s="3">
        <v>3.1336021505376355</v>
      </c>
    </row>
    <row r="36" spans="2:120" x14ac:dyDescent="0.35">
      <c r="B36">
        <v>2006</v>
      </c>
      <c r="C36">
        <v>11</v>
      </c>
      <c r="D36" s="4">
        <v>660.31250000000011</v>
      </c>
      <c r="E36" s="4">
        <v>0</v>
      </c>
      <c r="F36" s="4">
        <v>600.31250000000023</v>
      </c>
      <c r="G36" s="4">
        <v>0</v>
      </c>
      <c r="H36" s="4">
        <v>540.31250000000011</v>
      </c>
      <c r="I36" s="4">
        <v>0</v>
      </c>
      <c r="J36" s="4">
        <v>480.3125</v>
      </c>
      <c r="K36" s="4">
        <v>0</v>
      </c>
      <c r="L36" s="4">
        <v>420.3125</v>
      </c>
      <c r="M36" s="4">
        <v>0</v>
      </c>
      <c r="N36" s="4">
        <v>360.31249999999994</v>
      </c>
      <c r="O36" s="4">
        <v>0</v>
      </c>
      <c r="P36" s="4">
        <v>300.3125</v>
      </c>
      <c r="Q36" s="4">
        <v>0</v>
      </c>
      <c r="R36" s="3">
        <v>-2.0104166666666665</v>
      </c>
      <c r="Z36" s="11" t="s">
        <v>29</v>
      </c>
      <c r="AE36" s="11"/>
      <c r="AN36" s="11" t="s">
        <v>29</v>
      </c>
      <c r="AS36" s="11"/>
      <c r="BB36" s="11" t="s">
        <v>29</v>
      </c>
      <c r="BG36" s="11"/>
      <c r="BP36" s="11" t="s">
        <v>29</v>
      </c>
      <c r="BU36" s="11"/>
      <c r="CD36" s="11" t="s">
        <v>29</v>
      </c>
      <c r="CI36" s="11"/>
      <c r="CR36" s="11" t="s">
        <v>29</v>
      </c>
      <c r="CW36" s="11"/>
      <c r="DF36" s="11" t="s">
        <v>29</v>
      </c>
      <c r="DK36" s="11"/>
    </row>
    <row r="37" spans="2:120" x14ac:dyDescent="0.35">
      <c r="B37">
        <v>2006</v>
      </c>
      <c r="C37">
        <v>12</v>
      </c>
      <c r="D37" s="4">
        <v>840.76250000000005</v>
      </c>
      <c r="E37" s="4">
        <v>0</v>
      </c>
      <c r="F37" s="4">
        <v>778.76250000000016</v>
      </c>
      <c r="G37" s="4">
        <v>0</v>
      </c>
      <c r="H37" s="4">
        <v>716.76250000000016</v>
      </c>
      <c r="I37" s="4">
        <v>0</v>
      </c>
      <c r="J37" s="4">
        <v>654.76250000000016</v>
      </c>
      <c r="K37" s="4">
        <v>0</v>
      </c>
      <c r="L37" s="4">
        <v>592.76250000000016</v>
      </c>
      <c r="M37" s="4">
        <v>0</v>
      </c>
      <c r="N37" s="4">
        <v>530.76250000000016</v>
      </c>
      <c r="O37" s="4">
        <v>0</v>
      </c>
      <c r="P37" s="4">
        <v>468.7625000000001</v>
      </c>
      <c r="Q37" s="4">
        <v>0</v>
      </c>
      <c r="R37" s="3">
        <v>-7.1213709677419343</v>
      </c>
      <c r="AB37" s="12" t="str">
        <f>X4</f>
        <v>HDD20</v>
      </c>
      <c r="AC37" s="12" t="str">
        <f>X20</f>
        <v>CDD20</v>
      </c>
      <c r="AP37" s="12" t="str">
        <f>AL4</f>
        <v>HDD18</v>
      </c>
      <c r="AQ37" s="12" t="str">
        <f>AL20</f>
        <v>CDD18</v>
      </c>
      <c r="BD37" s="12" t="str">
        <f>AZ4</f>
        <v>HDD16</v>
      </c>
      <c r="BE37" s="12" t="str">
        <f>AZ20</f>
        <v>CDD16</v>
      </c>
      <c r="BR37" s="12" t="str">
        <f>BN4</f>
        <v>HDD14</v>
      </c>
      <c r="BS37" s="12" t="str">
        <f>BN20</f>
        <v>CDD14</v>
      </c>
      <c r="CF37" s="12" t="str">
        <f>CB4</f>
        <v>HDD12</v>
      </c>
      <c r="CG37" s="12" t="str">
        <f>CB20</f>
        <v>CDD12</v>
      </c>
      <c r="CT37" s="12" t="str">
        <f>CP4</f>
        <v>HDD10</v>
      </c>
      <c r="CU37" s="12" t="str">
        <f>CP20</f>
        <v>CDD10</v>
      </c>
      <c r="DH37" s="12" t="str">
        <f>DD4</f>
        <v>HDD8</v>
      </c>
      <c r="DI37" s="12" t="str">
        <f>DD20</f>
        <v>CDD8</v>
      </c>
    </row>
    <row r="38" spans="2:120" x14ac:dyDescent="0.35">
      <c r="B38">
        <v>2007</v>
      </c>
      <c r="C38">
        <v>1</v>
      </c>
      <c r="D38" s="4">
        <v>1067.2</v>
      </c>
      <c r="E38" s="4">
        <v>0</v>
      </c>
      <c r="F38" s="4">
        <v>1005.2</v>
      </c>
      <c r="G38" s="4">
        <v>0</v>
      </c>
      <c r="H38" s="4">
        <v>943.19999999999993</v>
      </c>
      <c r="I38" s="4">
        <v>0</v>
      </c>
      <c r="J38" s="4">
        <v>881.2</v>
      </c>
      <c r="K38" s="4">
        <v>0</v>
      </c>
      <c r="L38" s="4">
        <v>819.2</v>
      </c>
      <c r="M38" s="4">
        <v>0</v>
      </c>
      <c r="N38" s="4">
        <v>757.2</v>
      </c>
      <c r="O38" s="4">
        <v>0</v>
      </c>
      <c r="P38" s="4">
        <v>695.2</v>
      </c>
      <c r="Q38" s="4">
        <v>0</v>
      </c>
      <c r="R38" s="3">
        <v>-14.425806451612905</v>
      </c>
      <c r="Z38" t="s">
        <v>38</v>
      </c>
      <c r="AA38" t="s">
        <v>30</v>
      </c>
      <c r="AB38" s="4">
        <f ca="1">OFFSET(Y$17,0,(ROW()-ROW(AB$38)))</f>
        <v>1103.4846429373915</v>
      </c>
      <c r="AC38" s="4">
        <f ca="1">OFFSET(Y$33,0,(ROW()-ROW(AC$38)))</f>
        <v>0</v>
      </c>
      <c r="AG38" s="14"/>
      <c r="AH38" s="14"/>
      <c r="AN38" t="s">
        <v>38</v>
      </c>
      <c r="AO38" t="s">
        <v>30</v>
      </c>
      <c r="AP38" s="4">
        <f ca="1">OFFSET(AM$17,0,(ROW()-ROW(AP$38)))</f>
        <v>1041.4846429373913</v>
      </c>
      <c r="AQ38" s="4">
        <f ca="1">OFFSET(AM$33,0,(ROW()-ROW(AQ$38)))</f>
        <v>0</v>
      </c>
      <c r="AU38" s="14"/>
      <c r="AV38" s="14"/>
      <c r="BB38" t="s">
        <v>38</v>
      </c>
      <c r="BC38" t="s">
        <v>30</v>
      </c>
      <c r="BD38" s="13">
        <f ca="1">OFFSET(BA$17,0,(ROW()-ROW(BD$38)))</f>
        <v>979.4846429373913</v>
      </c>
      <c r="BE38" s="13">
        <f ca="1">OFFSET(BA$33,0,(ROW()-ROW(BE$38)))</f>
        <v>0</v>
      </c>
      <c r="BI38" s="14"/>
      <c r="BJ38" s="14"/>
      <c r="BP38" t="s">
        <v>38</v>
      </c>
      <c r="BQ38" t="s">
        <v>30</v>
      </c>
      <c r="BR38" s="13">
        <f ca="1">OFFSET(BO$17,0,(ROW()-ROW(BR$38)))</f>
        <v>917.4846429373913</v>
      </c>
      <c r="BS38" s="13">
        <f ca="1">OFFSET(BO$33,0,(ROW()-ROW(BS$38)))</f>
        <v>0</v>
      </c>
      <c r="BW38" s="14"/>
      <c r="BX38" s="14"/>
      <c r="CD38" t="s">
        <v>38</v>
      </c>
      <c r="CE38" t="s">
        <v>30</v>
      </c>
      <c r="CF38" s="13">
        <f ca="1">OFFSET(CC$17,0,(ROW()-ROW(CF$38)))</f>
        <v>855.4846429373913</v>
      </c>
      <c r="CG38" s="13">
        <f ca="1">OFFSET(CC$33,0,(ROW()-ROW(CG$38)))</f>
        <v>0</v>
      </c>
      <c r="CK38" s="14"/>
      <c r="CL38" s="14"/>
      <c r="CR38" t="s">
        <v>38</v>
      </c>
      <c r="CS38" t="s">
        <v>30</v>
      </c>
      <c r="CT38" s="13">
        <f ca="1">OFFSET(CQ$17,0,(ROW()-ROW(CT$38)))</f>
        <v>793.4846429373913</v>
      </c>
      <c r="CU38" s="13">
        <f ca="1">OFFSET(CQ$33,0,(ROW()-ROW(CU$38)))</f>
        <v>0</v>
      </c>
      <c r="CY38" s="14"/>
      <c r="CZ38" s="14"/>
      <c r="DF38" t="s">
        <v>38</v>
      </c>
      <c r="DG38" t="s">
        <v>30</v>
      </c>
      <c r="DH38" s="13">
        <f ca="1">OFFSET(DE$17,0,(ROW()-ROW(DH$38)))</f>
        <v>731.4846429373913</v>
      </c>
      <c r="DI38" s="13">
        <f ca="1">OFFSET(DE$33,0,(ROW()-ROW(DI$38)))</f>
        <v>0</v>
      </c>
      <c r="DM38" s="14"/>
      <c r="DN38" s="14"/>
    </row>
    <row r="39" spans="2:120" x14ac:dyDescent="0.35">
      <c r="B39">
        <v>2007</v>
      </c>
      <c r="C39">
        <v>2</v>
      </c>
      <c r="D39" s="4">
        <v>1119.2375</v>
      </c>
      <c r="E39" s="4">
        <v>0</v>
      </c>
      <c r="F39" s="4">
        <v>1063.2375</v>
      </c>
      <c r="G39" s="4">
        <v>0</v>
      </c>
      <c r="H39" s="4">
        <v>1007.2374999999998</v>
      </c>
      <c r="I39" s="4">
        <v>0</v>
      </c>
      <c r="J39" s="4">
        <v>951.23749999999984</v>
      </c>
      <c r="K39" s="4">
        <v>0</v>
      </c>
      <c r="L39" s="4">
        <v>895.23749999999984</v>
      </c>
      <c r="M39" s="4">
        <v>0</v>
      </c>
      <c r="N39" s="4">
        <v>839.23749999999984</v>
      </c>
      <c r="O39" s="4">
        <v>0</v>
      </c>
      <c r="P39" s="4">
        <v>783.23749999999984</v>
      </c>
      <c r="Q39" s="4">
        <v>0</v>
      </c>
      <c r="R39" s="3">
        <v>-19.972767857142856</v>
      </c>
      <c r="Z39" t="s">
        <v>38</v>
      </c>
      <c r="AA39" t="s">
        <v>31</v>
      </c>
      <c r="AB39" s="4">
        <f t="shared" ref="AB39:AB49" ca="1" si="62">OFFSET(Y$17,0,(ROW()-ROW(AB$38)))</f>
        <v>1018.1008561403772</v>
      </c>
      <c r="AC39" s="4">
        <f t="shared" ref="AC39:AC49" ca="1" si="63">OFFSET(Y$33,0,(ROW()-ROW(AC$38)))</f>
        <v>0</v>
      </c>
      <c r="AG39" s="14"/>
      <c r="AH39" s="14"/>
      <c r="AN39" t="s">
        <v>38</v>
      </c>
      <c r="AO39" t="s">
        <v>31</v>
      </c>
      <c r="AP39" s="4">
        <f t="shared" ref="AP39:AP49" ca="1" si="64">OFFSET(AM$17,0,(ROW()-ROW(AP$38)))</f>
        <v>961.70085614037725</v>
      </c>
      <c r="AQ39" s="4">
        <f t="shared" ref="AQ39:AQ49" ca="1" si="65">OFFSET(AM$33,0,(ROW()-ROW(AQ$38)))</f>
        <v>0</v>
      </c>
      <c r="AU39" s="14"/>
      <c r="AV39" s="14"/>
      <c r="BB39" t="s">
        <v>38</v>
      </c>
      <c r="BC39" t="s">
        <v>31</v>
      </c>
      <c r="BD39" s="13">
        <f t="shared" ref="BD39:BD49" ca="1" si="66">OFFSET(BA$17,0,(ROW()-ROW(BD$38)))</f>
        <v>905.30085614037728</v>
      </c>
      <c r="BE39" s="13">
        <f t="shared" ref="BE39:BE49" ca="1" si="67">OFFSET(BA$33,0,(ROW()-ROW(BE$38)))</f>
        <v>0</v>
      </c>
      <c r="BI39" s="14"/>
      <c r="BJ39" s="14"/>
      <c r="BP39" t="s">
        <v>38</v>
      </c>
      <c r="BQ39" t="s">
        <v>31</v>
      </c>
      <c r="BR39" s="13">
        <f t="shared" ref="BR39:BR49" ca="1" si="68">OFFSET(BO$17,0,(ROW()-ROW(BR$38)))</f>
        <v>848.9008561403773</v>
      </c>
      <c r="BS39" s="13">
        <f t="shared" ref="BS39:BS49" ca="1" si="69">OFFSET(BO$33,0,(ROW()-ROW(BS$38)))</f>
        <v>0</v>
      </c>
      <c r="BW39" s="14"/>
      <c r="BX39" s="14"/>
      <c r="CD39" t="s">
        <v>38</v>
      </c>
      <c r="CE39" t="s">
        <v>31</v>
      </c>
      <c r="CF39" s="13">
        <f t="shared" ref="CF39:CF49" ca="1" si="70">OFFSET(CC$17,0,(ROW()-ROW(CF$38)))</f>
        <v>792.50085614037721</v>
      </c>
      <c r="CG39" s="13">
        <f t="shared" ref="CG39:CG49" ca="1" si="71">OFFSET(CC$33,0,(ROW()-ROW(CG$38)))</f>
        <v>0</v>
      </c>
      <c r="CK39" s="14"/>
      <c r="CL39" s="14"/>
      <c r="CR39" t="s">
        <v>38</v>
      </c>
      <c r="CS39" t="s">
        <v>31</v>
      </c>
      <c r="CT39" s="13">
        <f t="shared" ref="CT39:CT49" ca="1" si="72">OFFSET(CQ$17,0,(ROW()-ROW(CT$38)))</f>
        <v>736.10085614037712</v>
      </c>
      <c r="CU39" s="13">
        <f t="shared" ref="CU39:CU49" ca="1" si="73">OFFSET(CQ$33,0,(ROW()-ROW(CU$38)))</f>
        <v>0</v>
      </c>
      <c r="CY39" s="14"/>
      <c r="CZ39" s="14"/>
      <c r="DF39" t="s">
        <v>38</v>
      </c>
      <c r="DG39" t="s">
        <v>31</v>
      </c>
      <c r="DH39" s="13">
        <f t="shared" ref="DH39:DH49" ca="1" si="74">OFFSET(DE$17,0,(ROW()-ROW(DH$38)))</f>
        <v>679.70085614037714</v>
      </c>
      <c r="DI39" s="13">
        <f t="shared" ref="DI39:DI49" ca="1" si="75">OFFSET(DE$33,0,(ROW()-ROW(DI$38)))</f>
        <v>0</v>
      </c>
      <c r="DM39" s="14"/>
      <c r="DN39" s="14"/>
    </row>
    <row r="40" spans="2:120" x14ac:dyDescent="0.35">
      <c r="B40">
        <v>2007</v>
      </c>
      <c r="C40">
        <v>3</v>
      </c>
      <c r="D40" s="4">
        <v>843.52064235965258</v>
      </c>
      <c r="E40" s="4">
        <v>0</v>
      </c>
      <c r="F40" s="4">
        <v>781.5206423596527</v>
      </c>
      <c r="G40" s="4">
        <v>0</v>
      </c>
      <c r="H40" s="4">
        <v>719.5206423596527</v>
      </c>
      <c r="I40" s="4">
        <v>0</v>
      </c>
      <c r="J40" s="4">
        <v>657.5206423596527</v>
      </c>
      <c r="K40" s="4">
        <v>0</v>
      </c>
      <c r="L40" s="4">
        <v>595.5206423596527</v>
      </c>
      <c r="M40" s="4">
        <v>0</v>
      </c>
      <c r="N40" s="4">
        <v>533.52064235965292</v>
      </c>
      <c r="O40" s="4">
        <v>0</v>
      </c>
      <c r="P40" s="4">
        <v>471.52064235965281</v>
      </c>
      <c r="Q40" s="4">
        <v>0</v>
      </c>
      <c r="R40" s="3">
        <v>-7.2103433019242864</v>
      </c>
      <c r="Z40" t="s">
        <v>38</v>
      </c>
      <c r="AA40" t="s">
        <v>32</v>
      </c>
      <c r="AB40" s="4">
        <f t="shared" ca="1" si="62"/>
        <v>887.2169753524928</v>
      </c>
      <c r="AC40" s="4">
        <f t="shared" ca="1" si="63"/>
        <v>0</v>
      </c>
      <c r="AG40" s="14"/>
      <c r="AH40" s="14"/>
      <c r="AN40" t="s">
        <v>38</v>
      </c>
      <c r="AO40" t="s">
        <v>32</v>
      </c>
      <c r="AP40" s="4">
        <f t="shared" ca="1" si="64"/>
        <v>825.21697535249291</v>
      </c>
      <c r="AQ40" s="4">
        <f t="shared" ca="1" si="65"/>
        <v>0</v>
      </c>
      <c r="AU40" s="14"/>
      <c r="AV40" s="14"/>
      <c r="BB40" t="s">
        <v>38</v>
      </c>
      <c r="BC40" t="s">
        <v>32</v>
      </c>
      <c r="BD40" s="13">
        <f t="shared" ca="1" si="66"/>
        <v>763.21697535249291</v>
      </c>
      <c r="BE40" s="13">
        <f t="shared" ca="1" si="67"/>
        <v>0</v>
      </c>
      <c r="BI40" s="14"/>
      <c r="BJ40" s="14"/>
      <c r="BP40" t="s">
        <v>38</v>
      </c>
      <c r="BQ40" t="s">
        <v>32</v>
      </c>
      <c r="BR40" s="13">
        <f t="shared" ca="1" si="68"/>
        <v>701.21697535249291</v>
      </c>
      <c r="BS40" s="13">
        <f t="shared" ca="1" si="69"/>
        <v>0</v>
      </c>
      <c r="BW40" s="14"/>
      <c r="BX40" s="14"/>
      <c r="CD40" t="s">
        <v>38</v>
      </c>
      <c r="CE40" t="s">
        <v>32</v>
      </c>
      <c r="CF40" s="13">
        <f t="shared" ca="1" si="70"/>
        <v>639.21697535249291</v>
      </c>
      <c r="CG40" s="13">
        <f t="shared" ca="1" si="71"/>
        <v>0</v>
      </c>
      <c r="CK40" s="14"/>
      <c r="CL40" s="14"/>
      <c r="CR40" t="s">
        <v>38</v>
      </c>
      <c r="CS40" t="s">
        <v>32</v>
      </c>
      <c r="CT40" s="13">
        <f t="shared" ca="1" si="72"/>
        <v>577.21697535249291</v>
      </c>
      <c r="CU40" s="13">
        <f t="shared" ca="1" si="73"/>
        <v>0</v>
      </c>
      <c r="CY40" s="14"/>
      <c r="CZ40" s="14"/>
      <c r="DF40" t="s">
        <v>38</v>
      </c>
      <c r="DG40" t="s">
        <v>32</v>
      </c>
      <c r="DH40" s="13">
        <f t="shared" ca="1" si="74"/>
        <v>515.21697535249291</v>
      </c>
      <c r="DI40" s="13">
        <f t="shared" ca="1" si="75"/>
        <v>0</v>
      </c>
      <c r="DM40" s="14"/>
      <c r="DN40" s="14"/>
    </row>
    <row r="41" spans="2:120" x14ac:dyDescent="0.35">
      <c r="B41">
        <v>2007</v>
      </c>
      <c r="C41">
        <v>4</v>
      </c>
      <c r="D41" s="4">
        <v>587.79947440051205</v>
      </c>
      <c r="E41" s="4">
        <v>0</v>
      </c>
      <c r="F41" s="4">
        <v>527.79947440051205</v>
      </c>
      <c r="G41" s="4">
        <v>0</v>
      </c>
      <c r="H41" s="4">
        <v>467.799474400512</v>
      </c>
      <c r="I41" s="4">
        <v>0</v>
      </c>
      <c r="J41" s="4">
        <v>407.799474400512</v>
      </c>
      <c r="K41" s="4">
        <v>0</v>
      </c>
      <c r="L41" s="4">
        <v>349.01614106717858</v>
      </c>
      <c r="M41" s="4">
        <v>1.2166666666666668</v>
      </c>
      <c r="N41" s="4">
        <v>291.736974400512</v>
      </c>
      <c r="O41" s="4">
        <v>3.9375</v>
      </c>
      <c r="P41" s="4">
        <v>238.66197440051198</v>
      </c>
      <c r="Q41" s="4">
        <v>10.862499999999999</v>
      </c>
      <c r="R41" s="3">
        <v>0.40668418664959965</v>
      </c>
      <c r="Y41" s="15"/>
      <c r="Z41" t="s">
        <v>38</v>
      </c>
      <c r="AA41" t="s">
        <v>33</v>
      </c>
      <c r="AB41" s="4">
        <f t="shared" ca="1" si="62"/>
        <v>606.8637413894221</v>
      </c>
      <c r="AC41" s="4">
        <f t="shared" ca="1" si="63"/>
        <v>0</v>
      </c>
      <c r="AG41" s="14"/>
      <c r="AH41" s="14"/>
      <c r="AI41" s="15"/>
      <c r="AJ41" s="15"/>
      <c r="AM41" s="15"/>
      <c r="AN41" t="s">
        <v>38</v>
      </c>
      <c r="AO41" t="s">
        <v>33</v>
      </c>
      <c r="AP41" s="4">
        <f t="shared" ca="1" si="64"/>
        <v>546.8637413894221</v>
      </c>
      <c r="AQ41" s="4">
        <f t="shared" ca="1" si="65"/>
        <v>0</v>
      </c>
      <c r="AU41" s="14"/>
      <c r="AV41" s="14"/>
      <c r="AW41" s="15"/>
      <c r="AX41" s="15"/>
      <c r="BA41" s="15"/>
      <c r="BB41" t="s">
        <v>38</v>
      </c>
      <c r="BC41" t="s">
        <v>33</v>
      </c>
      <c r="BD41" s="13">
        <f t="shared" ca="1" si="66"/>
        <v>486.86374138942222</v>
      </c>
      <c r="BE41" s="13">
        <f t="shared" ca="1" si="67"/>
        <v>0</v>
      </c>
      <c r="BI41" s="14"/>
      <c r="BJ41" s="14"/>
      <c r="BK41" s="15"/>
      <c r="BL41" s="15"/>
      <c r="BO41" s="15"/>
      <c r="BP41" t="s">
        <v>38</v>
      </c>
      <c r="BQ41" t="s">
        <v>33</v>
      </c>
      <c r="BR41" s="13">
        <f t="shared" ca="1" si="68"/>
        <v>426.86374138942222</v>
      </c>
      <c r="BS41" s="13">
        <f t="shared" ca="1" si="69"/>
        <v>0</v>
      </c>
      <c r="BW41" s="14"/>
      <c r="BX41" s="14"/>
      <c r="BY41" s="15"/>
      <c r="BZ41" s="15"/>
      <c r="CC41" s="15"/>
      <c r="CD41" t="s">
        <v>38</v>
      </c>
      <c r="CE41" t="s">
        <v>33</v>
      </c>
      <c r="CF41" s="13">
        <f t="shared" ca="1" si="70"/>
        <v>366.86374138942222</v>
      </c>
      <c r="CG41" s="13">
        <f t="shared" ca="1" si="71"/>
        <v>0</v>
      </c>
      <c r="CK41" s="14"/>
      <c r="CL41" s="14"/>
      <c r="CM41" s="15"/>
      <c r="CN41" s="15"/>
      <c r="CQ41" s="15"/>
      <c r="CR41" t="s">
        <v>38</v>
      </c>
      <c r="CS41" t="s">
        <v>33</v>
      </c>
      <c r="CT41" s="13">
        <f t="shared" ca="1" si="72"/>
        <v>307.33082472275549</v>
      </c>
      <c r="CU41" s="13">
        <f t="shared" ca="1" si="73"/>
        <v>0.46708333333333291</v>
      </c>
      <c r="CY41" s="14"/>
      <c r="CZ41" s="14"/>
      <c r="DA41" s="15"/>
      <c r="DB41" s="15"/>
      <c r="DE41" s="15"/>
      <c r="DF41" t="s">
        <v>38</v>
      </c>
      <c r="DG41" t="s">
        <v>33</v>
      </c>
      <c r="DH41" s="13">
        <f t="shared" ca="1" si="74"/>
        <v>249.71165805608885</v>
      </c>
      <c r="DI41" s="13">
        <f t="shared" ca="1" si="75"/>
        <v>2.8479166666666655</v>
      </c>
      <c r="DM41" s="14"/>
      <c r="DN41" s="14"/>
      <c r="DO41" s="15"/>
      <c r="DP41" s="15"/>
    </row>
    <row r="42" spans="2:120" x14ac:dyDescent="0.35">
      <c r="B42">
        <v>2007</v>
      </c>
      <c r="C42">
        <v>5</v>
      </c>
      <c r="D42" s="4">
        <v>309.33333333333326</v>
      </c>
      <c r="E42" s="4">
        <v>3.5204394737105424</v>
      </c>
      <c r="F42" s="4">
        <v>252.38333333333335</v>
      </c>
      <c r="G42" s="4">
        <v>8.5704394737105396</v>
      </c>
      <c r="H42" s="4">
        <v>197.94166666666669</v>
      </c>
      <c r="I42" s="4">
        <v>16.128772807043873</v>
      </c>
      <c r="J42" s="4">
        <v>145.82916666666668</v>
      </c>
      <c r="K42" s="4">
        <v>26.016272807043876</v>
      </c>
      <c r="L42" s="4">
        <v>101.32083333333333</v>
      </c>
      <c r="M42" s="4">
        <v>43.507939473710529</v>
      </c>
      <c r="N42" s="4">
        <v>68.933333333333323</v>
      </c>
      <c r="O42" s="4">
        <v>73.120439473710533</v>
      </c>
      <c r="P42" s="4">
        <v>43.65</v>
      </c>
      <c r="Q42" s="4">
        <v>109.83710614037719</v>
      </c>
      <c r="R42" s="3">
        <v>10.135067940012169</v>
      </c>
      <c r="X42" s="16"/>
      <c r="Y42" s="15"/>
      <c r="Z42" t="s">
        <v>38</v>
      </c>
      <c r="AA42" t="s">
        <v>21</v>
      </c>
      <c r="AB42" s="4">
        <f t="shared" ca="1" si="62"/>
        <v>352.84633406806802</v>
      </c>
      <c r="AC42" s="4">
        <f t="shared" ca="1" si="63"/>
        <v>2.4029166666666653</v>
      </c>
      <c r="AG42" s="14"/>
      <c r="AH42" s="14"/>
      <c r="AI42" s="15"/>
      <c r="AJ42" s="15"/>
      <c r="AL42" s="16"/>
      <c r="AM42" s="15"/>
      <c r="AN42" t="s">
        <v>38</v>
      </c>
      <c r="AO42" t="s">
        <v>21</v>
      </c>
      <c r="AP42" s="4">
        <f t="shared" ca="1" si="64"/>
        <v>294.92508406806803</v>
      </c>
      <c r="AQ42" s="4">
        <f t="shared" ca="1" si="65"/>
        <v>6.4816666666666665</v>
      </c>
      <c r="AU42" s="14"/>
      <c r="AV42" s="14"/>
      <c r="AW42" s="15"/>
      <c r="AX42" s="15"/>
      <c r="AZ42" s="16"/>
      <c r="BA42" s="15"/>
      <c r="BB42" t="s">
        <v>38</v>
      </c>
      <c r="BC42" t="s">
        <v>21</v>
      </c>
      <c r="BD42" s="13">
        <f t="shared" ca="1" si="66"/>
        <v>240.06341740140138</v>
      </c>
      <c r="BE42" s="13">
        <f t="shared" ca="1" si="67"/>
        <v>13.62</v>
      </c>
      <c r="BI42" s="14"/>
      <c r="BJ42" s="14"/>
      <c r="BK42" s="15"/>
      <c r="BL42" s="15"/>
      <c r="BN42" s="16"/>
      <c r="BO42" s="15"/>
      <c r="BP42" t="s">
        <v>38</v>
      </c>
      <c r="BQ42" t="s">
        <v>21</v>
      </c>
      <c r="BR42" s="13">
        <f t="shared" ca="1" si="68"/>
        <v>188.25592359677745</v>
      </c>
      <c r="BS42" s="13">
        <f t="shared" ca="1" si="69"/>
        <v>23.812506195376095</v>
      </c>
      <c r="BW42" s="14"/>
      <c r="BX42" s="14"/>
      <c r="BY42" s="15"/>
      <c r="BZ42" s="15"/>
      <c r="CB42" s="16"/>
      <c r="CC42" s="15"/>
      <c r="CD42" t="s">
        <v>38</v>
      </c>
      <c r="CE42" t="s">
        <v>21</v>
      </c>
      <c r="CF42" s="13">
        <f t="shared" ca="1" si="70"/>
        <v>142.78355428141379</v>
      </c>
      <c r="CG42" s="13">
        <f t="shared" ca="1" si="71"/>
        <v>40.340136880012409</v>
      </c>
      <c r="CK42" s="14"/>
      <c r="CL42" s="14"/>
      <c r="CM42" s="15"/>
      <c r="CN42" s="15"/>
      <c r="CP42" s="16"/>
      <c r="CQ42" s="15"/>
      <c r="CR42" t="s">
        <v>38</v>
      </c>
      <c r="CS42" t="s">
        <v>21</v>
      </c>
      <c r="CT42" s="13">
        <f t="shared" ca="1" si="72"/>
        <v>103.00647094808046</v>
      </c>
      <c r="CU42" s="13">
        <f t="shared" ca="1" si="73"/>
        <v>62.563053546679079</v>
      </c>
      <c r="CY42" s="14"/>
      <c r="CZ42" s="14"/>
      <c r="DA42" s="15"/>
      <c r="DB42" s="15"/>
      <c r="DD42" s="16"/>
      <c r="DE42" s="15"/>
      <c r="DF42" t="s">
        <v>38</v>
      </c>
      <c r="DG42" t="s">
        <v>21</v>
      </c>
      <c r="DH42" s="13">
        <f t="shared" ca="1" si="74"/>
        <v>71.382841352422389</v>
      </c>
      <c r="DI42" s="13">
        <f t="shared" ca="1" si="75"/>
        <v>92.939423951020984</v>
      </c>
      <c r="DM42" s="14"/>
      <c r="DN42" s="14"/>
      <c r="DO42" s="15"/>
      <c r="DP42" s="15"/>
    </row>
    <row r="43" spans="2:120" x14ac:dyDescent="0.35">
      <c r="B43">
        <v>2007</v>
      </c>
      <c r="C43">
        <v>6</v>
      </c>
      <c r="D43" s="4">
        <v>163.60000000000002</v>
      </c>
      <c r="E43" s="4">
        <v>17.755502449951031</v>
      </c>
      <c r="F43" s="4">
        <v>120.11666666666666</v>
      </c>
      <c r="G43" s="4">
        <v>34.27216911661769</v>
      </c>
      <c r="H43" s="4">
        <v>81.016666666666666</v>
      </c>
      <c r="I43" s="4">
        <v>55.17216911661771</v>
      </c>
      <c r="J43" s="4">
        <v>49.183333333333337</v>
      </c>
      <c r="K43" s="4">
        <v>83.338835783284367</v>
      </c>
      <c r="L43" s="4">
        <v>24.6875</v>
      </c>
      <c r="M43" s="4">
        <v>118.84300244995103</v>
      </c>
      <c r="N43" s="4">
        <v>9.3125</v>
      </c>
      <c r="O43" s="4">
        <v>163.46800244995103</v>
      </c>
      <c r="P43" s="4">
        <v>2.854166666666667</v>
      </c>
      <c r="Q43" s="4">
        <v>217.00966911661772</v>
      </c>
      <c r="R43" s="3">
        <v>15.138516748331694</v>
      </c>
      <c r="Z43" t="s">
        <v>38</v>
      </c>
      <c r="AA43" t="s">
        <v>22</v>
      </c>
      <c r="AB43" s="4">
        <f t="shared" ca="1" si="62"/>
        <v>146.38153986295271</v>
      </c>
      <c r="AC43" s="4">
        <f t="shared" ca="1" si="63"/>
        <v>8.8845833333333335</v>
      </c>
      <c r="AG43" s="14"/>
      <c r="AH43" s="14"/>
      <c r="AN43" t="s">
        <v>38</v>
      </c>
      <c r="AO43" t="s">
        <v>22</v>
      </c>
      <c r="AP43" s="4">
        <f t="shared" ca="1" si="64"/>
        <v>100.04903986295272</v>
      </c>
      <c r="AQ43" s="4">
        <f t="shared" ca="1" si="65"/>
        <v>22.552083333333332</v>
      </c>
      <c r="AU43" s="14"/>
      <c r="AV43" s="14"/>
      <c r="BB43" t="s">
        <v>38</v>
      </c>
      <c r="BC43" t="s">
        <v>22</v>
      </c>
      <c r="BD43" s="13">
        <f t="shared" ca="1" si="66"/>
        <v>61.419683177086448</v>
      </c>
      <c r="BE43" s="13">
        <f t="shared" ca="1" si="67"/>
        <v>43.922726647467051</v>
      </c>
      <c r="BI43" s="14"/>
      <c r="BJ43" s="14"/>
      <c r="BP43" t="s">
        <v>38</v>
      </c>
      <c r="BQ43" t="s">
        <v>22</v>
      </c>
      <c r="BR43" s="13">
        <f t="shared" ca="1" si="68"/>
        <v>31.555160573538522</v>
      </c>
      <c r="BS43" s="13">
        <f t="shared" ca="1" si="69"/>
        <v>74.058204043919119</v>
      </c>
      <c r="BW43" s="14"/>
      <c r="BX43" s="14"/>
      <c r="CD43" t="s">
        <v>38</v>
      </c>
      <c r="CE43" t="s">
        <v>22</v>
      </c>
      <c r="CF43" s="13">
        <f t="shared" ca="1" si="70"/>
        <v>14.300160573538523</v>
      </c>
      <c r="CG43" s="13">
        <f t="shared" ca="1" si="71"/>
        <v>116.80320404391912</v>
      </c>
      <c r="CK43" s="14"/>
      <c r="CL43" s="14"/>
      <c r="CR43" t="s">
        <v>38</v>
      </c>
      <c r="CS43" t="s">
        <v>22</v>
      </c>
      <c r="CT43" s="13">
        <f t="shared" ca="1" si="72"/>
        <v>5.5889105735385218</v>
      </c>
      <c r="CU43" s="13">
        <f t="shared" ca="1" si="73"/>
        <v>168.09195404391915</v>
      </c>
      <c r="CY43" s="14"/>
      <c r="CZ43" s="14"/>
      <c r="DF43" t="s">
        <v>38</v>
      </c>
      <c r="DG43" t="s">
        <v>22</v>
      </c>
      <c r="DH43" s="13">
        <f t="shared" ca="1" si="74"/>
        <v>1.7509939068718547</v>
      </c>
      <c r="DI43" s="13">
        <f t="shared" ca="1" si="75"/>
        <v>224.25403737725247</v>
      </c>
      <c r="DM43" s="14"/>
      <c r="DN43" s="14"/>
    </row>
    <row r="44" spans="2:120" x14ac:dyDescent="0.35">
      <c r="B44">
        <v>2007</v>
      </c>
      <c r="C44">
        <v>7</v>
      </c>
      <c r="D44" s="4">
        <v>111.59583333333336</v>
      </c>
      <c r="E44" s="4">
        <v>11.970833333333346</v>
      </c>
      <c r="F44" s="4">
        <v>63.970833333333353</v>
      </c>
      <c r="G44" s="4">
        <v>26.345833333333342</v>
      </c>
      <c r="H44" s="4">
        <v>28.975000000000001</v>
      </c>
      <c r="I44" s="4">
        <v>53.349999999999994</v>
      </c>
      <c r="J44" s="4">
        <v>7.0625000000000071</v>
      </c>
      <c r="K44" s="4">
        <v>93.4375</v>
      </c>
      <c r="L44" s="4">
        <v>0</v>
      </c>
      <c r="M44" s="4">
        <v>148.375</v>
      </c>
      <c r="N44" s="4">
        <v>0</v>
      </c>
      <c r="O44" s="4">
        <v>210.375</v>
      </c>
      <c r="P44" s="4">
        <v>0</v>
      </c>
      <c r="Q44" s="4">
        <v>272.375</v>
      </c>
      <c r="R44" s="3">
        <v>16.786290322580644</v>
      </c>
      <c r="X44" s="9"/>
      <c r="Z44" t="s">
        <v>38</v>
      </c>
      <c r="AA44" t="s">
        <v>23</v>
      </c>
      <c r="AB44" s="4">
        <f t="shared" ca="1" si="62"/>
        <v>82.182228181686298</v>
      </c>
      <c r="AC44" s="4">
        <f t="shared" ca="1" si="63"/>
        <v>17.537499999999994</v>
      </c>
      <c r="AG44" s="14"/>
      <c r="AH44" s="14"/>
      <c r="AL44" s="9"/>
      <c r="AN44" t="s">
        <v>38</v>
      </c>
      <c r="AO44" t="s">
        <v>23</v>
      </c>
      <c r="AP44" s="4">
        <f t="shared" ca="1" si="64"/>
        <v>44.463478181686312</v>
      </c>
      <c r="AQ44" s="4">
        <f t="shared" ca="1" si="65"/>
        <v>41.818749999999994</v>
      </c>
      <c r="AU44" s="14"/>
      <c r="AV44" s="14"/>
      <c r="AZ44" s="9"/>
      <c r="BB44" t="s">
        <v>38</v>
      </c>
      <c r="BC44" t="s">
        <v>23</v>
      </c>
      <c r="BD44" s="13">
        <f t="shared" ca="1" si="66"/>
        <v>19.411811515019636</v>
      </c>
      <c r="BE44" s="13">
        <f t="shared" ca="1" si="67"/>
        <v>78.767083333333332</v>
      </c>
      <c r="BI44" s="14"/>
      <c r="BJ44" s="14"/>
      <c r="BN44" s="9"/>
      <c r="BP44" t="s">
        <v>38</v>
      </c>
      <c r="BQ44" t="s">
        <v>23</v>
      </c>
      <c r="BR44" s="13">
        <f t="shared" ca="1" si="68"/>
        <v>6.29389484835297</v>
      </c>
      <c r="BS44" s="13">
        <f t="shared" ca="1" si="69"/>
        <v>127.64916666666666</v>
      </c>
      <c r="BW44" s="14"/>
      <c r="BX44" s="14"/>
      <c r="CB44" s="9"/>
      <c r="CD44" t="s">
        <v>38</v>
      </c>
      <c r="CE44" t="s">
        <v>23</v>
      </c>
      <c r="CF44" s="13">
        <f t="shared" ca="1" si="70"/>
        <v>1.2216796719065199</v>
      </c>
      <c r="CG44" s="13">
        <f t="shared" ca="1" si="71"/>
        <v>184.57695149022021</v>
      </c>
      <c r="CK44" s="14"/>
      <c r="CL44" s="14"/>
      <c r="CP44" s="9"/>
      <c r="CR44" t="s">
        <v>38</v>
      </c>
      <c r="CS44" t="s">
        <v>23</v>
      </c>
      <c r="CT44" s="13">
        <f t="shared" ca="1" si="72"/>
        <v>0.28709633857318684</v>
      </c>
      <c r="CU44" s="13">
        <f t="shared" ca="1" si="73"/>
        <v>245.64236815688687</v>
      </c>
      <c r="CY44" s="14"/>
      <c r="CZ44" s="14"/>
      <c r="DD44" s="9"/>
      <c r="DF44" t="s">
        <v>38</v>
      </c>
      <c r="DG44" t="s">
        <v>23</v>
      </c>
      <c r="DH44" s="13">
        <f t="shared" ca="1" si="74"/>
        <v>1.0475525239465799E-2</v>
      </c>
      <c r="DI44" s="13">
        <f t="shared" ca="1" si="75"/>
        <v>307.36574734355315</v>
      </c>
      <c r="DM44" s="14"/>
      <c r="DN44" s="14"/>
    </row>
    <row r="45" spans="2:120" x14ac:dyDescent="0.35">
      <c r="B45">
        <v>2007</v>
      </c>
      <c r="C45">
        <v>8</v>
      </c>
      <c r="D45" s="4">
        <v>138.17051845213089</v>
      </c>
      <c r="E45" s="4">
        <v>5.8208333333333364</v>
      </c>
      <c r="F45" s="4">
        <v>89.112984750304975</v>
      </c>
      <c r="G45" s="4">
        <v>18.763299631507394</v>
      </c>
      <c r="H45" s="4">
        <v>50.096318083638295</v>
      </c>
      <c r="I45" s="4">
        <v>41.746632964840728</v>
      </c>
      <c r="J45" s="4">
        <v>21.758333333333333</v>
      </c>
      <c r="K45" s="4">
        <v>75.408648214535759</v>
      </c>
      <c r="L45" s="4">
        <v>5.8874999999999975</v>
      </c>
      <c r="M45" s="4">
        <v>121.53781488120245</v>
      </c>
      <c r="N45" s="4">
        <v>0.10833333333333073</v>
      </c>
      <c r="O45" s="4">
        <v>177.75864821453578</v>
      </c>
      <c r="P45" s="4">
        <v>0</v>
      </c>
      <c r="Q45" s="4">
        <v>239.65031488120243</v>
      </c>
      <c r="R45" s="3">
        <v>15.730655318748466</v>
      </c>
      <c r="Z45" t="s">
        <v>38</v>
      </c>
      <c r="AA45" t="s">
        <v>24</v>
      </c>
      <c r="AB45" s="4">
        <f t="shared" ca="1" si="62"/>
        <v>121.62740087398245</v>
      </c>
      <c r="AC45" s="4">
        <f t="shared" ca="1" si="63"/>
        <v>8.4322320601088006</v>
      </c>
      <c r="AG45" s="14"/>
      <c r="AH45" s="14"/>
      <c r="AN45" t="s">
        <v>38</v>
      </c>
      <c r="AO45" t="s">
        <v>24</v>
      </c>
      <c r="AP45" s="4">
        <f t="shared" ca="1" si="64"/>
        <v>74.841984207315789</v>
      </c>
      <c r="AQ45" s="4">
        <f t="shared" ca="1" si="65"/>
        <v>23.646815393442132</v>
      </c>
      <c r="AU45" s="14"/>
      <c r="AV45" s="14"/>
      <c r="BB45" t="s">
        <v>38</v>
      </c>
      <c r="BC45" t="s">
        <v>24</v>
      </c>
      <c r="BD45" s="13">
        <f t="shared" ca="1" si="66"/>
        <v>38.857400873982456</v>
      </c>
      <c r="BE45" s="13">
        <f t="shared" ca="1" si="67"/>
        <v>49.662232060108799</v>
      </c>
      <c r="BI45" s="14"/>
      <c r="BJ45" s="14"/>
      <c r="BP45" t="s">
        <v>38</v>
      </c>
      <c r="BQ45" t="s">
        <v>24</v>
      </c>
      <c r="BR45" s="13">
        <f t="shared" ca="1" si="68"/>
        <v>16.588607539099151</v>
      </c>
      <c r="BS45" s="13">
        <f t="shared" ca="1" si="69"/>
        <v>89.393438725225494</v>
      </c>
      <c r="BW45" s="14"/>
      <c r="BX45" s="14"/>
      <c r="CD45" t="s">
        <v>38</v>
      </c>
      <c r="CE45" t="s">
        <v>24</v>
      </c>
      <c r="CF45" s="13">
        <f t="shared" ca="1" si="70"/>
        <v>6.0536075390991515</v>
      </c>
      <c r="CG45" s="13">
        <f t="shared" ca="1" si="71"/>
        <v>140.85843872522551</v>
      </c>
      <c r="CK45" s="14"/>
      <c r="CL45" s="14"/>
      <c r="CR45" t="s">
        <v>38</v>
      </c>
      <c r="CS45" t="s">
        <v>24</v>
      </c>
      <c r="CT45" s="13">
        <f t="shared" ca="1" si="72"/>
        <v>1.6761707873342053</v>
      </c>
      <c r="CU45" s="13">
        <f t="shared" ca="1" si="73"/>
        <v>198.48100197346054</v>
      </c>
      <c r="CY45" s="14"/>
      <c r="CZ45" s="14"/>
      <c r="DF45" t="s">
        <v>38</v>
      </c>
      <c r="DG45" t="s">
        <v>24</v>
      </c>
      <c r="DH45" s="13">
        <f t="shared" ca="1" si="74"/>
        <v>0.43904347188053255</v>
      </c>
      <c r="DI45" s="13">
        <f t="shared" ca="1" si="75"/>
        <v>259.24387465800692</v>
      </c>
      <c r="DM45" s="14"/>
      <c r="DN45" s="14"/>
    </row>
    <row r="46" spans="2:120" x14ac:dyDescent="0.35">
      <c r="B46">
        <v>2007</v>
      </c>
      <c r="C46">
        <v>9</v>
      </c>
      <c r="D46" s="4">
        <v>254.78749999999999</v>
      </c>
      <c r="E46" s="4">
        <v>0.88750000000000639</v>
      </c>
      <c r="F46" s="4">
        <v>198.80833333333334</v>
      </c>
      <c r="G46" s="4">
        <v>4.9083333333333385</v>
      </c>
      <c r="H46" s="4">
        <v>145.84166666666664</v>
      </c>
      <c r="I46" s="4">
        <v>11.94166666666667</v>
      </c>
      <c r="J46" s="4">
        <v>101.74166666666667</v>
      </c>
      <c r="K46" s="4">
        <v>27.841666666666669</v>
      </c>
      <c r="L46" s="4">
        <v>65.1875</v>
      </c>
      <c r="M46" s="4">
        <v>51.287500000000001</v>
      </c>
      <c r="N46" s="4">
        <v>37.258333333333333</v>
      </c>
      <c r="O46" s="4">
        <v>83.35833333333332</v>
      </c>
      <c r="P46" s="4">
        <v>13.879166666666663</v>
      </c>
      <c r="Q46" s="4">
        <v>119.97916666666667</v>
      </c>
      <c r="R46" s="3">
        <v>11.536666666666667</v>
      </c>
      <c r="Z46" t="s">
        <v>38</v>
      </c>
      <c r="AA46" t="s">
        <v>34</v>
      </c>
      <c r="AB46" s="4">
        <f t="shared" ca="1" si="62"/>
        <v>236.64067116057677</v>
      </c>
      <c r="AC46" s="4">
        <f t="shared" ca="1" si="63"/>
        <v>3.1733333333333329</v>
      </c>
      <c r="AG46" s="14"/>
      <c r="AH46" s="14"/>
      <c r="AN46" t="s">
        <v>38</v>
      </c>
      <c r="AO46" t="s">
        <v>34</v>
      </c>
      <c r="AP46" s="4">
        <f t="shared" ca="1" si="64"/>
        <v>182.58775449391013</v>
      </c>
      <c r="AQ46" s="4">
        <f t="shared" ca="1" si="65"/>
        <v>9.1204166666666655</v>
      </c>
      <c r="AU46" s="14"/>
      <c r="AV46" s="14"/>
      <c r="BB46" t="s">
        <v>38</v>
      </c>
      <c r="BC46" t="s">
        <v>34</v>
      </c>
      <c r="BD46" s="13">
        <f t="shared" ca="1" si="66"/>
        <v>132.5219211605768</v>
      </c>
      <c r="BE46" s="13">
        <f t="shared" ca="1" si="67"/>
        <v>19.05458333333333</v>
      </c>
      <c r="BI46" s="14"/>
      <c r="BJ46" s="14"/>
      <c r="BP46" t="s">
        <v>38</v>
      </c>
      <c r="BQ46" t="s">
        <v>34</v>
      </c>
      <c r="BR46" s="13">
        <f t="shared" ca="1" si="68"/>
        <v>89.040000783234319</v>
      </c>
      <c r="BS46" s="13">
        <f t="shared" ca="1" si="69"/>
        <v>35.572662955990879</v>
      </c>
      <c r="BW46" s="14"/>
      <c r="BX46" s="14"/>
      <c r="CD46" t="s">
        <v>38</v>
      </c>
      <c r="CE46" t="s">
        <v>34</v>
      </c>
      <c r="CF46" s="13">
        <f t="shared" ca="1" si="70"/>
        <v>53.943160233045333</v>
      </c>
      <c r="CG46" s="13">
        <f t="shared" ca="1" si="71"/>
        <v>60.475822405801885</v>
      </c>
      <c r="CK46" s="14"/>
      <c r="CL46" s="14"/>
      <c r="CR46" t="s">
        <v>38</v>
      </c>
      <c r="CS46" t="s">
        <v>34</v>
      </c>
      <c r="CT46" s="13">
        <f t="shared" ca="1" si="72"/>
        <v>28.222326899712005</v>
      </c>
      <c r="CU46" s="13">
        <f t="shared" ca="1" si="73"/>
        <v>94.754989072468561</v>
      </c>
      <c r="CY46" s="14"/>
      <c r="CZ46" s="14"/>
      <c r="DF46" t="s">
        <v>38</v>
      </c>
      <c r="DG46" t="s">
        <v>34</v>
      </c>
      <c r="DH46" s="13">
        <f t="shared" ca="1" si="74"/>
        <v>12.63519311688766</v>
      </c>
      <c r="DI46" s="13">
        <f t="shared" ca="1" si="75"/>
        <v>139.16785528964422</v>
      </c>
      <c r="DM46" s="14"/>
      <c r="DN46" s="14"/>
    </row>
    <row r="47" spans="2:120" x14ac:dyDescent="0.35">
      <c r="B47">
        <v>2007</v>
      </c>
      <c r="C47">
        <v>10</v>
      </c>
      <c r="D47" s="4">
        <v>430.26370268344624</v>
      </c>
      <c r="E47" s="4">
        <v>0</v>
      </c>
      <c r="F47" s="4">
        <v>368.2637026834463</v>
      </c>
      <c r="G47" s="4">
        <v>0</v>
      </c>
      <c r="H47" s="4">
        <v>306.26370268344635</v>
      </c>
      <c r="I47" s="4">
        <v>0</v>
      </c>
      <c r="J47" s="4">
        <v>245.83036935011296</v>
      </c>
      <c r="K47" s="4">
        <v>1.5666666666666647</v>
      </c>
      <c r="L47" s="4">
        <v>192.07749761754764</v>
      </c>
      <c r="M47" s="4">
        <v>9.8137949341013311</v>
      </c>
      <c r="N47" s="4">
        <v>140.07749761754766</v>
      </c>
      <c r="O47" s="4">
        <v>19.813794934101331</v>
      </c>
      <c r="P47" s="4">
        <v>93.977497617547627</v>
      </c>
      <c r="Q47" s="4">
        <v>35.71379493410133</v>
      </c>
      <c r="R47" s="3">
        <v>6.1205257198888283</v>
      </c>
      <c r="Z47" t="s">
        <v>38</v>
      </c>
      <c r="AA47" t="s">
        <v>35</v>
      </c>
      <c r="AB47" s="4">
        <f t="shared" ca="1" si="62"/>
        <v>467.96667572298549</v>
      </c>
      <c r="AC47" s="4">
        <f t="shared" ca="1" si="63"/>
        <v>0.41666666666666641</v>
      </c>
      <c r="AG47" s="14"/>
      <c r="AH47" s="14"/>
      <c r="AN47" t="s">
        <v>38</v>
      </c>
      <c r="AO47" t="s">
        <v>35</v>
      </c>
      <c r="AP47" s="4">
        <f t="shared" ca="1" si="64"/>
        <v>406.56667572298551</v>
      </c>
      <c r="AQ47" s="4">
        <f t="shared" ca="1" si="65"/>
        <v>1.0166666666666664</v>
      </c>
      <c r="AU47" s="14"/>
      <c r="AV47" s="14"/>
      <c r="BB47" t="s">
        <v>38</v>
      </c>
      <c r="BC47" t="s">
        <v>35</v>
      </c>
      <c r="BD47" s="13">
        <f t="shared" ca="1" si="66"/>
        <v>345.67792572298549</v>
      </c>
      <c r="BE47" s="13">
        <f t="shared" ca="1" si="67"/>
        <v>2.1279166666666667</v>
      </c>
      <c r="BI47" s="14"/>
      <c r="BJ47" s="14"/>
      <c r="BP47" t="s">
        <v>38</v>
      </c>
      <c r="BQ47" t="s">
        <v>35</v>
      </c>
      <c r="BR47" s="13">
        <f t="shared" ca="1" si="68"/>
        <v>286.53000905631887</v>
      </c>
      <c r="BS47" s="13">
        <f t="shared" ca="1" si="69"/>
        <v>4.9799999999999995</v>
      </c>
      <c r="BW47" s="14"/>
      <c r="BX47" s="14"/>
      <c r="CD47" t="s">
        <v>38</v>
      </c>
      <c r="CE47" t="s">
        <v>35</v>
      </c>
      <c r="CF47" s="13">
        <f t="shared" ca="1" si="70"/>
        <v>230.41042572298551</v>
      </c>
      <c r="CG47" s="13">
        <f t="shared" ca="1" si="71"/>
        <v>10.860416666666666</v>
      </c>
      <c r="CK47" s="14"/>
      <c r="CL47" s="14"/>
      <c r="CR47" t="s">
        <v>38</v>
      </c>
      <c r="CS47" t="s">
        <v>35</v>
      </c>
      <c r="CT47" s="13">
        <f t="shared" ca="1" si="72"/>
        <v>178.0244559176316</v>
      </c>
      <c r="CU47" s="13">
        <f t="shared" ca="1" si="73"/>
        <v>20.474446861312774</v>
      </c>
      <c r="CY47" s="14"/>
      <c r="CZ47" s="14"/>
      <c r="DF47" t="s">
        <v>38</v>
      </c>
      <c r="DG47" t="s">
        <v>35</v>
      </c>
      <c r="DH47" s="13">
        <f t="shared" ca="1" si="74"/>
        <v>129.14705170921579</v>
      </c>
      <c r="DI47" s="13">
        <f t="shared" ca="1" si="75"/>
        <v>33.597042652896974</v>
      </c>
      <c r="DM47" s="14"/>
      <c r="DN47" s="14"/>
    </row>
    <row r="48" spans="2:120" x14ac:dyDescent="0.35">
      <c r="B48">
        <v>2007</v>
      </c>
      <c r="C48">
        <v>11</v>
      </c>
      <c r="D48" s="4">
        <v>749.35511778264436</v>
      </c>
      <c r="E48" s="4">
        <v>0</v>
      </c>
      <c r="F48" s="4">
        <v>689.35511778264424</v>
      </c>
      <c r="G48" s="4">
        <v>0</v>
      </c>
      <c r="H48" s="4">
        <v>629.35511778264436</v>
      </c>
      <c r="I48" s="4">
        <v>0</v>
      </c>
      <c r="J48" s="4">
        <v>569.35511778264436</v>
      </c>
      <c r="K48" s="4">
        <v>0</v>
      </c>
      <c r="L48" s="4">
        <v>509.35511778264441</v>
      </c>
      <c r="M48" s="4">
        <v>0</v>
      </c>
      <c r="N48" s="4">
        <v>449.3551177826443</v>
      </c>
      <c r="O48" s="4">
        <v>0</v>
      </c>
      <c r="P48" s="4">
        <v>389.3551177826443</v>
      </c>
      <c r="Q48" s="4">
        <v>0</v>
      </c>
      <c r="R48" s="3">
        <v>-4.9785039260881456</v>
      </c>
      <c r="Z48" t="s">
        <v>38</v>
      </c>
      <c r="AA48" t="s">
        <v>36</v>
      </c>
      <c r="AB48" s="4">
        <f t="shared" ca="1" si="62"/>
        <v>702.65249999999992</v>
      </c>
      <c r="AC48" s="4">
        <f t="shared" ca="1" si="63"/>
        <v>0</v>
      </c>
      <c r="AG48" s="14"/>
      <c r="AH48" s="14"/>
      <c r="AN48" t="s">
        <v>38</v>
      </c>
      <c r="AO48" t="s">
        <v>36</v>
      </c>
      <c r="AP48" s="4">
        <f t="shared" ca="1" si="64"/>
        <v>642.65249999999992</v>
      </c>
      <c r="AQ48" s="4">
        <f t="shared" ca="1" si="65"/>
        <v>0</v>
      </c>
      <c r="AU48" s="14"/>
      <c r="AV48" s="14"/>
      <c r="BB48" t="s">
        <v>38</v>
      </c>
      <c r="BC48" t="s">
        <v>36</v>
      </c>
      <c r="BD48" s="13">
        <f t="shared" ca="1" si="66"/>
        <v>582.65250000000003</v>
      </c>
      <c r="BE48" s="13">
        <f t="shared" ca="1" si="67"/>
        <v>0</v>
      </c>
      <c r="BI48" s="14"/>
      <c r="BJ48" s="14"/>
      <c r="BP48" t="s">
        <v>38</v>
      </c>
      <c r="BQ48" t="s">
        <v>36</v>
      </c>
      <c r="BR48" s="13">
        <f t="shared" ca="1" si="68"/>
        <v>522.7429166666667</v>
      </c>
      <c r="BS48" s="13">
        <f t="shared" ca="1" si="69"/>
        <v>9.0416666666666673E-2</v>
      </c>
      <c r="BW48" s="14"/>
      <c r="BX48" s="14"/>
      <c r="CD48" t="s">
        <v>38</v>
      </c>
      <c r="CE48" t="s">
        <v>36</v>
      </c>
      <c r="CF48" s="13">
        <f t="shared" ca="1" si="70"/>
        <v>463.19833333333338</v>
      </c>
      <c r="CG48" s="13">
        <f t="shared" ca="1" si="71"/>
        <v>0.54583333333333317</v>
      </c>
      <c r="CK48" s="14"/>
      <c r="CL48" s="14"/>
      <c r="CR48" t="s">
        <v>38</v>
      </c>
      <c r="CS48" t="s">
        <v>36</v>
      </c>
      <c r="CT48" s="13">
        <f t="shared" ca="1" si="72"/>
        <v>403.99833333333333</v>
      </c>
      <c r="CU48" s="13">
        <f t="shared" ca="1" si="73"/>
        <v>1.3458333333333332</v>
      </c>
      <c r="CY48" s="14"/>
      <c r="CZ48" s="14"/>
      <c r="DF48" t="s">
        <v>38</v>
      </c>
      <c r="DG48" t="s">
        <v>36</v>
      </c>
      <c r="DH48" s="13">
        <f t="shared" ca="1" si="74"/>
        <v>345.11250000000007</v>
      </c>
      <c r="DI48" s="13">
        <f t="shared" ca="1" si="75"/>
        <v>2.4599999999999995</v>
      </c>
      <c r="DM48" s="14"/>
      <c r="DN48" s="14"/>
    </row>
    <row r="49" spans="2:118" x14ac:dyDescent="0.35">
      <c r="B49">
        <v>2007</v>
      </c>
      <c r="C49">
        <v>12</v>
      </c>
      <c r="D49" s="4">
        <v>1051.1916666666668</v>
      </c>
      <c r="E49" s="4">
        <v>0</v>
      </c>
      <c r="F49" s="4">
        <v>989.19166666666672</v>
      </c>
      <c r="G49" s="4">
        <v>0</v>
      </c>
      <c r="H49" s="4">
        <v>927.19166666666672</v>
      </c>
      <c r="I49" s="4">
        <v>0</v>
      </c>
      <c r="J49" s="4">
        <v>865.19166666666672</v>
      </c>
      <c r="K49" s="4">
        <v>0</v>
      </c>
      <c r="L49" s="4">
        <v>803.19166666666672</v>
      </c>
      <c r="M49" s="4">
        <v>0</v>
      </c>
      <c r="N49" s="4">
        <v>741.19166666666661</v>
      </c>
      <c r="O49" s="4">
        <v>0</v>
      </c>
      <c r="P49" s="4">
        <v>679.19166666666661</v>
      </c>
      <c r="Q49" s="4">
        <v>0</v>
      </c>
      <c r="R49" s="3">
        <v>-13.909408602150538</v>
      </c>
      <c r="Z49" t="s">
        <v>38</v>
      </c>
      <c r="AA49" t="s">
        <v>37</v>
      </c>
      <c r="AB49" s="4">
        <f t="shared" ca="1" si="62"/>
        <v>939.70466952460959</v>
      </c>
      <c r="AC49" s="4">
        <f t="shared" ca="1" si="63"/>
        <v>0</v>
      </c>
      <c r="AG49" s="14"/>
      <c r="AH49" s="14"/>
      <c r="AN49" t="s">
        <v>38</v>
      </c>
      <c r="AO49" t="s">
        <v>37</v>
      </c>
      <c r="AP49" s="4">
        <f t="shared" ca="1" si="64"/>
        <v>877.70466952460959</v>
      </c>
      <c r="AQ49" s="4">
        <f t="shared" ca="1" si="65"/>
        <v>0</v>
      </c>
      <c r="AU49" s="14"/>
      <c r="AV49" s="14"/>
      <c r="BB49" t="s">
        <v>38</v>
      </c>
      <c r="BC49" t="s">
        <v>37</v>
      </c>
      <c r="BD49" s="13">
        <f t="shared" ca="1" si="66"/>
        <v>815.70466952460959</v>
      </c>
      <c r="BE49" s="13">
        <f t="shared" ca="1" si="67"/>
        <v>0</v>
      </c>
      <c r="BI49" s="14"/>
      <c r="BJ49" s="14"/>
      <c r="BP49" t="s">
        <v>38</v>
      </c>
      <c r="BQ49" t="s">
        <v>37</v>
      </c>
      <c r="BR49" s="13">
        <f t="shared" ca="1" si="68"/>
        <v>753.70466952460959</v>
      </c>
      <c r="BS49" s="13">
        <f t="shared" ca="1" si="69"/>
        <v>0</v>
      </c>
      <c r="BW49" s="14"/>
      <c r="BX49" s="14"/>
      <c r="CD49" t="s">
        <v>38</v>
      </c>
      <c r="CE49" t="s">
        <v>37</v>
      </c>
      <c r="CF49" s="13">
        <f t="shared" ca="1" si="70"/>
        <v>691.70466952460959</v>
      </c>
      <c r="CG49" s="13">
        <f t="shared" ca="1" si="71"/>
        <v>0</v>
      </c>
      <c r="CK49" s="14"/>
      <c r="CL49" s="14"/>
      <c r="CR49" t="s">
        <v>38</v>
      </c>
      <c r="CS49" t="s">
        <v>37</v>
      </c>
      <c r="CT49" s="13">
        <f t="shared" ca="1" si="72"/>
        <v>629.70466952460959</v>
      </c>
      <c r="CU49" s="13">
        <f t="shared" ca="1" si="73"/>
        <v>0</v>
      </c>
      <c r="CY49" s="14"/>
      <c r="CZ49" s="14"/>
      <c r="DF49" t="s">
        <v>38</v>
      </c>
      <c r="DG49" t="s">
        <v>37</v>
      </c>
      <c r="DH49" s="13">
        <f t="shared" ca="1" si="74"/>
        <v>567.70466952460959</v>
      </c>
      <c r="DI49" s="13">
        <f t="shared" ca="1" si="75"/>
        <v>0</v>
      </c>
      <c r="DM49" s="14"/>
      <c r="DN49" s="14"/>
    </row>
    <row r="50" spans="2:118" x14ac:dyDescent="0.35">
      <c r="B50">
        <v>2008</v>
      </c>
      <c r="C50">
        <v>1</v>
      </c>
      <c r="D50" s="4">
        <v>1050.4750000000001</v>
      </c>
      <c r="E50" s="4">
        <v>0</v>
      </c>
      <c r="F50" s="4">
        <v>988.47499999999991</v>
      </c>
      <c r="G50" s="4">
        <v>0</v>
      </c>
      <c r="H50" s="4">
        <v>926.47499999999991</v>
      </c>
      <c r="I50" s="4">
        <v>0</v>
      </c>
      <c r="J50" s="4">
        <v>864.47499999999991</v>
      </c>
      <c r="K50" s="4">
        <v>0</v>
      </c>
      <c r="L50" s="4">
        <v>802.47499999999991</v>
      </c>
      <c r="M50" s="4">
        <v>0</v>
      </c>
      <c r="N50" s="4">
        <v>740.47499999999991</v>
      </c>
      <c r="O50" s="4">
        <v>0</v>
      </c>
      <c r="P50" s="4">
        <v>678.47499999999991</v>
      </c>
      <c r="Q50" s="4">
        <v>0</v>
      </c>
      <c r="R50" s="3">
        <v>-13.886290322580646</v>
      </c>
    </row>
    <row r="51" spans="2:118" x14ac:dyDescent="0.35">
      <c r="B51">
        <v>2008</v>
      </c>
      <c r="C51">
        <v>2</v>
      </c>
      <c r="D51" s="4">
        <v>1044.2583333333334</v>
      </c>
      <c r="E51" s="4">
        <v>0</v>
      </c>
      <c r="F51" s="4">
        <v>986.25833333333355</v>
      </c>
      <c r="G51" s="4">
        <v>0</v>
      </c>
      <c r="H51" s="4">
        <v>928.25833333333355</v>
      </c>
      <c r="I51" s="4">
        <v>0</v>
      </c>
      <c r="J51" s="4">
        <v>870.25833333333355</v>
      </c>
      <c r="K51" s="4">
        <v>0</v>
      </c>
      <c r="L51" s="4">
        <v>812.25833333333355</v>
      </c>
      <c r="M51" s="4">
        <v>0</v>
      </c>
      <c r="N51" s="4">
        <v>754.25833333333355</v>
      </c>
      <c r="O51" s="4">
        <v>0</v>
      </c>
      <c r="P51" s="4">
        <v>696.25833333333355</v>
      </c>
      <c r="Q51" s="4">
        <v>0</v>
      </c>
      <c r="R51" s="3">
        <v>-16.008908045977012</v>
      </c>
    </row>
    <row r="52" spans="2:118" x14ac:dyDescent="0.35">
      <c r="B52">
        <v>2008</v>
      </c>
      <c r="C52">
        <v>3</v>
      </c>
      <c r="D52" s="4">
        <v>964.39369144617126</v>
      </c>
      <c r="E52" s="4">
        <v>0</v>
      </c>
      <c r="F52" s="4">
        <v>902.39369144617126</v>
      </c>
      <c r="G52" s="4">
        <v>0</v>
      </c>
      <c r="H52" s="4">
        <v>840.39369144617126</v>
      </c>
      <c r="I52" s="4">
        <v>0</v>
      </c>
      <c r="J52" s="4">
        <v>778.39369144617126</v>
      </c>
      <c r="K52" s="4">
        <v>0</v>
      </c>
      <c r="L52" s="4">
        <v>716.39369144617126</v>
      </c>
      <c r="M52" s="4">
        <v>0</v>
      </c>
      <c r="N52" s="4">
        <v>654.39369144617115</v>
      </c>
      <c r="O52" s="4">
        <v>0</v>
      </c>
      <c r="P52" s="4">
        <v>592.39369144617126</v>
      </c>
      <c r="Q52" s="4">
        <v>0</v>
      </c>
      <c r="R52" s="3">
        <v>-11.10947391761842</v>
      </c>
    </row>
    <row r="53" spans="2:118" x14ac:dyDescent="0.35">
      <c r="B53">
        <v>2008</v>
      </c>
      <c r="C53">
        <v>4</v>
      </c>
      <c r="D53" s="4">
        <v>543.37916666666672</v>
      </c>
      <c r="E53" s="4">
        <v>0</v>
      </c>
      <c r="F53" s="4">
        <v>483.37916666666666</v>
      </c>
      <c r="G53" s="4">
        <v>0</v>
      </c>
      <c r="H53" s="4">
        <v>423.37916666666666</v>
      </c>
      <c r="I53" s="4">
        <v>0</v>
      </c>
      <c r="J53" s="4">
        <v>363.37916666666672</v>
      </c>
      <c r="K53" s="4">
        <v>0</v>
      </c>
      <c r="L53" s="4">
        <v>303.38749999999999</v>
      </c>
      <c r="M53" s="4">
        <v>8.333333333334636E-3</v>
      </c>
      <c r="N53" s="4">
        <v>246.01249999999999</v>
      </c>
      <c r="O53" s="4">
        <v>2.6333333333333329</v>
      </c>
      <c r="P53" s="4">
        <v>194.27500000000001</v>
      </c>
      <c r="Q53" s="4">
        <v>10.895833333333336</v>
      </c>
      <c r="R53" s="3">
        <v>1.8873611111111115</v>
      </c>
    </row>
    <row r="54" spans="2:118" x14ac:dyDescent="0.35">
      <c r="B54">
        <v>2008</v>
      </c>
      <c r="C54">
        <v>5</v>
      </c>
      <c r="D54" s="4">
        <v>418.47916666666663</v>
      </c>
      <c r="E54" s="4">
        <v>0</v>
      </c>
      <c r="F54" s="4">
        <v>356.47916666666663</v>
      </c>
      <c r="G54" s="4">
        <v>0</v>
      </c>
      <c r="H54" s="4">
        <v>294.47916666666669</v>
      </c>
      <c r="I54" s="4">
        <v>0</v>
      </c>
      <c r="J54" s="4">
        <v>232.47916666666669</v>
      </c>
      <c r="K54" s="4">
        <v>0</v>
      </c>
      <c r="L54" s="4">
        <v>171.1166666666667</v>
      </c>
      <c r="M54" s="4">
        <v>0.63750000000000284</v>
      </c>
      <c r="N54" s="4">
        <v>115.7</v>
      </c>
      <c r="O54" s="4">
        <v>7.2208333333333403</v>
      </c>
      <c r="P54" s="4">
        <v>69.229166666666657</v>
      </c>
      <c r="Q54" s="4">
        <v>22.750000000000007</v>
      </c>
      <c r="R54" s="3">
        <v>6.5006720430107521</v>
      </c>
    </row>
    <row r="55" spans="2:118" x14ac:dyDescent="0.35">
      <c r="B55">
        <v>2008</v>
      </c>
      <c r="C55">
        <v>6</v>
      </c>
      <c r="D55" s="4">
        <v>185.8205698536029</v>
      </c>
      <c r="E55" s="4">
        <v>0.15416666666666501</v>
      </c>
      <c r="F55" s="4">
        <v>128.58723652026956</v>
      </c>
      <c r="G55" s="4">
        <v>2.9208333333333307</v>
      </c>
      <c r="H55" s="4">
        <v>81.287236520269559</v>
      </c>
      <c r="I55" s="4">
        <v>15.620833333333334</v>
      </c>
      <c r="J55" s="4">
        <v>45.729166666666671</v>
      </c>
      <c r="K55" s="4">
        <v>40.062763479730414</v>
      </c>
      <c r="L55" s="4">
        <v>24.429166666666667</v>
      </c>
      <c r="M55" s="4">
        <v>78.762763479730424</v>
      </c>
      <c r="N55" s="4">
        <v>8.6208333333333353</v>
      </c>
      <c r="O55" s="4">
        <v>122.9544301463971</v>
      </c>
      <c r="P55" s="4">
        <v>2.5291666666666668</v>
      </c>
      <c r="Q55" s="4">
        <v>176.86276347973043</v>
      </c>
      <c r="R55" s="3">
        <v>13.811119893768794</v>
      </c>
    </row>
    <row r="56" spans="2:118" x14ac:dyDescent="0.35">
      <c r="B56">
        <v>2008</v>
      </c>
      <c r="C56">
        <v>7</v>
      </c>
      <c r="D56" s="4">
        <v>125.9708333333333</v>
      </c>
      <c r="E56" s="4">
        <v>1.4500000000000028</v>
      </c>
      <c r="F56" s="4">
        <v>69.17083333333332</v>
      </c>
      <c r="G56" s="4">
        <v>6.6499999999999986</v>
      </c>
      <c r="H56" s="4">
        <v>26.641666666666659</v>
      </c>
      <c r="I56" s="4">
        <v>26.120833333333326</v>
      </c>
      <c r="J56" s="4">
        <v>6.3499999999999979</v>
      </c>
      <c r="K56" s="4">
        <v>67.82916666666668</v>
      </c>
      <c r="L56" s="4">
        <v>0.27500000000000036</v>
      </c>
      <c r="M56" s="4">
        <v>123.75416666666669</v>
      </c>
      <c r="N56" s="4">
        <v>0</v>
      </c>
      <c r="O56" s="4">
        <v>185.47916666666663</v>
      </c>
      <c r="P56" s="4">
        <v>0</v>
      </c>
      <c r="Q56" s="4">
        <v>247.47916666666669</v>
      </c>
      <c r="R56" s="3">
        <v>15.983198924731182</v>
      </c>
    </row>
    <row r="57" spans="2:118" x14ac:dyDescent="0.35">
      <c r="B57">
        <v>2008</v>
      </c>
      <c r="C57">
        <v>8</v>
      </c>
      <c r="D57" s="4">
        <v>136.5</v>
      </c>
      <c r="E57" s="4">
        <v>0.73750000000000071</v>
      </c>
      <c r="F57" s="4">
        <v>82.38333333333334</v>
      </c>
      <c r="G57" s="4">
        <v>8.6208333333333407</v>
      </c>
      <c r="H57" s="4">
        <v>39.075000000000031</v>
      </c>
      <c r="I57" s="4">
        <v>27.312500000000011</v>
      </c>
      <c r="J57" s="4">
        <v>13.454166666666676</v>
      </c>
      <c r="K57" s="4">
        <v>63.691666666666677</v>
      </c>
      <c r="L57" s="4">
        <v>3.2875000000000032</v>
      </c>
      <c r="M57" s="4">
        <v>115.52500000000001</v>
      </c>
      <c r="N57" s="4">
        <v>0</v>
      </c>
      <c r="O57" s="4">
        <v>174.23750000000001</v>
      </c>
      <c r="P57" s="4">
        <v>0</v>
      </c>
      <c r="Q57" s="4">
        <v>236.23750000000001</v>
      </c>
      <c r="R57" s="3">
        <v>15.620564516129033</v>
      </c>
    </row>
    <row r="58" spans="2:118" x14ac:dyDescent="0.35">
      <c r="B58">
        <v>2008</v>
      </c>
      <c r="C58">
        <v>9</v>
      </c>
      <c r="D58" s="4">
        <v>280.64166666666665</v>
      </c>
      <c r="E58" s="4">
        <v>4.1666666666666643</v>
      </c>
      <c r="F58" s="4">
        <v>224.64166666666665</v>
      </c>
      <c r="G58" s="4">
        <v>8.1666666666666643</v>
      </c>
      <c r="H58" s="4">
        <v>170.23750000000001</v>
      </c>
      <c r="I58" s="4">
        <v>13.762499999999996</v>
      </c>
      <c r="J58" s="4">
        <v>121.97083333333333</v>
      </c>
      <c r="K58" s="4">
        <v>25.49583333333333</v>
      </c>
      <c r="L58" s="4">
        <v>79.287499999999994</v>
      </c>
      <c r="M58" s="4">
        <v>42.812499999999993</v>
      </c>
      <c r="N58" s="4">
        <v>44.916666666666671</v>
      </c>
      <c r="O58" s="4">
        <v>68.441666666666677</v>
      </c>
      <c r="P58" s="4">
        <v>22.758333333333336</v>
      </c>
      <c r="Q58" s="4">
        <v>106.28333333333332</v>
      </c>
      <c r="R58" s="3">
        <v>10.784166666666666</v>
      </c>
    </row>
    <row r="59" spans="2:118" x14ac:dyDescent="0.35">
      <c r="B59">
        <v>2008</v>
      </c>
      <c r="C59">
        <v>10</v>
      </c>
      <c r="D59" s="4">
        <v>490.79011472520529</v>
      </c>
      <c r="E59" s="4">
        <v>0</v>
      </c>
      <c r="F59" s="4">
        <v>428.79011472520529</v>
      </c>
      <c r="G59" s="4">
        <v>0</v>
      </c>
      <c r="H59" s="4">
        <v>368.46094805853869</v>
      </c>
      <c r="I59" s="4">
        <v>1.6708333333333343</v>
      </c>
      <c r="J59" s="4">
        <v>308.46094805853863</v>
      </c>
      <c r="K59" s="4">
        <v>3.6708333333333343</v>
      </c>
      <c r="L59" s="4">
        <v>248.46094805853863</v>
      </c>
      <c r="M59" s="4">
        <v>5.6708333333333343</v>
      </c>
      <c r="N59" s="4">
        <v>189.76511472520531</v>
      </c>
      <c r="O59" s="4">
        <v>8.9749999999999996</v>
      </c>
      <c r="P59" s="4">
        <v>133.76928139187197</v>
      </c>
      <c r="Q59" s="4">
        <v>14.979166666666666</v>
      </c>
      <c r="R59" s="3">
        <v>4.1680608153159575</v>
      </c>
    </row>
    <row r="60" spans="2:118" x14ac:dyDescent="0.35">
      <c r="B60">
        <v>2008</v>
      </c>
      <c r="C60">
        <v>11</v>
      </c>
      <c r="D60" s="4">
        <v>708.18638311983716</v>
      </c>
      <c r="E60" s="4">
        <v>0</v>
      </c>
      <c r="F60" s="4">
        <v>648.18638311983705</v>
      </c>
      <c r="G60" s="4">
        <v>0</v>
      </c>
      <c r="H60" s="4">
        <v>588.18638311983705</v>
      </c>
      <c r="I60" s="4">
        <v>0</v>
      </c>
      <c r="J60" s="4">
        <v>528.18638311983705</v>
      </c>
      <c r="K60" s="4">
        <v>0</v>
      </c>
      <c r="L60" s="4">
        <v>468.18638311983699</v>
      </c>
      <c r="M60" s="4">
        <v>0</v>
      </c>
      <c r="N60" s="4">
        <v>408.18638311983705</v>
      </c>
      <c r="O60" s="4">
        <v>0</v>
      </c>
      <c r="P60" s="4">
        <v>348.37015388192191</v>
      </c>
      <c r="Q60" s="4">
        <v>0.18377076208484944</v>
      </c>
      <c r="R60" s="3">
        <v>-3.6062127706612364</v>
      </c>
    </row>
    <row r="61" spans="2:118" x14ac:dyDescent="0.35">
      <c r="B61">
        <v>2008</v>
      </c>
      <c r="C61">
        <v>12</v>
      </c>
      <c r="D61" s="4">
        <v>1157.6375000000003</v>
      </c>
      <c r="E61" s="4">
        <v>0</v>
      </c>
      <c r="F61" s="4">
        <v>1095.6375000000003</v>
      </c>
      <c r="G61" s="4">
        <v>0</v>
      </c>
      <c r="H61" s="4">
        <v>1033.6375000000003</v>
      </c>
      <c r="I61" s="4">
        <v>0</v>
      </c>
      <c r="J61" s="4">
        <v>971.63750000000016</v>
      </c>
      <c r="K61" s="4">
        <v>0</v>
      </c>
      <c r="L61" s="4">
        <v>909.63750000000016</v>
      </c>
      <c r="M61" s="4">
        <v>0</v>
      </c>
      <c r="N61" s="4">
        <v>847.63750000000016</v>
      </c>
      <c r="O61" s="4">
        <v>0</v>
      </c>
      <c r="P61" s="4">
        <v>785.63750000000016</v>
      </c>
      <c r="Q61" s="4">
        <v>0</v>
      </c>
      <c r="R61" s="3">
        <v>-17.343145161290323</v>
      </c>
    </row>
    <row r="62" spans="2:118" x14ac:dyDescent="0.35">
      <c r="B62">
        <v>2009</v>
      </c>
      <c r="C62">
        <v>1</v>
      </c>
      <c r="D62" s="4">
        <v>1211.8632532924357</v>
      </c>
      <c r="E62" s="4">
        <v>0</v>
      </c>
      <c r="F62" s="4">
        <v>1149.8632532924357</v>
      </c>
      <c r="G62" s="4">
        <v>0</v>
      </c>
      <c r="H62" s="4">
        <v>1087.8632532924357</v>
      </c>
      <c r="I62" s="4">
        <v>0</v>
      </c>
      <c r="J62" s="4">
        <v>1025.8632532924355</v>
      </c>
      <c r="K62" s="4">
        <v>0</v>
      </c>
      <c r="L62" s="4">
        <v>963.8632532924355</v>
      </c>
      <c r="M62" s="4">
        <v>0</v>
      </c>
      <c r="N62" s="4">
        <v>901.8632532924355</v>
      </c>
      <c r="O62" s="4">
        <v>0</v>
      </c>
      <c r="P62" s="4">
        <v>839.8632532924355</v>
      </c>
      <c r="Q62" s="4">
        <v>0</v>
      </c>
      <c r="R62" s="3">
        <v>-19.092363009433402</v>
      </c>
    </row>
    <row r="63" spans="2:118" x14ac:dyDescent="0.35">
      <c r="B63">
        <v>2009</v>
      </c>
      <c r="C63">
        <v>2</v>
      </c>
      <c r="D63" s="4">
        <v>486.2343885897389</v>
      </c>
      <c r="E63" s="4">
        <v>0</v>
      </c>
      <c r="F63" s="4">
        <v>430.2343885897389</v>
      </c>
      <c r="G63" s="4">
        <v>0</v>
      </c>
      <c r="H63" s="4">
        <v>374.23438858973896</v>
      </c>
      <c r="I63" s="4">
        <v>0</v>
      </c>
      <c r="J63" s="4">
        <v>318.2343885897389</v>
      </c>
      <c r="K63" s="4">
        <v>0</v>
      </c>
      <c r="L63" s="4">
        <v>262.23438858973896</v>
      </c>
      <c r="M63" s="4">
        <v>0</v>
      </c>
      <c r="N63" s="4">
        <v>206.2343885897389</v>
      </c>
      <c r="O63" s="4">
        <v>0</v>
      </c>
      <c r="P63" s="4">
        <v>150.27590311694766</v>
      </c>
      <c r="Q63" s="4">
        <v>4.1514527208708074E-2</v>
      </c>
      <c r="R63" s="3">
        <v>2.6344861217950366</v>
      </c>
    </row>
    <row r="64" spans="2:118" x14ac:dyDescent="0.35">
      <c r="B64">
        <v>2009</v>
      </c>
      <c r="C64">
        <v>3</v>
      </c>
      <c r="D64" s="4">
        <v>606.35998107788419</v>
      </c>
      <c r="E64" s="4">
        <v>0</v>
      </c>
      <c r="F64" s="4">
        <v>544.35998107788419</v>
      </c>
      <c r="G64" s="4">
        <v>0</v>
      </c>
      <c r="H64" s="4">
        <v>482.35998107788424</v>
      </c>
      <c r="I64" s="4">
        <v>0</v>
      </c>
      <c r="J64" s="4">
        <v>420.3599810778843</v>
      </c>
      <c r="K64" s="4">
        <v>0</v>
      </c>
      <c r="L64" s="4">
        <v>358.3599810778843</v>
      </c>
      <c r="M64" s="4">
        <v>0</v>
      </c>
      <c r="N64" s="4">
        <v>296.35998107788436</v>
      </c>
      <c r="O64" s="4">
        <v>0</v>
      </c>
      <c r="P64" s="4">
        <v>234.35998107788438</v>
      </c>
      <c r="Q64" s="4">
        <v>0</v>
      </c>
      <c r="R64" s="3">
        <v>0.44000061039082949</v>
      </c>
    </row>
    <row r="65" spans="2:18" x14ac:dyDescent="0.35">
      <c r="B65">
        <v>2009</v>
      </c>
      <c r="C65">
        <v>4</v>
      </c>
      <c r="D65" s="4">
        <v>621.33509909051725</v>
      </c>
      <c r="E65" s="4">
        <v>0</v>
      </c>
      <c r="F65" s="4">
        <v>561.33509909051725</v>
      </c>
      <c r="G65" s="4">
        <v>0</v>
      </c>
      <c r="H65" s="4">
        <v>501.33509909051725</v>
      </c>
      <c r="I65" s="4">
        <v>0</v>
      </c>
      <c r="J65" s="4">
        <v>441.33509909051725</v>
      </c>
      <c r="K65" s="4">
        <v>0</v>
      </c>
      <c r="L65" s="4">
        <v>381.33509909051725</v>
      </c>
      <c r="M65" s="4">
        <v>0</v>
      </c>
      <c r="N65" s="4">
        <v>321.3350990905173</v>
      </c>
      <c r="O65" s="4">
        <v>0</v>
      </c>
      <c r="P65" s="4">
        <v>261.33509909051736</v>
      </c>
      <c r="Q65" s="4">
        <v>0</v>
      </c>
      <c r="R65" s="3">
        <v>-0.71116996968391022</v>
      </c>
    </row>
    <row r="66" spans="2:18" x14ac:dyDescent="0.35">
      <c r="B66">
        <v>2009</v>
      </c>
      <c r="C66">
        <v>5</v>
      </c>
      <c r="D66" s="4">
        <v>520.26453608677605</v>
      </c>
      <c r="E66" s="4">
        <v>0</v>
      </c>
      <c r="F66" s="4">
        <v>458.26453608677605</v>
      </c>
      <c r="G66" s="4">
        <v>0</v>
      </c>
      <c r="H66" s="4">
        <v>396.26453608677605</v>
      </c>
      <c r="I66" s="4">
        <v>0</v>
      </c>
      <c r="J66" s="4">
        <v>334.2645360867761</v>
      </c>
      <c r="K66" s="4">
        <v>0</v>
      </c>
      <c r="L66" s="4">
        <v>273.27703608677621</v>
      </c>
      <c r="M66" s="4">
        <v>1.0125000000000011</v>
      </c>
      <c r="N66" s="4">
        <v>215.69786942010953</v>
      </c>
      <c r="O66" s="4">
        <v>5.4333333333333336</v>
      </c>
      <c r="P66" s="4">
        <v>163.93120275344285</v>
      </c>
      <c r="Q66" s="4">
        <v>15.666666666666664</v>
      </c>
      <c r="R66" s="3">
        <v>3.2172730294588336</v>
      </c>
    </row>
    <row r="67" spans="2:18" x14ac:dyDescent="0.35">
      <c r="B67">
        <v>2009</v>
      </c>
      <c r="C67">
        <v>6</v>
      </c>
      <c r="D67" s="4">
        <v>184.50416666666666</v>
      </c>
      <c r="E67" s="4">
        <v>11.004166666666674</v>
      </c>
      <c r="F67" s="4">
        <v>135.94999999999999</v>
      </c>
      <c r="G67" s="4">
        <v>22.450000000000006</v>
      </c>
      <c r="H67" s="4">
        <v>96.958333333333329</v>
      </c>
      <c r="I67" s="4">
        <v>43.458333333333343</v>
      </c>
      <c r="J67" s="4">
        <v>68.004166666666677</v>
      </c>
      <c r="K67" s="4">
        <v>74.504166666666663</v>
      </c>
      <c r="L67" s="4">
        <v>41.112500000000004</v>
      </c>
      <c r="M67" s="4">
        <v>107.61250000000001</v>
      </c>
      <c r="N67" s="4">
        <v>22.129166666666666</v>
      </c>
      <c r="O67" s="4">
        <v>148.62916666666666</v>
      </c>
      <c r="P67" s="4">
        <v>8.7083333333333321</v>
      </c>
      <c r="Q67" s="4">
        <v>195.20833333333331</v>
      </c>
      <c r="R67" s="3">
        <v>14.216666666666667</v>
      </c>
    </row>
    <row r="68" spans="2:18" x14ac:dyDescent="0.35">
      <c r="B68">
        <v>2009</v>
      </c>
      <c r="C68">
        <v>7</v>
      </c>
      <c r="D68" s="4">
        <v>359.66298865272228</v>
      </c>
      <c r="E68" s="4">
        <v>0</v>
      </c>
      <c r="F68" s="4">
        <v>301.13798865272224</v>
      </c>
      <c r="G68" s="4">
        <v>3.4749999999999943</v>
      </c>
      <c r="H68" s="4">
        <v>253.56715531938892</v>
      </c>
      <c r="I68" s="4">
        <v>17.904166666666665</v>
      </c>
      <c r="J68" s="4">
        <v>216.88382198605561</v>
      </c>
      <c r="K68" s="4">
        <v>43.220833333333331</v>
      </c>
      <c r="L68" s="4">
        <v>184.33798865272226</v>
      </c>
      <c r="M68" s="4">
        <v>72.674999999999997</v>
      </c>
      <c r="N68" s="4">
        <v>156.10465531938894</v>
      </c>
      <c r="O68" s="4">
        <v>106.44166666666665</v>
      </c>
      <c r="P68" s="4">
        <v>131.3879886527223</v>
      </c>
      <c r="Q68" s="4">
        <v>143.72499999999997</v>
      </c>
      <c r="R68" s="3">
        <v>8.3979681079767001</v>
      </c>
    </row>
    <row r="69" spans="2:18" x14ac:dyDescent="0.35">
      <c r="B69">
        <v>2009</v>
      </c>
      <c r="C69">
        <v>8</v>
      </c>
      <c r="D69" s="4">
        <v>242.85265801683772</v>
      </c>
      <c r="E69" s="4">
        <v>10.929166666666667</v>
      </c>
      <c r="F69" s="4">
        <v>191.25682468350442</v>
      </c>
      <c r="G69" s="4">
        <v>21.333333333333332</v>
      </c>
      <c r="H69" s="4">
        <v>146.65265801683776</v>
      </c>
      <c r="I69" s="4">
        <v>38.729166666666671</v>
      </c>
      <c r="J69" s="4">
        <v>115.88182468350443</v>
      </c>
      <c r="K69" s="4">
        <v>69.958333333333371</v>
      </c>
      <c r="L69" s="4">
        <v>94.952658016837759</v>
      </c>
      <c r="M69" s="4">
        <v>111.0291666666667</v>
      </c>
      <c r="N69" s="4">
        <v>79.319324683504433</v>
      </c>
      <c r="O69" s="4">
        <v>157.39583333333337</v>
      </c>
      <c r="P69" s="4">
        <v>65.319324683504433</v>
      </c>
      <c r="Q69" s="4">
        <v>205.3958333333334</v>
      </c>
      <c r="R69" s="3">
        <v>12.51859705322029</v>
      </c>
    </row>
    <row r="70" spans="2:18" x14ac:dyDescent="0.35">
      <c r="B70">
        <v>2009</v>
      </c>
      <c r="C70">
        <v>9</v>
      </c>
      <c r="D70" s="4">
        <v>694.06013517728547</v>
      </c>
      <c r="E70" s="4">
        <v>0</v>
      </c>
      <c r="F70" s="4">
        <v>634.06013517728559</v>
      </c>
      <c r="G70" s="4">
        <v>0</v>
      </c>
      <c r="H70" s="4">
        <v>574.06013517728559</v>
      </c>
      <c r="I70" s="4">
        <v>0</v>
      </c>
      <c r="J70" s="4">
        <v>514.06013517728559</v>
      </c>
      <c r="K70" s="4">
        <v>0</v>
      </c>
      <c r="L70" s="4">
        <v>454.06013517728564</v>
      </c>
      <c r="M70" s="4">
        <v>0</v>
      </c>
      <c r="N70" s="4">
        <v>394.06013517728564</v>
      </c>
      <c r="O70" s="4">
        <v>0</v>
      </c>
      <c r="P70" s="4">
        <v>334.06013517728564</v>
      </c>
      <c r="Q70" s="4">
        <v>0</v>
      </c>
      <c r="R70" s="3">
        <v>-3.1353378392428501</v>
      </c>
    </row>
    <row r="71" spans="2:18" x14ac:dyDescent="0.35">
      <c r="B71">
        <v>2009</v>
      </c>
      <c r="C71">
        <v>10</v>
      </c>
      <c r="D71" s="4">
        <v>569.62987815243628</v>
      </c>
      <c r="E71" s="4">
        <v>0</v>
      </c>
      <c r="F71" s="4">
        <v>507.62987815243633</v>
      </c>
      <c r="G71" s="4">
        <v>0</v>
      </c>
      <c r="H71" s="4">
        <v>445.62987815243633</v>
      </c>
      <c r="I71" s="4">
        <v>0</v>
      </c>
      <c r="J71" s="4">
        <v>383.62987815243628</v>
      </c>
      <c r="K71" s="4">
        <v>0</v>
      </c>
      <c r="L71" s="4">
        <v>321.62987815243639</v>
      </c>
      <c r="M71" s="4">
        <v>0</v>
      </c>
      <c r="N71" s="4">
        <v>259.62987815243639</v>
      </c>
      <c r="O71" s="4">
        <v>0</v>
      </c>
      <c r="P71" s="4">
        <v>199.25335139547153</v>
      </c>
      <c r="Q71" s="4">
        <v>1.6234732430351482</v>
      </c>
      <c r="R71" s="3">
        <v>1.6248426402439882</v>
      </c>
    </row>
    <row r="72" spans="2:18" x14ac:dyDescent="0.35">
      <c r="B72">
        <v>2009</v>
      </c>
      <c r="C72">
        <v>11</v>
      </c>
      <c r="D72" s="4">
        <v>559.73962589498205</v>
      </c>
      <c r="E72" s="4">
        <v>0</v>
      </c>
      <c r="F72" s="4">
        <v>499.73962589498188</v>
      </c>
      <c r="G72" s="4">
        <v>0</v>
      </c>
      <c r="H72" s="4">
        <v>439.73962589498188</v>
      </c>
      <c r="I72" s="4">
        <v>0</v>
      </c>
      <c r="J72" s="4">
        <v>379.73962589498177</v>
      </c>
      <c r="K72" s="4">
        <v>0</v>
      </c>
      <c r="L72" s="4">
        <v>319.73962589498177</v>
      </c>
      <c r="M72" s="4">
        <v>0</v>
      </c>
      <c r="N72" s="4">
        <v>259.73962589498177</v>
      </c>
      <c r="O72" s="4">
        <v>0</v>
      </c>
      <c r="P72" s="4">
        <v>199.98129256164844</v>
      </c>
      <c r="Q72" s="4">
        <v>0.24166666666666714</v>
      </c>
      <c r="R72" s="3">
        <v>1.3420124701672731</v>
      </c>
    </row>
    <row r="73" spans="2:18" x14ac:dyDescent="0.35">
      <c r="B73">
        <v>2009</v>
      </c>
      <c r="C73">
        <v>12</v>
      </c>
      <c r="D73" s="4">
        <v>612.64401897212917</v>
      </c>
      <c r="E73" s="4">
        <v>0</v>
      </c>
      <c r="F73" s="4">
        <v>550.64401897212917</v>
      </c>
      <c r="G73" s="4">
        <v>0</v>
      </c>
      <c r="H73" s="4">
        <v>488.64401897212917</v>
      </c>
      <c r="I73" s="4">
        <v>0</v>
      </c>
      <c r="J73" s="4">
        <v>426.64401897212929</v>
      </c>
      <c r="K73" s="4">
        <v>0</v>
      </c>
      <c r="L73" s="4">
        <v>364.64401897212929</v>
      </c>
      <c r="M73" s="4">
        <v>0</v>
      </c>
      <c r="N73" s="4">
        <v>302.64401897212929</v>
      </c>
      <c r="O73" s="4">
        <v>0</v>
      </c>
      <c r="P73" s="4">
        <v>240.64401897212926</v>
      </c>
      <c r="Q73" s="4">
        <v>0</v>
      </c>
      <c r="R73" s="3">
        <v>0.23728971057647635</v>
      </c>
    </row>
    <row r="74" spans="2:18" x14ac:dyDescent="0.35">
      <c r="B74">
        <v>2010</v>
      </c>
      <c r="C74">
        <v>1</v>
      </c>
      <c r="D74" s="4">
        <v>1028.8992823943527</v>
      </c>
      <c r="E74" s="4">
        <v>0</v>
      </c>
      <c r="F74" s="4">
        <v>966.89928239435255</v>
      </c>
      <c r="G74" s="4">
        <v>0</v>
      </c>
      <c r="H74" s="4">
        <v>904.89928239435255</v>
      </c>
      <c r="I74" s="4">
        <v>0</v>
      </c>
      <c r="J74" s="4">
        <v>842.89928239435244</v>
      </c>
      <c r="K74" s="4">
        <v>0</v>
      </c>
      <c r="L74" s="4">
        <v>780.89928239435244</v>
      </c>
      <c r="M74" s="4">
        <v>0</v>
      </c>
      <c r="N74" s="4">
        <v>718.89928239435244</v>
      </c>
      <c r="O74" s="4">
        <v>0</v>
      </c>
      <c r="P74" s="4">
        <v>656.89928239435244</v>
      </c>
      <c r="Q74" s="4">
        <v>0</v>
      </c>
      <c r="R74" s="3">
        <v>-13.190299432075886</v>
      </c>
    </row>
    <row r="75" spans="2:18" x14ac:dyDescent="0.35">
      <c r="B75">
        <v>2010</v>
      </c>
      <c r="C75">
        <v>2</v>
      </c>
      <c r="D75" s="4">
        <v>555.77351144977865</v>
      </c>
      <c r="E75" s="4">
        <v>0</v>
      </c>
      <c r="F75" s="4">
        <v>499.77351144977865</v>
      </c>
      <c r="G75" s="4">
        <v>0</v>
      </c>
      <c r="H75" s="4">
        <v>443.7735114497786</v>
      </c>
      <c r="I75" s="4">
        <v>0</v>
      </c>
      <c r="J75" s="4">
        <v>387.77351144977865</v>
      </c>
      <c r="K75" s="4">
        <v>0</v>
      </c>
      <c r="L75" s="4">
        <v>331.77351144977865</v>
      </c>
      <c r="M75" s="4">
        <v>0</v>
      </c>
      <c r="N75" s="4">
        <v>275.77351144977865</v>
      </c>
      <c r="O75" s="4">
        <v>0</v>
      </c>
      <c r="P75" s="4">
        <v>219.77351144977862</v>
      </c>
      <c r="Q75" s="4">
        <v>0</v>
      </c>
      <c r="R75" s="3">
        <v>0.15094601965076329</v>
      </c>
    </row>
    <row r="76" spans="2:18" x14ac:dyDescent="0.35">
      <c r="B76">
        <v>2010</v>
      </c>
      <c r="C76">
        <v>3</v>
      </c>
      <c r="D76" s="4">
        <v>667.52722086558254</v>
      </c>
      <c r="E76" s="4">
        <v>0</v>
      </c>
      <c r="F76" s="4">
        <v>605.52722086558265</v>
      </c>
      <c r="G76" s="4">
        <v>0</v>
      </c>
      <c r="H76" s="4">
        <v>543.52722086558254</v>
      </c>
      <c r="I76" s="4">
        <v>0</v>
      </c>
      <c r="J76" s="4">
        <v>481.52722086558259</v>
      </c>
      <c r="K76" s="4">
        <v>0</v>
      </c>
      <c r="L76" s="4">
        <v>419.52722086558259</v>
      </c>
      <c r="M76" s="4">
        <v>0</v>
      </c>
      <c r="N76" s="4">
        <v>358.90222086558259</v>
      </c>
      <c r="O76" s="4">
        <v>1.375</v>
      </c>
      <c r="P76" s="4">
        <v>298.90222086558259</v>
      </c>
      <c r="Q76" s="4">
        <v>3.375</v>
      </c>
      <c r="R76" s="3">
        <v>-1.5331361569542756</v>
      </c>
    </row>
    <row r="77" spans="2:18" x14ac:dyDescent="0.35">
      <c r="B77">
        <v>2010</v>
      </c>
      <c r="C77">
        <v>4</v>
      </c>
      <c r="D77" s="4">
        <v>451.17533190586187</v>
      </c>
      <c r="E77" s="4">
        <v>0</v>
      </c>
      <c r="F77" s="4">
        <v>391.17533190586187</v>
      </c>
      <c r="G77" s="4">
        <v>0</v>
      </c>
      <c r="H77" s="4">
        <v>331.95033190586184</v>
      </c>
      <c r="I77" s="4">
        <v>0.77500000000000213</v>
      </c>
      <c r="J77" s="4">
        <v>275.72533190586182</v>
      </c>
      <c r="K77" s="4">
        <v>4.5500000000000025</v>
      </c>
      <c r="L77" s="4">
        <v>219.72533190586179</v>
      </c>
      <c r="M77" s="4">
        <v>8.5500000000000025</v>
      </c>
      <c r="N77" s="4">
        <v>166.50033190586183</v>
      </c>
      <c r="O77" s="4">
        <v>15.325000000000001</v>
      </c>
      <c r="P77" s="4">
        <v>117.09199857252848</v>
      </c>
      <c r="Q77" s="4">
        <v>25.916666666666671</v>
      </c>
      <c r="R77" s="3">
        <v>4.9608222698046065</v>
      </c>
    </row>
    <row r="78" spans="2:18" x14ac:dyDescent="0.35">
      <c r="B78">
        <v>2010</v>
      </c>
      <c r="C78">
        <v>5</v>
      </c>
      <c r="D78" s="4">
        <v>256.625</v>
      </c>
      <c r="E78" s="4">
        <v>21.874999999999996</v>
      </c>
      <c r="F78" s="4">
        <v>208.06250000000003</v>
      </c>
      <c r="G78" s="4">
        <v>35.3125</v>
      </c>
      <c r="H78" s="4">
        <v>163.12916666666669</v>
      </c>
      <c r="I78" s="4">
        <v>52.379166666666663</v>
      </c>
      <c r="J78" s="4">
        <v>122.4041666666667</v>
      </c>
      <c r="K78" s="4">
        <v>73.65416666666664</v>
      </c>
      <c r="L78" s="4">
        <v>89.379166666666677</v>
      </c>
      <c r="M78" s="4">
        <v>102.62916666666663</v>
      </c>
      <c r="N78" s="4">
        <v>61.841666666666661</v>
      </c>
      <c r="O78" s="4">
        <v>137.09166666666664</v>
      </c>
      <c r="P78" s="4">
        <v>41.18333333333333</v>
      </c>
      <c r="Q78" s="4">
        <v>178.43333333333331</v>
      </c>
      <c r="R78" s="3">
        <v>12.427419354838714</v>
      </c>
    </row>
    <row r="79" spans="2:18" x14ac:dyDescent="0.35">
      <c r="B79">
        <v>2010</v>
      </c>
      <c r="C79">
        <v>6</v>
      </c>
      <c r="D79" s="4">
        <v>178.75833333333333</v>
      </c>
      <c r="E79" s="4">
        <v>2.0874999999999986</v>
      </c>
      <c r="F79" s="4">
        <v>126.31666666666668</v>
      </c>
      <c r="G79" s="4">
        <v>9.6458333333333357</v>
      </c>
      <c r="H79" s="4">
        <v>82.620833333333337</v>
      </c>
      <c r="I79" s="4">
        <v>25.950000000000006</v>
      </c>
      <c r="J79" s="4">
        <v>46.416666666666664</v>
      </c>
      <c r="K79" s="4">
        <v>49.745833333333337</v>
      </c>
      <c r="L79" s="4">
        <v>20.070833333333333</v>
      </c>
      <c r="M79" s="4">
        <v>83.399999999999991</v>
      </c>
      <c r="N79" s="4">
        <v>7.5583333333333327</v>
      </c>
      <c r="O79" s="4">
        <v>130.88750000000002</v>
      </c>
      <c r="P79" s="4">
        <v>2.8708333333333327</v>
      </c>
      <c r="Q79" s="4">
        <v>186.20000000000002</v>
      </c>
      <c r="R79" s="3">
        <v>14.110972222222223</v>
      </c>
    </row>
    <row r="80" spans="2:18" x14ac:dyDescent="0.35">
      <c r="B80">
        <v>2010</v>
      </c>
      <c r="C80">
        <v>7</v>
      </c>
      <c r="D80" s="4">
        <v>56.745833333333351</v>
      </c>
      <c r="E80" s="4">
        <v>16.891666666666655</v>
      </c>
      <c r="F80" s="4">
        <v>23.208333333333339</v>
      </c>
      <c r="G80" s="4">
        <v>45.354166666666643</v>
      </c>
      <c r="H80" s="4">
        <v>5.4624999999999986</v>
      </c>
      <c r="I80" s="4">
        <v>89.608333333333334</v>
      </c>
      <c r="J80" s="4">
        <v>0.86666666666666892</v>
      </c>
      <c r="K80" s="4">
        <v>147.01249999999999</v>
      </c>
      <c r="L80" s="4">
        <v>0</v>
      </c>
      <c r="M80" s="4">
        <v>208.14583333333326</v>
      </c>
      <c r="N80" s="4">
        <v>0</v>
      </c>
      <c r="O80" s="4">
        <v>270.14583333333326</v>
      </c>
      <c r="P80" s="4">
        <v>0</v>
      </c>
      <c r="Q80" s="4">
        <v>332.14583333333326</v>
      </c>
      <c r="R80" s="3">
        <v>18.714381720430108</v>
      </c>
    </row>
    <row r="81" spans="2:18" x14ac:dyDescent="0.35">
      <c r="B81">
        <v>2010</v>
      </c>
      <c r="C81">
        <v>8</v>
      </c>
      <c r="D81" s="4">
        <v>87.309536016779646</v>
      </c>
      <c r="E81" s="4">
        <v>25.320833333333336</v>
      </c>
      <c r="F81" s="4">
        <v>51.73036935011298</v>
      </c>
      <c r="G81" s="4">
        <v>51.74166666666666</v>
      </c>
      <c r="H81" s="4">
        <v>23.966666666666676</v>
      </c>
      <c r="I81" s="4">
        <v>85.977963983220349</v>
      </c>
      <c r="J81" s="4">
        <v>7.1958333333333311</v>
      </c>
      <c r="K81" s="4">
        <v>131.20713064988703</v>
      </c>
      <c r="L81" s="4">
        <v>2.2874999999999996</v>
      </c>
      <c r="M81" s="4">
        <v>188.2987973165537</v>
      </c>
      <c r="N81" s="4">
        <v>0.28749999999999964</v>
      </c>
      <c r="O81" s="4">
        <v>248.29879731655376</v>
      </c>
      <c r="P81" s="4">
        <v>0</v>
      </c>
      <c r="Q81" s="4">
        <v>310.01129731655368</v>
      </c>
      <c r="R81" s="3">
        <v>18.00036442956625</v>
      </c>
    </row>
    <row r="82" spans="2:18" x14ac:dyDescent="0.35">
      <c r="B82">
        <v>2010</v>
      </c>
      <c r="C82">
        <v>9</v>
      </c>
      <c r="D82" s="4">
        <v>311.3082002334952</v>
      </c>
      <c r="E82" s="4">
        <v>0.40416666666666856</v>
      </c>
      <c r="F82" s="4">
        <v>253.30820023349528</v>
      </c>
      <c r="G82" s="4">
        <v>2.4041666666666686</v>
      </c>
      <c r="H82" s="4">
        <v>195.96653356682862</v>
      </c>
      <c r="I82" s="4">
        <v>5.0625</v>
      </c>
      <c r="J82" s="4">
        <v>140.9873669001619</v>
      </c>
      <c r="K82" s="4">
        <v>10.083333333333327</v>
      </c>
      <c r="L82" s="4">
        <v>88.649866900161925</v>
      </c>
      <c r="M82" s="4">
        <v>17.74583333333333</v>
      </c>
      <c r="N82" s="4">
        <v>42.924866900161938</v>
      </c>
      <c r="O82" s="4">
        <v>32.020833333333336</v>
      </c>
      <c r="P82" s="4">
        <v>9.9165335668286083</v>
      </c>
      <c r="Q82" s="4">
        <v>59.012500000000003</v>
      </c>
      <c r="R82" s="3">
        <v>9.6365322144390486</v>
      </c>
    </row>
    <row r="83" spans="2:18" x14ac:dyDescent="0.35">
      <c r="B83">
        <v>2010</v>
      </c>
      <c r="C83">
        <v>10</v>
      </c>
      <c r="D83" s="4">
        <v>659.56173658276464</v>
      </c>
      <c r="E83" s="4">
        <v>0</v>
      </c>
      <c r="F83" s="4">
        <v>597.56173658276452</v>
      </c>
      <c r="G83" s="4">
        <v>0</v>
      </c>
      <c r="H83" s="4">
        <v>535.56173658276441</v>
      </c>
      <c r="I83" s="4">
        <v>0</v>
      </c>
      <c r="J83" s="4">
        <v>473.56173658276435</v>
      </c>
      <c r="K83" s="4">
        <v>0</v>
      </c>
      <c r="L83" s="4">
        <v>411.56173658276435</v>
      </c>
      <c r="M83" s="4">
        <v>0</v>
      </c>
      <c r="N83" s="4">
        <v>349.56173658276441</v>
      </c>
      <c r="O83" s="4">
        <v>0</v>
      </c>
      <c r="P83" s="4">
        <v>287.56173658276447</v>
      </c>
      <c r="Q83" s="4">
        <v>0</v>
      </c>
      <c r="R83" s="3">
        <v>-1.2761850510569193</v>
      </c>
    </row>
    <row r="84" spans="2:18" x14ac:dyDescent="0.35">
      <c r="B84">
        <v>2010</v>
      </c>
      <c r="C84">
        <v>11</v>
      </c>
      <c r="D84" s="4">
        <v>590.27763338733359</v>
      </c>
      <c r="E84" s="4">
        <v>0</v>
      </c>
      <c r="F84" s="4">
        <v>530.27763338733371</v>
      </c>
      <c r="G84" s="4">
        <v>0</v>
      </c>
      <c r="H84" s="4">
        <v>470.27763338733365</v>
      </c>
      <c r="I84" s="4">
        <v>0</v>
      </c>
      <c r="J84" s="4">
        <v>410.27763338733376</v>
      </c>
      <c r="K84" s="4">
        <v>0</v>
      </c>
      <c r="L84" s="4">
        <v>350.27763338733382</v>
      </c>
      <c r="M84" s="4">
        <v>0</v>
      </c>
      <c r="N84" s="4">
        <v>290.27763338733388</v>
      </c>
      <c r="O84" s="4">
        <v>0</v>
      </c>
      <c r="P84" s="4">
        <v>230.27763338733394</v>
      </c>
      <c r="Q84" s="4">
        <v>0</v>
      </c>
      <c r="R84" s="3">
        <v>0.32407888708887117</v>
      </c>
    </row>
    <row r="85" spans="2:18" x14ac:dyDescent="0.35">
      <c r="B85">
        <v>2010</v>
      </c>
      <c r="C85">
        <v>12</v>
      </c>
      <c r="D85" s="4">
        <v>543.15867619648418</v>
      </c>
      <c r="E85" s="4">
        <v>0</v>
      </c>
      <c r="F85" s="4">
        <v>481.15867619648407</v>
      </c>
      <c r="G85" s="4">
        <v>0</v>
      </c>
      <c r="H85" s="4">
        <v>419.15867619648407</v>
      </c>
      <c r="I85" s="4">
        <v>0</v>
      </c>
      <c r="J85" s="4">
        <v>357.15867619648401</v>
      </c>
      <c r="K85" s="4">
        <v>0</v>
      </c>
      <c r="L85" s="4">
        <v>295.15867619648401</v>
      </c>
      <c r="M85" s="4">
        <v>0</v>
      </c>
      <c r="N85" s="4">
        <v>233.15867619648409</v>
      </c>
      <c r="O85" s="4">
        <v>0</v>
      </c>
      <c r="P85" s="4">
        <v>171.15867619648412</v>
      </c>
      <c r="Q85" s="4">
        <v>0</v>
      </c>
      <c r="R85" s="3">
        <v>2.4787523807585776</v>
      </c>
    </row>
    <row r="86" spans="2:18" x14ac:dyDescent="0.35">
      <c r="B86">
        <v>2011</v>
      </c>
      <c r="C86">
        <v>1</v>
      </c>
      <c r="D86" s="4">
        <v>524.69325487741719</v>
      </c>
      <c r="E86" s="4">
        <v>0</v>
      </c>
      <c r="F86" s="4">
        <v>462.69325487741713</v>
      </c>
      <c r="G86" s="4">
        <v>0</v>
      </c>
      <c r="H86" s="4">
        <v>400.69325487741708</v>
      </c>
      <c r="I86" s="4">
        <v>0</v>
      </c>
      <c r="J86" s="4">
        <v>338.69325487741708</v>
      </c>
      <c r="K86" s="4">
        <v>0</v>
      </c>
      <c r="L86" s="4">
        <v>276.69325487741708</v>
      </c>
      <c r="M86" s="4">
        <v>0</v>
      </c>
      <c r="N86" s="4">
        <v>214.6932548774171</v>
      </c>
      <c r="O86" s="4">
        <v>0</v>
      </c>
      <c r="P86" s="4">
        <v>153.16031409373127</v>
      </c>
      <c r="Q86" s="4">
        <v>0.46705921631413716</v>
      </c>
      <c r="R86" s="3">
        <v>3.0744111329865436</v>
      </c>
    </row>
    <row r="87" spans="2:18" x14ac:dyDescent="0.35">
      <c r="B87">
        <v>2011</v>
      </c>
      <c r="C87">
        <v>2</v>
      </c>
      <c r="D87" s="4">
        <v>477.2187424976604</v>
      </c>
      <c r="E87" s="4">
        <v>0</v>
      </c>
      <c r="F87" s="4">
        <v>421.21874249766051</v>
      </c>
      <c r="G87" s="4">
        <v>0</v>
      </c>
      <c r="H87" s="4">
        <v>365.21874249766051</v>
      </c>
      <c r="I87" s="4">
        <v>0</v>
      </c>
      <c r="J87" s="4">
        <v>309.21874249766046</v>
      </c>
      <c r="K87" s="4">
        <v>0</v>
      </c>
      <c r="L87" s="4">
        <v>253.21874249766046</v>
      </c>
      <c r="M87" s="4">
        <v>0</v>
      </c>
      <c r="N87" s="4">
        <v>197.2187424976604</v>
      </c>
      <c r="O87" s="4">
        <v>0</v>
      </c>
      <c r="P87" s="4">
        <v>141.2187424976604</v>
      </c>
      <c r="Q87" s="4">
        <v>0</v>
      </c>
      <c r="R87" s="3">
        <v>2.9564734822264143</v>
      </c>
    </row>
    <row r="88" spans="2:18" x14ac:dyDescent="0.35">
      <c r="B88">
        <v>2011</v>
      </c>
      <c r="C88">
        <v>3</v>
      </c>
      <c r="D88" s="4">
        <v>551.38260117298455</v>
      </c>
      <c r="E88" s="4">
        <v>0</v>
      </c>
      <c r="F88" s="4">
        <v>489.38260117298461</v>
      </c>
      <c r="G88" s="4">
        <v>0</v>
      </c>
      <c r="H88" s="4">
        <v>427.38260117298455</v>
      </c>
      <c r="I88" s="4">
        <v>0</v>
      </c>
      <c r="J88" s="4">
        <v>365.38260117298455</v>
      </c>
      <c r="K88" s="4">
        <v>0</v>
      </c>
      <c r="L88" s="4">
        <v>303.38260117298444</v>
      </c>
      <c r="M88" s="4">
        <v>0</v>
      </c>
      <c r="N88" s="4">
        <v>241.38260117298444</v>
      </c>
      <c r="O88" s="4">
        <v>0</v>
      </c>
      <c r="P88" s="4">
        <v>179.38260117298447</v>
      </c>
      <c r="Q88" s="4">
        <v>0</v>
      </c>
      <c r="R88" s="3">
        <v>2.2134644782908235</v>
      </c>
    </row>
    <row r="89" spans="2:18" x14ac:dyDescent="0.35">
      <c r="B89">
        <v>2011</v>
      </c>
      <c r="C89">
        <v>4</v>
      </c>
      <c r="D89" s="4">
        <v>619.61649581508254</v>
      </c>
      <c r="E89" s="4">
        <v>0</v>
      </c>
      <c r="F89" s="4">
        <v>559.61649581508266</v>
      </c>
      <c r="G89" s="4">
        <v>0</v>
      </c>
      <c r="H89" s="4">
        <v>499.61649581508266</v>
      </c>
      <c r="I89" s="4">
        <v>0</v>
      </c>
      <c r="J89" s="4">
        <v>439.61649581508266</v>
      </c>
      <c r="K89" s="4">
        <v>0</v>
      </c>
      <c r="L89" s="4">
        <v>379.6164958150826</v>
      </c>
      <c r="M89" s="4">
        <v>0</v>
      </c>
      <c r="N89" s="4">
        <v>319.6164958150826</v>
      </c>
      <c r="O89" s="4">
        <v>0</v>
      </c>
      <c r="P89" s="4">
        <v>259.6164958150826</v>
      </c>
      <c r="Q89" s="4">
        <v>0</v>
      </c>
      <c r="R89" s="3">
        <v>-0.65388319383608762</v>
      </c>
    </row>
    <row r="90" spans="2:18" x14ac:dyDescent="0.35">
      <c r="B90">
        <v>2011</v>
      </c>
      <c r="C90">
        <v>5</v>
      </c>
      <c r="D90" s="4">
        <v>691.29078732424534</v>
      </c>
      <c r="E90" s="4">
        <v>0</v>
      </c>
      <c r="F90" s="4">
        <v>629.29078732424534</v>
      </c>
      <c r="G90" s="4">
        <v>0</v>
      </c>
      <c r="H90" s="4">
        <v>567.29078732424512</v>
      </c>
      <c r="I90" s="4">
        <v>0</v>
      </c>
      <c r="J90" s="4">
        <v>505.29078732424506</v>
      </c>
      <c r="K90" s="4">
        <v>0</v>
      </c>
      <c r="L90" s="4">
        <v>443.29078732424506</v>
      </c>
      <c r="M90" s="4">
        <v>0</v>
      </c>
      <c r="N90" s="4">
        <v>381.29078732424506</v>
      </c>
      <c r="O90" s="4">
        <v>0</v>
      </c>
      <c r="P90" s="4">
        <v>319.29078732424506</v>
      </c>
      <c r="Q90" s="4">
        <v>0</v>
      </c>
      <c r="R90" s="3">
        <v>-2.299702816911132</v>
      </c>
    </row>
    <row r="91" spans="2:18" x14ac:dyDescent="0.35">
      <c r="B91">
        <v>2011</v>
      </c>
      <c r="C91">
        <v>6</v>
      </c>
      <c r="D91" s="4">
        <v>290.76812884992</v>
      </c>
      <c r="E91" s="4">
        <v>2.6500000000000057</v>
      </c>
      <c r="F91" s="4">
        <v>237.77646218325333</v>
      </c>
      <c r="G91" s="4">
        <v>9.658333333333335</v>
      </c>
      <c r="H91" s="4">
        <v>190.19470700835683</v>
      </c>
      <c r="I91" s="4">
        <v>22.076578158436849</v>
      </c>
      <c r="J91" s="4">
        <v>156.51137367502349</v>
      </c>
      <c r="K91" s="4">
        <v>48.393244825103515</v>
      </c>
      <c r="L91" s="4">
        <v>130.51137367502344</v>
      </c>
      <c r="M91" s="4">
        <v>82.393244825103494</v>
      </c>
      <c r="N91" s="4">
        <v>109.86137367502342</v>
      </c>
      <c r="O91" s="4">
        <v>121.74324482510352</v>
      </c>
      <c r="P91" s="4">
        <v>91.798873675023415</v>
      </c>
      <c r="Q91" s="4">
        <v>163.68074482510355</v>
      </c>
      <c r="R91" s="3">
        <v>10.396062371669334</v>
      </c>
    </row>
    <row r="92" spans="2:18" x14ac:dyDescent="0.35">
      <c r="B92">
        <v>2011</v>
      </c>
      <c r="C92">
        <v>7</v>
      </c>
      <c r="D92" s="4">
        <v>51.55416666666666</v>
      </c>
      <c r="E92" s="4">
        <v>24.354166666666639</v>
      </c>
      <c r="F92" s="4">
        <v>23.099999999999998</v>
      </c>
      <c r="G92" s="4">
        <v>57.899999999999963</v>
      </c>
      <c r="H92" s="4">
        <v>5.1750000000000043</v>
      </c>
      <c r="I92" s="4">
        <v>101.97499999999998</v>
      </c>
      <c r="J92" s="4">
        <v>8.7500000000000355E-2</v>
      </c>
      <c r="K92" s="4">
        <v>158.88749999999996</v>
      </c>
      <c r="L92" s="4">
        <v>0</v>
      </c>
      <c r="M92" s="4">
        <v>220.8</v>
      </c>
      <c r="N92" s="4">
        <v>0</v>
      </c>
      <c r="O92" s="4">
        <v>282.8</v>
      </c>
      <c r="P92" s="4">
        <v>0</v>
      </c>
      <c r="Q92" s="4">
        <v>344.79999999999995</v>
      </c>
      <c r="R92" s="3">
        <v>19.122580645161293</v>
      </c>
    </row>
    <row r="93" spans="2:18" x14ac:dyDescent="0.35">
      <c r="B93">
        <v>2011</v>
      </c>
      <c r="C93">
        <v>8</v>
      </c>
      <c r="D93" s="4">
        <v>104.37916666666666</v>
      </c>
      <c r="E93" s="4">
        <v>8.479166666666675</v>
      </c>
      <c r="F93" s="4">
        <v>57.441666666666677</v>
      </c>
      <c r="G93" s="4">
        <v>23.541666666666682</v>
      </c>
      <c r="H93" s="4">
        <v>28.587499999999999</v>
      </c>
      <c r="I93" s="4">
        <v>56.6875</v>
      </c>
      <c r="J93" s="4">
        <v>9.0041666666666629</v>
      </c>
      <c r="K93" s="4">
        <v>99.104166666666671</v>
      </c>
      <c r="L93" s="4">
        <v>0</v>
      </c>
      <c r="M93" s="4">
        <v>152.1</v>
      </c>
      <c r="N93" s="4">
        <v>0</v>
      </c>
      <c r="O93" s="4">
        <v>214.1</v>
      </c>
      <c r="P93" s="4">
        <v>0</v>
      </c>
      <c r="Q93" s="4">
        <v>276.10000000000002</v>
      </c>
      <c r="R93" s="3">
        <v>16.906451612903222</v>
      </c>
    </row>
    <row r="94" spans="2:18" x14ac:dyDescent="0.35">
      <c r="B94">
        <v>2011</v>
      </c>
      <c r="C94">
        <v>9</v>
      </c>
      <c r="D94" s="4">
        <v>251.45990741185165</v>
      </c>
      <c r="E94" s="4">
        <v>0</v>
      </c>
      <c r="F94" s="4">
        <v>194.25574074518499</v>
      </c>
      <c r="G94" s="4">
        <v>2.7958333333333307</v>
      </c>
      <c r="H94" s="4">
        <v>141.19324074518497</v>
      </c>
      <c r="I94" s="4">
        <v>9.7333333333333307</v>
      </c>
      <c r="J94" s="4">
        <v>94.055740745184977</v>
      </c>
      <c r="K94" s="4">
        <v>22.595833333333335</v>
      </c>
      <c r="L94" s="4">
        <v>56.504053311433687</v>
      </c>
      <c r="M94" s="4">
        <v>45.044145899582055</v>
      </c>
      <c r="N94" s="4">
        <v>29.729053311433695</v>
      </c>
      <c r="O94" s="4">
        <v>78.269145899582043</v>
      </c>
      <c r="P94" s="4">
        <v>13.0875</v>
      </c>
      <c r="Q94" s="4">
        <v>121.62759258814836</v>
      </c>
      <c r="R94" s="3">
        <v>11.61800308627161</v>
      </c>
    </row>
    <row r="95" spans="2:18" x14ac:dyDescent="0.35">
      <c r="B95">
        <v>2011</v>
      </c>
      <c r="C95">
        <v>10</v>
      </c>
      <c r="D95" s="4">
        <v>413.65</v>
      </c>
      <c r="E95" s="4">
        <v>1.4375000000000036</v>
      </c>
      <c r="F95" s="4">
        <v>353.65</v>
      </c>
      <c r="G95" s="4">
        <v>3.4375000000000036</v>
      </c>
      <c r="H95" s="4">
        <v>295.375</v>
      </c>
      <c r="I95" s="4">
        <v>7.1625000000000014</v>
      </c>
      <c r="J95" s="4">
        <v>242.08333333333337</v>
      </c>
      <c r="K95" s="4">
        <v>15.870833333333332</v>
      </c>
      <c r="L95" s="4">
        <v>191.97083333333339</v>
      </c>
      <c r="M95" s="4">
        <v>27.758333333333326</v>
      </c>
      <c r="N95" s="4">
        <v>145.73333333333335</v>
      </c>
      <c r="O95" s="4">
        <v>43.520833333333321</v>
      </c>
      <c r="P95" s="4">
        <v>102.46250000000001</v>
      </c>
      <c r="Q95" s="4">
        <v>62.249999999999986</v>
      </c>
      <c r="R95" s="3">
        <v>6.7028225806451598</v>
      </c>
    </row>
    <row r="96" spans="2:18" x14ac:dyDescent="0.35">
      <c r="B96">
        <v>2011</v>
      </c>
      <c r="C96">
        <v>11</v>
      </c>
      <c r="D96" s="4">
        <v>628.44166666666661</v>
      </c>
      <c r="E96" s="4">
        <v>0</v>
      </c>
      <c r="F96" s="4">
        <v>568.44166666666672</v>
      </c>
      <c r="G96" s="4">
        <v>0</v>
      </c>
      <c r="H96" s="4">
        <v>508.44166666666661</v>
      </c>
      <c r="I96" s="4">
        <v>0</v>
      </c>
      <c r="J96" s="4">
        <v>448.44166666666661</v>
      </c>
      <c r="K96" s="4">
        <v>0</v>
      </c>
      <c r="L96" s="4">
        <v>388.44166666666661</v>
      </c>
      <c r="M96" s="4">
        <v>0</v>
      </c>
      <c r="N96" s="4">
        <v>328.44166666666672</v>
      </c>
      <c r="O96" s="4">
        <v>0</v>
      </c>
      <c r="P96" s="4">
        <v>268.44166666666666</v>
      </c>
      <c r="Q96" s="4">
        <v>0</v>
      </c>
      <c r="R96" s="3">
        <v>-0.94805555555555565</v>
      </c>
    </row>
    <row r="97" spans="2:18" x14ac:dyDescent="0.35">
      <c r="B97">
        <v>2011</v>
      </c>
      <c r="C97">
        <v>12</v>
      </c>
      <c r="D97" s="4">
        <v>887.91486343523275</v>
      </c>
      <c r="E97" s="4">
        <v>0</v>
      </c>
      <c r="F97" s="4">
        <v>825.91486343523275</v>
      </c>
      <c r="G97" s="4">
        <v>0</v>
      </c>
      <c r="H97" s="4">
        <v>763.91486343523275</v>
      </c>
      <c r="I97" s="4">
        <v>0</v>
      </c>
      <c r="J97" s="4">
        <v>701.91486343523275</v>
      </c>
      <c r="K97" s="4">
        <v>0</v>
      </c>
      <c r="L97" s="4">
        <v>639.91486343523275</v>
      </c>
      <c r="M97" s="4">
        <v>0</v>
      </c>
      <c r="N97" s="4">
        <v>577.91486343523297</v>
      </c>
      <c r="O97" s="4">
        <v>0</v>
      </c>
      <c r="P97" s="4">
        <v>515.91486343523309</v>
      </c>
      <c r="Q97" s="4">
        <v>0</v>
      </c>
      <c r="R97" s="3">
        <v>-8.642414949523646</v>
      </c>
    </row>
    <row r="98" spans="2:18" x14ac:dyDescent="0.35">
      <c r="B98">
        <v>2012</v>
      </c>
      <c r="C98">
        <v>1</v>
      </c>
      <c r="D98" s="4">
        <v>993.16079652407097</v>
      </c>
      <c r="E98" s="4">
        <v>0</v>
      </c>
      <c r="F98" s="4">
        <v>931.16079652407086</v>
      </c>
      <c r="G98" s="4">
        <v>0</v>
      </c>
      <c r="H98" s="4">
        <v>869.16079652407086</v>
      </c>
      <c r="I98" s="4">
        <v>0</v>
      </c>
      <c r="J98" s="4">
        <v>807.16079652407097</v>
      </c>
      <c r="K98" s="4">
        <v>0</v>
      </c>
      <c r="L98" s="4">
        <v>745.16079652407097</v>
      </c>
      <c r="M98" s="4">
        <v>0</v>
      </c>
      <c r="N98" s="4">
        <v>683.16079652407097</v>
      </c>
      <c r="O98" s="4">
        <v>0</v>
      </c>
      <c r="P98" s="4">
        <v>621.16079652407086</v>
      </c>
      <c r="Q98" s="4">
        <v>0</v>
      </c>
      <c r="R98" s="3">
        <v>-12.037445049163576</v>
      </c>
    </row>
    <row r="99" spans="2:18" x14ac:dyDescent="0.35">
      <c r="B99">
        <v>2012</v>
      </c>
      <c r="C99">
        <v>2</v>
      </c>
      <c r="D99" s="4">
        <v>885.9083333333333</v>
      </c>
      <c r="E99" s="4">
        <v>0</v>
      </c>
      <c r="F99" s="4">
        <v>827.90833333333319</v>
      </c>
      <c r="G99" s="4">
        <v>0</v>
      </c>
      <c r="H99" s="4">
        <v>769.90833333333319</v>
      </c>
      <c r="I99" s="4">
        <v>0</v>
      </c>
      <c r="J99" s="4">
        <v>711.9083333333333</v>
      </c>
      <c r="K99" s="4">
        <v>0</v>
      </c>
      <c r="L99" s="4">
        <v>653.9083333333333</v>
      </c>
      <c r="M99" s="4">
        <v>0</v>
      </c>
      <c r="N99" s="4">
        <v>595.9083333333333</v>
      </c>
      <c r="O99" s="4">
        <v>0</v>
      </c>
      <c r="P99" s="4">
        <v>537.9083333333333</v>
      </c>
      <c r="Q99" s="4">
        <v>0</v>
      </c>
      <c r="R99" s="3">
        <v>-10.548563218390807</v>
      </c>
    </row>
    <row r="100" spans="2:18" x14ac:dyDescent="0.35">
      <c r="B100">
        <v>2012</v>
      </c>
      <c r="C100">
        <v>3</v>
      </c>
      <c r="D100" s="4">
        <v>654.44166666666672</v>
      </c>
      <c r="E100" s="4">
        <v>0</v>
      </c>
      <c r="F100" s="4">
        <v>592.44166666666683</v>
      </c>
      <c r="G100" s="4">
        <v>0</v>
      </c>
      <c r="H100" s="4">
        <v>530.65416666666681</v>
      </c>
      <c r="I100" s="4">
        <v>0.21249999999999858</v>
      </c>
      <c r="J100" s="4">
        <v>472.80000000000013</v>
      </c>
      <c r="K100" s="4">
        <v>4.3583333333333325</v>
      </c>
      <c r="L100" s="4">
        <v>416.80000000000007</v>
      </c>
      <c r="M100" s="4">
        <v>10.358333333333333</v>
      </c>
      <c r="N100" s="4">
        <v>361.92500000000001</v>
      </c>
      <c r="O100" s="4">
        <v>17.483333333333334</v>
      </c>
      <c r="P100" s="4">
        <v>311.3</v>
      </c>
      <c r="Q100" s="4">
        <v>28.858333333333341</v>
      </c>
      <c r="R100" s="3">
        <v>-1.1110215053763441</v>
      </c>
    </row>
    <row r="101" spans="2:18" x14ac:dyDescent="0.35">
      <c r="B101">
        <v>2012</v>
      </c>
      <c r="C101">
        <v>4</v>
      </c>
      <c r="D101" s="4">
        <v>570.86656386372283</v>
      </c>
      <c r="E101" s="4">
        <v>0</v>
      </c>
      <c r="F101" s="4">
        <v>510.86656386372266</v>
      </c>
      <c r="G101" s="4">
        <v>0</v>
      </c>
      <c r="H101" s="4">
        <v>450.8665638637226</v>
      </c>
      <c r="I101" s="4">
        <v>0</v>
      </c>
      <c r="J101" s="4">
        <v>390.86656386372266</v>
      </c>
      <c r="K101" s="4">
        <v>0</v>
      </c>
      <c r="L101" s="4">
        <v>330.86656386372266</v>
      </c>
      <c r="M101" s="4">
        <v>0</v>
      </c>
      <c r="N101" s="4">
        <v>270.8665638637226</v>
      </c>
      <c r="O101" s="4">
        <v>0</v>
      </c>
      <c r="P101" s="4">
        <v>210.86656386372263</v>
      </c>
      <c r="Q101" s="4">
        <v>0</v>
      </c>
      <c r="R101" s="3">
        <v>0.97111453787591118</v>
      </c>
    </row>
    <row r="102" spans="2:18" x14ac:dyDescent="0.35">
      <c r="B102">
        <v>2012</v>
      </c>
      <c r="C102">
        <v>5</v>
      </c>
      <c r="D102" s="4">
        <v>281.85833333333341</v>
      </c>
      <c r="E102" s="4">
        <v>3.9041666666666686</v>
      </c>
      <c r="F102" s="4">
        <v>224.2583333333333</v>
      </c>
      <c r="G102" s="4">
        <v>8.3041666666666636</v>
      </c>
      <c r="H102" s="4">
        <v>169.88333333333335</v>
      </c>
      <c r="I102" s="4">
        <v>15.92916666666666</v>
      </c>
      <c r="J102" s="4">
        <v>121.07916666666668</v>
      </c>
      <c r="K102" s="4">
        <v>29.124999999999996</v>
      </c>
      <c r="L102" s="4">
        <v>77.779166666666669</v>
      </c>
      <c r="M102" s="4">
        <v>47.824999999999989</v>
      </c>
      <c r="N102" s="4">
        <v>44.358333333333341</v>
      </c>
      <c r="O102" s="4">
        <v>76.404166666666654</v>
      </c>
      <c r="P102" s="4">
        <v>19.112499999999997</v>
      </c>
      <c r="Q102" s="4">
        <v>113.1583333333333</v>
      </c>
      <c r="R102" s="3">
        <v>11.033736559139784</v>
      </c>
    </row>
    <row r="103" spans="2:18" x14ac:dyDescent="0.35">
      <c r="B103">
        <v>2012</v>
      </c>
      <c r="C103">
        <v>6</v>
      </c>
      <c r="D103" s="4">
        <v>94.304166666666674</v>
      </c>
      <c r="E103" s="4">
        <v>12.241666666666664</v>
      </c>
      <c r="F103" s="4">
        <v>52.537500000000016</v>
      </c>
      <c r="G103" s="4">
        <v>30.474999999999998</v>
      </c>
      <c r="H103" s="4">
        <v>22.787500000000009</v>
      </c>
      <c r="I103" s="4">
        <v>60.724999999999994</v>
      </c>
      <c r="J103" s="4">
        <v>7.3874999999999993</v>
      </c>
      <c r="K103" s="4">
        <v>105.325</v>
      </c>
      <c r="L103" s="4">
        <v>0.56666666666666465</v>
      </c>
      <c r="M103" s="4">
        <v>158.50416666666666</v>
      </c>
      <c r="N103" s="4">
        <v>0</v>
      </c>
      <c r="O103" s="4">
        <v>217.93750000000006</v>
      </c>
      <c r="P103" s="4">
        <v>0</v>
      </c>
      <c r="Q103" s="4">
        <v>277.9375</v>
      </c>
      <c r="R103" s="3">
        <v>17.264583333333334</v>
      </c>
    </row>
    <row r="104" spans="2:18" x14ac:dyDescent="0.35">
      <c r="B104">
        <v>2012</v>
      </c>
      <c r="C104">
        <v>7</v>
      </c>
      <c r="D104" s="4">
        <v>57.457199076018426</v>
      </c>
      <c r="E104" s="4">
        <v>15.312713438231288</v>
      </c>
      <c r="F104" s="4">
        <v>23.779934641307161</v>
      </c>
      <c r="G104" s="4">
        <v>43.635449003520023</v>
      </c>
      <c r="H104" s="4">
        <v>3.9208333333333361</v>
      </c>
      <c r="I104" s="4">
        <v>85.776347695546207</v>
      </c>
      <c r="J104" s="4">
        <v>0</v>
      </c>
      <c r="K104" s="4">
        <v>143.85551436221289</v>
      </c>
      <c r="L104" s="4">
        <v>0</v>
      </c>
      <c r="M104" s="4">
        <v>205.85551436221283</v>
      </c>
      <c r="N104" s="4">
        <v>0</v>
      </c>
      <c r="O104" s="4">
        <v>267.85551436221283</v>
      </c>
      <c r="P104" s="4">
        <v>0</v>
      </c>
      <c r="Q104" s="4">
        <v>329.85551436221283</v>
      </c>
      <c r="R104" s="3">
        <v>18.640500463297187</v>
      </c>
    </row>
    <row r="105" spans="2:18" x14ac:dyDescent="0.35">
      <c r="B105">
        <v>2012</v>
      </c>
      <c r="C105">
        <v>8</v>
      </c>
      <c r="D105" s="4">
        <v>131.61249999999998</v>
      </c>
      <c r="E105" s="4">
        <v>8.283333333333335</v>
      </c>
      <c r="F105" s="4">
        <v>80.766666666666652</v>
      </c>
      <c r="G105" s="4">
        <v>19.437500000000004</v>
      </c>
      <c r="H105" s="4">
        <v>45.67916666666666</v>
      </c>
      <c r="I105" s="4">
        <v>46.350000000000016</v>
      </c>
      <c r="J105" s="4">
        <v>24.225000000000001</v>
      </c>
      <c r="K105" s="4">
        <v>86.895833333333343</v>
      </c>
      <c r="L105" s="4">
        <v>11.358333333333334</v>
      </c>
      <c r="M105" s="4">
        <v>136.02916666666667</v>
      </c>
      <c r="N105" s="4">
        <v>3.3583333333333343</v>
      </c>
      <c r="O105" s="4">
        <v>190.02916666666667</v>
      </c>
      <c r="P105" s="4">
        <v>0</v>
      </c>
      <c r="Q105" s="4">
        <v>248.67083333333332</v>
      </c>
      <c r="R105" s="3">
        <v>16.021639784946238</v>
      </c>
    </row>
    <row r="106" spans="2:18" x14ac:dyDescent="0.35">
      <c r="B106">
        <v>2012</v>
      </c>
      <c r="C106">
        <v>9</v>
      </c>
      <c r="D106" s="4">
        <v>273.04583333333329</v>
      </c>
      <c r="E106" s="4">
        <v>0.62916666666666998</v>
      </c>
      <c r="F106" s="4">
        <v>218.86666666666662</v>
      </c>
      <c r="G106" s="4">
        <v>6.4499999999999993</v>
      </c>
      <c r="H106" s="4">
        <v>171.02916666666667</v>
      </c>
      <c r="I106" s="4">
        <v>18.612500000000001</v>
      </c>
      <c r="J106" s="4">
        <v>126.91250000000002</v>
      </c>
      <c r="K106" s="4">
        <v>34.495833333333337</v>
      </c>
      <c r="L106" s="4">
        <v>85.6</v>
      </c>
      <c r="M106" s="4">
        <v>53.18333333333333</v>
      </c>
      <c r="N106" s="4">
        <v>50.1</v>
      </c>
      <c r="O106" s="4">
        <v>77.683333333333323</v>
      </c>
      <c r="P106" s="4">
        <v>19.170833333333334</v>
      </c>
      <c r="Q106" s="4">
        <v>106.75416666666666</v>
      </c>
      <c r="R106" s="3">
        <v>10.919444444444446</v>
      </c>
    </row>
    <row r="107" spans="2:18" x14ac:dyDescent="0.35">
      <c r="B107">
        <v>2012</v>
      </c>
      <c r="C107">
        <v>10</v>
      </c>
      <c r="D107" s="4">
        <v>469.26090073698526</v>
      </c>
      <c r="E107" s="4">
        <v>0</v>
      </c>
      <c r="F107" s="4">
        <v>407.26090073698515</v>
      </c>
      <c r="G107" s="4">
        <v>0</v>
      </c>
      <c r="H107" s="4">
        <v>345.26090073698515</v>
      </c>
      <c r="I107" s="4">
        <v>0</v>
      </c>
      <c r="J107" s="4">
        <v>283.26090073698509</v>
      </c>
      <c r="K107" s="4">
        <v>0</v>
      </c>
      <c r="L107" s="4">
        <v>222.82340073698518</v>
      </c>
      <c r="M107" s="4">
        <v>1.5624999999999982</v>
      </c>
      <c r="N107" s="4">
        <v>167.51090073698523</v>
      </c>
      <c r="O107" s="4">
        <v>8.2499999999999947</v>
      </c>
      <c r="P107" s="4">
        <v>117.60256740365189</v>
      </c>
      <c r="Q107" s="4">
        <v>20.341666666666661</v>
      </c>
      <c r="R107" s="3">
        <v>4.8625515891295095</v>
      </c>
    </row>
    <row r="108" spans="2:18" x14ac:dyDescent="0.35">
      <c r="B108">
        <v>2012</v>
      </c>
      <c r="C108">
        <v>11</v>
      </c>
      <c r="D108" s="4">
        <v>696.00833333333344</v>
      </c>
      <c r="E108" s="4">
        <v>0</v>
      </c>
      <c r="F108" s="4">
        <v>636.00833333333344</v>
      </c>
      <c r="G108" s="4">
        <v>0</v>
      </c>
      <c r="H108" s="4">
        <v>576.00833333333321</v>
      </c>
      <c r="I108" s="4">
        <v>0</v>
      </c>
      <c r="J108" s="4">
        <v>516.00833333333321</v>
      </c>
      <c r="K108" s="4">
        <v>0</v>
      </c>
      <c r="L108" s="4">
        <v>456.00833333333327</v>
      </c>
      <c r="M108" s="4">
        <v>0</v>
      </c>
      <c r="N108" s="4">
        <v>396.00833333333327</v>
      </c>
      <c r="O108" s="4">
        <v>0</v>
      </c>
      <c r="P108" s="4">
        <v>336.00833333333333</v>
      </c>
      <c r="Q108" s="4">
        <v>0</v>
      </c>
      <c r="R108" s="3">
        <v>-3.2002777777777776</v>
      </c>
    </row>
    <row r="109" spans="2:18" x14ac:dyDescent="0.35">
      <c r="B109">
        <v>2012</v>
      </c>
      <c r="C109">
        <v>12</v>
      </c>
      <c r="D109" s="4">
        <v>958.57916666666677</v>
      </c>
      <c r="E109" s="4">
        <v>0</v>
      </c>
      <c r="F109" s="4">
        <v>896.57916666666677</v>
      </c>
      <c r="G109" s="4">
        <v>0</v>
      </c>
      <c r="H109" s="4">
        <v>834.57916666666654</v>
      </c>
      <c r="I109" s="4">
        <v>0</v>
      </c>
      <c r="J109" s="4">
        <v>772.57916666666677</v>
      </c>
      <c r="K109" s="4">
        <v>0</v>
      </c>
      <c r="L109" s="4">
        <v>710.57916666666677</v>
      </c>
      <c r="M109" s="4">
        <v>0</v>
      </c>
      <c r="N109" s="4">
        <v>648.57916666666654</v>
      </c>
      <c r="O109" s="4">
        <v>0</v>
      </c>
      <c r="P109" s="4">
        <v>586.57916666666665</v>
      </c>
      <c r="Q109" s="4">
        <v>0</v>
      </c>
      <c r="R109" s="3">
        <v>-10.921908602150538</v>
      </c>
    </row>
    <row r="110" spans="2:18" x14ac:dyDescent="0.35">
      <c r="B110">
        <v>2013</v>
      </c>
      <c r="C110">
        <v>1</v>
      </c>
      <c r="D110" s="4">
        <v>1115.2416666666668</v>
      </c>
      <c r="E110" s="4">
        <v>0</v>
      </c>
      <c r="F110" s="4">
        <v>1053.2416666666668</v>
      </c>
      <c r="G110" s="4">
        <v>0</v>
      </c>
      <c r="H110" s="4">
        <v>991.24166666666679</v>
      </c>
      <c r="I110" s="4">
        <v>0</v>
      </c>
      <c r="J110" s="4">
        <v>929.2416666666669</v>
      </c>
      <c r="K110" s="4">
        <v>0</v>
      </c>
      <c r="L110" s="4">
        <v>867.2416666666669</v>
      </c>
      <c r="M110" s="4">
        <v>0</v>
      </c>
      <c r="N110" s="4">
        <v>805.24166666666667</v>
      </c>
      <c r="O110" s="4">
        <v>0</v>
      </c>
      <c r="P110" s="4">
        <v>743.24166666666656</v>
      </c>
      <c r="Q110" s="4">
        <v>0</v>
      </c>
      <c r="R110" s="3">
        <v>-15.975537634408605</v>
      </c>
    </row>
    <row r="111" spans="2:18" x14ac:dyDescent="0.35">
      <c r="B111">
        <v>2013</v>
      </c>
      <c r="C111">
        <v>2</v>
      </c>
      <c r="D111" s="4">
        <v>1010.0041666666666</v>
      </c>
      <c r="E111" s="4">
        <v>0</v>
      </c>
      <c r="F111" s="4">
        <v>954.00416666666661</v>
      </c>
      <c r="G111" s="4">
        <v>0</v>
      </c>
      <c r="H111" s="4">
        <v>898.00416666666661</v>
      </c>
      <c r="I111" s="4">
        <v>0</v>
      </c>
      <c r="J111" s="4">
        <v>842.00416666666649</v>
      </c>
      <c r="K111" s="4">
        <v>0</v>
      </c>
      <c r="L111" s="4">
        <v>786.00416666666649</v>
      </c>
      <c r="M111" s="4">
        <v>0</v>
      </c>
      <c r="N111" s="4">
        <v>730.00416666666649</v>
      </c>
      <c r="O111" s="4">
        <v>0</v>
      </c>
      <c r="P111" s="4">
        <v>674.00416666666649</v>
      </c>
      <c r="Q111" s="4">
        <v>0</v>
      </c>
      <c r="R111" s="3">
        <v>-16.07157738095238</v>
      </c>
    </row>
    <row r="112" spans="2:18" x14ac:dyDescent="0.35">
      <c r="B112">
        <v>2013</v>
      </c>
      <c r="C112">
        <v>3</v>
      </c>
      <c r="D112" s="4">
        <v>859.95833333333337</v>
      </c>
      <c r="E112" s="4">
        <v>0</v>
      </c>
      <c r="F112" s="4">
        <v>797.95833333333348</v>
      </c>
      <c r="G112" s="4">
        <v>0</v>
      </c>
      <c r="H112" s="4">
        <v>735.95833333333337</v>
      </c>
      <c r="I112" s="4">
        <v>0</v>
      </c>
      <c r="J112" s="4">
        <v>673.95833333333337</v>
      </c>
      <c r="K112" s="4">
        <v>0</v>
      </c>
      <c r="L112" s="4">
        <v>611.95833333333337</v>
      </c>
      <c r="M112" s="4">
        <v>0</v>
      </c>
      <c r="N112" s="4">
        <v>549.9583333333336</v>
      </c>
      <c r="O112" s="4">
        <v>0</v>
      </c>
      <c r="P112" s="4">
        <v>487.95833333333337</v>
      </c>
      <c r="Q112" s="4">
        <v>0</v>
      </c>
      <c r="R112" s="3">
        <v>-7.7405913978494603</v>
      </c>
    </row>
    <row r="113" spans="2:38" x14ac:dyDescent="0.35">
      <c r="B113">
        <v>2013</v>
      </c>
      <c r="C113">
        <v>4</v>
      </c>
      <c r="D113" s="4">
        <v>654.0291666666667</v>
      </c>
      <c r="E113" s="4">
        <v>0</v>
      </c>
      <c r="F113" s="4">
        <v>594.0291666666667</v>
      </c>
      <c r="G113" s="4">
        <v>0</v>
      </c>
      <c r="H113" s="4">
        <v>534.0291666666667</v>
      </c>
      <c r="I113" s="4">
        <v>0</v>
      </c>
      <c r="J113" s="4">
        <v>474.02916666666675</v>
      </c>
      <c r="K113" s="4">
        <v>0</v>
      </c>
      <c r="L113" s="4">
        <v>414.0291666666667</v>
      </c>
      <c r="M113" s="4">
        <v>0</v>
      </c>
      <c r="N113" s="4">
        <v>356.28333333333336</v>
      </c>
      <c r="O113" s="4">
        <v>2.25416666666667</v>
      </c>
      <c r="P113" s="4">
        <v>300.29583333333341</v>
      </c>
      <c r="Q113" s="4">
        <v>6.266666666666671</v>
      </c>
      <c r="R113" s="3">
        <v>-1.8009722222222213</v>
      </c>
      <c r="AL113" t="s">
        <v>461</v>
      </c>
    </row>
    <row r="114" spans="2:38" x14ac:dyDescent="0.35">
      <c r="B114">
        <v>2013</v>
      </c>
      <c r="C114">
        <v>5</v>
      </c>
      <c r="D114" s="4">
        <v>375.6470254644907</v>
      </c>
      <c r="E114" s="4">
        <v>0</v>
      </c>
      <c r="F114" s="4">
        <v>313.6470254644907</v>
      </c>
      <c r="G114" s="4">
        <v>0</v>
      </c>
      <c r="H114" s="4">
        <v>252.50535879782399</v>
      </c>
      <c r="I114" s="4">
        <v>0.85833333333333428</v>
      </c>
      <c r="J114" s="4">
        <v>195.74702546449066</v>
      </c>
      <c r="K114" s="4">
        <v>6.1000000000000032</v>
      </c>
      <c r="L114" s="4">
        <v>143.82619213115734</v>
      </c>
      <c r="M114" s="4">
        <v>16.179166666666674</v>
      </c>
      <c r="N114" s="4">
        <v>100.44702546449065</v>
      </c>
      <c r="O114" s="4">
        <v>34.800000000000011</v>
      </c>
      <c r="P114" s="4">
        <v>65.83035879782399</v>
      </c>
      <c r="Q114" s="4">
        <v>62.183333333333337</v>
      </c>
      <c r="R114" s="3">
        <v>7.8823540172744968</v>
      </c>
    </row>
    <row r="115" spans="2:38" x14ac:dyDescent="0.35">
      <c r="B115">
        <v>2013</v>
      </c>
      <c r="C115">
        <v>6</v>
      </c>
      <c r="D115" s="4">
        <v>182.19166666666663</v>
      </c>
      <c r="E115" s="4">
        <v>3.6166666666666636</v>
      </c>
      <c r="F115" s="4">
        <v>129.99583333333334</v>
      </c>
      <c r="G115" s="4">
        <v>11.420833333333331</v>
      </c>
      <c r="H115" s="4">
        <v>87.404166666666683</v>
      </c>
      <c r="I115" s="4">
        <v>28.829166666666666</v>
      </c>
      <c r="J115" s="4">
        <v>57.65</v>
      </c>
      <c r="K115" s="4">
        <v>59.074999999999989</v>
      </c>
      <c r="L115" s="4">
        <v>36.325000000000003</v>
      </c>
      <c r="M115" s="4">
        <v>97.75</v>
      </c>
      <c r="N115" s="4">
        <v>20.308333333333337</v>
      </c>
      <c r="O115" s="4">
        <v>141.73333333333332</v>
      </c>
      <c r="P115" s="4">
        <v>10.183333333333334</v>
      </c>
      <c r="Q115" s="4">
        <v>191.60833333333332</v>
      </c>
      <c r="R115" s="3">
        <v>14.047499999999998</v>
      </c>
    </row>
    <row r="116" spans="2:38" x14ac:dyDescent="0.35">
      <c r="B116">
        <v>2013</v>
      </c>
      <c r="C116">
        <v>7</v>
      </c>
      <c r="D116" s="4">
        <v>104.30161628767416</v>
      </c>
      <c r="E116" s="4">
        <v>20.187500000000011</v>
      </c>
      <c r="F116" s="4">
        <v>61.655782954340864</v>
      </c>
      <c r="G116" s="4">
        <v>39.541666666666686</v>
      </c>
      <c r="H116" s="4">
        <v>32.220833333333339</v>
      </c>
      <c r="I116" s="4">
        <v>72.106717045659195</v>
      </c>
      <c r="J116" s="4">
        <v>11.25416666666667</v>
      </c>
      <c r="K116" s="4">
        <v>113.1400503789925</v>
      </c>
      <c r="L116" s="4">
        <v>1.6083333333333361</v>
      </c>
      <c r="M116" s="4">
        <v>165.49421704565913</v>
      </c>
      <c r="N116" s="4">
        <v>0</v>
      </c>
      <c r="O116" s="4">
        <v>225.88588371232578</v>
      </c>
      <c r="P116" s="4">
        <v>0</v>
      </c>
      <c r="Q116" s="4">
        <v>287.88588371232578</v>
      </c>
      <c r="R116" s="3">
        <v>17.286641410075024</v>
      </c>
    </row>
    <row r="117" spans="2:38" x14ac:dyDescent="0.35">
      <c r="B117">
        <v>2013</v>
      </c>
      <c r="C117">
        <v>8</v>
      </c>
      <c r="D117" s="4">
        <v>121.80355664886693</v>
      </c>
      <c r="E117" s="4">
        <v>9.5958333333333279</v>
      </c>
      <c r="F117" s="4">
        <v>76.967140864682676</v>
      </c>
      <c r="G117" s="4">
        <v>26.759417549149088</v>
      </c>
      <c r="H117" s="4">
        <v>38.792140864682665</v>
      </c>
      <c r="I117" s="4">
        <v>50.584417549149094</v>
      </c>
      <c r="J117" s="4">
        <v>16.333333333333329</v>
      </c>
      <c r="K117" s="4">
        <v>90.125610017799744</v>
      </c>
      <c r="L117" s="4">
        <v>6.6374999999999975</v>
      </c>
      <c r="M117" s="4">
        <v>142.42977668446642</v>
      </c>
      <c r="N117" s="4">
        <v>2.2541666666666664</v>
      </c>
      <c r="O117" s="4">
        <v>200.04644335113309</v>
      </c>
      <c r="P117" s="4">
        <v>0.25416666666666643</v>
      </c>
      <c r="Q117" s="4">
        <v>260.04644335113301</v>
      </c>
      <c r="R117" s="3">
        <v>16.380396022079566</v>
      </c>
    </row>
    <row r="118" spans="2:38" x14ac:dyDescent="0.35">
      <c r="B118">
        <v>2013</v>
      </c>
      <c r="C118">
        <v>9</v>
      </c>
      <c r="D118" s="4">
        <v>261.24193933871322</v>
      </c>
      <c r="E118" s="4">
        <v>0</v>
      </c>
      <c r="F118" s="4">
        <v>201.24193933871319</v>
      </c>
      <c r="G118" s="4">
        <v>0</v>
      </c>
      <c r="H118" s="4">
        <v>145.52943933871322</v>
      </c>
      <c r="I118" s="4">
        <v>4.2875000000000014</v>
      </c>
      <c r="J118" s="4">
        <v>96.09610600537988</v>
      </c>
      <c r="K118" s="4">
        <v>14.854166666666663</v>
      </c>
      <c r="L118" s="4">
        <v>56.921106005379869</v>
      </c>
      <c r="M118" s="4">
        <v>35.67916666666666</v>
      </c>
      <c r="N118" s="4">
        <v>30.441666666666666</v>
      </c>
      <c r="O118" s="4">
        <v>69.199727327953454</v>
      </c>
      <c r="P118" s="4">
        <v>14.116666666666667</v>
      </c>
      <c r="Q118" s="4">
        <v>112.87472732795345</v>
      </c>
      <c r="R118" s="3">
        <v>11.291935355376229</v>
      </c>
    </row>
    <row r="119" spans="2:38" x14ac:dyDescent="0.35">
      <c r="B119">
        <v>2013</v>
      </c>
      <c r="C119">
        <v>10</v>
      </c>
      <c r="D119" s="4">
        <v>454.33367987140264</v>
      </c>
      <c r="E119" s="4">
        <v>0</v>
      </c>
      <c r="F119" s="4">
        <v>392.33367987140264</v>
      </c>
      <c r="G119" s="4">
        <v>0</v>
      </c>
      <c r="H119" s="4">
        <v>330.67117987140261</v>
      </c>
      <c r="I119" s="4">
        <v>0.33750000000000213</v>
      </c>
      <c r="J119" s="4">
        <v>272.82951320473603</v>
      </c>
      <c r="K119" s="4">
        <v>4.4958333333333407</v>
      </c>
      <c r="L119" s="4">
        <v>218.75867987140265</v>
      </c>
      <c r="M119" s="4">
        <v>12.42500000000001</v>
      </c>
      <c r="N119" s="4">
        <v>168.73367987140264</v>
      </c>
      <c r="O119" s="4">
        <v>24.400000000000006</v>
      </c>
      <c r="P119" s="4">
        <v>124.22117987140265</v>
      </c>
      <c r="Q119" s="4">
        <v>41.887500000000003</v>
      </c>
      <c r="R119" s="3">
        <v>5.3440748428579763</v>
      </c>
    </row>
    <row r="120" spans="2:38" x14ac:dyDescent="0.35">
      <c r="B120">
        <v>2013</v>
      </c>
      <c r="C120">
        <v>11</v>
      </c>
      <c r="D120" s="4">
        <v>732.02246153326939</v>
      </c>
      <c r="E120" s="4">
        <v>0</v>
      </c>
      <c r="F120" s="4">
        <v>672.02246153326939</v>
      </c>
      <c r="G120" s="4">
        <v>0</v>
      </c>
      <c r="H120" s="4">
        <v>612.02246153326939</v>
      </c>
      <c r="I120" s="4">
        <v>0</v>
      </c>
      <c r="J120" s="4">
        <v>552.02246153326928</v>
      </c>
      <c r="K120" s="4">
        <v>0</v>
      </c>
      <c r="L120" s="4">
        <v>492.02246153326939</v>
      </c>
      <c r="M120" s="4">
        <v>0</v>
      </c>
      <c r="N120" s="4">
        <v>432.02246153326939</v>
      </c>
      <c r="O120" s="4">
        <v>0</v>
      </c>
      <c r="P120" s="4">
        <v>373.68496153326942</v>
      </c>
      <c r="Q120" s="4">
        <v>1.6624999999999996</v>
      </c>
      <c r="R120" s="3">
        <v>-4.4007487177756444</v>
      </c>
    </row>
    <row r="121" spans="2:38" x14ac:dyDescent="0.35">
      <c r="B121">
        <v>2013</v>
      </c>
      <c r="C121">
        <v>12</v>
      </c>
      <c r="D121" s="4">
        <v>1210.1803536854268</v>
      </c>
      <c r="E121" s="4">
        <v>0</v>
      </c>
      <c r="F121" s="4">
        <v>1148.1803536854266</v>
      </c>
      <c r="G121" s="4">
        <v>0</v>
      </c>
      <c r="H121" s="4">
        <v>1086.1803536854266</v>
      </c>
      <c r="I121" s="4">
        <v>0</v>
      </c>
      <c r="J121" s="4">
        <v>1024.1803536854263</v>
      </c>
      <c r="K121" s="4">
        <v>0</v>
      </c>
      <c r="L121" s="4">
        <v>962.18035368542633</v>
      </c>
      <c r="M121" s="4">
        <v>0</v>
      </c>
      <c r="N121" s="4">
        <v>900.18035368542644</v>
      </c>
      <c r="O121" s="4">
        <v>0</v>
      </c>
      <c r="P121" s="4">
        <v>838.18035368542633</v>
      </c>
      <c r="Q121" s="4">
        <v>0</v>
      </c>
      <c r="R121" s="3">
        <v>-19.038075925336333</v>
      </c>
      <c r="T121" t="s">
        <v>39</v>
      </c>
      <c r="U121" t="s">
        <v>466</v>
      </c>
      <c r="V121" t="s">
        <v>467</v>
      </c>
    </row>
    <row r="122" spans="2:38" x14ac:dyDescent="0.35">
      <c r="B122">
        <v>2014</v>
      </c>
      <c r="C122">
        <v>1</v>
      </c>
      <c r="D122" s="4">
        <v>1233.8693065763684</v>
      </c>
      <c r="E122" s="4">
        <v>0</v>
      </c>
      <c r="F122" s="4">
        <v>1171.8693065763684</v>
      </c>
      <c r="G122" s="4">
        <v>0</v>
      </c>
      <c r="H122" s="4">
        <v>1109.8693065763684</v>
      </c>
      <c r="I122" s="4">
        <v>0</v>
      </c>
      <c r="J122" s="4">
        <v>1047.8693065763682</v>
      </c>
      <c r="K122" s="4">
        <v>0</v>
      </c>
      <c r="L122" s="4">
        <v>985.86930657636822</v>
      </c>
      <c r="M122" s="4">
        <v>0</v>
      </c>
      <c r="N122" s="4">
        <v>923.86930657636822</v>
      </c>
      <c r="O122" s="4">
        <v>0</v>
      </c>
      <c r="P122" s="4">
        <v>861.86930657636822</v>
      </c>
      <c r="Q122" s="4">
        <v>0</v>
      </c>
      <c r="R122" s="3">
        <v>-19.802235696011884</v>
      </c>
      <c r="T122" s="4">
        <f>MonthlyData!F2/MonthlyData!Q2</f>
        <v>984.46117037495753</v>
      </c>
      <c r="U122" s="4">
        <f>MonthlyData!I2/MonthlyData!R2</f>
        <v>2956.6004563433421</v>
      </c>
      <c r="V122" s="4">
        <f>MonthlyData!L2/MonthlyData!S2</f>
        <v>82663.781636902859</v>
      </c>
    </row>
    <row r="123" spans="2:38" x14ac:dyDescent="0.35">
      <c r="B123">
        <v>2014</v>
      </c>
      <c r="C123">
        <v>2</v>
      </c>
      <c r="D123" s="4">
        <v>1030.3601038254235</v>
      </c>
      <c r="E123" s="4">
        <v>0</v>
      </c>
      <c r="F123" s="4">
        <v>974.36010382542349</v>
      </c>
      <c r="G123" s="4">
        <v>0</v>
      </c>
      <c r="H123" s="4">
        <v>918.36010382542349</v>
      </c>
      <c r="I123" s="4">
        <v>0</v>
      </c>
      <c r="J123" s="4">
        <v>862.36010382542349</v>
      </c>
      <c r="K123" s="4">
        <v>0</v>
      </c>
      <c r="L123" s="4">
        <v>806.36010382542349</v>
      </c>
      <c r="M123" s="4">
        <v>0</v>
      </c>
      <c r="N123" s="4">
        <v>750.36010382542349</v>
      </c>
      <c r="O123" s="4">
        <v>0</v>
      </c>
      <c r="P123" s="4">
        <v>694.36010382542349</v>
      </c>
      <c r="Q123" s="4">
        <v>0</v>
      </c>
      <c r="R123" s="3">
        <v>-16.798575136622272</v>
      </c>
      <c r="T123" s="4">
        <f>MonthlyData!F3/MonthlyData!Q3</f>
        <v>999.29767732340088</v>
      </c>
      <c r="U123" s="4">
        <f>MonthlyData!I3/MonthlyData!R3</f>
        <v>3036.1171802712306</v>
      </c>
      <c r="V123" s="4">
        <f>MonthlyData!L3/MonthlyData!S3</f>
        <v>83219.480024299264</v>
      </c>
    </row>
    <row r="124" spans="2:38" x14ac:dyDescent="0.35">
      <c r="B124">
        <v>2014</v>
      </c>
      <c r="C124">
        <v>3</v>
      </c>
      <c r="D124" s="4">
        <v>1028.2909803903922</v>
      </c>
      <c r="E124" s="4">
        <v>0</v>
      </c>
      <c r="F124" s="4">
        <v>966.29098039039206</v>
      </c>
      <c r="G124" s="4">
        <v>0</v>
      </c>
      <c r="H124" s="4">
        <v>904.29098039039206</v>
      </c>
      <c r="I124" s="4">
        <v>0</v>
      </c>
      <c r="J124" s="4">
        <v>842.29098039039206</v>
      </c>
      <c r="K124" s="4">
        <v>0</v>
      </c>
      <c r="L124" s="4">
        <v>780.29098039039206</v>
      </c>
      <c r="M124" s="4">
        <v>0</v>
      </c>
      <c r="N124" s="4">
        <v>718.29098039039206</v>
      </c>
      <c r="O124" s="4">
        <v>0</v>
      </c>
      <c r="P124" s="4">
        <v>656.29098039039206</v>
      </c>
      <c r="Q124" s="4">
        <v>0</v>
      </c>
      <c r="R124" s="3">
        <v>-13.170676786786844</v>
      </c>
      <c r="T124" s="4">
        <f>MonthlyData!F4/MonthlyData!Q4</f>
        <v>800.10930475738928</v>
      </c>
      <c r="U124" s="4">
        <f>MonthlyData!I4/MonthlyData!R4</f>
        <v>2604.7791863460398</v>
      </c>
      <c r="V124" s="4">
        <f>MonthlyData!L4/MonthlyData!S4</f>
        <v>77690.351514047477</v>
      </c>
    </row>
    <row r="125" spans="2:38" x14ac:dyDescent="0.35">
      <c r="B125">
        <v>2014</v>
      </c>
      <c r="C125">
        <v>4</v>
      </c>
      <c r="D125" s="4">
        <v>642.04088813973726</v>
      </c>
      <c r="E125" s="4">
        <v>0</v>
      </c>
      <c r="F125" s="4">
        <v>582.04088813973726</v>
      </c>
      <c r="G125" s="4">
        <v>0</v>
      </c>
      <c r="H125" s="4">
        <v>522.04088813973726</v>
      </c>
      <c r="I125" s="4">
        <v>0</v>
      </c>
      <c r="J125" s="4">
        <v>462.04088813973715</v>
      </c>
      <c r="K125" s="4">
        <v>0</v>
      </c>
      <c r="L125" s="4">
        <v>402.04088813973715</v>
      </c>
      <c r="M125" s="4">
        <v>0</v>
      </c>
      <c r="N125" s="4">
        <v>342.04088813973715</v>
      </c>
      <c r="O125" s="4">
        <v>0</v>
      </c>
      <c r="P125" s="4">
        <v>282.04088813973726</v>
      </c>
      <c r="Q125" s="4">
        <v>0</v>
      </c>
      <c r="R125" s="3">
        <v>-1.4013629379912407</v>
      </c>
      <c r="T125" s="4">
        <f>MonthlyData!F5/MonthlyData!Q5</f>
        <v>815.97631574666377</v>
      </c>
      <c r="U125" s="4">
        <f>MonthlyData!I5/MonthlyData!R5</f>
        <v>2681.2613094485437</v>
      </c>
      <c r="V125" s="4">
        <f>MonthlyData!L5/MonthlyData!S5</f>
        <v>79599.610124927756</v>
      </c>
    </row>
    <row r="126" spans="2:38" x14ac:dyDescent="0.35">
      <c r="B126">
        <v>2014</v>
      </c>
      <c r="C126">
        <v>5</v>
      </c>
      <c r="D126" s="4">
        <v>336.18488766724647</v>
      </c>
      <c r="E126" s="4">
        <v>0</v>
      </c>
      <c r="F126" s="4">
        <v>276.75155433391319</v>
      </c>
      <c r="G126" s="4">
        <v>2.5666666666666629</v>
      </c>
      <c r="H126" s="4">
        <v>220.69322100057985</v>
      </c>
      <c r="I126" s="4">
        <v>8.5083333333333293</v>
      </c>
      <c r="J126" s="4">
        <v>165.41845418341626</v>
      </c>
      <c r="K126" s="4">
        <v>15.233566516169693</v>
      </c>
      <c r="L126" s="4">
        <v>117.02392769644609</v>
      </c>
      <c r="M126" s="4">
        <v>28.839040029199509</v>
      </c>
      <c r="N126" s="4">
        <v>76.76559436311274</v>
      </c>
      <c r="O126" s="4">
        <v>50.580706695866176</v>
      </c>
      <c r="P126" s="4">
        <v>47.078094363112726</v>
      </c>
      <c r="Q126" s="4">
        <v>82.893206695866169</v>
      </c>
      <c r="R126" s="3">
        <v>9.1553262042823693</v>
      </c>
      <c r="T126" s="4">
        <f>MonthlyData!F6/MonthlyData!Q6</f>
        <v>633.457190378679</v>
      </c>
      <c r="U126" s="4">
        <f>MonthlyData!I6/MonthlyData!R6</f>
        <v>2226.7883685983966</v>
      </c>
      <c r="V126" s="4">
        <f>MonthlyData!L6/MonthlyData!S6</f>
        <v>66221.275415964104</v>
      </c>
    </row>
    <row r="127" spans="2:38" x14ac:dyDescent="0.35">
      <c r="B127">
        <v>2014</v>
      </c>
      <c r="C127">
        <v>6</v>
      </c>
      <c r="D127" s="4">
        <v>125.79087622747539</v>
      </c>
      <c r="E127" s="4">
        <v>9.19166666666667</v>
      </c>
      <c r="F127" s="4">
        <v>81.08254289414208</v>
      </c>
      <c r="G127" s="4">
        <v>24.483333333333334</v>
      </c>
      <c r="H127" s="4">
        <v>46.461892702145953</v>
      </c>
      <c r="I127" s="4">
        <v>49.862683141337214</v>
      </c>
      <c r="J127" s="4">
        <v>19.608333333333341</v>
      </c>
      <c r="K127" s="4">
        <v>83.009123772524603</v>
      </c>
      <c r="L127" s="4">
        <v>5.9500000000000064</v>
      </c>
      <c r="M127" s="4">
        <v>129.35079043919126</v>
      </c>
      <c r="N127" s="4">
        <v>0</v>
      </c>
      <c r="O127" s="4">
        <v>183.40079043919127</v>
      </c>
      <c r="P127" s="4">
        <v>0</v>
      </c>
      <c r="Q127" s="4">
        <v>243.40079043919121</v>
      </c>
      <c r="R127" s="3">
        <v>16.113359681306374</v>
      </c>
      <c r="T127" s="4">
        <f>MonthlyData!F7/MonthlyData!Q7</f>
        <v>553.76211958355213</v>
      </c>
      <c r="U127" s="4">
        <f>MonthlyData!I7/MonthlyData!R7</f>
        <v>2108.8978537155272</v>
      </c>
      <c r="V127" s="4">
        <f>MonthlyData!L7/MonthlyData!S7</f>
        <v>61829.219669406593</v>
      </c>
    </row>
    <row r="128" spans="2:38" x14ac:dyDescent="0.35">
      <c r="B128">
        <v>2014</v>
      </c>
      <c r="C128">
        <v>7</v>
      </c>
      <c r="D128" s="4">
        <v>133.16666666666669</v>
      </c>
      <c r="E128" s="4">
        <v>2.0374999999999979</v>
      </c>
      <c r="F128" s="4">
        <v>84.508333333333354</v>
      </c>
      <c r="G128" s="4">
        <v>15.379166666666656</v>
      </c>
      <c r="H128" s="4">
        <v>46.274999999999999</v>
      </c>
      <c r="I128" s="4">
        <v>39.1458333333333</v>
      </c>
      <c r="J128" s="4">
        <v>20.06666666666667</v>
      </c>
      <c r="K128" s="4">
        <v>74.937499999999972</v>
      </c>
      <c r="L128" s="4">
        <v>3.1999999999999975</v>
      </c>
      <c r="M128" s="4">
        <v>120.0708333333333</v>
      </c>
      <c r="N128" s="4">
        <v>0</v>
      </c>
      <c r="O128" s="4">
        <v>178.87083333333334</v>
      </c>
      <c r="P128" s="4">
        <v>0</v>
      </c>
      <c r="Q128" s="4">
        <v>240.87083333333334</v>
      </c>
      <c r="R128" s="3">
        <v>15.77002688172043</v>
      </c>
      <c r="T128" s="4">
        <f>MonthlyData!F8/MonthlyData!Q8</f>
        <v>532.77854432885704</v>
      </c>
      <c r="U128" s="4">
        <f>MonthlyData!I8/MonthlyData!R8</f>
        <v>2035.9150608857944</v>
      </c>
      <c r="V128" s="4">
        <f>MonthlyData!L8/MonthlyData!S8</f>
        <v>58700.391605635341</v>
      </c>
    </row>
    <row r="129" spans="2:22" x14ac:dyDescent="0.35">
      <c r="B129">
        <v>2014</v>
      </c>
      <c r="C129">
        <v>8</v>
      </c>
      <c r="D129" s="4">
        <v>130.47083333333333</v>
      </c>
      <c r="E129" s="4">
        <v>3.8458333333333314</v>
      </c>
      <c r="F129" s="4">
        <v>80.912500000000023</v>
      </c>
      <c r="G129" s="4">
        <v>16.287500000000001</v>
      </c>
      <c r="H129" s="4">
        <v>42.191666666666677</v>
      </c>
      <c r="I129" s="4">
        <v>39.56666666666667</v>
      </c>
      <c r="J129" s="4">
        <v>16.945833333333333</v>
      </c>
      <c r="K129" s="4">
        <v>76.320833333333297</v>
      </c>
      <c r="L129" s="4">
        <v>5.1833333333333353</v>
      </c>
      <c r="M129" s="4">
        <v>126.55833333333331</v>
      </c>
      <c r="N129" s="4">
        <v>0.84166666666666856</v>
      </c>
      <c r="O129" s="4">
        <v>184.21666666666664</v>
      </c>
      <c r="P129" s="4">
        <v>0</v>
      </c>
      <c r="Q129" s="4">
        <v>245.37499999999997</v>
      </c>
      <c r="R129" s="3">
        <v>15.915322580645162</v>
      </c>
      <c r="T129" s="4">
        <f>MonthlyData!F9/MonthlyData!Q9</f>
        <v>549.72896741177249</v>
      </c>
      <c r="U129" s="4">
        <f>MonthlyData!I9/MonthlyData!R9</f>
        <v>2105.9666613007762</v>
      </c>
      <c r="V129" s="4">
        <f>MonthlyData!L9/MonthlyData!S9</f>
        <v>59134.375387282096</v>
      </c>
    </row>
    <row r="130" spans="2:22" x14ac:dyDescent="0.35">
      <c r="B130">
        <v>2014</v>
      </c>
      <c r="C130">
        <v>9</v>
      </c>
      <c r="D130" s="4">
        <v>288.13718511879762</v>
      </c>
      <c r="E130" s="4">
        <v>0</v>
      </c>
      <c r="F130" s="4">
        <v>228.76218511879759</v>
      </c>
      <c r="G130" s="4">
        <v>0.62499999999999289</v>
      </c>
      <c r="H130" s="4">
        <v>177.93718511879763</v>
      </c>
      <c r="I130" s="4">
        <v>9.7999999999999865</v>
      </c>
      <c r="J130" s="4">
        <v>137.41670615587688</v>
      </c>
      <c r="K130" s="4">
        <v>29.279521037079267</v>
      </c>
      <c r="L130" s="4">
        <v>99.445872822543521</v>
      </c>
      <c r="M130" s="4">
        <v>51.308687703745932</v>
      </c>
      <c r="N130" s="4">
        <v>63.679206155876841</v>
      </c>
      <c r="O130" s="4">
        <v>75.542021037079252</v>
      </c>
      <c r="P130" s="4">
        <v>36.845833333333331</v>
      </c>
      <c r="Q130" s="4">
        <v>108.70864821453576</v>
      </c>
      <c r="R130" s="3">
        <v>10.395427162706744</v>
      </c>
      <c r="T130" s="4">
        <f>MonthlyData!F10/MonthlyData!Q10</f>
        <v>548.56680786552488</v>
      </c>
      <c r="U130" s="4">
        <f>MonthlyData!I10/MonthlyData!R10</f>
        <v>2028.271635155</v>
      </c>
      <c r="V130" s="4">
        <f>MonthlyData!L10/MonthlyData!S10</f>
        <v>57693.77794180299</v>
      </c>
    </row>
    <row r="131" spans="2:22" x14ac:dyDescent="0.35">
      <c r="B131">
        <v>2014</v>
      </c>
      <c r="C131">
        <v>10</v>
      </c>
      <c r="D131" s="4">
        <v>482.59999999999997</v>
      </c>
      <c r="E131" s="4">
        <v>0</v>
      </c>
      <c r="F131" s="4">
        <v>420.6</v>
      </c>
      <c r="G131" s="4">
        <v>0</v>
      </c>
      <c r="H131" s="4">
        <v>358.59999999999997</v>
      </c>
      <c r="I131" s="4">
        <v>0</v>
      </c>
      <c r="J131" s="4">
        <v>297.02499999999998</v>
      </c>
      <c r="K131" s="4">
        <v>0.42500000000000249</v>
      </c>
      <c r="L131" s="4">
        <v>238.10416666666671</v>
      </c>
      <c r="M131" s="4">
        <v>3.5041666666666664</v>
      </c>
      <c r="N131" s="4">
        <v>180.10416666666666</v>
      </c>
      <c r="O131" s="4">
        <v>7.5041666666666664</v>
      </c>
      <c r="P131" s="4">
        <v>122.175</v>
      </c>
      <c r="Q131" s="4">
        <v>11.574999999999999</v>
      </c>
      <c r="R131" s="3">
        <v>4.4322580645161294</v>
      </c>
      <c r="T131" s="4">
        <f>MonthlyData!F11/MonthlyData!Q11</f>
        <v>545.14284688262387</v>
      </c>
      <c r="U131" s="4">
        <f>MonthlyData!I11/MonthlyData!R11</f>
        <v>1945.3831371744818</v>
      </c>
      <c r="V131" s="4">
        <f>MonthlyData!L11/MonthlyData!S11</f>
        <v>58500.095240626208</v>
      </c>
    </row>
    <row r="132" spans="2:22" x14ac:dyDescent="0.35">
      <c r="B132">
        <v>2014</v>
      </c>
      <c r="C132">
        <v>11</v>
      </c>
      <c r="D132" s="4">
        <v>825.22500000000002</v>
      </c>
      <c r="E132" s="4">
        <v>0</v>
      </c>
      <c r="F132" s="4">
        <v>765.22500000000002</v>
      </c>
      <c r="G132" s="4">
        <v>0</v>
      </c>
      <c r="H132" s="4">
        <v>705.22500000000014</v>
      </c>
      <c r="I132" s="4">
        <v>0</v>
      </c>
      <c r="J132" s="4">
        <v>645.22500000000014</v>
      </c>
      <c r="K132" s="4">
        <v>0</v>
      </c>
      <c r="L132" s="4">
        <v>585.22500000000014</v>
      </c>
      <c r="M132" s="4">
        <v>0</v>
      </c>
      <c r="N132" s="4">
        <v>525.22500000000002</v>
      </c>
      <c r="O132" s="4">
        <v>0</v>
      </c>
      <c r="P132" s="4">
        <v>465.22500000000002</v>
      </c>
      <c r="Q132" s="4">
        <v>0</v>
      </c>
      <c r="R132" s="3">
        <v>-7.5075000000000012</v>
      </c>
      <c r="T132" s="4">
        <f>MonthlyData!F12/MonthlyData!Q12</f>
        <v>620.98177705053661</v>
      </c>
      <c r="U132" s="4">
        <f>MonthlyData!I12/MonthlyData!R12</f>
        <v>2146.4502808109346</v>
      </c>
      <c r="V132" s="4">
        <f>MonthlyData!L12/MonthlyData!S12</f>
        <v>66603.575863342092</v>
      </c>
    </row>
    <row r="133" spans="2:22" x14ac:dyDescent="0.35">
      <c r="B133">
        <v>2014</v>
      </c>
      <c r="C133">
        <v>12</v>
      </c>
      <c r="D133" s="4">
        <v>959.30879458660854</v>
      </c>
      <c r="E133" s="4">
        <v>0</v>
      </c>
      <c r="F133" s="4">
        <v>897.30879458660854</v>
      </c>
      <c r="G133" s="4">
        <v>0</v>
      </c>
      <c r="H133" s="4">
        <v>835.30879458660854</v>
      </c>
      <c r="I133" s="4">
        <v>0</v>
      </c>
      <c r="J133" s="4">
        <v>773.30879458660854</v>
      </c>
      <c r="K133" s="4">
        <v>0</v>
      </c>
      <c r="L133" s="4">
        <v>711.30879458660854</v>
      </c>
      <c r="M133" s="4">
        <v>0</v>
      </c>
      <c r="N133" s="4">
        <v>649.30879458660854</v>
      </c>
      <c r="O133" s="4">
        <v>0</v>
      </c>
      <c r="P133" s="4">
        <v>587.30879458660854</v>
      </c>
      <c r="Q133" s="4">
        <v>0</v>
      </c>
      <c r="R133" s="3">
        <v>-10.945444986664789</v>
      </c>
      <c r="T133" s="4">
        <f>MonthlyData!F13/MonthlyData!Q13</f>
        <v>747.22879030798788</v>
      </c>
      <c r="U133" s="4">
        <f>MonthlyData!I13/MonthlyData!R13</f>
        <v>2442.4396483446658</v>
      </c>
      <c r="V133" s="4">
        <f>MonthlyData!L13/MonthlyData!S13</f>
        <v>69511.567207447268</v>
      </c>
    </row>
    <row r="134" spans="2:22" x14ac:dyDescent="0.35">
      <c r="B134">
        <v>2015</v>
      </c>
      <c r="C134">
        <v>1</v>
      </c>
      <c r="D134" s="4">
        <v>1198.8347552223963</v>
      </c>
      <c r="E134" s="4">
        <v>0</v>
      </c>
      <c r="F134" s="4">
        <v>1136.8347552223961</v>
      </c>
      <c r="G134" s="4">
        <v>0</v>
      </c>
      <c r="H134" s="4">
        <v>1074.8347552223961</v>
      </c>
      <c r="I134" s="4">
        <v>0</v>
      </c>
      <c r="J134" s="4">
        <v>1012.8347552223962</v>
      </c>
      <c r="K134" s="4">
        <v>0</v>
      </c>
      <c r="L134" s="4">
        <v>950.83475522239621</v>
      </c>
      <c r="M134" s="4">
        <v>0</v>
      </c>
      <c r="N134" s="4">
        <v>888.83475522239621</v>
      </c>
      <c r="O134" s="4">
        <v>0</v>
      </c>
      <c r="P134" s="4">
        <v>826.83475522239621</v>
      </c>
      <c r="Q134" s="4">
        <v>0</v>
      </c>
      <c r="R134" s="3">
        <v>-18.672088878141818</v>
      </c>
      <c r="T134" s="4">
        <f>MonthlyData!F14/MonthlyData!Q14</f>
        <v>871.13601926232525</v>
      </c>
      <c r="U134" s="4">
        <f>MonthlyData!I14/MonthlyData!R14</f>
        <v>2701.9733897532319</v>
      </c>
      <c r="V134" s="4">
        <f>MonthlyData!L14/MonthlyData!S14</f>
        <v>81653.68955573623</v>
      </c>
    </row>
    <row r="135" spans="2:22" x14ac:dyDescent="0.35">
      <c r="B135">
        <v>2015</v>
      </c>
      <c r="C135">
        <v>2</v>
      </c>
      <c r="D135" s="4">
        <v>1205.7993361882764</v>
      </c>
      <c r="E135" s="4">
        <v>0</v>
      </c>
      <c r="F135" s="4">
        <v>1149.7993361882766</v>
      </c>
      <c r="G135" s="4">
        <v>0</v>
      </c>
      <c r="H135" s="4">
        <v>1093.7993361882764</v>
      </c>
      <c r="I135" s="4">
        <v>0</v>
      </c>
      <c r="J135" s="4">
        <v>1037.7993361882764</v>
      </c>
      <c r="K135" s="4">
        <v>0</v>
      </c>
      <c r="L135" s="4">
        <v>981.79933618827647</v>
      </c>
      <c r="M135" s="4">
        <v>0</v>
      </c>
      <c r="N135" s="4">
        <v>925.79933618827647</v>
      </c>
      <c r="O135" s="4">
        <v>0</v>
      </c>
      <c r="P135" s="4">
        <v>869.79933618827647</v>
      </c>
      <c r="Q135" s="4">
        <v>0</v>
      </c>
      <c r="R135" s="3">
        <v>-23.064262006724164</v>
      </c>
      <c r="T135" s="4">
        <f>MonthlyData!F15/MonthlyData!Q15</f>
        <v>953.95970635541448</v>
      </c>
      <c r="U135" s="4">
        <f>MonthlyData!I15/MonthlyData!R15</f>
        <v>2930.9171118239483</v>
      </c>
      <c r="V135" s="4">
        <f>MonthlyData!L15/MonthlyData!S15</f>
        <v>75755.106657770855</v>
      </c>
    </row>
    <row r="136" spans="2:22" x14ac:dyDescent="0.35">
      <c r="B136">
        <v>2015</v>
      </c>
      <c r="C136">
        <v>3</v>
      </c>
      <c r="D136" s="4">
        <v>914.8724417886641</v>
      </c>
      <c r="E136" s="4">
        <v>0</v>
      </c>
      <c r="F136" s="4">
        <v>852.8724417886641</v>
      </c>
      <c r="G136" s="4">
        <v>0</v>
      </c>
      <c r="H136" s="4">
        <v>790.8724417886641</v>
      </c>
      <c r="I136" s="4">
        <v>0</v>
      </c>
      <c r="J136" s="4">
        <v>728.8724417886641</v>
      </c>
      <c r="K136" s="4">
        <v>0</v>
      </c>
      <c r="L136" s="4">
        <v>666.87244178866422</v>
      </c>
      <c r="M136" s="4">
        <v>0</v>
      </c>
      <c r="N136" s="4">
        <v>604.8724417886641</v>
      </c>
      <c r="O136" s="4">
        <v>0</v>
      </c>
      <c r="P136" s="4">
        <v>542.87244178866399</v>
      </c>
      <c r="Q136" s="4">
        <v>0</v>
      </c>
      <c r="R136" s="3">
        <v>-9.5120142512472352</v>
      </c>
      <c r="T136" s="4">
        <f>MonthlyData!F16/MonthlyData!Q16</f>
        <v>886.47886965348232</v>
      </c>
      <c r="U136" s="4">
        <f>MonthlyData!I16/MonthlyData!R16</f>
        <v>2765.7930728229858</v>
      </c>
      <c r="V136" s="4">
        <f>MonthlyData!L16/MonthlyData!S16</f>
        <v>82304.291184154645</v>
      </c>
    </row>
    <row r="137" spans="2:22" x14ac:dyDescent="0.35">
      <c r="B137">
        <v>2015</v>
      </c>
      <c r="C137">
        <v>4</v>
      </c>
      <c r="D137" s="4">
        <v>609.39652575448429</v>
      </c>
      <c r="E137" s="4">
        <v>0</v>
      </c>
      <c r="F137" s="4">
        <v>549.39652575448429</v>
      </c>
      <c r="G137" s="4">
        <v>0</v>
      </c>
      <c r="H137" s="4">
        <v>489.39652575448429</v>
      </c>
      <c r="I137" s="4">
        <v>0</v>
      </c>
      <c r="J137" s="4">
        <v>429.39652575448434</v>
      </c>
      <c r="K137" s="4">
        <v>0</v>
      </c>
      <c r="L137" s="4">
        <v>369.39652575448434</v>
      </c>
      <c r="M137" s="4">
        <v>0</v>
      </c>
      <c r="N137" s="4">
        <v>309.39652575448434</v>
      </c>
      <c r="O137" s="4">
        <v>0</v>
      </c>
      <c r="P137" s="4">
        <v>249.80485908781765</v>
      </c>
      <c r="Q137" s="4">
        <v>0.40833333333333321</v>
      </c>
      <c r="R137" s="3">
        <v>-0.31321752514947837</v>
      </c>
      <c r="T137" s="4">
        <f>MonthlyData!F17/MonthlyData!Q17</f>
        <v>754.18385808087567</v>
      </c>
      <c r="U137" s="4">
        <f>MonthlyData!I17/MonthlyData!R17</f>
        <v>2557.7561471011322</v>
      </c>
      <c r="V137" s="4">
        <f>MonthlyData!L17/MonthlyData!S17</f>
        <v>75943.985605872993</v>
      </c>
    </row>
    <row r="138" spans="2:22" x14ac:dyDescent="0.35">
      <c r="B138">
        <v>2015</v>
      </c>
      <c r="C138">
        <v>5</v>
      </c>
      <c r="D138" s="4">
        <v>574.69401843962544</v>
      </c>
      <c r="E138" s="4">
        <v>0</v>
      </c>
      <c r="F138" s="4">
        <v>512.69401843962544</v>
      </c>
      <c r="G138" s="4">
        <v>0</v>
      </c>
      <c r="H138" s="4">
        <v>451.36485177295879</v>
      </c>
      <c r="I138" s="4">
        <v>0.67083333333333783</v>
      </c>
      <c r="J138" s="4">
        <v>392.23968054388337</v>
      </c>
      <c r="K138" s="4">
        <v>3.5456621042579393</v>
      </c>
      <c r="L138" s="4">
        <v>339.36884721055009</v>
      </c>
      <c r="M138" s="4">
        <v>12.674828770924604</v>
      </c>
      <c r="N138" s="4">
        <v>288.41468054388343</v>
      </c>
      <c r="O138" s="4">
        <v>23.720662104257936</v>
      </c>
      <c r="P138" s="4">
        <v>239.23551387721685</v>
      </c>
      <c r="Q138" s="4">
        <v>36.541495437591266</v>
      </c>
      <c r="R138" s="3">
        <v>1.4614832761411116</v>
      </c>
      <c r="T138" s="4">
        <f>MonthlyData!F18/MonthlyData!Q18</f>
        <v>620.71437607392284</v>
      </c>
      <c r="U138" s="4">
        <f>MonthlyData!I18/MonthlyData!R18</f>
        <v>2193.6492431227434</v>
      </c>
      <c r="V138" s="4">
        <f>MonthlyData!L18/MonthlyData!S18</f>
        <v>68985.375718383686</v>
      </c>
    </row>
    <row r="139" spans="2:22" x14ac:dyDescent="0.35">
      <c r="B139">
        <v>2015</v>
      </c>
      <c r="C139">
        <v>6</v>
      </c>
      <c r="D139" s="4">
        <v>157.9932724020519</v>
      </c>
      <c r="E139" s="4">
        <v>1.1500000000000021</v>
      </c>
      <c r="F139" s="4">
        <v>105.04743906871853</v>
      </c>
      <c r="G139" s="4">
        <v>8.2041666666666657</v>
      </c>
      <c r="H139" s="4">
        <v>61.272439068718555</v>
      </c>
      <c r="I139" s="4">
        <v>24.429166666666664</v>
      </c>
      <c r="J139" s="4">
        <v>32.180772402051879</v>
      </c>
      <c r="K139" s="4">
        <v>55.337499999999977</v>
      </c>
      <c r="L139" s="4">
        <v>14.268272402051874</v>
      </c>
      <c r="M139" s="4">
        <v>97.424999999999997</v>
      </c>
      <c r="N139" s="4">
        <v>6.6599390687185451</v>
      </c>
      <c r="O139" s="4">
        <v>149.81666666666663</v>
      </c>
      <c r="P139" s="4">
        <v>0.80160573538520907</v>
      </c>
      <c r="Q139" s="4">
        <v>203.95833333333334</v>
      </c>
      <c r="R139" s="3">
        <v>14.771890919931602</v>
      </c>
      <c r="T139" s="4">
        <f>MonthlyData!F19/MonthlyData!Q19</f>
        <v>542.22348791076934</v>
      </c>
      <c r="U139" s="4">
        <f>MonthlyData!I19/MonthlyData!R19</f>
        <v>1957.1440932653295</v>
      </c>
      <c r="V139" s="4">
        <f>MonthlyData!L19/MonthlyData!S19</f>
        <v>67938.283416668608</v>
      </c>
    </row>
    <row r="140" spans="2:22" x14ac:dyDescent="0.35">
      <c r="B140">
        <v>2015</v>
      </c>
      <c r="C140">
        <v>7</v>
      </c>
      <c r="D140" s="4">
        <v>72.574018587128251</v>
      </c>
      <c r="E140" s="4">
        <v>22.854166666666661</v>
      </c>
      <c r="F140" s="4">
        <v>37.511518587128251</v>
      </c>
      <c r="G140" s="4">
        <v>49.791666666666671</v>
      </c>
      <c r="H140" s="4">
        <v>16.965685253794909</v>
      </c>
      <c r="I140" s="4">
        <v>91.245833333333323</v>
      </c>
      <c r="J140" s="4">
        <v>4.8323519204615764</v>
      </c>
      <c r="K140" s="4">
        <v>141.11249999999995</v>
      </c>
      <c r="L140" s="4">
        <v>5.8333333333335347E-2</v>
      </c>
      <c r="M140" s="4">
        <v>198.33848141287172</v>
      </c>
      <c r="N140" s="4">
        <v>0</v>
      </c>
      <c r="O140" s="4">
        <v>260.28014807953844</v>
      </c>
      <c r="P140" s="4">
        <v>0</v>
      </c>
      <c r="Q140" s="4">
        <v>322.28014807953844</v>
      </c>
      <c r="R140" s="3">
        <v>18.396133809017368</v>
      </c>
      <c r="T140" s="4">
        <f>MonthlyData!F20/MonthlyData!Q20</f>
        <v>512.57873732656685</v>
      </c>
      <c r="U140" s="4">
        <f>MonthlyData!I20/MonthlyData!R20</f>
        <v>2006.826565098602</v>
      </c>
      <c r="V140" s="4">
        <f>MonthlyData!L20/MonthlyData!S20</f>
        <v>63649.477729953054</v>
      </c>
    </row>
    <row r="141" spans="2:22" x14ac:dyDescent="0.35">
      <c r="B141">
        <v>2015</v>
      </c>
      <c r="C141">
        <v>8</v>
      </c>
      <c r="D141" s="4">
        <v>102.55000000000001</v>
      </c>
      <c r="E141" s="4">
        <v>8.274999999999995</v>
      </c>
      <c r="F141" s="4">
        <v>54.945833333333326</v>
      </c>
      <c r="G141" s="4">
        <v>22.670833333333327</v>
      </c>
      <c r="H141" s="4">
        <v>25.15</v>
      </c>
      <c r="I141" s="4">
        <v>54.874999999999979</v>
      </c>
      <c r="J141" s="4">
        <v>7.2833333333333332</v>
      </c>
      <c r="K141" s="4">
        <v>99.008333333333326</v>
      </c>
      <c r="L141" s="4">
        <v>1.9708333333333368</v>
      </c>
      <c r="M141" s="4">
        <v>155.69583333333333</v>
      </c>
      <c r="N141" s="4">
        <v>0</v>
      </c>
      <c r="O141" s="4">
        <v>215.72499999999999</v>
      </c>
      <c r="P141" s="4">
        <v>0</v>
      </c>
      <c r="Q141" s="4">
        <v>277.72499999999997</v>
      </c>
      <c r="R141" s="3">
        <v>16.958870967741937</v>
      </c>
      <c r="T141" s="4">
        <f>MonthlyData!F21/MonthlyData!Q21</f>
        <v>577.54326106785641</v>
      </c>
      <c r="U141" s="4">
        <f>MonthlyData!I21/MonthlyData!R21</f>
        <v>2167.049786373419</v>
      </c>
      <c r="V141" s="4">
        <f>MonthlyData!L21/MonthlyData!S21</f>
        <v>64941.734484964101</v>
      </c>
    </row>
    <row r="142" spans="2:22" x14ac:dyDescent="0.35">
      <c r="B142">
        <v>2015</v>
      </c>
      <c r="C142">
        <v>9</v>
      </c>
      <c r="D142" s="4">
        <v>158.24211056778861</v>
      </c>
      <c r="E142" s="4">
        <v>13.362499999999997</v>
      </c>
      <c r="F142" s="4">
        <v>114.85044390112195</v>
      </c>
      <c r="G142" s="4">
        <v>29.970833333333335</v>
      </c>
      <c r="H142" s="4">
        <v>79.200443901121943</v>
      </c>
      <c r="I142" s="4">
        <v>54.320833333333326</v>
      </c>
      <c r="J142" s="4">
        <v>50.910729507909807</v>
      </c>
      <c r="K142" s="4">
        <v>86.031118940121203</v>
      </c>
      <c r="L142" s="4">
        <v>31.310729507909812</v>
      </c>
      <c r="M142" s="4">
        <v>126.43111894012118</v>
      </c>
      <c r="N142" s="4">
        <v>16.877396174576482</v>
      </c>
      <c r="O142" s="4">
        <v>171.99778560678789</v>
      </c>
      <c r="P142" s="4">
        <v>5.876931168876605</v>
      </c>
      <c r="Q142" s="4">
        <v>220.99732060108801</v>
      </c>
      <c r="R142" s="3">
        <v>15.170679647740378</v>
      </c>
      <c r="T142" s="4">
        <f>MonthlyData!F22/MonthlyData!Q22</f>
        <v>556.52920127061282</v>
      </c>
      <c r="U142" s="4">
        <f>MonthlyData!I22/MonthlyData!R22</f>
        <v>1998.1925134134692</v>
      </c>
      <c r="V142" s="4">
        <f>MonthlyData!L22/MonthlyData!S22</f>
        <v>67259.613549216563</v>
      </c>
    </row>
    <row r="143" spans="2:22" x14ac:dyDescent="0.35">
      <c r="B143">
        <v>2015</v>
      </c>
      <c r="C143">
        <v>10</v>
      </c>
      <c r="D143" s="4">
        <v>514.48891612167768</v>
      </c>
      <c r="E143" s="4">
        <v>0</v>
      </c>
      <c r="F143" s="4">
        <v>452.48891612167768</v>
      </c>
      <c r="G143" s="4">
        <v>0</v>
      </c>
      <c r="H143" s="4">
        <v>390.48891612167762</v>
      </c>
      <c r="I143" s="4">
        <v>0</v>
      </c>
      <c r="J143" s="4">
        <v>328.75141612167755</v>
      </c>
      <c r="K143" s="4">
        <v>0.26249999999999574</v>
      </c>
      <c r="L143" s="4">
        <v>270.03891612167757</v>
      </c>
      <c r="M143" s="4">
        <v>3.5499999999999972</v>
      </c>
      <c r="N143" s="4">
        <v>212.50558278834421</v>
      </c>
      <c r="O143" s="4">
        <v>8.0166666666666639</v>
      </c>
      <c r="P143" s="4">
        <v>156.80974945501092</v>
      </c>
      <c r="Q143" s="4">
        <v>14.320833333333331</v>
      </c>
      <c r="R143" s="3">
        <v>3.403583350913626</v>
      </c>
      <c r="T143" s="4">
        <f>MonthlyData!F23/MonthlyData!Q23</f>
        <v>541.95859223424941</v>
      </c>
      <c r="U143" s="4">
        <f>MonthlyData!I23/MonthlyData!R23</f>
        <v>1968.9129218673636</v>
      </c>
      <c r="V143" s="4">
        <f>MonthlyData!L23/MonthlyData!S23</f>
        <v>71349.433002861697</v>
      </c>
    </row>
    <row r="144" spans="2:22" x14ac:dyDescent="0.35">
      <c r="B144">
        <v>2015</v>
      </c>
      <c r="C144">
        <v>11</v>
      </c>
      <c r="D144" s="4">
        <v>593.98749999999984</v>
      </c>
      <c r="E144" s="4">
        <v>0</v>
      </c>
      <c r="F144" s="4">
        <v>533.98749999999995</v>
      </c>
      <c r="G144" s="4">
        <v>0</v>
      </c>
      <c r="H144" s="4">
        <v>473.98749999999995</v>
      </c>
      <c r="I144" s="4">
        <v>0</v>
      </c>
      <c r="J144" s="4">
        <v>413.98749999999995</v>
      </c>
      <c r="K144" s="4">
        <v>0</v>
      </c>
      <c r="L144" s="4">
        <v>354.19166666666661</v>
      </c>
      <c r="M144" s="4">
        <v>0.20416666666666394</v>
      </c>
      <c r="N144" s="4">
        <v>296.19166666666666</v>
      </c>
      <c r="O144" s="4">
        <v>2.2041666666666639</v>
      </c>
      <c r="P144" s="4">
        <v>238.80416666666665</v>
      </c>
      <c r="Q144" s="4">
        <v>4.8166666666666629</v>
      </c>
      <c r="R144" s="3">
        <v>0.20041666666666599</v>
      </c>
      <c r="T144" s="4">
        <f>MonthlyData!F24/MonthlyData!Q24</f>
        <v>610.1573295134948</v>
      </c>
      <c r="U144" s="4">
        <f>MonthlyData!I24/MonthlyData!R24</f>
        <v>2104.4144679042233</v>
      </c>
      <c r="V144" s="4">
        <f>MonthlyData!L24/MonthlyData!S24</f>
        <v>76935.481102842299</v>
      </c>
    </row>
    <row r="145" spans="2:22" x14ac:dyDescent="0.35">
      <c r="B145">
        <v>2015</v>
      </c>
      <c r="C145">
        <v>12</v>
      </c>
      <c r="D145" s="4">
        <v>775.28750000000002</v>
      </c>
      <c r="E145" s="4">
        <v>0</v>
      </c>
      <c r="F145" s="4">
        <v>713.28750000000002</v>
      </c>
      <c r="G145" s="4">
        <v>0</v>
      </c>
      <c r="H145" s="4">
        <v>651.28750000000002</v>
      </c>
      <c r="I145" s="4">
        <v>0</v>
      </c>
      <c r="J145" s="4">
        <v>589.28749999999991</v>
      </c>
      <c r="K145" s="4">
        <v>0</v>
      </c>
      <c r="L145" s="4">
        <v>527.28750000000002</v>
      </c>
      <c r="M145" s="4">
        <v>0</v>
      </c>
      <c r="N145" s="4">
        <v>465.28749999999997</v>
      </c>
      <c r="O145" s="4">
        <v>0</v>
      </c>
      <c r="P145" s="4">
        <v>403.28749999999997</v>
      </c>
      <c r="Q145" s="4">
        <v>0</v>
      </c>
      <c r="R145" s="3">
        <v>-5.0092741935483875</v>
      </c>
      <c r="T145" s="4">
        <f>MonthlyData!F25/MonthlyData!Q25</f>
        <v>640.03768709973701</v>
      </c>
      <c r="U145" s="4">
        <f>MonthlyData!I25/MonthlyData!R25</f>
        <v>2183.4127042460768</v>
      </c>
      <c r="V145" s="4">
        <f>MonthlyData!L25/MonthlyData!S25</f>
        <v>72724.129471750275</v>
      </c>
    </row>
    <row r="146" spans="2:22" x14ac:dyDescent="0.35">
      <c r="B146">
        <v>2016</v>
      </c>
      <c r="C146">
        <v>1</v>
      </c>
      <c r="D146" s="4">
        <v>1028.4679840653187</v>
      </c>
      <c r="E146" s="4">
        <v>0</v>
      </c>
      <c r="F146" s="4">
        <v>966.46798406531866</v>
      </c>
      <c r="G146" s="4">
        <v>0</v>
      </c>
      <c r="H146" s="4">
        <v>904.46798406531866</v>
      </c>
      <c r="I146" s="4">
        <v>0</v>
      </c>
      <c r="J146" s="4">
        <v>842.46798406531866</v>
      </c>
      <c r="K146" s="4">
        <v>0</v>
      </c>
      <c r="L146" s="4">
        <v>780.46798406531877</v>
      </c>
      <c r="M146" s="4">
        <v>0</v>
      </c>
      <c r="N146" s="4">
        <v>718.46798406531877</v>
      </c>
      <c r="O146" s="4">
        <v>0</v>
      </c>
      <c r="P146" s="4">
        <v>656.46798406531866</v>
      </c>
      <c r="Q146" s="4">
        <v>0</v>
      </c>
      <c r="R146" s="3">
        <v>-13.176386582752217</v>
      </c>
      <c r="T146" s="4">
        <f>MonthlyData!F26/MonthlyData!Q26</f>
        <v>764.58331093096626</v>
      </c>
      <c r="U146" s="4">
        <f>MonthlyData!I26/MonthlyData!R26</f>
        <v>2554.5077844147008</v>
      </c>
      <c r="V146" s="4">
        <f>MonthlyData!L26/MonthlyData!S26</f>
        <v>90497.483531373102</v>
      </c>
    </row>
    <row r="147" spans="2:22" x14ac:dyDescent="0.35">
      <c r="B147">
        <v>2016</v>
      </c>
      <c r="C147">
        <v>2</v>
      </c>
      <c r="D147" s="4">
        <v>1022.4199547234056</v>
      </c>
      <c r="E147" s="4">
        <v>0</v>
      </c>
      <c r="F147" s="4">
        <v>964.41995472340557</v>
      </c>
      <c r="G147" s="4">
        <v>0</v>
      </c>
      <c r="H147" s="4">
        <v>906.41995472340557</v>
      </c>
      <c r="I147" s="4">
        <v>0</v>
      </c>
      <c r="J147" s="4">
        <v>848.41995472340557</v>
      </c>
      <c r="K147" s="4">
        <v>0</v>
      </c>
      <c r="L147" s="4">
        <v>790.41995472340568</v>
      </c>
      <c r="M147" s="4">
        <v>0</v>
      </c>
      <c r="N147" s="4">
        <v>732.41995472340568</v>
      </c>
      <c r="O147" s="4">
        <v>0</v>
      </c>
      <c r="P147" s="4">
        <v>674.41995472340557</v>
      </c>
      <c r="Q147" s="4">
        <v>0</v>
      </c>
      <c r="R147" s="3">
        <v>-15.255860507703645</v>
      </c>
      <c r="T147" s="4">
        <f>MonthlyData!F27/MonthlyData!Q27</f>
        <v>841.25380488898975</v>
      </c>
      <c r="U147" s="4">
        <f>MonthlyData!I27/MonthlyData!R27</f>
        <v>2774.2198542138749</v>
      </c>
      <c r="V147" s="4">
        <f>MonthlyData!L27/MonthlyData!S27</f>
        <v>94262.702748744079</v>
      </c>
    </row>
    <row r="148" spans="2:22" x14ac:dyDescent="0.35">
      <c r="B148">
        <v>2016</v>
      </c>
      <c r="C148">
        <v>3</v>
      </c>
      <c r="D148" s="4">
        <v>825.41411900761989</v>
      </c>
      <c r="E148" s="4">
        <v>0</v>
      </c>
      <c r="F148" s="4">
        <v>763.41411900761989</v>
      </c>
      <c r="G148" s="4">
        <v>0</v>
      </c>
      <c r="H148" s="4">
        <v>701.41411900761989</v>
      </c>
      <c r="I148" s="4">
        <v>0</v>
      </c>
      <c r="J148" s="4">
        <v>639.41411900761977</v>
      </c>
      <c r="K148" s="4">
        <v>0</v>
      </c>
      <c r="L148" s="4">
        <v>577.41411900761989</v>
      </c>
      <c r="M148" s="4">
        <v>0</v>
      </c>
      <c r="N148" s="4">
        <v>515.41411900761977</v>
      </c>
      <c r="O148" s="4">
        <v>0</v>
      </c>
      <c r="P148" s="4">
        <v>453.41411900761983</v>
      </c>
      <c r="Q148" s="4">
        <v>0</v>
      </c>
      <c r="R148" s="3">
        <v>-6.626261903471609</v>
      </c>
      <c r="T148" s="4">
        <f>MonthlyData!F28/MonthlyData!Q28</f>
        <v>781.94003428153849</v>
      </c>
      <c r="U148" s="4">
        <f>MonthlyData!I28/MonthlyData!R28</f>
        <v>2703.9315886950467</v>
      </c>
      <c r="V148" s="4">
        <f>MonthlyData!L28/MonthlyData!S28</f>
        <v>93046.633568258112</v>
      </c>
    </row>
    <row r="149" spans="2:22" x14ac:dyDescent="0.35">
      <c r="B149">
        <v>2016</v>
      </c>
      <c r="C149">
        <v>4</v>
      </c>
      <c r="D149" s="4">
        <v>661.50000000000011</v>
      </c>
      <c r="E149" s="4">
        <v>0</v>
      </c>
      <c r="F149" s="4">
        <v>601.50000000000011</v>
      </c>
      <c r="G149" s="4">
        <v>0</v>
      </c>
      <c r="H149" s="4">
        <v>541.50000000000011</v>
      </c>
      <c r="I149" s="4">
        <v>0</v>
      </c>
      <c r="J149" s="4">
        <v>481.5</v>
      </c>
      <c r="K149" s="4">
        <v>0</v>
      </c>
      <c r="L149" s="4">
        <v>421.5</v>
      </c>
      <c r="M149" s="4">
        <v>0</v>
      </c>
      <c r="N149" s="4">
        <v>361.875</v>
      </c>
      <c r="O149" s="4">
        <v>0.37499999999999822</v>
      </c>
      <c r="P149" s="4">
        <v>305.875</v>
      </c>
      <c r="Q149" s="4">
        <v>4.3749999999999982</v>
      </c>
      <c r="R149" s="3">
        <v>-2.0499999999999994</v>
      </c>
      <c r="T149" s="4">
        <f>MonthlyData!F29/MonthlyData!Q29</f>
        <v>699.25587083293567</v>
      </c>
      <c r="U149" s="4">
        <f>MonthlyData!I29/MonthlyData!R29</f>
        <v>2561.4879735057852</v>
      </c>
      <c r="V149" s="4">
        <f>MonthlyData!L29/MonthlyData!S29</f>
        <v>90679.202142736642</v>
      </c>
    </row>
    <row r="150" spans="2:22" x14ac:dyDescent="0.35">
      <c r="B150">
        <v>2016</v>
      </c>
      <c r="C150">
        <v>5</v>
      </c>
      <c r="D150" s="4">
        <v>322.33633680576384</v>
      </c>
      <c r="E150" s="4">
        <v>0.51249999999999929</v>
      </c>
      <c r="F150" s="4">
        <v>263.09467013909722</v>
      </c>
      <c r="G150" s="4">
        <v>3.2708333333333357</v>
      </c>
      <c r="H150" s="4">
        <v>205.10717013909721</v>
      </c>
      <c r="I150" s="4">
        <v>7.283333333333335</v>
      </c>
      <c r="J150" s="4">
        <v>150.80717013909722</v>
      </c>
      <c r="K150" s="4">
        <v>14.983333333333327</v>
      </c>
      <c r="L150" s="4">
        <v>106.94467013909721</v>
      </c>
      <c r="M150" s="4">
        <v>33.120833333333316</v>
      </c>
      <c r="N150" s="4">
        <v>72.507170139097227</v>
      </c>
      <c r="O150" s="4">
        <v>60.68333333333333</v>
      </c>
      <c r="P150" s="4">
        <v>44.182170139097217</v>
      </c>
      <c r="Q150" s="4">
        <v>94.358333333333334</v>
      </c>
      <c r="R150" s="3">
        <v>9.6185859094914878</v>
      </c>
      <c r="T150" s="4">
        <f>MonthlyData!F30/MonthlyData!Q30</f>
        <v>609.46721149837015</v>
      </c>
      <c r="U150" s="4">
        <f>MonthlyData!I30/MonthlyData!R30</f>
        <v>2312.2953167487126</v>
      </c>
      <c r="V150" s="4">
        <f>MonthlyData!L30/MonthlyData!S30</f>
        <v>76004.117404655175</v>
      </c>
    </row>
    <row r="151" spans="2:22" x14ac:dyDescent="0.35">
      <c r="B151">
        <v>2016</v>
      </c>
      <c r="C151">
        <v>6</v>
      </c>
      <c r="D151" s="4">
        <v>168.23333333333329</v>
      </c>
      <c r="E151" s="4">
        <v>9.2916666666666643</v>
      </c>
      <c r="F151" s="4">
        <v>123.0291666666667</v>
      </c>
      <c r="G151" s="4">
        <v>24.087500000000002</v>
      </c>
      <c r="H151" s="4">
        <v>82.970833333333346</v>
      </c>
      <c r="I151" s="4">
        <v>44.029166666666654</v>
      </c>
      <c r="J151" s="4">
        <v>46.012500000000003</v>
      </c>
      <c r="K151" s="4">
        <v>67.070833333333312</v>
      </c>
      <c r="L151" s="4">
        <v>21.787500000000001</v>
      </c>
      <c r="M151" s="4">
        <v>102.84583333333333</v>
      </c>
      <c r="N151" s="4">
        <v>10.937500000000002</v>
      </c>
      <c r="O151" s="4">
        <v>151.99583333333334</v>
      </c>
      <c r="P151" s="4">
        <v>5.8791666666666664</v>
      </c>
      <c r="Q151" s="4">
        <v>206.9375</v>
      </c>
      <c r="R151" s="3">
        <v>14.701944444444441</v>
      </c>
      <c r="T151" s="4">
        <f>MonthlyData!F31/MonthlyData!Q31</f>
        <v>524.87924971695998</v>
      </c>
      <c r="U151" s="4">
        <f>MonthlyData!I31/MonthlyData!R31</f>
        <v>2078.9731746562611</v>
      </c>
      <c r="V151" s="4">
        <f>MonthlyData!L31/MonthlyData!S31</f>
        <v>72814.024635471986</v>
      </c>
    </row>
    <row r="152" spans="2:22" x14ac:dyDescent="0.35">
      <c r="B152">
        <v>2016</v>
      </c>
      <c r="C152">
        <v>7</v>
      </c>
      <c r="D152" s="4">
        <v>83.154166666666669</v>
      </c>
      <c r="E152" s="4">
        <v>13.775000000000009</v>
      </c>
      <c r="F152" s="4">
        <v>42.916666666666671</v>
      </c>
      <c r="G152" s="4">
        <v>35.537500000000009</v>
      </c>
      <c r="H152" s="4">
        <v>16.449999999999996</v>
      </c>
      <c r="I152" s="4">
        <v>71.070833333333354</v>
      </c>
      <c r="J152" s="4">
        <v>4.7375000000000025</v>
      </c>
      <c r="K152" s="4">
        <v>121.35833333333335</v>
      </c>
      <c r="L152" s="4">
        <v>0.49166666666666714</v>
      </c>
      <c r="M152" s="4">
        <v>179.11250000000001</v>
      </c>
      <c r="N152" s="4">
        <v>0</v>
      </c>
      <c r="O152" s="4">
        <v>240.62083333333328</v>
      </c>
      <c r="P152" s="4">
        <v>0</v>
      </c>
      <c r="Q152" s="4">
        <v>302.62083333333328</v>
      </c>
      <c r="R152" s="3">
        <v>17.761962365591401</v>
      </c>
      <c r="T152" s="4">
        <f>MonthlyData!F32/MonthlyData!Q32</f>
        <v>528.54611548623984</v>
      </c>
      <c r="U152" s="4">
        <f>MonthlyData!I32/MonthlyData!R32</f>
        <v>2084.8474286763853</v>
      </c>
      <c r="V152" s="4">
        <f>MonthlyData!L32/MonthlyData!S32</f>
        <v>73427.580683332795</v>
      </c>
    </row>
    <row r="153" spans="2:22" x14ac:dyDescent="0.35">
      <c r="B153">
        <v>2016</v>
      </c>
      <c r="C153">
        <v>8</v>
      </c>
      <c r="D153" s="4">
        <v>79.283333333333346</v>
      </c>
      <c r="E153" s="4">
        <v>16.262499999999996</v>
      </c>
      <c r="F153" s="4">
        <v>42.754166666666691</v>
      </c>
      <c r="G153" s="4">
        <v>41.733333333333334</v>
      </c>
      <c r="H153" s="4">
        <v>16.483333333333345</v>
      </c>
      <c r="I153" s="4">
        <v>77.462499999999991</v>
      </c>
      <c r="J153" s="4">
        <v>3.5291666666666703</v>
      </c>
      <c r="K153" s="4">
        <v>126.50833333333333</v>
      </c>
      <c r="L153" s="4">
        <v>0.40833333333333321</v>
      </c>
      <c r="M153" s="4">
        <v>185.38750000000002</v>
      </c>
      <c r="N153" s="4">
        <v>0</v>
      </c>
      <c r="O153" s="4">
        <v>246.97916666666666</v>
      </c>
      <c r="P153" s="4">
        <v>0</v>
      </c>
      <c r="Q153" s="4">
        <v>308.97916666666657</v>
      </c>
      <c r="R153" s="3">
        <v>17.967069892473116</v>
      </c>
      <c r="T153" s="4">
        <f>MonthlyData!F33/MonthlyData!Q33</f>
        <v>560.22194190166488</v>
      </c>
      <c r="U153" s="4">
        <f>MonthlyData!I33/MonthlyData!R33</f>
        <v>2181.586331783798</v>
      </c>
      <c r="V153" s="4">
        <f>MonthlyData!L33/MonthlyData!S33</f>
        <v>75702.024239320366</v>
      </c>
    </row>
    <row r="154" spans="2:22" x14ac:dyDescent="0.35">
      <c r="B154">
        <v>2016</v>
      </c>
      <c r="C154">
        <v>9</v>
      </c>
      <c r="D154" s="4">
        <v>204.68817708395829</v>
      </c>
      <c r="E154" s="4">
        <v>1.4583333333333321</v>
      </c>
      <c r="F154" s="4">
        <v>149.03401041729165</v>
      </c>
      <c r="G154" s="4">
        <v>5.8041666666666636</v>
      </c>
      <c r="H154" s="4">
        <v>98.346510417291611</v>
      </c>
      <c r="I154" s="4">
        <v>15.116666666666664</v>
      </c>
      <c r="J154" s="4">
        <v>55.874999999999993</v>
      </c>
      <c r="K154" s="4">
        <v>32.645156249375042</v>
      </c>
      <c r="L154" s="4">
        <v>21.633333333333333</v>
      </c>
      <c r="M154" s="4">
        <v>58.403489582708374</v>
      </c>
      <c r="N154" s="4">
        <v>7.7458333333333318</v>
      </c>
      <c r="O154" s="4">
        <v>104.5159895827084</v>
      </c>
      <c r="P154" s="4">
        <v>1.375</v>
      </c>
      <c r="Q154" s="4">
        <v>158.14515624937508</v>
      </c>
      <c r="R154" s="3">
        <v>13.225671874979165</v>
      </c>
      <c r="T154" s="4">
        <f>MonthlyData!F34/MonthlyData!Q34</f>
        <v>581.79940246997103</v>
      </c>
      <c r="U154" s="4">
        <f>MonthlyData!I34/MonthlyData!R34</f>
        <v>2203.3999591216748</v>
      </c>
      <c r="V154" s="4">
        <f>MonthlyData!L34/MonthlyData!S34</f>
        <v>81255.462281852873</v>
      </c>
    </row>
    <row r="155" spans="2:22" x14ac:dyDescent="0.35">
      <c r="B155">
        <v>2016</v>
      </c>
      <c r="C155">
        <v>10</v>
      </c>
      <c r="D155" s="4">
        <v>449.36482502849941</v>
      </c>
      <c r="E155" s="4">
        <v>0</v>
      </c>
      <c r="F155" s="4">
        <v>387.36482502849941</v>
      </c>
      <c r="G155" s="4">
        <v>0</v>
      </c>
      <c r="H155" s="4">
        <v>325.6606583618327</v>
      </c>
      <c r="I155" s="4">
        <v>0.29583333333333428</v>
      </c>
      <c r="J155" s="4">
        <v>267.39399169516605</v>
      </c>
      <c r="K155" s="4">
        <v>4.0291666666666668</v>
      </c>
      <c r="L155" s="4">
        <v>213.61482502849938</v>
      </c>
      <c r="M155" s="4">
        <v>12.249999999999995</v>
      </c>
      <c r="N155" s="4">
        <v>165.32732502849939</v>
      </c>
      <c r="O155" s="4">
        <v>25.962499999999999</v>
      </c>
      <c r="P155" s="4">
        <v>120.38656862862739</v>
      </c>
      <c r="Q155" s="4">
        <v>43.021743600128005</v>
      </c>
      <c r="R155" s="3">
        <v>5.5043604829516317</v>
      </c>
      <c r="T155" s="4">
        <f>MonthlyData!F35/MonthlyData!Q35</f>
        <v>504.12977276368071</v>
      </c>
      <c r="U155" s="4">
        <f>MonthlyData!I35/MonthlyData!R35</f>
        <v>1876.3292873471526</v>
      </c>
      <c r="V155" s="4">
        <f>MonthlyData!L35/MonthlyData!S35</f>
        <v>77119.079711886618</v>
      </c>
    </row>
    <row r="156" spans="2:22" x14ac:dyDescent="0.35">
      <c r="B156">
        <v>2016</v>
      </c>
      <c r="C156">
        <v>11</v>
      </c>
      <c r="D156" s="4">
        <v>565.00833333333333</v>
      </c>
      <c r="E156" s="4">
        <v>0</v>
      </c>
      <c r="F156" s="4">
        <v>505.00833333333338</v>
      </c>
      <c r="G156" s="4">
        <v>0</v>
      </c>
      <c r="H156" s="4">
        <v>445.00833333333338</v>
      </c>
      <c r="I156" s="4">
        <v>0</v>
      </c>
      <c r="J156" s="4">
        <v>385.00833333333327</v>
      </c>
      <c r="K156" s="4">
        <v>0</v>
      </c>
      <c r="L156" s="4">
        <v>325.69583333333338</v>
      </c>
      <c r="M156" s="4">
        <v>0.6875</v>
      </c>
      <c r="N156" s="4">
        <v>267.69583333333338</v>
      </c>
      <c r="O156" s="4">
        <v>2.6875</v>
      </c>
      <c r="P156" s="4">
        <v>209.77083333333331</v>
      </c>
      <c r="Q156" s="4">
        <v>4.7624999999999993</v>
      </c>
      <c r="R156" s="3">
        <v>1.1663888888888885</v>
      </c>
      <c r="T156" s="4">
        <f>MonthlyData!F36/MonthlyData!Q36</f>
        <v>580.33493210637505</v>
      </c>
      <c r="U156" s="4">
        <f>MonthlyData!I36/MonthlyData!R36</f>
        <v>2000.2175723998469</v>
      </c>
      <c r="V156" s="4">
        <f>MonthlyData!L36/MonthlyData!S36</f>
        <v>79870.141997892817</v>
      </c>
    </row>
    <row r="157" spans="2:22" x14ac:dyDescent="0.35">
      <c r="B157">
        <v>2016</v>
      </c>
      <c r="C157">
        <v>12</v>
      </c>
      <c r="D157" s="4">
        <v>959.50833333333333</v>
      </c>
      <c r="E157" s="4">
        <v>0</v>
      </c>
      <c r="F157" s="4">
        <v>897.50833333333333</v>
      </c>
      <c r="G157" s="4">
        <v>0</v>
      </c>
      <c r="H157" s="4">
        <v>835.50833333333333</v>
      </c>
      <c r="I157" s="4">
        <v>0</v>
      </c>
      <c r="J157" s="4">
        <v>773.5083333333331</v>
      </c>
      <c r="K157" s="4">
        <v>0</v>
      </c>
      <c r="L157" s="4">
        <v>711.5083333333331</v>
      </c>
      <c r="M157" s="4">
        <v>0</v>
      </c>
      <c r="N157" s="4">
        <v>649.50833333333321</v>
      </c>
      <c r="O157" s="4">
        <v>0</v>
      </c>
      <c r="P157" s="4">
        <v>587.50833333333333</v>
      </c>
      <c r="Q157" s="4">
        <v>0</v>
      </c>
      <c r="R157" s="3">
        <v>-10.951881720430107</v>
      </c>
      <c r="T157" s="4">
        <f>MonthlyData!F37/MonthlyData!Q37</f>
        <v>623.42340839477049</v>
      </c>
      <c r="U157" s="4">
        <f>MonthlyData!I37/MonthlyData!R37</f>
        <v>2194.6256003611174</v>
      </c>
      <c r="V157" s="4">
        <f>MonthlyData!L37/MonthlyData!S37</f>
        <v>87056.966825694035</v>
      </c>
    </row>
    <row r="158" spans="2:22" x14ac:dyDescent="0.35">
      <c r="B158">
        <v>2017</v>
      </c>
      <c r="C158">
        <v>1</v>
      </c>
      <c r="D158" s="4">
        <v>935.60416666666652</v>
      </c>
      <c r="E158" s="4">
        <v>0</v>
      </c>
      <c r="F158" s="4">
        <v>873.60416666666652</v>
      </c>
      <c r="G158" s="4">
        <v>0</v>
      </c>
      <c r="H158" s="4">
        <v>811.60416666666674</v>
      </c>
      <c r="I158" s="4">
        <v>0</v>
      </c>
      <c r="J158" s="4">
        <v>749.60416666666674</v>
      </c>
      <c r="K158" s="4">
        <v>0</v>
      </c>
      <c r="L158" s="4">
        <v>687.60416666666652</v>
      </c>
      <c r="M158" s="4">
        <v>0</v>
      </c>
      <c r="N158" s="4">
        <v>625.60416666666674</v>
      </c>
      <c r="O158" s="4">
        <v>0</v>
      </c>
      <c r="P158" s="4">
        <v>563.60416666666652</v>
      </c>
      <c r="Q158" s="4">
        <v>0</v>
      </c>
      <c r="R158" s="3">
        <v>-10.180779569892474</v>
      </c>
      <c r="T158" s="4">
        <f>MonthlyData!F38/MonthlyData!Q38</f>
        <v>824.16796359608816</v>
      </c>
      <c r="U158" s="4">
        <f>MonthlyData!I38/MonthlyData!R38</f>
        <v>2553.8547644234118</v>
      </c>
      <c r="V158" s="4">
        <f>MonthlyData!L38/MonthlyData!S38</f>
        <v>112728.53895255509</v>
      </c>
    </row>
    <row r="159" spans="2:22" x14ac:dyDescent="0.35">
      <c r="B159">
        <v>2017</v>
      </c>
      <c r="C159">
        <v>2</v>
      </c>
      <c r="D159" s="4">
        <v>888.23750000000007</v>
      </c>
      <c r="E159" s="4">
        <v>0</v>
      </c>
      <c r="F159" s="4">
        <v>832.23750000000007</v>
      </c>
      <c r="G159" s="4">
        <v>0</v>
      </c>
      <c r="H159" s="4">
        <v>776.23750000000007</v>
      </c>
      <c r="I159" s="4">
        <v>0</v>
      </c>
      <c r="J159" s="4">
        <v>720.23750000000018</v>
      </c>
      <c r="K159" s="4">
        <v>0</v>
      </c>
      <c r="L159" s="4">
        <v>664.23750000000007</v>
      </c>
      <c r="M159" s="4">
        <v>0</v>
      </c>
      <c r="N159" s="4">
        <v>608.23750000000007</v>
      </c>
      <c r="O159" s="4">
        <v>0</v>
      </c>
      <c r="P159" s="4">
        <v>552.23750000000007</v>
      </c>
      <c r="Q159" s="4">
        <v>0</v>
      </c>
      <c r="R159" s="3">
        <v>-11.722767857142856</v>
      </c>
      <c r="T159" s="4">
        <f>MonthlyData!F39/MonthlyData!Q39</f>
        <v>797.29478839532317</v>
      </c>
      <c r="U159" s="4">
        <f>MonthlyData!I39/MonthlyData!R39</f>
        <v>2583.336372454175</v>
      </c>
      <c r="V159" s="4">
        <f>MonthlyData!L39/MonthlyData!S39</f>
        <v>107294.17310725989</v>
      </c>
    </row>
    <row r="160" spans="2:22" x14ac:dyDescent="0.35">
      <c r="B160">
        <v>2017</v>
      </c>
      <c r="C160">
        <v>3</v>
      </c>
      <c r="D160" s="4">
        <v>883.71046635567313</v>
      </c>
      <c r="E160" s="4">
        <v>0</v>
      </c>
      <c r="F160" s="4">
        <v>821.71046635567313</v>
      </c>
      <c r="G160" s="4">
        <v>0</v>
      </c>
      <c r="H160" s="4">
        <v>759.71046635567313</v>
      </c>
      <c r="I160" s="4">
        <v>0</v>
      </c>
      <c r="J160" s="4">
        <v>697.71046635567313</v>
      </c>
      <c r="K160" s="4">
        <v>0</v>
      </c>
      <c r="L160" s="4">
        <v>635.71046635567325</v>
      </c>
      <c r="M160" s="4">
        <v>0</v>
      </c>
      <c r="N160" s="4">
        <v>573.71046635567325</v>
      </c>
      <c r="O160" s="4">
        <v>0</v>
      </c>
      <c r="P160" s="4">
        <v>511.71046635567336</v>
      </c>
      <c r="Q160" s="4">
        <v>0</v>
      </c>
      <c r="R160" s="3">
        <v>-8.5067892372797811</v>
      </c>
      <c r="T160" s="4">
        <f>MonthlyData!F40/MonthlyData!Q40</f>
        <v>698.43780960541631</v>
      </c>
      <c r="U160" s="4">
        <f>MonthlyData!I40/MonthlyData!R40</f>
        <v>2387.0651920590785</v>
      </c>
      <c r="V160" s="4">
        <f>MonthlyData!L40/MonthlyData!S40</f>
        <v>104122.80525740053</v>
      </c>
    </row>
    <row r="161" spans="2:22" x14ac:dyDescent="0.35">
      <c r="B161">
        <v>2017</v>
      </c>
      <c r="C161">
        <v>4</v>
      </c>
      <c r="D161" s="4">
        <v>546.73333333333323</v>
      </c>
      <c r="E161" s="4">
        <v>0</v>
      </c>
      <c r="F161" s="4">
        <v>486.73333333333323</v>
      </c>
      <c r="G161" s="4">
        <v>0</v>
      </c>
      <c r="H161" s="4">
        <v>426.73333333333323</v>
      </c>
      <c r="I161" s="4">
        <v>0</v>
      </c>
      <c r="J161" s="4">
        <v>366.73333333333329</v>
      </c>
      <c r="K161" s="4">
        <v>0</v>
      </c>
      <c r="L161" s="4">
        <v>306.73333333333335</v>
      </c>
      <c r="M161" s="4">
        <v>0</v>
      </c>
      <c r="N161" s="4">
        <v>246.73333333333338</v>
      </c>
      <c r="O161" s="4">
        <v>0</v>
      </c>
      <c r="P161" s="4">
        <v>187.79166666666669</v>
      </c>
      <c r="Q161" s="4">
        <v>1.0583333333333318</v>
      </c>
      <c r="R161" s="3">
        <v>1.7755555555555558</v>
      </c>
      <c r="T161" s="4">
        <f>MonthlyData!F41/MonthlyData!Q41</f>
        <v>729.49643463103257</v>
      </c>
      <c r="U161" s="4">
        <f>MonthlyData!I41/MonthlyData!R41</f>
        <v>2578.1957195854739</v>
      </c>
      <c r="V161" s="4">
        <f>MonthlyData!L41/MonthlyData!S41</f>
        <v>116074.4166434775</v>
      </c>
    </row>
    <row r="162" spans="2:22" x14ac:dyDescent="0.35">
      <c r="B162">
        <v>2017</v>
      </c>
      <c r="C162">
        <v>5</v>
      </c>
      <c r="D162" s="4">
        <v>359.24879595658081</v>
      </c>
      <c r="E162" s="4">
        <v>0</v>
      </c>
      <c r="F162" s="4">
        <v>297.51129595658074</v>
      </c>
      <c r="G162" s="4">
        <v>0.26249999999999929</v>
      </c>
      <c r="H162" s="4">
        <v>238.34046262324753</v>
      </c>
      <c r="I162" s="4">
        <v>3.091666666666665</v>
      </c>
      <c r="J162" s="4">
        <v>184.11962928991417</v>
      </c>
      <c r="K162" s="4">
        <v>10.870833333333339</v>
      </c>
      <c r="L162" s="4">
        <v>136.33629595658084</v>
      </c>
      <c r="M162" s="4">
        <v>25.087500000000006</v>
      </c>
      <c r="N162" s="4">
        <v>94.194629289914161</v>
      </c>
      <c r="O162" s="4">
        <v>44.94583333333334</v>
      </c>
      <c r="P162" s="4">
        <v>64.283333333333331</v>
      </c>
      <c r="Q162" s="4">
        <v>77.034537376752496</v>
      </c>
      <c r="R162" s="3">
        <v>8.4113291626909401</v>
      </c>
      <c r="T162" s="4">
        <f>MonthlyData!F42/MonthlyData!Q42</f>
        <v>576.69361607417409</v>
      </c>
      <c r="U162" s="4">
        <f>MonthlyData!I42/MonthlyData!R42</f>
        <v>2073.8444174154256</v>
      </c>
      <c r="V162" s="4">
        <f>MonthlyData!L42/MonthlyData!S42</f>
        <v>92626.857296817398</v>
      </c>
    </row>
    <row r="163" spans="2:22" x14ac:dyDescent="0.35">
      <c r="B163">
        <v>2017</v>
      </c>
      <c r="C163">
        <v>6</v>
      </c>
      <c r="D163" s="4">
        <v>161.02916666666667</v>
      </c>
      <c r="E163" s="4">
        <v>0</v>
      </c>
      <c r="F163" s="4">
        <v>105.38333333333333</v>
      </c>
      <c r="G163" s="4">
        <v>4.3541666666666607</v>
      </c>
      <c r="H163" s="4">
        <v>58.212499999999999</v>
      </c>
      <c r="I163" s="4">
        <v>17.183333333333323</v>
      </c>
      <c r="J163" s="4">
        <v>24.262500000000003</v>
      </c>
      <c r="K163" s="4">
        <v>43.233333333333327</v>
      </c>
      <c r="L163" s="4">
        <v>8.8708333333333353</v>
      </c>
      <c r="M163" s="4">
        <v>87.841666666666669</v>
      </c>
      <c r="N163" s="4">
        <v>4.8083333333333345</v>
      </c>
      <c r="O163" s="4">
        <v>143.77916666666667</v>
      </c>
      <c r="P163" s="4">
        <v>2.4750000000000005</v>
      </c>
      <c r="Q163" s="4">
        <v>201.44583333333335</v>
      </c>
      <c r="R163" s="3">
        <v>14.632361111111113</v>
      </c>
      <c r="T163" s="4">
        <f>MonthlyData!F43/MonthlyData!Q43</f>
        <v>536.87133551980526</v>
      </c>
      <c r="U163" s="4">
        <f>MonthlyData!I43/MonthlyData!R43</f>
        <v>2010.6845925813805</v>
      </c>
      <c r="V163" s="4">
        <f>MonthlyData!L43/MonthlyData!S43</f>
        <v>94137.320151279971</v>
      </c>
    </row>
    <row r="164" spans="2:22" x14ac:dyDescent="0.35">
      <c r="B164">
        <v>2017</v>
      </c>
      <c r="C164">
        <v>7</v>
      </c>
      <c r="D164" s="4">
        <v>94.6</v>
      </c>
      <c r="E164" s="4">
        <v>7.5625000000000036</v>
      </c>
      <c r="F164" s="4">
        <v>49.858333333333334</v>
      </c>
      <c r="G164" s="4">
        <v>24.820833333333336</v>
      </c>
      <c r="H164" s="4">
        <v>17.69583333333334</v>
      </c>
      <c r="I164" s="4">
        <v>54.658333333333346</v>
      </c>
      <c r="J164" s="4">
        <v>3.4666666666666703</v>
      </c>
      <c r="K164" s="4">
        <v>102.42916666666667</v>
      </c>
      <c r="L164" s="4">
        <v>0.24583333333333179</v>
      </c>
      <c r="M164" s="4">
        <v>161.20833333333334</v>
      </c>
      <c r="N164" s="4">
        <v>0</v>
      </c>
      <c r="O164" s="4">
        <v>222.96250000000001</v>
      </c>
      <c r="P164" s="4">
        <v>0</v>
      </c>
      <c r="Q164" s="4">
        <v>284.96249999999998</v>
      </c>
      <c r="R164" s="3">
        <v>17.192338709677419</v>
      </c>
      <c r="T164" s="4">
        <f>MonthlyData!F44/MonthlyData!Q44</f>
        <v>497.84828307210933</v>
      </c>
      <c r="U164" s="4">
        <f>MonthlyData!I44/MonthlyData!R44</f>
        <v>1923.6947265815879</v>
      </c>
      <c r="V164" s="4">
        <f>MonthlyData!L44/MonthlyData!S44</f>
        <v>83801.854297443992</v>
      </c>
    </row>
    <row r="165" spans="2:22" x14ac:dyDescent="0.35">
      <c r="B165">
        <v>2017</v>
      </c>
      <c r="C165">
        <v>8</v>
      </c>
      <c r="D165" s="4">
        <v>169.40416666666664</v>
      </c>
      <c r="E165" s="4">
        <v>0.85416666666666785</v>
      </c>
      <c r="F165" s="4">
        <v>114.60833333333332</v>
      </c>
      <c r="G165" s="4">
        <v>8.0583333333333407</v>
      </c>
      <c r="H165" s="4">
        <v>62.124999999999993</v>
      </c>
      <c r="I165" s="4">
        <v>17.57500000000001</v>
      </c>
      <c r="J165" s="4">
        <v>28.56666666666667</v>
      </c>
      <c r="K165" s="4">
        <v>46.01666666666668</v>
      </c>
      <c r="L165" s="4">
        <v>11.525000000000002</v>
      </c>
      <c r="M165" s="4">
        <v>90.975000000000023</v>
      </c>
      <c r="N165" s="4">
        <v>2.2708333333333357</v>
      </c>
      <c r="O165" s="4">
        <v>143.72083333333336</v>
      </c>
      <c r="P165" s="4">
        <v>0</v>
      </c>
      <c r="Q165" s="4">
        <v>203.45000000000005</v>
      </c>
      <c r="R165" s="3">
        <v>14.562903225806451</v>
      </c>
      <c r="T165" s="4">
        <f>MonthlyData!F45/MonthlyData!Q45</f>
        <v>539.58873184076401</v>
      </c>
      <c r="U165" s="4">
        <f>MonthlyData!I45/MonthlyData!R45</f>
        <v>1982.5660453031899</v>
      </c>
      <c r="V165" s="4">
        <f>MonthlyData!L45/MonthlyData!S45</f>
        <v>78543.965665519907</v>
      </c>
    </row>
    <row r="166" spans="2:22" x14ac:dyDescent="0.35">
      <c r="B166">
        <v>2017</v>
      </c>
      <c r="C166">
        <v>9</v>
      </c>
      <c r="D166" s="4">
        <v>218.23333333333338</v>
      </c>
      <c r="E166" s="4">
        <v>0.55416666666666003</v>
      </c>
      <c r="F166" s="4">
        <v>167.75833333333335</v>
      </c>
      <c r="G166" s="4">
        <v>10.079166666666655</v>
      </c>
      <c r="H166" s="4">
        <v>121.76249999999999</v>
      </c>
      <c r="I166" s="4">
        <v>24.083333333333321</v>
      </c>
      <c r="J166" s="4">
        <v>80.587500000000006</v>
      </c>
      <c r="K166" s="4">
        <v>42.908333333333324</v>
      </c>
      <c r="L166" s="4">
        <v>47.054166666666667</v>
      </c>
      <c r="M166" s="4">
        <v>69.374999999999986</v>
      </c>
      <c r="N166" s="4">
        <v>19.666666666666668</v>
      </c>
      <c r="O166" s="4">
        <v>101.98749999999998</v>
      </c>
      <c r="P166" s="4">
        <v>3.7541666666666655</v>
      </c>
      <c r="Q166" s="4">
        <v>146.07499999999996</v>
      </c>
      <c r="R166" s="3">
        <v>12.744027777777774</v>
      </c>
      <c r="T166" s="4">
        <f>MonthlyData!F46/MonthlyData!Q46</f>
        <v>515.77133491763482</v>
      </c>
      <c r="U166" s="4">
        <f>MonthlyData!I46/MonthlyData!R46</f>
        <v>1890.8308111255405</v>
      </c>
      <c r="V166" s="4">
        <f>MonthlyData!L46/MonthlyData!S46</f>
        <v>83554.347767547268</v>
      </c>
    </row>
    <row r="167" spans="2:22" x14ac:dyDescent="0.35">
      <c r="B167">
        <v>2017</v>
      </c>
      <c r="C167">
        <v>10</v>
      </c>
      <c r="D167" s="4">
        <v>408.13382047609019</v>
      </c>
      <c r="E167" s="4">
        <v>0</v>
      </c>
      <c r="F167" s="4">
        <v>346.13382047609019</v>
      </c>
      <c r="G167" s="4">
        <v>0</v>
      </c>
      <c r="H167" s="4">
        <v>284.13382047609014</v>
      </c>
      <c r="I167" s="4">
        <v>0</v>
      </c>
      <c r="J167" s="4">
        <v>224.20048714275683</v>
      </c>
      <c r="K167" s="4">
        <v>2.0666666666666682</v>
      </c>
      <c r="L167" s="4">
        <v>167.97548714275683</v>
      </c>
      <c r="M167" s="4">
        <v>7.8416666666666615</v>
      </c>
      <c r="N167" s="4">
        <v>119.86995575588458</v>
      </c>
      <c r="O167" s="4">
        <v>21.736135279794418</v>
      </c>
      <c r="P167" s="4">
        <v>82.115836738265216</v>
      </c>
      <c r="Q167" s="4">
        <v>45.982016262175023</v>
      </c>
      <c r="R167" s="3">
        <v>6.8343928878680593</v>
      </c>
      <c r="T167" s="4">
        <f>MonthlyData!F47/MonthlyData!Q47</f>
        <v>510.57131476454816</v>
      </c>
      <c r="U167" s="4">
        <f>MonthlyData!I47/MonthlyData!R47</f>
        <v>1821.4301375531602</v>
      </c>
      <c r="V167" s="4">
        <f>MonthlyData!L47/MonthlyData!S47</f>
        <v>86079.522970643724</v>
      </c>
    </row>
    <row r="168" spans="2:22" x14ac:dyDescent="0.35">
      <c r="B168">
        <v>2017</v>
      </c>
      <c r="C168">
        <v>11</v>
      </c>
      <c r="D168" s="4">
        <v>768.65833333333319</v>
      </c>
      <c r="E168" s="4">
        <v>0</v>
      </c>
      <c r="F168" s="4">
        <v>708.6583333333333</v>
      </c>
      <c r="G168" s="4">
        <v>0</v>
      </c>
      <c r="H168" s="4">
        <v>648.65833333333319</v>
      </c>
      <c r="I168" s="4">
        <v>0</v>
      </c>
      <c r="J168" s="4">
        <v>588.6583333333333</v>
      </c>
      <c r="K168" s="4">
        <v>0</v>
      </c>
      <c r="L168" s="4">
        <v>528.6583333333333</v>
      </c>
      <c r="M168" s="4">
        <v>0</v>
      </c>
      <c r="N168" s="4">
        <v>468.65833333333336</v>
      </c>
      <c r="O168" s="4">
        <v>0</v>
      </c>
      <c r="P168" s="4">
        <v>408.65833333333336</v>
      </c>
      <c r="Q168" s="4">
        <v>0</v>
      </c>
      <c r="R168" s="3">
        <v>-5.621944444444444</v>
      </c>
      <c r="T168" s="4">
        <f>MonthlyData!F48/MonthlyData!Q48</f>
        <v>558.2574039868208</v>
      </c>
      <c r="U168" s="4">
        <f>MonthlyData!I48/MonthlyData!R48</f>
        <v>1908.2006824110167</v>
      </c>
      <c r="V168" s="4">
        <f>MonthlyData!L48/MonthlyData!S48</f>
        <v>89965.679677262495</v>
      </c>
    </row>
    <row r="169" spans="2:22" x14ac:dyDescent="0.35">
      <c r="B169">
        <v>2017</v>
      </c>
      <c r="C169">
        <v>12</v>
      </c>
      <c r="D169" s="4">
        <v>1117.0920673261537</v>
      </c>
      <c r="E169" s="4">
        <v>0</v>
      </c>
      <c r="F169" s="4">
        <v>1055.0920673261537</v>
      </c>
      <c r="G169" s="4">
        <v>0</v>
      </c>
      <c r="H169" s="4">
        <v>993.0920673261536</v>
      </c>
      <c r="I169" s="4">
        <v>0</v>
      </c>
      <c r="J169" s="4">
        <v>931.0920673261536</v>
      </c>
      <c r="K169" s="4">
        <v>0</v>
      </c>
      <c r="L169" s="4">
        <v>869.0920673261536</v>
      </c>
      <c r="M169" s="4">
        <v>0</v>
      </c>
      <c r="N169" s="4">
        <v>807.0920673261536</v>
      </c>
      <c r="O169" s="4">
        <v>0</v>
      </c>
      <c r="P169" s="4">
        <v>745.0920673261536</v>
      </c>
      <c r="Q169" s="4">
        <v>0</v>
      </c>
      <c r="R169" s="3">
        <v>-16.035227978263023</v>
      </c>
      <c r="T169" s="4">
        <f>MonthlyData!F49/MonthlyData!Q49</f>
        <v>694.10038274775309</v>
      </c>
      <c r="U169" s="4">
        <f>MonthlyData!I49/MonthlyData!R49</f>
        <v>2332.7282727078114</v>
      </c>
      <c r="V169" s="4">
        <f>MonthlyData!L49/MonthlyData!S49</f>
        <v>100512.5323569032</v>
      </c>
    </row>
    <row r="170" spans="2:22" x14ac:dyDescent="0.35">
      <c r="B170">
        <v>2018</v>
      </c>
      <c r="C170">
        <v>1</v>
      </c>
      <c r="D170" s="4">
        <v>1120.9833333333336</v>
      </c>
      <c r="E170" s="4">
        <v>0</v>
      </c>
      <c r="F170" s="4">
        <v>1058.9833333333336</v>
      </c>
      <c r="G170" s="4">
        <v>0</v>
      </c>
      <c r="H170" s="4">
        <v>996.98333333333346</v>
      </c>
      <c r="I170" s="4">
        <v>0</v>
      </c>
      <c r="J170" s="4">
        <v>934.98333333333346</v>
      </c>
      <c r="K170" s="4">
        <v>0</v>
      </c>
      <c r="L170" s="4">
        <v>872.98333333333335</v>
      </c>
      <c r="M170" s="4">
        <v>0</v>
      </c>
      <c r="N170" s="4">
        <v>810.98333333333335</v>
      </c>
      <c r="O170" s="4">
        <v>0</v>
      </c>
      <c r="P170" s="4">
        <v>748.98333333333323</v>
      </c>
      <c r="Q170" s="4">
        <v>0</v>
      </c>
      <c r="R170" s="3">
        <v>-16.160752688172039</v>
      </c>
      <c r="T170" s="4">
        <f>MonthlyData!F50/MonthlyData!Q50</f>
        <v>877.22969311952761</v>
      </c>
      <c r="U170" s="4">
        <f>MonthlyData!I50/MonthlyData!R50</f>
        <v>2778.91268101587</v>
      </c>
      <c r="V170" s="4">
        <f>MonthlyData!L50/MonthlyData!S50</f>
        <v>86684.600562157211</v>
      </c>
    </row>
    <row r="171" spans="2:22" x14ac:dyDescent="0.35">
      <c r="B171">
        <v>2018</v>
      </c>
      <c r="C171">
        <v>2</v>
      </c>
      <c r="D171" s="4">
        <v>985.50416666666672</v>
      </c>
      <c r="E171" s="4">
        <v>0</v>
      </c>
      <c r="F171" s="4">
        <v>929.50416666666672</v>
      </c>
      <c r="G171" s="4">
        <v>0</v>
      </c>
      <c r="H171" s="4">
        <v>873.50416666666672</v>
      </c>
      <c r="I171" s="4">
        <v>0</v>
      </c>
      <c r="J171" s="4">
        <v>817.50416666666672</v>
      </c>
      <c r="K171" s="4">
        <v>0</v>
      </c>
      <c r="L171" s="4">
        <v>761.50416666666672</v>
      </c>
      <c r="M171" s="4">
        <v>0</v>
      </c>
      <c r="N171" s="4">
        <v>705.50416666666672</v>
      </c>
      <c r="O171" s="4">
        <v>0</v>
      </c>
      <c r="P171" s="4">
        <v>649.50416666666672</v>
      </c>
      <c r="Q171" s="4">
        <v>0</v>
      </c>
      <c r="R171" s="3">
        <v>-15.196577380952379</v>
      </c>
      <c r="T171" s="4">
        <f>MonthlyData!F51/MonthlyData!Q51</f>
        <v>874.13665164953704</v>
      </c>
      <c r="U171" s="4">
        <f>MonthlyData!I51/MonthlyData!R51</f>
        <v>2833.4958349485032</v>
      </c>
      <c r="V171" s="4">
        <f>MonthlyData!L51/MonthlyData!S51</f>
        <v>87746.454957372669</v>
      </c>
    </row>
    <row r="172" spans="2:22" x14ac:dyDescent="0.35">
      <c r="B172">
        <v>2018</v>
      </c>
      <c r="C172">
        <v>3</v>
      </c>
      <c r="D172" s="4">
        <v>934.80416666666633</v>
      </c>
      <c r="E172" s="4">
        <v>0</v>
      </c>
      <c r="F172" s="4">
        <v>872.80416666666633</v>
      </c>
      <c r="G172" s="4">
        <v>0</v>
      </c>
      <c r="H172" s="4">
        <v>810.80416666666656</v>
      </c>
      <c r="I172" s="4">
        <v>0</v>
      </c>
      <c r="J172" s="4">
        <v>748.80416666666633</v>
      </c>
      <c r="K172" s="4">
        <v>0</v>
      </c>
      <c r="L172" s="4">
        <v>686.80416666666656</v>
      </c>
      <c r="M172" s="4">
        <v>0</v>
      </c>
      <c r="N172" s="4">
        <v>624.80416666666656</v>
      </c>
      <c r="O172" s="4">
        <v>0</v>
      </c>
      <c r="P172" s="4">
        <v>562.80416666666656</v>
      </c>
      <c r="Q172" s="4">
        <v>0</v>
      </c>
      <c r="R172" s="3">
        <v>-10.154973118279569</v>
      </c>
      <c r="T172" s="4">
        <f>MonthlyData!F52/MonthlyData!Q52</f>
        <v>736.1635051855335</v>
      </c>
      <c r="U172" s="4">
        <f>MonthlyData!I52/MonthlyData!R52</f>
        <v>2600.6413662688606</v>
      </c>
      <c r="V172" s="4">
        <f>MonthlyData!L52/MonthlyData!S52</f>
        <v>83509.521042615335</v>
      </c>
    </row>
    <row r="173" spans="2:22" x14ac:dyDescent="0.35">
      <c r="B173">
        <v>2018</v>
      </c>
      <c r="C173">
        <v>4</v>
      </c>
      <c r="D173" s="4">
        <v>701.04999999999984</v>
      </c>
      <c r="E173" s="4">
        <v>0</v>
      </c>
      <c r="F173" s="4">
        <v>641.04999999999984</v>
      </c>
      <c r="G173" s="4">
        <v>0</v>
      </c>
      <c r="H173" s="4">
        <v>581.04999999999995</v>
      </c>
      <c r="I173" s="4">
        <v>0</v>
      </c>
      <c r="J173" s="4">
        <v>521.04999999999995</v>
      </c>
      <c r="K173" s="4">
        <v>0</v>
      </c>
      <c r="L173" s="4">
        <v>461.05</v>
      </c>
      <c r="M173" s="4">
        <v>0</v>
      </c>
      <c r="N173" s="4">
        <v>402.86250000000007</v>
      </c>
      <c r="O173" s="4">
        <v>1.8125</v>
      </c>
      <c r="P173" s="4">
        <v>345.32083333333338</v>
      </c>
      <c r="Q173" s="4">
        <v>4.2708333333333339</v>
      </c>
      <c r="R173" s="3">
        <v>-3.3683333333333332</v>
      </c>
      <c r="T173" s="4">
        <f>MonthlyData!F53/MonthlyData!Q53</f>
        <v>690.73392196718942</v>
      </c>
      <c r="U173" s="4">
        <f>MonthlyData!I53/MonthlyData!R53</f>
        <v>2635.3082531731538</v>
      </c>
      <c r="V173" s="4">
        <f>MonthlyData!L53/MonthlyData!S53</f>
        <v>85236.565614261664</v>
      </c>
    </row>
    <row r="174" spans="2:22" x14ac:dyDescent="0.35">
      <c r="B174">
        <v>2018</v>
      </c>
      <c r="C174">
        <v>5</v>
      </c>
      <c r="D174" s="4">
        <v>306.95346847813039</v>
      </c>
      <c r="E174" s="4">
        <v>3.6999999999999993</v>
      </c>
      <c r="F174" s="4">
        <v>249.01180181146378</v>
      </c>
      <c r="G174" s="4">
        <v>7.7583333333333329</v>
      </c>
      <c r="H174" s="4">
        <v>198.27846847813043</v>
      </c>
      <c r="I174" s="4">
        <v>19.024999999999999</v>
      </c>
      <c r="J174" s="4">
        <v>153.14096847813045</v>
      </c>
      <c r="K174" s="4">
        <v>35.887500000000003</v>
      </c>
      <c r="L174" s="4">
        <v>110.52846847813041</v>
      </c>
      <c r="M174" s="4">
        <v>55.275000000000006</v>
      </c>
      <c r="N174" s="4">
        <v>71.978468478130409</v>
      </c>
      <c r="O174" s="4">
        <v>78.725000000000009</v>
      </c>
      <c r="P174" s="4">
        <v>41.732635144797079</v>
      </c>
      <c r="Q174" s="4">
        <v>110.47916666666669</v>
      </c>
      <c r="R174" s="3">
        <v>10.217630049092566</v>
      </c>
      <c r="T174" s="4">
        <f>MonthlyData!F54/MonthlyData!Q54</f>
        <v>615.06926396432846</v>
      </c>
      <c r="U174" s="4">
        <f>MonthlyData!I54/MonthlyData!R54</f>
        <v>2338.3480702827446</v>
      </c>
      <c r="V174" s="4">
        <f>MonthlyData!L54/MonthlyData!S54</f>
        <v>75106.870973466634</v>
      </c>
    </row>
    <row r="175" spans="2:22" x14ac:dyDescent="0.35">
      <c r="B175">
        <v>2018</v>
      </c>
      <c r="C175">
        <v>6</v>
      </c>
      <c r="D175" s="4">
        <v>146.125</v>
      </c>
      <c r="E175" s="4">
        <v>3.3458333333333208</v>
      </c>
      <c r="F175" s="4">
        <v>100.95000000000002</v>
      </c>
      <c r="G175" s="4">
        <v>18.17083333333332</v>
      </c>
      <c r="H175" s="4">
        <v>65.32083333333334</v>
      </c>
      <c r="I175" s="4">
        <v>42.541666666666657</v>
      </c>
      <c r="J175" s="4">
        <v>37.141666666666673</v>
      </c>
      <c r="K175" s="4">
        <v>74.362499999999997</v>
      </c>
      <c r="L175" s="4">
        <v>19.587499999999999</v>
      </c>
      <c r="M175" s="4">
        <v>116.80833333333332</v>
      </c>
      <c r="N175" s="4">
        <v>8.1458333333333357</v>
      </c>
      <c r="O175" s="4">
        <v>165.36666666666662</v>
      </c>
      <c r="P175" s="4">
        <v>3.0833333333333348</v>
      </c>
      <c r="Q175" s="4">
        <v>220.30416666666662</v>
      </c>
      <c r="R175" s="3">
        <v>15.240694444444447</v>
      </c>
      <c r="T175" s="4">
        <f>MonthlyData!F55/MonthlyData!Q55</f>
        <v>529.3651894556499</v>
      </c>
      <c r="U175" s="4">
        <f>MonthlyData!I55/MonthlyData!R55</f>
        <v>2156.6384935998185</v>
      </c>
      <c r="V175" s="4">
        <f>MonthlyData!L55/MonthlyData!S55</f>
        <v>68460.506136184427</v>
      </c>
    </row>
    <row r="176" spans="2:22" x14ac:dyDescent="0.35">
      <c r="B176">
        <v>2018</v>
      </c>
      <c r="C176">
        <v>7</v>
      </c>
      <c r="D176" s="4">
        <v>33.508333333333326</v>
      </c>
      <c r="E176" s="4">
        <v>42.583333333333314</v>
      </c>
      <c r="F176" s="4">
        <v>15.983333333333334</v>
      </c>
      <c r="G176" s="4">
        <v>87.058333333333309</v>
      </c>
      <c r="H176" s="4">
        <v>5.970833333333335</v>
      </c>
      <c r="I176" s="4">
        <v>139.04583333333329</v>
      </c>
      <c r="J176" s="4">
        <v>1.970833333333335</v>
      </c>
      <c r="K176" s="4">
        <v>197.04583333333329</v>
      </c>
      <c r="L176" s="4">
        <v>0</v>
      </c>
      <c r="M176" s="4">
        <v>257.07499999999993</v>
      </c>
      <c r="N176" s="4">
        <v>0</v>
      </c>
      <c r="O176" s="4">
        <v>319.07499999999999</v>
      </c>
      <c r="P176" s="4">
        <v>0</v>
      </c>
      <c r="Q176" s="4">
        <v>381.0750000000001</v>
      </c>
      <c r="R176" s="3">
        <v>20.292741935483871</v>
      </c>
      <c r="T176" s="4">
        <f>MonthlyData!F56/MonthlyData!Q56</f>
        <v>516.2566649347483</v>
      </c>
      <c r="U176" s="4">
        <f>MonthlyData!I56/MonthlyData!R56</f>
        <v>2045.4171965591624</v>
      </c>
      <c r="V176" s="4">
        <f>MonthlyData!L56/MonthlyData!S56</f>
        <v>61750.156642178626</v>
      </c>
    </row>
    <row r="177" spans="2:22" x14ac:dyDescent="0.35">
      <c r="B177">
        <v>2018</v>
      </c>
      <c r="C177">
        <v>8</v>
      </c>
      <c r="D177" s="4">
        <v>117.84166666666667</v>
      </c>
      <c r="E177" s="4">
        <v>12.279166666666661</v>
      </c>
      <c r="F177" s="4">
        <v>77.666666666666657</v>
      </c>
      <c r="G177" s="4">
        <v>34.104166666666657</v>
      </c>
      <c r="H177" s="4">
        <v>45.787499999999994</v>
      </c>
      <c r="I177" s="4">
        <v>64.225000000000009</v>
      </c>
      <c r="J177" s="4">
        <v>22.312499999999993</v>
      </c>
      <c r="K177" s="4">
        <v>102.75000000000001</v>
      </c>
      <c r="L177" s="4">
        <v>8.8833333333333329</v>
      </c>
      <c r="M177" s="4">
        <v>151.3208333333333</v>
      </c>
      <c r="N177" s="4">
        <v>0.77916666666666679</v>
      </c>
      <c r="O177" s="4">
        <v>205.21666666666664</v>
      </c>
      <c r="P177" s="4">
        <v>0</v>
      </c>
      <c r="Q177" s="4">
        <v>266.43749999999994</v>
      </c>
      <c r="R177" s="3">
        <v>16.594758064516128</v>
      </c>
      <c r="T177" s="4">
        <f>MonthlyData!F57/MonthlyData!Q57</f>
        <v>609.22724533456449</v>
      </c>
      <c r="U177" s="4">
        <f>MonthlyData!I57/MonthlyData!R57</f>
        <v>2259.2401239283686</v>
      </c>
      <c r="V177" s="4">
        <f>MonthlyData!L57/MonthlyData!S57</f>
        <v>66329.576929222472</v>
      </c>
    </row>
    <row r="178" spans="2:22" x14ac:dyDescent="0.35">
      <c r="B178">
        <v>2018</v>
      </c>
      <c r="C178">
        <v>9</v>
      </c>
      <c r="D178" s="4">
        <v>251.97257216855661</v>
      </c>
      <c r="E178" s="4">
        <v>3.0666666666666806</v>
      </c>
      <c r="F178" s="4">
        <v>202.78923883522327</v>
      </c>
      <c r="G178" s="4">
        <v>13.883333333333344</v>
      </c>
      <c r="H178" s="4">
        <v>156.95590550188993</v>
      </c>
      <c r="I178" s="4">
        <v>28.050000000000008</v>
      </c>
      <c r="J178" s="4">
        <v>115.87257216855662</v>
      </c>
      <c r="K178" s="4">
        <v>46.966666666666669</v>
      </c>
      <c r="L178" s="4">
        <v>83.141666666666666</v>
      </c>
      <c r="M178" s="4">
        <v>74.235761164776719</v>
      </c>
      <c r="N178" s="4">
        <v>55.145833333333329</v>
      </c>
      <c r="O178" s="4">
        <v>106.23992783144338</v>
      </c>
      <c r="P178" s="4">
        <v>32.745833333333337</v>
      </c>
      <c r="Q178" s="4">
        <v>143.83992783144336</v>
      </c>
      <c r="R178" s="3">
        <v>11.703136483270336</v>
      </c>
      <c r="T178" s="4">
        <f>MonthlyData!F58/MonthlyData!Q58</f>
        <v>558.37008519285848</v>
      </c>
      <c r="U178" s="4">
        <f>MonthlyData!I58/MonthlyData!R58</f>
        <v>2147.2221864787248</v>
      </c>
      <c r="V178" s="4">
        <f>MonthlyData!L58/MonthlyData!S58</f>
        <v>69337.079929813146</v>
      </c>
    </row>
    <row r="179" spans="2:22" x14ac:dyDescent="0.35">
      <c r="B179">
        <v>2018</v>
      </c>
      <c r="C179">
        <v>10</v>
      </c>
      <c r="D179" s="4">
        <v>595.1166956035878</v>
      </c>
      <c r="E179" s="4">
        <v>0</v>
      </c>
      <c r="F179" s="4">
        <v>533.1166956035878</v>
      </c>
      <c r="G179" s="4">
        <v>0</v>
      </c>
      <c r="H179" s="4">
        <v>471.1166956035878</v>
      </c>
      <c r="I179" s="4">
        <v>0</v>
      </c>
      <c r="J179" s="4">
        <v>409.1166956035878</v>
      </c>
      <c r="K179" s="4">
        <v>0</v>
      </c>
      <c r="L179" s="4">
        <v>347.11669560358774</v>
      </c>
      <c r="M179" s="4">
        <v>0</v>
      </c>
      <c r="N179" s="4">
        <v>285.1166956035878</v>
      </c>
      <c r="O179" s="4">
        <v>0</v>
      </c>
      <c r="P179" s="4">
        <v>223.11669560358791</v>
      </c>
      <c r="Q179" s="4">
        <v>0</v>
      </c>
      <c r="R179" s="3">
        <v>0.80268723859393931</v>
      </c>
      <c r="T179" s="4">
        <f>MonthlyData!F59/MonthlyData!Q59</f>
        <v>528.90915607533577</v>
      </c>
      <c r="U179" s="4">
        <f>MonthlyData!I59/MonthlyData!R59</f>
        <v>1950.2456076940246</v>
      </c>
      <c r="V179" s="4">
        <f>MonthlyData!L59/MonthlyData!S59</f>
        <v>59515.850605291467</v>
      </c>
    </row>
    <row r="180" spans="2:22" x14ac:dyDescent="0.35">
      <c r="B180">
        <v>2018</v>
      </c>
      <c r="C180">
        <v>11</v>
      </c>
      <c r="D180" s="4">
        <v>810.11250000000007</v>
      </c>
      <c r="E180" s="4">
        <v>0</v>
      </c>
      <c r="F180" s="4">
        <v>750.11250000000007</v>
      </c>
      <c r="G180" s="4">
        <v>0</v>
      </c>
      <c r="H180" s="4">
        <v>690.11250000000007</v>
      </c>
      <c r="I180" s="4">
        <v>0</v>
      </c>
      <c r="J180" s="4">
        <v>630.11249999999995</v>
      </c>
      <c r="K180" s="4">
        <v>0</v>
      </c>
      <c r="L180" s="4">
        <v>570.11250000000007</v>
      </c>
      <c r="M180" s="4">
        <v>0</v>
      </c>
      <c r="N180" s="4">
        <v>510.11249999999995</v>
      </c>
      <c r="O180" s="4">
        <v>0</v>
      </c>
      <c r="P180" s="4">
        <v>450.11249999999995</v>
      </c>
      <c r="Q180" s="4">
        <v>0</v>
      </c>
      <c r="R180" s="3">
        <v>-7.0037500000000001</v>
      </c>
      <c r="T180" s="4">
        <f>MonthlyData!F60/MonthlyData!Q60</f>
        <v>631.96242057344114</v>
      </c>
      <c r="U180" s="4">
        <f>MonthlyData!I60/MonthlyData!R60</f>
        <v>2229.5797382044193</v>
      </c>
      <c r="V180" s="4">
        <f>MonthlyData!L60/MonthlyData!S60</f>
        <v>73041.955493887217</v>
      </c>
    </row>
    <row r="181" spans="2:22" x14ac:dyDescent="0.35">
      <c r="B181">
        <v>2018</v>
      </c>
      <c r="C181">
        <v>12</v>
      </c>
      <c r="D181" s="4">
        <v>932.7</v>
      </c>
      <c r="E181" s="4">
        <v>0</v>
      </c>
      <c r="F181" s="4">
        <v>870.7</v>
      </c>
      <c r="G181" s="4">
        <v>0</v>
      </c>
      <c r="H181" s="4">
        <v>808.7</v>
      </c>
      <c r="I181" s="4">
        <v>0</v>
      </c>
      <c r="J181" s="4">
        <v>746.7</v>
      </c>
      <c r="K181" s="4">
        <v>0</v>
      </c>
      <c r="L181" s="4">
        <v>684.7</v>
      </c>
      <c r="M181" s="4">
        <v>0</v>
      </c>
      <c r="N181" s="4">
        <v>622.70000000000005</v>
      </c>
      <c r="O181" s="4">
        <v>0</v>
      </c>
      <c r="P181" s="4">
        <v>560.70000000000005</v>
      </c>
      <c r="Q181" s="4">
        <v>0</v>
      </c>
      <c r="R181" s="3">
        <v>-10.087096774193551</v>
      </c>
      <c r="T181" s="4">
        <f>MonthlyData!F61/MonthlyData!Q61</f>
        <v>702.92492003898224</v>
      </c>
      <c r="U181" s="4">
        <f>MonthlyData!I61/MonthlyData!R61</f>
        <v>2481.5269202483155</v>
      </c>
      <c r="V181" s="4">
        <f>MonthlyData!L61/MonthlyData!S61</f>
        <v>84594.370731871939</v>
      </c>
    </row>
    <row r="182" spans="2:22" x14ac:dyDescent="0.35">
      <c r="B182">
        <v>2019</v>
      </c>
      <c r="C182">
        <v>1</v>
      </c>
      <c r="D182" s="4">
        <v>1247.7493835098301</v>
      </c>
      <c r="E182" s="4">
        <v>0</v>
      </c>
      <c r="F182" s="4">
        <v>1185.7493835098301</v>
      </c>
      <c r="G182" s="4">
        <v>0</v>
      </c>
      <c r="H182" s="4">
        <v>1123.7493835098301</v>
      </c>
      <c r="I182" s="4">
        <v>0</v>
      </c>
      <c r="J182" s="4">
        <v>1061.7493835098298</v>
      </c>
      <c r="K182" s="4">
        <v>0</v>
      </c>
      <c r="L182" s="4">
        <v>999.74938350982984</v>
      </c>
      <c r="M182" s="4">
        <v>0</v>
      </c>
      <c r="N182" s="4">
        <v>937.74938350982984</v>
      </c>
      <c r="O182" s="4">
        <v>0</v>
      </c>
      <c r="P182" s="4">
        <v>875.74938350982984</v>
      </c>
      <c r="Q182" s="4">
        <v>0</v>
      </c>
      <c r="R182" s="3">
        <v>-20.249980113220317</v>
      </c>
      <c r="T182" s="4">
        <f>MonthlyData!F62/MonthlyData!Q62</f>
        <v>823.23032885029613</v>
      </c>
      <c r="U182" s="4">
        <f>MonthlyData!I62/MonthlyData!R62</f>
        <v>2543.6989653569326</v>
      </c>
      <c r="V182" s="4">
        <f>MonthlyData!L62/MonthlyData!S62</f>
        <v>83870.448034663961</v>
      </c>
    </row>
    <row r="183" spans="2:22" x14ac:dyDescent="0.35">
      <c r="B183">
        <v>2019</v>
      </c>
      <c r="C183">
        <v>2</v>
      </c>
      <c r="D183" s="4">
        <v>1035.4541666666667</v>
      </c>
      <c r="E183" s="4">
        <v>0</v>
      </c>
      <c r="F183" s="4">
        <v>979.45416666666665</v>
      </c>
      <c r="G183" s="4">
        <v>0</v>
      </c>
      <c r="H183" s="4">
        <v>923.45416666666665</v>
      </c>
      <c r="I183" s="4">
        <v>0</v>
      </c>
      <c r="J183" s="4">
        <v>867.45416666666665</v>
      </c>
      <c r="K183" s="4">
        <v>0</v>
      </c>
      <c r="L183" s="4">
        <v>811.45416666666677</v>
      </c>
      <c r="M183" s="4">
        <v>0</v>
      </c>
      <c r="N183" s="4">
        <v>755.45416666666677</v>
      </c>
      <c r="O183" s="4">
        <v>0</v>
      </c>
      <c r="P183" s="4">
        <v>699.45416666666677</v>
      </c>
      <c r="Q183" s="4">
        <v>0</v>
      </c>
      <c r="R183" s="3">
        <v>-16.980505952380955</v>
      </c>
      <c r="T183" s="4">
        <f>MonthlyData!F63/MonthlyData!Q63</f>
        <v>936.12168684080086</v>
      </c>
      <c r="U183" s="4">
        <f>MonthlyData!I63/MonthlyData!R63</f>
        <v>2955.9625686792479</v>
      </c>
      <c r="V183" s="4">
        <f>MonthlyData!L63/MonthlyData!S63</f>
        <v>92545.629840296417</v>
      </c>
    </row>
    <row r="184" spans="2:22" x14ac:dyDescent="0.35">
      <c r="B184">
        <v>2019</v>
      </c>
      <c r="C184">
        <v>3</v>
      </c>
      <c r="D184" s="4">
        <v>884.84424598258045</v>
      </c>
      <c r="E184" s="4">
        <v>0</v>
      </c>
      <c r="F184" s="4">
        <v>822.84424598258033</v>
      </c>
      <c r="G184" s="4">
        <v>0</v>
      </c>
      <c r="H184" s="4">
        <v>760.84424598258022</v>
      </c>
      <c r="I184" s="4">
        <v>0</v>
      </c>
      <c r="J184" s="4">
        <v>698.84424598258033</v>
      </c>
      <c r="K184" s="4">
        <v>0</v>
      </c>
      <c r="L184" s="4">
        <v>636.84424598258033</v>
      </c>
      <c r="M184" s="4">
        <v>0</v>
      </c>
      <c r="N184" s="4">
        <v>574.84424598258033</v>
      </c>
      <c r="O184" s="4">
        <v>0</v>
      </c>
      <c r="P184" s="4">
        <v>512.84424598258033</v>
      </c>
      <c r="Q184" s="4">
        <v>0</v>
      </c>
      <c r="R184" s="3">
        <v>-8.5433627736316247</v>
      </c>
      <c r="T184" s="4">
        <f>MonthlyData!F64/MonthlyData!Q64</f>
        <v>781.61220707876373</v>
      </c>
      <c r="U184" s="4">
        <f>MonthlyData!I64/MonthlyData!R64</f>
        <v>2630.6426559705474</v>
      </c>
      <c r="V184" s="4">
        <f>MonthlyData!L64/MonthlyData!S64</f>
        <v>83156.075199986139</v>
      </c>
    </row>
    <row r="185" spans="2:22" x14ac:dyDescent="0.35">
      <c r="B185">
        <v>2019</v>
      </c>
      <c r="C185">
        <v>4</v>
      </c>
      <c r="D185" s="4">
        <v>595.23333333333335</v>
      </c>
      <c r="E185" s="4">
        <v>0</v>
      </c>
      <c r="F185" s="4">
        <v>535.23333333333335</v>
      </c>
      <c r="G185" s="4">
        <v>0</v>
      </c>
      <c r="H185" s="4">
        <v>475.23333333333329</v>
      </c>
      <c r="I185" s="4">
        <v>0</v>
      </c>
      <c r="J185" s="4">
        <v>415.23333333333329</v>
      </c>
      <c r="K185" s="4">
        <v>0</v>
      </c>
      <c r="L185" s="4">
        <v>355.23333333333323</v>
      </c>
      <c r="M185" s="4">
        <v>0</v>
      </c>
      <c r="N185" s="4">
        <v>295.23333333333335</v>
      </c>
      <c r="O185" s="4">
        <v>0</v>
      </c>
      <c r="P185" s="4">
        <v>236.58749999999998</v>
      </c>
      <c r="Q185" s="4">
        <v>1.3541666666666661</v>
      </c>
      <c r="R185" s="3">
        <v>0.15888888888888925</v>
      </c>
      <c r="T185" s="4">
        <f>MonthlyData!F65/MonthlyData!Q65</f>
        <v>731.17182149478595</v>
      </c>
      <c r="U185" s="4">
        <f>MonthlyData!I65/MonthlyData!R65</f>
        <v>2564.2163170039616</v>
      </c>
      <c r="V185" s="4">
        <f>MonthlyData!L65/MonthlyData!S65</f>
        <v>83289.035608758408</v>
      </c>
    </row>
    <row r="186" spans="2:22" x14ac:dyDescent="0.35">
      <c r="B186">
        <v>2019</v>
      </c>
      <c r="C186">
        <v>5</v>
      </c>
      <c r="D186" s="4">
        <v>391.57083333333338</v>
      </c>
      <c r="E186" s="4">
        <v>0</v>
      </c>
      <c r="F186" s="4">
        <v>329.57083333333338</v>
      </c>
      <c r="G186" s="4">
        <v>0</v>
      </c>
      <c r="H186" s="4">
        <v>267.57083333333333</v>
      </c>
      <c r="I186" s="4">
        <v>0</v>
      </c>
      <c r="J186" s="4">
        <v>206.94166666666666</v>
      </c>
      <c r="K186" s="4">
        <v>1.3708333333333353</v>
      </c>
      <c r="L186" s="4">
        <v>148.64583333333331</v>
      </c>
      <c r="M186" s="4">
        <v>5.0750000000000028</v>
      </c>
      <c r="N186" s="4">
        <v>95.812499999999957</v>
      </c>
      <c r="O186" s="4">
        <v>14.241666666666672</v>
      </c>
      <c r="P186" s="4">
        <v>53.012499999999996</v>
      </c>
      <c r="Q186" s="4">
        <v>33.441666666666677</v>
      </c>
      <c r="R186" s="3">
        <v>7.368682795698926</v>
      </c>
      <c r="T186" s="4">
        <f>MonthlyData!F66/MonthlyData!Q66</f>
        <v>613.05612431218447</v>
      </c>
      <c r="U186" s="4">
        <f>MonthlyData!I66/MonthlyData!R66</f>
        <v>2187.471102041221</v>
      </c>
      <c r="V186" s="4">
        <f>MonthlyData!L66/MonthlyData!S66</f>
        <v>73821.551271892473</v>
      </c>
    </row>
    <row r="187" spans="2:22" x14ac:dyDescent="0.35">
      <c r="B187">
        <v>2019</v>
      </c>
      <c r="C187">
        <v>6</v>
      </c>
      <c r="D187" s="4">
        <v>183.45833333333331</v>
      </c>
      <c r="E187" s="4">
        <v>5.4208333333333307</v>
      </c>
      <c r="F187" s="4">
        <v>133.06666666666663</v>
      </c>
      <c r="G187" s="4">
        <v>15.029166666666669</v>
      </c>
      <c r="H187" s="4">
        <v>86.879166666666649</v>
      </c>
      <c r="I187" s="4">
        <v>28.841666666666658</v>
      </c>
      <c r="J187" s="4">
        <v>47.966666666666661</v>
      </c>
      <c r="K187" s="4">
        <v>49.929166666666646</v>
      </c>
      <c r="L187" s="4">
        <v>23.412500000000001</v>
      </c>
      <c r="M187" s="4">
        <v>85.374999999999986</v>
      </c>
      <c r="N187" s="4">
        <v>10.320833333333335</v>
      </c>
      <c r="O187" s="4">
        <v>132.28333333333333</v>
      </c>
      <c r="P187" s="4">
        <v>3.8916666666666675</v>
      </c>
      <c r="Q187" s="4">
        <v>185.85416666666671</v>
      </c>
      <c r="R187" s="3">
        <v>14.065416666666664</v>
      </c>
      <c r="T187" s="4">
        <f>MonthlyData!F67/MonthlyData!Q67</f>
        <v>552.21934577266336</v>
      </c>
      <c r="U187" s="4">
        <f>MonthlyData!I67/MonthlyData!R67</f>
        <v>2045.6885435346951</v>
      </c>
      <c r="V187" s="4">
        <f>MonthlyData!L67/MonthlyData!S67</f>
        <v>72980.058098470821</v>
      </c>
    </row>
    <row r="188" spans="2:22" x14ac:dyDescent="0.35">
      <c r="B188">
        <v>2019</v>
      </c>
      <c r="C188">
        <v>7</v>
      </c>
      <c r="D188" s="4">
        <v>54.962499999999999</v>
      </c>
      <c r="E188" s="4">
        <v>27.408333333333317</v>
      </c>
      <c r="F188" s="4">
        <v>27.620833333333337</v>
      </c>
      <c r="G188" s="4">
        <v>62.066666666666663</v>
      </c>
      <c r="H188" s="4">
        <v>7.2250000000000014</v>
      </c>
      <c r="I188" s="4">
        <v>103.67083333333333</v>
      </c>
      <c r="J188" s="4">
        <v>2.0416666666666661</v>
      </c>
      <c r="K188" s="4">
        <v>160.48749999999998</v>
      </c>
      <c r="L188" s="4">
        <v>4.1666666666666075E-2</v>
      </c>
      <c r="M188" s="4">
        <v>220.48749999999998</v>
      </c>
      <c r="N188" s="4">
        <v>0</v>
      </c>
      <c r="O188" s="4">
        <v>282.44583333333338</v>
      </c>
      <c r="P188" s="4">
        <v>0</v>
      </c>
      <c r="Q188" s="4">
        <v>344.44583333333338</v>
      </c>
      <c r="R188" s="3">
        <v>19.111155913978493</v>
      </c>
      <c r="T188" s="4">
        <f>MonthlyData!F68/MonthlyData!Q68</f>
        <v>520.49733424716658</v>
      </c>
      <c r="U188" s="4">
        <f>MonthlyData!I68/MonthlyData!R68</f>
        <v>1921.4947127199966</v>
      </c>
      <c r="V188" s="4">
        <f>MonthlyData!L68/MonthlyData!S68</f>
        <v>65741.613807143658</v>
      </c>
    </row>
    <row r="189" spans="2:22" x14ac:dyDescent="0.35">
      <c r="B189">
        <v>2019</v>
      </c>
      <c r="C189">
        <v>8</v>
      </c>
      <c r="D189" s="4">
        <v>151.11214122217501</v>
      </c>
      <c r="E189" s="4">
        <v>0.84583333333333499</v>
      </c>
      <c r="F189" s="4">
        <v>96.537141222174995</v>
      </c>
      <c r="G189" s="4">
        <v>8.2708333333333321</v>
      </c>
      <c r="H189" s="4">
        <v>56.012141222175018</v>
      </c>
      <c r="I189" s="4">
        <v>29.74583333333333</v>
      </c>
      <c r="J189" s="4">
        <v>29.911707873342053</v>
      </c>
      <c r="K189" s="4">
        <v>65.645399984500358</v>
      </c>
      <c r="L189" s="4">
        <v>16.545041206675382</v>
      </c>
      <c r="M189" s="4">
        <v>114.2787333178337</v>
      </c>
      <c r="N189" s="4">
        <v>9.3492078733420492</v>
      </c>
      <c r="O189" s="4">
        <v>169.08289998450033</v>
      </c>
      <c r="P189" s="4">
        <v>4.3904347188053254</v>
      </c>
      <c r="Q189" s="4">
        <v>226.12412682996364</v>
      </c>
      <c r="R189" s="3">
        <v>15.152699745521234</v>
      </c>
      <c r="T189" s="4">
        <f>MonthlyData!F69/MonthlyData!Q69</f>
        <v>617.33742940092861</v>
      </c>
      <c r="U189" s="4">
        <f>MonthlyData!I69/MonthlyData!R69</f>
        <v>2098.6688501518397</v>
      </c>
      <c r="V189" s="4">
        <f>MonthlyData!L69/MonthlyData!S69</f>
        <v>65245.329569572772</v>
      </c>
    </row>
    <row r="190" spans="2:22" x14ac:dyDescent="0.35">
      <c r="B190">
        <v>2019</v>
      </c>
      <c r="C190">
        <v>9</v>
      </c>
      <c r="D190" s="4">
        <v>260.47916666666663</v>
      </c>
      <c r="E190" s="4">
        <v>0.37083333333333357</v>
      </c>
      <c r="F190" s="4">
        <v>205.75000000000003</v>
      </c>
      <c r="G190" s="4">
        <v>5.6416666666666764</v>
      </c>
      <c r="H190" s="4">
        <v>153.75</v>
      </c>
      <c r="I190" s="4">
        <v>13.641666666666676</v>
      </c>
      <c r="J190" s="4">
        <v>102.92083333333333</v>
      </c>
      <c r="K190" s="4">
        <v>22.812500000000011</v>
      </c>
      <c r="L190" s="4">
        <v>60.704166666666666</v>
      </c>
      <c r="M190" s="4">
        <v>40.595833333333346</v>
      </c>
      <c r="N190" s="4">
        <v>29.270833333333339</v>
      </c>
      <c r="O190" s="4">
        <v>69.162500000000009</v>
      </c>
      <c r="P190" s="4">
        <v>11.05</v>
      </c>
      <c r="Q190" s="4">
        <v>110.94166666666668</v>
      </c>
      <c r="R190" s="3">
        <v>11.329722222222225</v>
      </c>
      <c r="T190" s="4">
        <f>MonthlyData!F70/MonthlyData!Q70</f>
        <v>553.45448073933426</v>
      </c>
      <c r="U190" s="4">
        <f>MonthlyData!I70/MonthlyData!R70</f>
        <v>1940.3816187604641</v>
      </c>
      <c r="V190" s="4">
        <f>MonthlyData!L70/MonthlyData!S70</f>
        <v>70158.395687014461</v>
      </c>
    </row>
    <row r="191" spans="2:22" x14ac:dyDescent="0.35">
      <c r="B191">
        <v>2019</v>
      </c>
      <c r="C191">
        <v>10</v>
      </c>
      <c r="D191" s="4">
        <v>455.0916666666667</v>
      </c>
      <c r="E191" s="4">
        <v>0</v>
      </c>
      <c r="F191" s="4">
        <v>393.0916666666667</v>
      </c>
      <c r="G191" s="4">
        <v>0</v>
      </c>
      <c r="H191" s="4">
        <v>331.0916666666667</v>
      </c>
      <c r="I191" s="4">
        <v>0</v>
      </c>
      <c r="J191" s="4">
        <v>269.09166666666675</v>
      </c>
      <c r="K191" s="4">
        <v>0</v>
      </c>
      <c r="L191" s="4">
        <v>208.17916666666667</v>
      </c>
      <c r="M191" s="4">
        <v>1.0875000000000004</v>
      </c>
      <c r="N191" s="4">
        <v>151.38749999999999</v>
      </c>
      <c r="O191" s="4">
        <v>6.2958333333333343</v>
      </c>
      <c r="P191" s="4">
        <v>100.69583333333335</v>
      </c>
      <c r="Q191" s="4">
        <v>17.604166666666668</v>
      </c>
      <c r="R191" s="3">
        <v>5.3196236559139782</v>
      </c>
      <c r="T191" s="4">
        <f>MonthlyData!F71/MonthlyData!Q71</f>
        <v>528.23482265276027</v>
      </c>
      <c r="U191" s="4">
        <f>MonthlyData!I71/MonthlyData!R71</f>
        <v>1821.8196589182078</v>
      </c>
      <c r="V191" s="4">
        <f>MonthlyData!L71/MonthlyData!S71</f>
        <v>69890.544360039494</v>
      </c>
    </row>
    <row r="192" spans="2:22" x14ac:dyDescent="0.35">
      <c r="B192">
        <v>2019</v>
      </c>
      <c r="C192">
        <v>11</v>
      </c>
      <c r="D192" s="4">
        <v>793.48750000000007</v>
      </c>
      <c r="E192" s="4">
        <v>0</v>
      </c>
      <c r="F192" s="4">
        <v>733.48749999999995</v>
      </c>
      <c r="G192" s="4">
        <v>0</v>
      </c>
      <c r="H192" s="4">
        <v>673.48749999999995</v>
      </c>
      <c r="I192" s="4">
        <v>0</v>
      </c>
      <c r="J192" s="4">
        <v>613.48750000000007</v>
      </c>
      <c r="K192" s="4">
        <v>0</v>
      </c>
      <c r="L192" s="4">
        <v>553.48750000000007</v>
      </c>
      <c r="M192" s="4">
        <v>0</v>
      </c>
      <c r="N192" s="4">
        <v>493.48750000000007</v>
      </c>
      <c r="O192" s="4">
        <v>0</v>
      </c>
      <c r="P192" s="4">
        <v>433.48750000000007</v>
      </c>
      <c r="Q192" s="4">
        <v>0</v>
      </c>
      <c r="R192" s="3">
        <v>-6.4495833333333321</v>
      </c>
      <c r="T192" s="4">
        <f>MonthlyData!F72/MonthlyData!Q72</f>
        <v>592.7035174925004</v>
      </c>
      <c r="U192" s="4">
        <f>MonthlyData!I72/MonthlyData!R72</f>
        <v>2036.567781620219</v>
      </c>
      <c r="V192" s="4">
        <f>MonthlyData!L72/MonthlyData!S72</f>
        <v>76297.360393180745</v>
      </c>
    </row>
    <row r="193" spans="2:22" x14ac:dyDescent="0.35">
      <c r="B193">
        <v>2019</v>
      </c>
      <c r="C193">
        <v>12</v>
      </c>
      <c r="D193" s="4">
        <v>1012.3625</v>
      </c>
      <c r="E193" s="4">
        <v>0</v>
      </c>
      <c r="F193" s="4">
        <v>950.36249999999995</v>
      </c>
      <c r="G193" s="4">
        <v>0</v>
      </c>
      <c r="H193" s="4">
        <v>888.36249999999995</v>
      </c>
      <c r="I193" s="4">
        <v>0</v>
      </c>
      <c r="J193" s="4">
        <v>826.36249999999995</v>
      </c>
      <c r="K193" s="4">
        <v>0</v>
      </c>
      <c r="L193" s="4">
        <v>764.36249999999995</v>
      </c>
      <c r="M193" s="4">
        <v>0</v>
      </c>
      <c r="N193" s="4">
        <v>702.36249999999995</v>
      </c>
      <c r="O193" s="4">
        <v>0</v>
      </c>
      <c r="P193" s="4">
        <v>640.36250000000007</v>
      </c>
      <c r="Q193" s="4">
        <v>0</v>
      </c>
      <c r="R193" s="3">
        <v>-12.65685483870968</v>
      </c>
      <c r="T193" s="4">
        <f>MonthlyData!F73/MonthlyData!Q73</f>
        <v>713.0546097094666</v>
      </c>
      <c r="U193" s="4">
        <f>MonthlyData!I73/MonthlyData!R73</f>
        <v>2413.7929144004447</v>
      </c>
      <c r="V193" s="4">
        <f>MonthlyData!L73/MonthlyData!S73</f>
        <v>80945.055207498328</v>
      </c>
    </row>
    <row r="194" spans="2:22" x14ac:dyDescent="0.35">
      <c r="B194">
        <v>2020</v>
      </c>
      <c r="C194">
        <v>1</v>
      </c>
      <c r="D194" s="4">
        <v>1002.15</v>
      </c>
      <c r="E194" s="4">
        <v>0</v>
      </c>
      <c r="F194" s="4">
        <v>940.15</v>
      </c>
      <c r="G194" s="4">
        <v>0</v>
      </c>
      <c r="H194" s="4">
        <v>878.15</v>
      </c>
      <c r="I194" s="4">
        <v>0</v>
      </c>
      <c r="J194" s="4">
        <v>816.15</v>
      </c>
      <c r="K194" s="4">
        <v>0</v>
      </c>
      <c r="L194" s="4">
        <v>754.15</v>
      </c>
      <c r="M194" s="4">
        <v>0</v>
      </c>
      <c r="N194" s="4">
        <v>692.15</v>
      </c>
      <c r="O194" s="4">
        <v>0</v>
      </c>
      <c r="P194" s="4">
        <v>630.15</v>
      </c>
      <c r="Q194" s="4">
        <v>0</v>
      </c>
      <c r="R194" s="3">
        <v>-12.327419354838714</v>
      </c>
      <c r="T194" s="4">
        <f>MonthlyData!F74/MonthlyData!Q74</f>
        <v>838.50367647940368</v>
      </c>
      <c r="U194" s="4">
        <f>MonthlyData!I74/MonthlyData!R74</f>
        <v>2651.438835860105</v>
      </c>
      <c r="V194" s="4">
        <f>MonthlyData!L74/MonthlyData!S74</f>
        <v>81454.150133542877</v>
      </c>
    </row>
    <row r="195" spans="2:22" x14ac:dyDescent="0.35">
      <c r="B195">
        <v>2020</v>
      </c>
      <c r="C195">
        <v>2</v>
      </c>
      <c r="D195" s="4">
        <v>944.39166666666677</v>
      </c>
      <c r="E195" s="4">
        <v>0</v>
      </c>
      <c r="F195" s="4">
        <v>886.39166666666677</v>
      </c>
      <c r="G195" s="4">
        <v>0</v>
      </c>
      <c r="H195" s="4">
        <v>828.39166666666677</v>
      </c>
      <c r="I195" s="4">
        <v>0</v>
      </c>
      <c r="J195" s="4">
        <v>770.39166666666677</v>
      </c>
      <c r="K195" s="4">
        <v>0</v>
      </c>
      <c r="L195" s="4">
        <v>712.39166666666665</v>
      </c>
      <c r="M195" s="4">
        <v>0</v>
      </c>
      <c r="N195" s="4">
        <v>654.39166666666677</v>
      </c>
      <c r="O195" s="4">
        <v>0</v>
      </c>
      <c r="P195" s="4">
        <v>596.39166666666677</v>
      </c>
      <c r="Q195" s="4">
        <v>0</v>
      </c>
      <c r="R195" s="3">
        <v>-12.56522988505747</v>
      </c>
      <c r="T195" s="4">
        <f>MonthlyData!F75/MonthlyData!Q75</f>
        <v>801.77882940549694</v>
      </c>
      <c r="U195" s="4">
        <f>MonthlyData!I75/MonthlyData!R75</f>
        <v>2709.3391706059156</v>
      </c>
      <c r="V195" s="4">
        <f>MonthlyData!L75/MonthlyData!S75</f>
        <v>80997.461727227972</v>
      </c>
    </row>
    <row r="196" spans="2:22" x14ac:dyDescent="0.35">
      <c r="B196">
        <v>2020</v>
      </c>
      <c r="C196">
        <v>3</v>
      </c>
      <c r="D196" s="4">
        <v>824.96666666666658</v>
      </c>
      <c r="E196" s="4">
        <v>0</v>
      </c>
      <c r="F196" s="4">
        <v>762.96666666666681</v>
      </c>
      <c r="G196" s="4">
        <v>0</v>
      </c>
      <c r="H196" s="4">
        <v>700.9666666666667</v>
      </c>
      <c r="I196" s="4">
        <v>0</v>
      </c>
      <c r="J196" s="4">
        <v>638.9666666666667</v>
      </c>
      <c r="K196" s="4">
        <v>0</v>
      </c>
      <c r="L196" s="4">
        <v>576.96666666666658</v>
      </c>
      <c r="M196" s="4">
        <v>0</v>
      </c>
      <c r="N196" s="4">
        <v>514.9666666666667</v>
      </c>
      <c r="O196" s="4">
        <v>0</v>
      </c>
      <c r="P196" s="4">
        <v>452.96666666666675</v>
      </c>
      <c r="Q196" s="4">
        <v>0</v>
      </c>
      <c r="R196" s="3">
        <v>-6.6118279569892486</v>
      </c>
      <c r="T196" s="4">
        <f>MonthlyData!F76/MonthlyData!Q76</f>
        <v>745.49560542890674</v>
      </c>
      <c r="U196" s="4">
        <f>MonthlyData!I76/MonthlyData!R76</f>
        <v>2552.3695104899516</v>
      </c>
      <c r="V196" s="4">
        <f>MonthlyData!L76/MonthlyData!S76</f>
        <v>75610.55170459862</v>
      </c>
    </row>
    <row r="197" spans="2:22" x14ac:dyDescent="0.35">
      <c r="B197">
        <v>2020</v>
      </c>
      <c r="C197">
        <v>4</v>
      </c>
      <c r="D197" s="4">
        <v>643.1875</v>
      </c>
      <c r="E197" s="4">
        <v>0</v>
      </c>
      <c r="F197" s="4">
        <v>583.18749999999989</v>
      </c>
      <c r="G197" s="4">
        <v>0</v>
      </c>
      <c r="H197" s="4">
        <v>523.1875</v>
      </c>
      <c r="I197" s="4">
        <v>0</v>
      </c>
      <c r="J197" s="4">
        <v>463.1875</v>
      </c>
      <c r="K197" s="4">
        <v>0</v>
      </c>
      <c r="L197" s="4">
        <v>403.18750000000006</v>
      </c>
      <c r="M197" s="4">
        <v>0</v>
      </c>
      <c r="N197" s="4">
        <v>343.1875</v>
      </c>
      <c r="O197" s="4">
        <v>0</v>
      </c>
      <c r="P197" s="4">
        <v>283.1875</v>
      </c>
      <c r="Q197" s="4">
        <v>0</v>
      </c>
      <c r="R197" s="3">
        <v>-1.439583333333333</v>
      </c>
      <c r="T197" s="4">
        <f>MonthlyData!F77/MonthlyData!Q77</f>
        <v>715.28268035382916</v>
      </c>
      <c r="U197" s="4">
        <f>MonthlyData!I77/MonthlyData!R77</f>
        <v>2439.7084192575203</v>
      </c>
      <c r="V197" s="4">
        <f>MonthlyData!L77/MonthlyData!S77</f>
        <v>78284.525549568483</v>
      </c>
    </row>
    <row r="198" spans="2:22" x14ac:dyDescent="0.35">
      <c r="B198">
        <v>2020</v>
      </c>
      <c r="C198">
        <v>5</v>
      </c>
      <c r="D198" s="4">
        <v>385.58750000000003</v>
      </c>
      <c r="E198" s="4">
        <v>3.0375000000000014</v>
      </c>
      <c r="F198" s="4">
        <v>333.47916666666674</v>
      </c>
      <c r="G198" s="4">
        <v>12.929166666666664</v>
      </c>
      <c r="H198" s="4">
        <v>284.15416666666675</v>
      </c>
      <c r="I198" s="4">
        <v>25.604166666666664</v>
      </c>
      <c r="J198" s="4">
        <v>237.35833333333335</v>
      </c>
      <c r="K198" s="4">
        <v>40.808333333333337</v>
      </c>
      <c r="L198" s="4">
        <v>194.12916666666666</v>
      </c>
      <c r="M198" s="4">
        <v>59.579166666666666</v>
      </c>
      <c r="N198" s="4">
        <v>153.04999999999995</v>
      </c>
      <c r="O198" s="4">
        <v>80.5</v>
      </c>
      <c r="P198" s="4">
        <v>115.39999999999999</v>
      </c>
      <c r="Q198" s="4">
        <v>104.85000000000001</v>
      </c>
      <c r="R198" s="3">
        <v>7.6596774193548391</v>
      </c>
      <c r="T198" s="4">
        <f>MonthlyData!F78/MonthlyData!Q78</f>
        <v>646.03139847498505</v>
      </c>
      <c r="U198" s="4">
        <f>MonthlyData!I78/MonthlyData!R78</f>
        <v>1984.5255009835644</v>
      </c>
      <c r="V198" s="4">
        <f>MonthlyData!L78/MonthlyData!S78</f>
        <v>54911.864064787522</v>
      </c>
    </row>
    <row r="199" spans="2:22" x14ac:dyDescent="0.35">
      <c r="B199">
        <v>2020</v>
      </c>
      <c r="C199">
        <v>6</v>
      </c>
      <c r="D199" s="4">
        <v>149.93124999999998</v>
      </c>
      <c r="E199" s="4">
        <v>22.449999999999989</v>
      </c>
      <c r="F199" s="4">
        <v>109.80208333333333</v>
      </c>
      <c r="G199" s="4">
        <v>42.32083333333334</v>
      </c>
      <c r="H199" s="4">
        <v>75.07083333333334</v>
      </c>
      <c r="I199" s="4">
        <v>67.589583333333337</v>
      </c>
      <c r="J199" s="4">
        <v>44.308333333333337</v>
      </c>
      <c r="K199" s="4">
        <v>96.827083333333334</v>
      </c>
      <c r="L199" s="4">
        <v>23.783333333333339</v>
      </c>
      <c r="M199" s="4">
        <v>136.30208333333334</v>
      </c>
      <c r="N199" s="4">
        <v>10.508333333333333</v>
      </c>
      <c r="O199" s="4">
        <v>183.02708333333334</v>
      </c>
      <c r="P199" s="4">
        <v>1.3791666666666655</v>
      </c>
      <c r="Q199" s="4">
        <v>233.89791666666665</v>
      </c>
      <c r="R199" s="3">
        <v>15.750625000000003</v>
      </c>
      <c r="T199" s="4">
        <f>MonthlyData!F79/MonthlyData!Q79</f>
        <v>613.21064510738438</v>
      </c>
      <c r="U199" s="4">
        <f>MonthlyData!I79/MonthlyData!R79</f>
        <v>1900.0855835338198</v>
      </c>
      <c r="V199" s="4">
        <f>MonthlyData!L79/MonthlyData!S79</f>
        <v>65459.645456386184</v>
      </c>
    </row>
    <row r="200" spans="2:22" x14ac:dyDescent="0.35">
      <c r="B200">
        <v>2020</v>
      </c>
      <c r="C200">
        <v>7</v>
      </c>
      <c r="D200" s="4">
        <v>32.341666666666661</v>
      </c>
      <c r="E200" s="4">
        <v>38.016666666666666</v>
      </c>
      <c r="F200" s="4">
        <v>11.624999999999995</v>
      </c>
      <c r="G200" s="4">
        <v>79.299999999999969</v>
      </c>
      <c r="H200" s="4">
        <v>3.045833333333329</v>
      </c>
      <c r="I200" s="4">
        <v>132.72083333333333</v>
      </c>
      <c r="J200" s="4">
        <v>0</v>
      </c>
      <c r="K200" s="4">
        <v>191.67500000000001</v>
      </c>
      <c r="L200" s="4">
        <v>0</v>
      </c>
      <c r="M200" s="4">
        <v>253.67500000000001</v>
      </c>
      <c r="N200" s="4">
        <v>0</v>
      </c>
      <c r="O200" s="4">
        <v>315.67499999999995</v>
      </c>
      <c r="P200" s="4">
        <v>0</v>
      </c>
      <c r="Q200" s="4">
        <v>377.67500000000001</v>
      </c>
      <c r="R200" s="3">
        <v>20.183064516129029</v>
      </c>
      <c r="T200" s="4">
        <f>MonthlyData!F80/MonthlyData!Q80</f>
        <v>607.14894877054962</v>
      </c>
      <c r="U200" s="4">
        <f>MonthlyData!I80/MonthlyData!R80</f>
        <v>1920.1501895234492</v>
      </c>
      <c r="V200" s="4">
        <f>MonthlyData!L80/MonthlyData!S80</f>
        <v>63202.859175042526</v>
      </c>
    </row>
    <row r="201" spans="2:22" x14ac:dyDescent="0.35">
      <c r="B201">
        <v>2020</v>
      </c>
      <c r="C201">
        <v>8</v>
      </c>
      <c r="D201" s="4">
        <v>132.28686751764945</v>
      </c>
      <c r="E201" s="4">
        <v>12.905653934421348</v>
      </c>
      <c r="F201" s="4">
        <v>89.261867517649449</v>
      </c>
      <c r="G201" s="4">
        <v>31.880653934421346</v>
      </c>
      <c r="H201" s="4">
        <v>53.670200850982781</v>
      </c>
      <c r="I201" s="4">
        <v>58.288987267754671</v>
      </c>
      <c r="J201" s="4">
        <v>24.186867517649446</v>
      </c>
      <c r="K201" s="4">
        <v>90.805653934421315</v>
      </c>
      <c r="L201" s="4">
        <v>4.5785341843161174</v>
      </c>
      <c r="M201" s="4">
        <v>133.19732060108799</v>
      </c>
      <c r="N201" s="4">
        <v>0</v>
      </c>
      <c r="O201" s="4">
        <v>190.61878641677185</v>
      </c>
      <c r="P201" s="4">
        <v>0</v>
      </c>
      <c r="Q201" s="4">
        <v>252.61878641677185</v>
      </c>
      <c r="R201" s="3">
        <v>16.148993110218452</v>
      </c>
      <c r="T201" s="4">
        <f>MonthlyData!F81/MonthlyData!Q81</f>
        <v>711.60483401823171</v>
      </c>
      <c r="U201" s="4">
        <f>MonthlyData!I81/MonthlyData!R81</f>
        <v>2128.1502280377495</v>
      </c>
      <c r="V201" s="4">
        <f>MonthlyData!L81/MonthlyData!S81</f>
        <v>66176.255933393622</v>
      </c>
    </row>
    <row r="202" spans="2:22" x14ac:dyDescent="0.35">
      <c r="B202">
        <v>2020</v>
      </c>
      <c r="C202">
        <v>9</v>
      </c>
      <c r="D202" s="4">
        <v>278.61250000000007</v>
      </c>
      <c r="E202" s="4">
        <v>0</v>
      </c>
      <c r="F202" s="4">
        <v>218.61250000000001</v>
      </c>
      <c r="G202" s="4">
        <v>0</v>
      </c>
      <c r="H202" s="4">
        <v>159.08749999999998</v>
      </c>
      <c r="I202" s="4">
        <v>0.47499999999999787</v>
      </c>
      <c r="J202" s="4">
        <v>108.50416666666668</v>
      </c>
      <c r="K202" s="4">
        <v>9.8916666666666675</v>
      </c>
      <c r="L202" s="4">
        <v>63.32083333333334</v>
      </c>
      <c r="M202" s="4">
        <v>24.708333333333343</v>
      </c>
      <c r="N202" s="4">
        <v>30.970833333333331</v>
      </c>
      <c r="O202" s="4">
        <v>52.358333333333334</v>
      </c>
      <c r="P202" s="4">
        <v>12.591666666666665</v>
      </c>
      <c r="Q202" s="4">
        <v>93.979166666666629</v>
      </c>
      <c r="R202" s="3">
        <v>10.712916666666667</v>
      </c>
      <c r="T202" s="4">
        <f>MonthlyData!F82/MonthlyData!Q82</f>
        <v>611.93642403582339</v>
      </c>
      <c r="U202" s="4">
        <f>MonthlyData!I82/MonthlyData!R82</f>
        <v>1960.7247485291598</v>
      </c>
      <c r="V202" s="4">
        <f>MonthlyData!L82/MonthlyData!S82</f>
        <v>62442.121110380889</v>
      </c>
    </row>
    <row r="203" spans="2:22" x14ac:dyDescent="0.35">
      <c r="B203">
        <v>2020</v>
      </c>
      <c r="C203">
        <v>10</v>
      </c>
      <c r="D203" s="4">
        <v>575.12500000000011</v>
      </c>
      <c r="E203" s="4">
        <v>0</v>
      </c>
      <c r="F203" s="4">
        <v>513.12500000000011</v>
      </c>
      <c r="G203" s="4">
        <v>0</v>
      </c>
      <c r="H203" s="4">
        <v>451.12500000000006</v>
      </c>
      <c r="I203" s="4">
        <v>0</v>
      </c>
      <c r="J203" s="4">
        <v>389.125</v>
      </c>
      <c r="K203" s="4">
        <v>0</v>
      </c>
      <c r="L203" s="4">
        <v>327.125</v>
      </c>
      <c r="M203" s="4">
        <v>0</v>
      </c>
      <c r="N203" s="4">
        <v>265.67500000000001</v>
      </c>
      <c r="O203" s="4">
        <v>0.55000000000000249</v>
      </c>
      <c r="P203" s="4">
        <v>208.15833333333327</v>
      </c>
      <c r="Q203" s="4">
        <v>5.033333333333335</v>
      </c>
      <c r="R203" s="3">
        <v>1.44758064516129</v>
      </c>
      <c r="T203" s="4">
        <f>MonthlyData!F83/MonthlyData!Q83</f>
        <v>529.13505918423846</v>
      </c>
      <c r="U203" s="4">
        <f>MonthlyData!I83/MonthlyData!R83</f>
        <v>1814.9608385132512</v>
      </c>
      <c r="V203" s="4">
        <f>MonthlyData!L83/MonthlyData!S83</f>
        <v>65079.455902556743</v>
      </c>
    </row>
    <row r="204" spans="2:22" x14ac:dyDescent="0.35">
      <c r="B204">
        <v>2020</v>
      </c>
      <c r="C204">
        <v>11</v>
      </c>
      <c r="D204" s="4">
        <v>647.4</v>
      </c>
      <c r="E204" s="4">
        <v>0</v>
      </c>
      <c r="F204" s="4">
        <v>587.4</v>
      </c>
      <c r="G204" s="4">
        <v>0</v>
      </c>
      <c r="H204" s="4">
        <v>527.40000000000009</v>
      </c>
      <c r="I204" s="4">
        <v>0</v>
      </c>
      <c r="J204" s="4">
        <v>468.30416666666667</v>
      </c>
      <c r="K204" s="4">
        <v>0.90416666666666679</v>
      </c>
      <c r="L204" s="4">
        <v>410.30416666666673</v>
      </c>
      <c r="M204" s="4">
        <v>2.9041666666666668</v>
      </c>
      <c r="N204" s="4">
        <v>352.30416666666673</v>
      </c>
      <c r="O204" s="4">
        <v>4.9041666666666668</v>
      </c>
      <c r="P204" s="4">
        <v>294.90833333333336</v>
      </c>
      <c r="Q204" s="4">
        <v>7.5083333333333329</v>
      </c>
      <c r="R204" s="3">
        <v>-1.5799999999999996</v>
      </c>
      <c r="T204" s="4">
        <f>MonthlyData!F84/MonthlyData!Q84</f>
        <v>631.57676519469692</v>
      </c>
      <c r="U204" s="4">
        <f>MonthlyData!I84/MonthlyData!R84</f>
        <v>2071.3978468932837</v>
      </c>
      <c r="V204" s="4">
        <f>MonthlyData!L84/MonthlyData!S84</f>
        <v>70181.055530427504</v>
      </c>
    </row>
    <row r="205" spans="2:22" x14ac:dyDescent="0.35">
      <c r="B205">
        <v>2020</v>
      </c>
      <c r="C205">
        <v>12</v>
      </c>
      <c r="D205" s="4">
        <v>927.46666666666658</v>
      </c>
      <c r="E205" s="4">
        <v>0</v>
      </c>
      <c r="F205" s="4">
        <v>865.46666666666658</v>
      </c>
      <c r="G205" s="4">
        <v>0</v>
      </c>
      <c r="H205" s="4">
        <v>803.46666666666681</v>
      </c>
      <c r="I205" s="4">
        <v>0</v>
      </c>
      <c r="J205" s="4">
        <v>741.46666666666681</v>
      </c>
      <c r="K205" s="4">
        <v>0</v>
      </c>
      <c r="L205" s="4">
        <v>679.46666666666681</v>
      </c>
      <c r="M205" s="4">
        <v>0</v>
      </c>
      <c r="N205" s="4">
        <v>617.46666666666681</v>
      </c>
      <c r="O205" s="4">
        <v>0</v>
      </c>
      <c r="P205" s="4">
        <v>555.4666666666667</v>
      </c>
      <c r="Q205" s="4">
        <v>0</v>
      </c>
      <c r="R205" s="3">
        <v>-9.9182795698924728</v>
      </c>
      <c r="T205" s="4">
        <f>MonthlyData!F85/MonthlyData!Q85</f>
        <v>681.47314073481766</v>
      </c>
      <c r="U205" s="4">
        <f>MonthlyData!I85/MonthlyData!R85</f>
        <v>2212.9006044972602</v>
      </c>
      <c r="V205" s="4">
        <f>MonthlyData!L85/MonthlyData!S85</f>
        <v>73207.690900471149</v>
      </c>
    </row>
    <row r="206" spans="2:22" x14ac:dyDescent="0.35">
      <c r="B206">
        <v>2021</v>
      </c>
      <c r="C206">
        <v>1</v>
      </c>
      <c r="D206" s="4">
        <v>962.06666666666683</v>
      </c>
      <c r="E206" s="4">
        <v>0</v>
      </c>
      <c r="F206" s="4">
        <v>900.06666666666683</v>
      </c>
      <c r="G206" s="4">
        <v>0</v>
      </c>
      <c r="H206" s="4">
        <v>838.06666666666661</v>
      </c>
      <c r="I206" s="4">
        <v>0</v>
      </c>
      <c r="J206" s="4">
        <v>776.06666666666683</v>
      </c>
      <c r="K206" s="4">
        <v>0</v>
      </c>
      <c r="L206" s="4">
        <v>714.06666666666683</v>
      </c>
      <c r="M206" s="4">
        <v>0</v>
      </c>
      <c r="N206" s="4">
        <v>652.06666666666683</v>
      </c>
      <c r="O206" s="4">
        <v>0</v>
      </c>
      <c r="P206" s="4">
        <v>590.06666666666672</v>
      </c>
      <c r="Q206" s="4">
        <v>0</v>
      </c>
      <c r="R206" s="3">
        <v>-11.034408602150537</v>
      </c>
      <c r="T206" s="4">
        <f>MonthlyData!F86/MonthlyData!Q86</f>
        <v>825.39983686444305</v>
      </c>
      <c r="U206" s="4">
        <f>MonthlyData!I86/MonthlyData!R86</f>
        <v>2613.312607626704</v>
      </c>
      <c r="V206" s="4">
        <f>MonthlyData!L86/MonthlyData!S86</f>
        <v>77145.299890316863</v>
      </c>
    </row>
    <row r="207" spans="2:22" x14ac:dyDescent="0.35">
      <c r="B207">
        <v>2021</v>
      </c>
      <c r="C207">
        <v>2</v>
      </c>
      <c r="D207" s="4">
        <v>1033.4958333333332</v>
      </c>
      <c r="E207" s="4">
        <v>0</v>
      </c>
      <c r="F207" s="4">
        <v>977.49583333333317</v>
      </c>
      <c r="G207" s="4">
        <v>0</v>
      </c>
      <c r="H207" s="4">
        <v>921.49583333333317</v>
      </c>
      <c r="I207" s="4">
        <v>0</v>
      </c>
      <c r="J207" s="4">
        <v>865.49583333333328</v>
      </c>
      <c r="K207" s="4">
        <v>0</v>
      </c>
      <c r="L207" s="4">
        <v>809.49583333333328</v>
      </c>
      <c r="M207" s="4">
        <v>0</v>
      </c>
      <c r="N207" s="4">
        <v>753.49583333333328</v>
      </c>
      <c r="O207" s="4">
        <v>0</v>
      </c>
      <c r="P207" s="4">
        <v>697.49583333333339</v>
      </c>
      <c r="Q207" s="4">
        <v>0</v>
      </c>
      <c r="R207" s="3">
        <v>-16.910565476190477</v>
      </c>
      <c r="T207" s="4">
        <f>MonthlyData!F87/MonthlyData!Q87</f>
        <v>817.252356472109</v>
      </c>
      <c r="U207" s="4">
        <f>MonthlyData!I87/MonthlyData!R87</f>
        <v>2598.4648969246741</v>
      </c>
      <c r="V207" s="4">
        <f>MonthlyData!L87/MonthlyData!S87</f>
        <v>80864.7413974136</v>
      </c>
    </row>
    <row r="208" spans="2:22" x14ac:dyDescent="0.35">
      <c r="B208">
        <v>2021</v>
      </c>
      <c r="C208">
        <v>3</v>
      </c>
      <c r="D208" s="4">
        <v>802.00833333333344</v>
      </c>
      <c r="E208" s="4">
        <v>0</v>
      </c>
      <c r="F208" s="4">
        <v>740.00833333333344</v>
      </c>
      <c r="G208" s="4">
        <v>0</v>
      </c>
      <c r="H208" s="4">
        <v>678.00833333333344</v>
      </c>
      <c r="I208" s="4">
        <v>0</v>
      </c>
      <c r="J208" s="4">
        <v>616.00833333333344</v>
      </c>
      <c r="K208" s="4">
        <v>0</v>
      </c>
      <c r="L208" s="4">
        <v>554.00833333333344</v>
      </c>
      <c r="M208" s="4">
        <v>0</v>
      </c>
      <c r="N208" s="4">
        <v>492.00833333333338</v>
      </c>
      <c r="O208" s="4">
        <v>0</v>
      </c>
      <c r="P208" s="4">
        <v>430.00833333333338</v>
      </c>
      <c r="Q208" s="4">
        <v>0</v>
      </c>
      <c r="R208" s="3">
        <v>-5.8712365591397839</v>
      </c>
      <c r="T208" s="4">
        <f>MonthlyData!F88/MonthlyData!Q88</f>
        <v>784.01484655532158</v>
      </c>
      <c r="U208" s="4">
        <f>MonthlyData!I88/MonthlyData!R88</f>
        <v>2512.4654286025921</v>
      </c>
      <c r="V208" s="4">
        <f>MonthlyData!L88/MonthlyData!S88</f>
        <v>75437.154402953529</v>
      </c>
    </row>
    <row r="209" spans="2:22" x14ac:dyDescent="0.35">
      <c r="B209">
        <v>2021</v>
      </c>
      <c r="C209">
        <v>4</v>
      </c>
      <c r="D209" s="4">
        <v>510.89166666666665</v>
      </c>
      <c r="E209" s="4">
        <v>0</v>
      </c>
      <c r="F209" s="4">
        <v>450.89166666666665</v>
      </c>
      <c r="G209" s="4">
        <v>0</v>
      </c>
      <c r="H209" s="4">
        <v>390.89166666666665</v>
      </c>
      <c r="I209" s="4">
        <v>0</v>
      </c>
      <c r="J209" s="4">
        <v>330.89166666666665</v>
      </c>
      <c r="K209" s="4">
        <v>0</v>
      </c>
      <c r="L209" s="4">
        <v>270.89166666666665</v>
      </c>
      <c r="M209" s="4">
        <v>0</v>
      </c>
      <c r="N209" s="4">
        <v>213.375</v>
      </c>
      <c r="O209" s="4">
        <v>2.4833333333333307</v>
      </c>
      <c r="P209" s="4">
        <v>164.13333333333333</v>
      </c>
      <c r="Q209" s="4">
        <v>13.24166666666666</v>
      </c>
      <c r="R209" s="3">
        <v>2.9702777777777762</v>
      </c>
      <c r="T209" s="4">
        <f>MonthlyData!F89/MonthlyData!Q89</f>
        <v>735.43493328376587</v>
      </c>
      <c r="U209" s="4">
        <f>MonthlyData!I89/MonthlyData!R89</f>
        <v>2620.1891253083218</v>
      </c>
      <c r="V209" s="4">
        <f>MonthlyData!L89/MonthlyData!S89</f>
        <v>80051.424348664208</v>
      </c>
    </row>
    <row r="210" spans="2:22" x14ac:dyDescent="0.35">
      <c r="B210">
        <v>2021</v>
      </c>
      <c r="C210">
        <v>5</v>
      </c>
      <c r="D210" s="4">
        <v>316.82083333333338</v>
      </c>
      <c r="E210" s="4">
        <v>1.8999999999999986</v>
      </c>
      <c r="F210" s="4">
        <v>261.4666666666667</v>
      </c>
      <c r="G210" s="4">
        <v>8.5458333333333343</v>
      </c>
      <c r="H210" s="4">
        <v>209.46666666666664</v>
      </c>
      <c r="I210" s="4">
        <v>18.545833333333334</v>
      </c>
      <c r="J210" s="4">
        <v>161.02499999999995</v>
      </c>
      <c r="K210" s="4">
        <v>32.104166666666664</v>
      </c>
      <c r="L210" s="4">
        <v>121.40416666666664</v>
      </c>
      <c r="M210" s="4">
        <v>54.483333333333327</v>
      </c>
      <c r="N210" s="4">
        <v>86.762499999999974</v>
      </c>
      <c r="O210" s="4">
        <v>81.84166666666664</v>
      </c>
      <c r="P210" s="4">
        <v>58.620833333333337</v>
      </c>
      <c r="Q210" s="4">
        <v>115.69999999999999</v>
      </c>
      <c r="R210" s="3">
        <v>9.8412634408602138</v>
      </c>
      <c r="T210" s="4">
        <f>MonthlyData!F90/MonthlyData!Q90</f>
        <v>598.4697908084346</v>
      </c>
      <c r="U210" s="4">
        <f>MonthlyData!I90/MonthlyData!R90</f>
        <v>2105.3513966815312</v>
      </c>
      <c r="V210" s="4">
        <f>MonthlyData!L90/MonthlyData!S90</f>
        <v>63599.881586964191</v>
      </c>
    </row>
    <row r="211" spans="2:22" x14ac:dyDescent="0.35">
      <c r="B211">
        <v>2021</v>
      </c>
      <c r="C211">
        <v>6</v>
      </c>
      <c r="D211" s="4">
        <v>114.52916666666668</v>
      </c>
      <c r="E211" s="4">
        <v>10.295833333333338</v>
      </c>
      <c r="F211" s="4">
        <v>70.870833333333323</v>
      </c>
      <c r="G211" s="4">
        <v>26.637500000000006</v>
      </c>
      <c r="H211" s="4">
        <v>38.616666666666674</v>
      </c>
      <c r="I211" s="4">
        <v>54.383333333333326</v>
      </c>
      <c r="J211" s="4">
        <v>19.562499999999996</v>
      </c>
      <c r="K211" s="4">
        <v>95.329166666666666</v>
      </c>
      <c r="L211" s="4">
        <v>10.362499999999999</v>
      </c>
      <c r="M211" s="4">
        <v>146.12916666666661</v>
      </c>
      <c r="N211" s="4">
        <v>2.9166666666666679</v>
      </c>
      <c r="O211" s="4">
        <v>198.68333333333328</v>
      </c>
      <c r="P211" s="4">
        <v>0</v>
      </c>
      <c r="Q211" s="4">
        <v>255.76666666666665</v>
      </c>
      <c r="R211" s="3">
        <v>16.525555555555552</v>
      </c>
      <c r="T211" s="4">
        <f>MonthlyData!F91/MonthlyData!Q91</f>
        <v>574.4147093979974</v>
      </c>
      <c r="U211" s="4">
        <f>MonthlyData!I91/MonthlyData!R91</f>
        <v>2082.9747180925247</v>
      </c>
      <c r="V211" s="4">
        <f>MonthlyData!L91/MonthlyData!S91</f>
        <v>62455.111448751573</v>
      </c>
    </row>
    <row r="212" spans="2:22" x14ac:dyDescent="0.35">
      <c r="B212">
        <v>2021</v>
      </c>
      <c r="C212">
        <v>7</v>
      </c>
      <c r="D212" s="4">
        <v>118.30475525239467</v>
      </c>
      <c r="E212" s="4">
        <v>5.88333333333334</v>
      </c>
      <c r="F212" s="4">
        <v>72.775588585728002</v>
      </c>
      <c r="G212" s="4">
        <v>22.354166666666671</v>
      </c>
      <c r="H212" s="4">
        <v>38.888088585727999</v>
      </c>
      <c r="I212" s="4">
        <v>50.466666666666669</v>
      </c>
      <c r="J212" s="4">
        <v>15.892255252394667</v>
      </c>
      <c r="K212" s="4">
        <v>89.470833333333346</v>
      </c>
      <c r="L212" s="4">
        <v>5.4130885857279898</v>
      </c>
      <c r="M212" s="4">
        <v>140.99166666666667</v>
      </c>
      <c r="N212" s="4">
        <v>2.104755252394658</v>
      </c>
      <c r="O212" s="4">
        <v>199.68333333333331</v>
      </c>
      <c r="P212" s="4">
        <v>0.10475525239465799</v>
      </c>
      <c r="Q212" s="4">
        <v>259.68333333333328</v>
      </c>
      <c r="R212" s="3">
        <v>16.373502518739954</v>
      </c>
      <c r="T212" s="4">
        <f>MonthlyData!F92/MonthlyData!Q92</f>
        <v>564.82146919870718</v>
      </c>
      <c r="U212" s="4">
        <f>MonthlyData!I92/MonthlyData!R92</f>
        <v>2016.4153470573417</v>
      </c>
      <c r="V212" s="4">
        <f>MonthlyData!L92/MonthlyData!S92</f>
        <v>65734.696904381606</v>
      </c>
    </row>
    <row r="213" spans="2:22" x14ac:dyDescent="0.35">
      <c r="B213">
        <v>2021</v>
      </c>
      <c r="C213">
        <v>8</v>
      </c>
      <c r="D213" s="4">
        <v>77.445833333333326</v>
      </c>
      <c r="E213" s="4">
        <v>26.645833333333343</v>
      </c>
      <c r="F213" s="4">
        <v>44.262500000000003</v>
      </c>
      <c r="G213" s="4">
        <v>55.46250000000002</v>
      </c>
      <c r="H213" s="4">
        <v>19.387500000000003</v>
      </c>
      <c r="I213" s="4">
        <v>92.58750000000002</v>
      </c>
      <c r="J213" s="4">
        <v>5.5166666666666657</v>
      </c>
      <c r="K213" s="4">
        <v>140.7166666666667</v>
      </c>
      <c r="L213" s="4">
        <v>0</v>
      </c>
      <c r="M213" s="4">
        <v>197.20000000000007</v>
      </c>
      <c r="N213" s="4">
        <v>0</v>
      </c>
      <c r="O213" s="4">
        <v>259.20000000000005</v>
      </c>
      <c r="P213" s="4">
        <v>0</v>
      </c>
      <c r="Q213" s="4">
        <v>321.2</v>
      </c>
      <c r="R213" s="3">
        <v>18.361290322580643</v>
      </c>
      <c r="T213" s="4">
        <f>MonthlyData!F93/MonthlyData!Q93</f>
        <v>597.72746568832383</v>
      </c>
      <c r="U213" s="4">
        <f>MonthlyData!I93/MonthlyData!R93</f>
        <v>2159.0764475436004</v>
      </c>
      <c r="V213" s="4">
        <f>MonthlyData!L93/MonthlyData!S93</f>
        <v>63538.744672806257</v>
      </c>
    </row>
    <row r="214" spans="2:22" x14ac:dyDescent="0.35">
      <c r="B214">
        <v>2021</v>
      </c>
      <c r="C214">
        <v>9</v>
      </c>
      <c r="D214" s="4">
        <v>255.56249999999997</v>
      </c>
      <c r="E214" s="4">
        <v>1.3833333333333293</v>
      </c>
      <c r="F214" s="4">
        <v>197.56249999999997</v>
      </c>
      <c r="G214" s="4">
        <v>3.3833333333333293</v>
      </c>
      <c r="H214" s="4">
        <v>140.19166666666666</v>
      </c>
      <c r="I214" s="4">
        <v>6.0124999999999957</v>
      </c>
      <c r="J214" s="4">
        <v>88.3</v>
      </c>
      <c r="K214" s="4">
        <v>14.12083333333333</v>
      </c>
      <c r="L214" s="4">
        <v>49.94166666666667</v>
      </c>
      <c r="M214" s="4">
        <v>35.762499999999996</v>
      </c>
      <c r="N214" s="4">
        <v>22.32083333333334</v>
      </c>
      <c r="O214" s="4">
        <v>68.141666666666652</v>
      </c>
      <c r="P214" s="4">
        <v>7.4833333333333352</v>
      </c>
      <c r="Q214" s="4">
        <v>113.30416666666666</v>
      </c>
      <c r="R214" s="3">
        <v>11.527361111111112</v>
      </c>
      <c r="T214" s="4">
        <f>MonthlyData!F94/MonthlyData!Q94</f>
        <v>642.59978946569743</v>
      </c>
      <c r="U214" s="4">
        <f>MonthlyData!I94/MonthlyData!R94</f>
        <v>2268.8190549162159</v>
      </c>
      <c r="V214" s="4">
        <f>MonthlyData!L94/MonthlyData!S94</f>
        <v>66043.272843996107</v>
      </c>
    </row>
    <row r="215" spans="2:22" x14ac:dyDescent="0.35">
      <c r="B215">
        <v>2021</v>
      </c>
      <c r="C215">
        <v>10</v>
      </c>
      <c r="D215" s="4">
        <v>349.22499999999997</v>
      </c>
      <c r="E215" s="4">
        <v>0</v>
      </c>
      <c r="F215" s="4">
        <v>287.22499999999997</v>
      </c>
      <c r="G215" s="4">
        <v>0</v>
      </c>
      <c r="H215" s="4">
        <v>229.09999999999997</v>
      </c>
      <c r="I215" s="4">
        <v>3.8750000000000036</v>
      </c>
      <c r="J215" s="4">
        <v>177.39999999999998</v>
      </c>
      <c r="K215" s="4">
        <v>14.175000000000004</v>
      </c>
      <c r="L215" s="4">
        <v>132.99583333333334</v>
      </c>
      <c r="M215" s="4">
        <v>31.770833333333343</v>
      </c>
      <c r="N215" s="4">
        <v>99.116666666666674</v>
      </c>
      <c r="O215" s="4">
        <v>59.89166666666668</v>
      </c>
      <c r="P215" s="4">
        <v>69.233333333333334</v>
      </c>
      <c r="Q215" s="4">
        <v>92.008333333333368</v>
      </c>
      <c r="R215" s="3">
        <v>8.7346774193548384</v>
      </c>
      <c r="T215" s="4">
        <f>MonthlyData!F95/MonthlyData!Q95</f>
        <v>522.86648567103589</v>
      </c>
      <c r="U215" s="4">
        <f>MonthlyData!I95/MonthlyData!R95</f>
        <v>2000.9254095607182</v>
      </c>
      <c r="V215" s="4">
        <f>MonthlyData!L95/MonthlyData!S95</f>
        <v>64540.421306501383</v>
      </c>
    </row>
    <row r="216" spans="2:22" x14ac:dyDescent="0.35">
      <c r="B216">
        <v>2021</v>
      </c>
      <c r="C216">
        <v>11</v>
      </c>
      <c r="D216" s="4">
        <v>664.64166666666677</v>
      </c>
      <c r="E216" s="4">
        <v>0</v>
      </c>
      <c r="F216" s="4">
        <v>604.64166666666665</v>
      </c>
      <c r="G216" s="4">
        <v>0</v>
      </c>
      <c r="H216" s="4">
        <v>544.64166666666665</v>
      </c>
      <c r="I216" s="4">
        <v>0</v>
      </c>
      <c r="J216" s="4">
        <v>484.64166666666671</v>
      </c>
      <c r="K216" s="4">
        <v>0</v>
      </c>
      <c r="L216" s="4">
        <v>424.64166666666671</v>
      </c>
      <c r="M216" s="4">
        <v>0</v>
      </c>
      <c r="N216" s="4">
        <v>364.64166666666665</v>
      </c>
      <c r="O216" s="4">
        <v>0</v>
      </c>
      <c r="P216" s="4">
        <v>305.45416666666665</v>
      </c>
      <c r="Q216" s="4">
        <v>0.81249999999999822</v>
      </c>
      <c r="R216" s="3">
        <v>-2.154722222222222</v>
      </c>
      <c r="T216" s="4">
        <f>MonthlyData!F96/MonthlyData!Q96</f>
        <v>570.02235140849075</v>
      </c>
      <c r="U216" s="4">
        <f>MonthlyData!I96/MonthlyData!R96</f>
        <v>1995.4309842756256</v>
      </c>
      <c r="V216" s="4">
        <f>MonthlyData!L96/MonthlyData!S96</f>
        <v>70715.696984781665</v>
      </c>
    </row>
    <row r="217" spans="2:22" x14ac:dyDescent="0.35">
      <c r="B217">
        <v>2021</v>
      </c>
      <c r="C217">
        <v>12</v>
      </c>
      <c r="D217" s="4">
        <v>993.00833333333321</v>
      </c>
      <c r="E217" s="4">
        <v>0</v>
      </c>
      <c r="F217" s="4">
        <v>931.00833333333321</v>
      </c>
      <c r="G217" s="4">
        <v>0</v>
      </c>
      <c r="H217" s="4">
        <v>869.00833333333321</v>
      </c>
      <c r="I217" s="4">
        <v>0</v>
      </c>
      <c r="J217" s="4">
        <v>807.00833333333321</v>
      </c>
      <c r="K217" s="4">
        <v>0</v>
      </c>
      <c r="L217" s="4">
        <v>745.00833333333321</v>
      </c>
      <c r="M217" s="4">
        <v>0</v>
      </c>
      <c r="N217" s="4">
        <v>683.00833333333321</v>
      </c>
      <c r="O217" s="4">
        <v>0</v>
      </c>
      <c r="P217" s="4">
        <v>621.00833333333344</v>
      </c>
      <c r="Q217" s="4">
        <v>0</v>
      </c>
      <c r="R217" s="3">
        <v>-12.032526881720432</v>
      </c>
      <c r="T217" s="4">
        <f>MonthlyData!F97/MonthlyData!Q97</f>
        <v>676.15550747502493</v>
      </c>
      <c r="U217" s="4">
        <f>MonthlyData!I97/MonthlyData!R97</f>
        <v>2352.7047263942336</v>
      </c>
      <c r="V217" s="4">
        <f>MonthlyData!L97/MonthlyData!S97</f>
        <v>77719.528474069768</v>
      </c>
    </row>
    <row r="218" spans="2:22" x14ac:dyDescent="0.35">
      <c r="B218">
        <v>2022</v>
      </c>
      <c r="C218">
        <v>1</v>
      </c>
      <c r="D218" s="4">
        <v>1300.5749999999996</v>
      </c>
      <c r="E218" s="4">
        <v>0</v>
      </c>
      <c r="F218" s="4">
        <v>1238.5749999999994</v>
      </c>
      <c r="G218" s="4">
        <v>0</v>
      </c>
      <c r="H218" s="4">
        <v>1176.5749999999996</v>
      </c>
      <c r="I218" s="4">
        <v>0</v>
      </c>
      <c r="J218" s="4">
        <v>1114.5749999999998</v>
      </c>
      <c r="K218" s="4">
        <v>0</v>
      </c>
      <c r="L218" s="4">
        <v>1052.575</v>
      </c>
      <c r="M218" s="4">
        <v>0</v>
      </c>
      <c r="N218" s="4">
        <v>990.57499999999993</v>
      </c>
      <c r="O218" s="4">
        <v>0</v>
      </c>
      <c r="P218" s="4">
        <v>928.57499999999982</v>
      </c>
      <c r="Q218" s="4">
        <v>0</v>
      </c>
      <c r="R218" s="3">
        <v>-21.954032258064522</v>
      </c>
      <c r="T218" s="4">
        <f>MonthlyData!F98/MonthlyData!Q98</f>
        <v>845.330521634359</v>
      </c>
      <c r="U218" s="4">
        <f>MonthlyData!I98/MonthlyData!R98</f>
        <v>2717.7819653433494</v>
      </c>
      <c r="V218" s="4">
        <f>MonthlyData!L98/MonthlyData!S98</f>
        <v>82314.489351972996</v>
      </c>
    </row>
    <row r="219" spans="2:22" x14ac:dyDescent="0.35">
      <c r="B219">
        <v>2022</v>
      </c>
      <c r="C219">
        <v>2</v>
      </c>
      <c r="D219" s="4">
        <v>1083.7208333333335</v>
      </c>
      <c r="E219" s="4">
        <v>0</v>
      </c>
      <c r="F219" s="4">
        <v>1027.7208333333335</v>
      </c>
      <c r="G219" s="4">
        <v>0</v>
      </c>
      <c r="H219" s="4">
        <v>971.72083333333342</v>
      </c>
      <c r="I219" s="4">
        <v>0</v>
      </c>
      <c r="J219" s="4">
        <v>915.72083333333342</v>
      </c>
      <c r="K219" s="4">
        <v>0</v>
      </c>
      <c r="L219" s="4">
        <v>859.72083333333319</v>
      </c>
      <c r="M219" s="4">
        <v>0</v>
      </c>
      <c r="N219" s="4">
        <v>803.72083333333319</v>
      </c>
      <c r="O219" s="4">
        <v>0</v>
      </c>
      <c r="P219" s="4">
        <v>747.72083333333319</v>
      </c>
      <c r="Q219" s="4">
        <v>0</v>
      </c>
      <c r="R219" s="3">
        <v>-18.704315476190477</v>
      </c>
      <c r="T219" s="4">
        <f>MonthlyData!F99/MonthlyData!Q99</f>
        <v>974.8796499736294</v>
      </c>
      <c r="U219" s="4">
        <f>MonthlyData!I99/MonthlyData!R99</f>
        <v>3047.7115249277176</v>
      </c>
      <c r="V219" s="4">
        <f>MonthlyData!L99/MonthlyData!S99</f>
        <v>89537.980078521519</v>
      </c>
    </row>
    <row r="220" spans="2:22" x14ac:dyDescent="0.35">
      <c r="B220">
        <v>2022</v>
      </c>
      <c r="C220">
        <v>3</v>
      </c>
      <c r="D220" s="4">
        <v>865.07083333333344</v>
      </c>
      <c r="E220" s="4">
        <v>0</v>
      </c>
      <c r="F220" s="4">
        <v>803.07083333333333</v>
      </c>
      <c r="G220" s="4">
        <v>0</v>
      </c>
      <c r="H220" s="4">
        <v>741.07083333333333</v>
      </c>
      <c r="I220" s="4">
        <v>0</v>
      </c>
      <c r="J220" s="4">
        <v>679.07083333333321</v>
      </c>
      <c r="K220" s="4">
        <v>0</v>
      </c>
      <c r="L220" s="4">
        <v>617.07083333333333</v>
      </c>
      <c r="M220" s="4">
        <v>0</v>
      </c>
      <c r="N220" s="4">
        <v>555.07083333333333</v>
      </c>
      <c r="O220" s="4">
        <v>0</v>
      </c>
      <c r="P220" s="4">
        <v>493.07083333333327</v>
      </c>
      <c r="Q220" s="4">
        <v>0</v>
      </c>
      <c r="R220" s="3">
        <v>-7.9055107526881727</v>
      </c>
      <c r="T220" s="4">
        <f>MonthlyData!F100/MonthlyData!Q100</f>
        <v>816.82544680418994</v>
      </c>
      <c r="U220" s="4">
        <f>MonthlyData!I100/MonthlyData!R100</f>
        <v>2741.4837256748633</v>
      </c>
      <c r="V220" s="4">
        <f>MonthlyData!L100/MonthlyData!S100</f>
        <v>81751.787558521217</v>
      </c>
    </row>
    <row r="221" spans="2:22" x14ac:dyDescent="0.35">
      <c r="B221">
        <v>2022</v>
      </c>
      <c r="C221">
        <v>4</v>
      </c>
      <c r="D221" s="4">
        <v>569.69166666666672</v>
      </c>
      <c r="E221" s="4">
        <v>0</v>
      </c>
      <c r="F221" s="4">
        <v>509.69166666666672</v>
      </c>
      <c r="G221" s="4">
        <v>0</v>
      </c>
      <c r="H221" s="4">
        <v>449.69166666666666</v>
      </c>
      <c r="I221" s="4">
        <v>0</v>
      </c>
      <c r="J221" s="4">
        <v>389.69166666666666</v>
      </c>
      <c r="K221" s="4">
        <v>0</v>
      </c>
      <c r="L221" s="4">
        <v>329.69166666666666</v>
      </c>
      <c r="M221" s="4">
        <v>0</v>
      </c>
      <c r="N221" s="4">
        <v>269.69166666666661</v>
      </c>
      <c r="O221" s="4">
        <v>0</v>
      </c>
      <c r="P221" s="4">
        <v>211.05833333333334</v>
      </c>
      <c r="Q221" s="4">
        <v>1.3666666666666689</v>
      </c>
      <c r="R221" s="3">
        <v>1.0102777777777776</v>
      </c>
      <c r="T221" s="4">
        <f>MonthlyData!F101/MonthlyData!Q101</f>
        <v>738.37853320541558</v>
      </c>
      <c r="U221" s="4">
        <f>MonthlyData!I101/MonthlyData!R101</f>
        <v>2697.269212080384</v>
      </c>
      <c r="V221" s="4">
        <f>MonthlyData!L101/MonthlyData!S101</f>
        <v>84468.848774190526</v>
      </c>
    </row>
    <row r="222" spans="2:22" x14ac:dyDescent="0.35">
      <c r="B222">
        <v>2022</v>
      </c>
      <c r="C222">
        <v>5</v>
      </c>
      <c r="D222" s="4">
        <v>248.15</v>
      </c>
      <c r="E222" s="4">
        <v>1.8166666666666629</v>
      </c>
      <c r="F222" s="4">
        <v>192.75416666666672</v>
      </c>
      <c r="G222" s="4">
        <v>8.4208333333333307</v>
      </c>
      <c r="H222" s="4">
        <v>143.22916666666671</v>
      </c>
      <c r="I222" s="4">
        <v>20.895833333333329</v>
      </c>
      <c r="J222" s="4">
        <v>98.941666666666663</v>
      </c>
      <c r="K222" s="4">
        <v>38.608333333333327</v>
      </c>
      <c r="L222" s="4">
        <v>64.333333333333314</v>
      </c>
      <c r="M222" s="4">
        <v>66.000000000000014</v>
      </c>
      <c r="N222" s="4">
        <v>37.020833333333329</v>
      </c>
      <c r="O222" s="4">
        <v>100.68750000000004</v>
      </c>
      <c r="P222" s="4">
        <v>19.362499999999997</v>
      </c>
      <c r="Q222" s="4">
        <v>145.02916666666667</v>
      </c>
      <c r="R222" s="3">
        <v>12.053763440860218</v>
      </c>
      <c r="T222" s="4">
        <f>MonthlyData!F102/MonthlyData!Q102</f>
        <v>614.02429882495971</v>
      </c>
      <c r="U222" s="4">
        <f>MonthlyData!I102/MonthlyData!R102</f>
        <v>2222.2923605368178</v>
      </c>
      <c r="V222" s="4">
        <f>MonthlyData!L102/MonthlyData!S102</f>
        <v>72094.665071590047</v>
      </c>
    </row>
    <row r="223" spans="2:22" x14ac:dyDescent="0.35">
      <c r="B223">
        <v>2022</v>
      </c>
      <c r="C223">
        <v>6</v>
      </c>
      <c r="D223" s="4">
        <v>146.92083333333335</v>
      </c>
      <c r="E223" s="4">
        <v>6.5916666666666615</v>
      </c>
      <c r="F223" s="4">
        <v>101.08333333333334</v>
      </c>
      <c r="G223" s="4">
        <v>20.754166666666666</v>
      </c>
      <c r="H223" s="4">
        <v>60.712500000000006</v>
      </c>
      <c r="I223" s="4">
        <v>40.38333333333334</v>
      </c>
      <c r="J223" s="4">
        <v>27.729166666666664</v>
      </c>
      <c r="K223" s="4">
        <v>67.400000000000006</v>
      </c>
      <c r="L223" s="4">
        <v>9.05833333333333</v>
      </c>
      <c r="M223" s="4">
        <v>108.72916666666666</v>
      </c>
      <c r="N223" s="4">
        <v>0.58750000000000036</v>
      </c>
      <c r="O223" s="4">
        <v>160.25833333333335</v>
      </c>
      <c r="P223" s="4">
        <v>0</v>
      </c>
      <c r="Q223" s="4">
        <v>219.67083333333332</v>
      </c>
      <c r="R223" s="3">
        <v>15.322361111111112</v>
      </c>
      <c r="T223" s="4">
        <f>MonthlyData!F103/MonthlyData!Q103</f>
        <v>551.96732649491048</v>
      </c>
      <c r="U223" s="4">
        <f>MonthlyData!I103/MonthlyData!R103</f>
        <v>2046.2021414297158</v>
      </c>
      <c r="V223" s="4">
        <f>MonthlyData!L103/MonthlyData!S103</f>
        <v>71014.064454613763</v>
      </c>
    </row>
    <row r="224" spans="2:22" x14ac:dyDescent="0.35">
      <c r="B224">
        <v>2022</v>
      </c>
      <c r="C224">
        <v>7</v>
      </c>
      <c r="D224" s="4">
        <v>102.94120813333726</v>
      </c>
      <c r="E224" s="4">
        <v>4.9333333333333336</v>
      </c>
      <c r="F224" s="4">
        <v>55.062041466670522</v>
      </c>
      <c r="G224" s="4">
        <v>19.05416666666666</v>
      </c>
      <c r="H224" s="4">
        <v>24.778708133337197</v>
      </c>
      <c r="I224" s="4">
        <v>50.770833333333336</v>
      </c>
      <c r="J224" s="4">
        <v>6.3162081333372093</v>
      </c>
      <c r="K224" s="4">
        <v>94.308333333333309</v>
      </c>
      <c r="L224" s="4">
        <v>2.7662081333372104</v>
      </c>
      <c r="M224" s="4">
        <v>152.75833333333333</v>
      </c>
      <c r="N224" s="4">
        <v>0.76620813333721038</v>
      </c>
      <c r="O224" s="4">
        <v>212.75833333333333</v>
      </c>
      <c r="P224" s="4">
        <v>0</v>
      </c>
      <c r="Q224" s="4">
        <v>273.99212519999611</v>
      </c>
      <c r="R224" s="3">
        <v>16.838455651612776</v>
      </c>
      <c r="T224" s="4">
        <f>MonthlyData!F104/MonthlyData!Q104</f>
        <v>547.09191487937073</v>
      </c>
      <c r="U224" s="4">
        <f>MonthlyData!I104/MonthlyData!R104</f>
        <v>1976.2550095488116</v>
      </c>
      <c r="V224" s="4">
        <f>MonthlyData!L104/MonthlyData!S104</f>
        <v>65469.225823885026</v>
      </c>
    </row>
    <row r="225" spans="2:22" x14ac:dyDescent="0.35">
      <c r="B225">
        <v>2022</v>
      </c>
      <c r="C225">
        <v>8</v>
      </c>
      <c r="D225" s="4">
        <v>113.175</v>
      </c>
      <c r="E225" s="4">
        <v>2.4083333333333279</v>
      </c>
      <c r="F225" s="4">
        <v>63.124999999999993</v>
      </c>
      <c r="G225" s="4">
        <v>14.35833333333332</v>
      </c>
      <c r="H225" s="4">
        <v>28.729166666666671</v>
      </c>
      <c r="I225" s="4">
        <v>41.962499999999991</v>
      </c>
      <c r="J225" s="4">
        <v>12.033333333333337</v>
      </c>
      <c r="K225" s="4">
        <v>87.266666666666666</v>
      </c>
      <c r="L225" s="4">
        <v>4.0625000000000018</v>
      </c>
      <c r="M225" s="4">
        <v>141.29583333333332</v>
      </c>
      <c r="N225" s="4">
        <v>1.0791666666666657</v>
      </c>
      <c r="O225" s="4">
        <v>200.3125</v>
      </c>
      <c r="P225" s="4">
        <v>0</v>
      </c>
      <c r="Q225" s="4">
        <v>261.23333333333335</v>
      </c>
      <c r="R225" s="3">
        <v>16.426881720430107</v>
      </c>
      <c r="T225" s="4">
        <f>MonthlyData!F105/MonthlyData!Q105</f>
        <v>578.67587423274051</v>
      </c>
      <c r="U225" s="4">
        <f>MonthlyData!I105/MonthlyData!R105</f>
        <v>2019.6136848288002</v>
      </c>
      <c r="V225" s="4">
        <f>MonthlyData!L105/MonthlyData!S105</f>
        <v>64465.262487249478</v>
      </c>
    </row>
    <row r="226" spans="2:22" x14ac:dyDescent="0.35">
      <c r="B226">
        <v>2022</v>
      </c>
      <c r="C226">
        <v>9</v>
      </c>
      <c r="D226" s="4">
        <v>245.7166666666667</v>
      </c>
      <c r="E226" s="4">
        <v>0.10833333333333428</v>
      </c>
      <c r="F226" s="4">
        <v>187.99583333333334</v>
      </c>
      <c r="G226" s="4">
        <v>2.3875000000000028</v>
      </c>
      <c r="H226" s="4">
        <v>134.60000000000002</v>
      </c>
      <c r="I226" s="4">
        <v>8.9916666666666707</v>
      </c>
      <c r="J226" s="4">
        <v>87.166666666666657</v>
      </c>
      <c r="K226" s="4">
        <v>21.558333333333341</v>
      </c>
      <c r="L226" s="4">
        <v>49.329166666666666</v>
      </c>
      <c r="M226" s="4">
        <v>43.720833333333346</v>
      </c>
      <c r="N226" s="4">
        <v>23.4375</v>
      </c>
      <c r="O226" s="4">
        <v>77.829166666666666</v>
      </c>
      <c r="P226" s="4">
        <v>12.216666666666665</v>
      </c>
      <c r="Q226" s="4">
        <v>126.60833333333332</v>
      </c>
      <c r="R226" s="3">
        <v>11.813055555555556</v>
      </c>
      <c r="T226" s="4">
        <f>MonthlyData!F106/MonthlyData!Q106</f>
        <v>575.59348322784797</v>
      </c>
      <c r="U226" s="4">
        <f>MonthlyData!I106/MonthlyData!R106</f>
        <v>2041.1919796952591</v>
      </c>
      <c r="V226" s="4">
        <f>MonthlyData!L106/MonthlyData!S106</f>
        <v>64684.549361972669</v>
      </c>
    </row>
    <row r="227" spans="2:22" x14ac:dyDescent="0.35">
      <c r="B227">
        <v>2022</v>
      </c>
      <c r="C227">
        <v>10</v>
      </c>
      <c r="D227" s="4">
        <v>415.68333333333339</v>
      </c>
      <c r="E227" s="4">
        <v>0</v>
      </c>
      <c r="F227" s="4">
        <v>353.68333333333339</v>
      </c>
      <c r="G227" s="4">
        <v>0</v>
      </c>
      <c r="H227" s="4">
        <v>291.68333333333334</v>
      </c>
      <c r="I227" s="4">
        <v>0</v>
      </c>
      <c r="J227" s="4">
        <v>232.70416666666665</v>
      </c>
      <c r="K227" s="4">
        <v>3.0208333333333304</v>
      </c>
      <c r="L227" s="4">
        <v>180.46250000000001</v>
      </c>
      <c r="M227" s="4">
        <v>12.779166666666661</v>
      </c>
      <c r="N227" s="4">
        <v>133.35833333333338</v>
      </c>
      <c r="O227" s="4">
        <v>27.674999999999997</v>
      </c>
      <c r="P227" s="4">
        <v>90.466666666666669</v>
      </c>
      <c r="Q227" s="4">
        <v>46.783333333333331</v>
      </c>
      <c r="R227" s="3">
        <v>6.5908602150537643</v>
      </c>
      <c r="T227" s="4">
        <f>MonthlyData!F107/MonthlyData!Q107</f>
        <v>529.95671483510102</v>
      </c>
      <c r="U227" s="4">
        <f>MonthlyData!I107/MonthlyData!R107</f>
        <v>1940.4532879556948</v>
      </c>
      <c r="V227" s="4">
        <f>MonthlyData!L107/MonthlyData!S107</f>
        <v>64304.926303485008</v>
      </c>
    </row>
    <row r="228" spans="2:22" x14ac:dyDescent="0.35">
      <c r="B228">
        <v>2022</v>
      </c>
      <c r="C228">
        <v>11</v>
      </c>
      <c r="D228" s="4">
        <v>651.92499999999995</v>
      </c>
      <c r="E228" s="4">
        <v>0</v>
      </c>
      <c r="F228" s="4">
        <v>591.92500000000007</v>
      </c>
      <c r="G228" s="4">
        <v>0</v>
      </c>
      <c r="H228" s="4">
        <v>531.92500000000007</v>
      </c>
      <c r="I228" s="4">
        <v>0</v>
      </c>
      <c r="J228" s="4">
        <v>471.92500000000007</v>
      </c>
      <c r="K228" s="4">
        <v>0</v>
      </c>
      <c r="L228" s="4">
        <v>413.58750000000003</v>
      </c>
      <c r="M228" s="4">
        <v>1.6625000000000014</v>
      </c>
      <c r="N228" s="4">
        <v>355.58750000000009</v>
      </c>
      <c r="O228" s="4">
        <v>3.6625000000000014</v>
      </c>
      <c r="P228" s="4">
        <v>298.625</v>
      </c>
      <c r="Q228" s="4">
        <v>6.7000000000000011</v>
      </c>
      <c r="R228" s="3">
        <v>-1.7308333333333332</v>
      </c>
      <c r="T228" s="4">
        <f>MonthlyData!F108/MonthlyData!Q108</f>
        <v>585.40556317394487</v>
      </c>
      <c r="U228" s="4">
        <f>MonthlyData!I108/MonthlyData!R108</f>
        <v>2095.6885954963304</v>
      </c>
      <c r="V228" s="4">
        <f>MonthlyData!L108/MonthlyData!S108</f>
        <v>69389.898245948367</v>
      </c>
    </row>
    <row r="229" spans="2:22" x14ac:dyDescent="0.35">
      <c r="B229">
        <v>2022</v>
      </c>
      <c r="C229">
        <v>12</v>
      </c>
      <c r="D229" s="4">
        <v>938.47916666666686</v>
      </c>
      <c r="E229" s="4">
        <v>0</v>
      </c>
      <c r="F229" s="4">
        <v>876.47916666666674</v>
      </c>
      <c r="G229" s="4">
        <v>0</v>
      </c>
      <c r="H229" s="4">
        <v>814.47916666666663</v>
      </c>
      <c r="I229" s="4">
        <v>0</v>
      </c>
      <c r="J229" s="4">
        <v>752.47916666666674</v>
      </c>
      <c r="K229" s="4">
        <v>0</v>
      </c>
      <c r="L229" s="4">
        <v>690.47916666666674</v>
      </c>
      <c r="M229" s="4">
        <v>0</v>
      </c>
      <c r="N229" s="4">
        <v>628.47916666666674</v>
      </c>
      <c r="O229" s="4">
        <v>0</v>
      </c>
      <c r="P229" s="4">
        <v>566.47916666666674</v>
      </c>
      <c r="Q229" s="4">
        <v>0</v>
      </c>
      <c r="R229" s="3">
        <v>-10.273521505376342</v>
      </c>
      <c r="T229" s="4">
        <f>MonthlyData!F109/MonthlyData!Q109</f>
        <v>668.90468951832679</v>
      </c>
      <c r="U229" s="4">
        <f>MonthlyData!I109/MonthlyData!R109</f>
        <v>2350.2785662975325</v>
      </c>
      <c r="V229" s="4">
        <f>MonthlyData!L109/MonthlyData!S109</f>
        <v>71956.408837594994</v>
      </c>
    </row>
    <row r="230" spans="2:22" x14ac:dyDescent="0.35">
      <c r="B230">
        <v>2023</v>
      </c>
      <c r="C230">
        <v>1</v>
      </c>
      <c r="D230" s="4">
        <v>1004.5458333333333</v>
      </c>
      <c r="E230" s="4">
        <v>0</v>
      </c>
      <c r="F230" s="4">
        <v>942.54583333333335</v>
      </c>
      <c r="G230" s="4">
        <v>0</v>
      </c>
      <c r="H230" s="4">
        <v>880.54583333333335</v>
      </c>
      <c r="I230" s="4">
        <v>0</v>
      </c>
      <c r="J230" s="4">
        <v>818.54583333333335</v>
      </c>
      <c r="K230" s="4">
        <v>0</v>
      </c>
      <c r="L230" s="4">
        <v>756.54583333333312</v>
      </c>
      <c r="M230" s="4">
        <v>0</v>
      </c>
      <c r="N230" s="4">
        <v>694.54583333333335</v>
      </c>
      <c r="O230" s="4">
        <v>0</v>
      </c>
      <c r="P230" s="4">
        <v>632.54583333333335</v>
      </c>
      <c r="Q230" s="4">
        <v>0</v>
      </c>
      <c r="R230" s="3">
        <v>-12.404704301075272</v>
      </c>
      <c r="T230" s="4">
        <f>MonthlyData!F110/MonthlyData!Q110</f>
        <v>811.10025274470092</v>
      </c>
      <c r="U230" s="4">
        <f>MonthlyData!I110/MonthlyData!R110</f>
        <v>2653.5713397991967</v>
      </c>
      <c r="V230" s="4">
        <f>MonthlyData!L110/MonthlyData!S110</f>
        <v>75871.701685278706</v>
      </c>
    </row>
    <row r="231" spans="2:22" x14ac:dyDescent="0.35">
      <c r="B231">
        <v>2023</v>
      </c>
      <c r="C231">
        <v>2</v>
      </c>
      <c r="D231" s="4">
        <v>951.62499999999977</v>
      </c>
      <c r="E231" s="4">
        <v>0</v>
      </c>
      <c r="F231" s="4">
        <v>895.62499999999977</v>
      </c>
      <c r="G231" s="4">
        <v>0</v>
      </c>
      <c r="H231" s="4">
        <v>839.625</v>
      </c>
      <c r="I231" s="4">
        <v>0</v>
      </c>
      <c r="J231" s="4">
        <v>783.625</v>
      </c>
      <c r="K231" s="4">
        <v>0</v>
      </c>
      <c r="L231" s="4">
        <v>727.625</v>
      </c>
      <c r="M231" s="4">
        <v>0</v>
      </c>
      <c r="N231" s="4">
        <v>671.62500000000023</v>
      </c>
      <c r="O231" s="4">
        <v>0</v>
      </c>
      <c r="P231" s="4">
        <v>615.62500000000011</v>
      </c>
      <c r="Q231" s="4">
        <v>0</v>
      </c>
      <c r="R231" s="3">
        <v>-13.986607142857142</v>
      </c>
      <c r="T231" s="4">
        <f>MonthlyData!F111/MonthlyData!Q111</f>
        <v>815.83107774955488</v>
      </c>
      <c r="U231" s="4">
        <f>MonthlyData!I111/MonthlyData!R111</f>
        <v>2757.4570162732698</v>
      </c>
      <c r="V231" s="4">
        <f>MonthlyData!L111/MonthlyData!S111</f>
        <v>86610.613151839061</v>
      </c>
    </row>
    <row r="232" spans="2:22" x14ac:dyDescent="0.35">
      <c r="B232">
        <v>2023</v>
      </c>
      <c r="C232">
        <v>3</v>
      </c>
      <c r="D232" s="4">
        <v>908.18749999999989</v>
      </c>
      <c r="E232" s="4">
        <v>0</v>
      </c>
      <c r="F232" s="4">
        <v>846.1875</v>
      </c>
      <c r="G232" s="4">
        <v>0</v>
      </c>
      <c r="H232" s="4">
        <v>784.18749999999989</v>
      </c>
      <c r="I232" s="4">
        <v>0</v>
      </c>
      <c r="J232" s="4">
        <v>722.18749999999989</v>
      </c>
      <c r="K232" s="4">
        <v>0</v>
      </c>
      <c r="L232" s="4">
        <v>660.18749999999989</v>
      </c>
      <c r="M232" s="4">
        <v>0</v>
      </c>
      <c r="N232" s="4">
        <v>598.18749999999989</v>
      </c>
      <c r="O232" s="4">
        <v>0</v>
      </c>
      <c r="P232" s="4">
        <v>536.18749999999989</v>
      </c>
      <c r="Q232" s="4">
        <v>0</v>
      </c>
      <c r="R232" s="3">
        <v>-9.2963709677419377</v>
      </c>
      <c r="T232" s="4">
        <f>MonthlyData!F112/MonthlyData!Q112</f>
        <v>763.34611422175931</v>
      </c>
      <c r="U232" s="4">
        <f>MonthlyData!I112/MonthlyData!R112</f>
        <v>2618.4245289788546</v>
      </c>
      <c r="V232" s="4">
        <f>MonthlyData!L112/MonthlyData!S112</f>
        <v>77047.992882302322</v>
      </c>
    </row>
    <row r="233" spans="2:22" x14ac:dyDescent="0.35">
      <c r="B233">
        <v>2023</v>
      </c>
      <c r="C233">
        <v>4</v>
      </c>
      <c r="D233" s="4">
        <v>588.91250000000014</v>
      </c>
      <c r="E233" s="4">
        <v>0</v>
      </c>
      <c r="F233" s="4">
        <v>528.91250000000014</v>
      </c>
      <c r="G233" s="4">
        <v>0</v>
      </c>
      <c r="H233" s="4">
        <v>468.91250000000008</v>
      </c>
      <c r="I233" s="4">
        <v>0</v>
      </c>
      <c r="J233" s="4">
        <v>408.91250000000014</v>
      </c>
      <c r="K233" s="4">
        <v>0</v>
      </c>
      <c r="L233" s="4">
        <v>348.91250000000014</v>
      </c>
      <c r="M233" s="4">
        <v>0</v>
      </c>
      <c r="N233" s="4">
        <v>288.91250000000008</v>
      </c>
      <c r="O233" s="4">
        <v>0</v>
      </c>
      <c r="P233" s="4">
        <v>231.31666666666666</v>
      </c>
      <c r="Q233" s="4">
        <v>2.4041666666666668</v>
      </c>
      <c r="R233" s="3">
        <v>0.36958333333333332</v>
      </c>
      <c r="T233" s="4">
        <f>MonthlyData!F113/MonthlyData!Q113</f>
        <v>730.31756946494386</v>
      </c>
      <c r="U233" s="4">
        <f>MonthlyData!I113/MonthlyData!R113</f>
        <v>2615.7121872017592</v>
      </c>
      <c r="V233" s="4">
        <f>MonthlyData!L113/MonthlyData!S113</f>
        <v>82230.327950323714</v>
      </c>
    </row>
    <row r="234" spans="2:22" x14ac:dyDescent="0.35">
      <c r="B234">
        <v>2023</v>
      </c>
      <c r="C234">
        <v>5</v>
      </c>
      <c r="D234" s="4">
        <v>286.91666666666657</v>
      </c>
      <c r="E234" s="4">
        <v>13.062499999999993</v>
      </c>
      <c r="F234" s="4">
        <v>232.91666666666663</v>
      </c>
      <c r="G234" s="4">
        <v>21.062499999999993</v>
      </c>
      <c r="H234" s="4">
        <v>182.42916666666667</v>
      </c>
      <c r="I234" s="4">
        <v>32.574999999999989</v>
      </c>
      <c r="J234" s="4">
        <v>132.56666666666666</v>
      </c>
      <c r="K234" s="4">
        <v>44.712499999999991</v>
      </c>
      <c r="L234" s="4">
        <v>89.120833333333323</v>
      </c>
      <c r="M234" s="4">
        <v>63.266666666666666</v>
      </c>
      <c r="N234" s="4">
        <v>53.558333333333323</v>
      </c>
      <c r="O234" s="4">
        <v>89.704166666666652</v>
      </c>
      <c r="P234" s="4">
        <v>30.920833333333331</v>
      </c>
      <c r="Q234" s="4">
        <v>129.06666666666666</v>
      </c>
      <c r="R234" s="3">
        <v>11.165994623655916</v>
      </c>
      <c r="T234" s="4">
        <f>MonthlyData!F114/MonthlyData!Q114</f>
        <v>619.95341048248747</v>
      </c>
      <c r="U234" s="4">
        <f>MonthlyData!I114/MonthlyData!R114</f>
        <v>2210.2876564207054</v>
      </c>
      <c r="V234" s="4">
        <f>MonthlyData!L114/MonthlyData!S114</f>
        <v>70356.302841918965</v>
      </c>
    </row>
    <row r="235" spans="2:22" x14ac:dyDescent="0.35">
      <c r="B235">
        <v>2023</v>
      </c>
      <c r="C235">
        <v>6</v>
      </c>
      <c r="D235" s="4">
        <v>109.80416666666666</v>
      </c>
      <c r="E235" s="4">
        <v>21.108333333333341</v>
      </c>
      <c r="F235" s="4">
        <v>70.174999999999997</v>
      </c>
      <c r="G235" s="4">
        <v>41.479166666666671</v>
      </c>
      <c r="H235" s="4">
        <v>38.679166666666653</v>
      </c>
      <c r="I235" s="4">
        <v>69.983333333333334</v>
      </c>
      <c r="J235" s="4">
        <v>16.779166666666661</v>
      </c>
      <c r="K235" s="4">
        <v>108.08333333333336</v>
      </c>
      <c r="L235" s="4">
        <v>5.9208333333333325</v>
      </c>
      <c r="M235" s="4">
        <v>157.22499999999999</v>
      </c>
      <c r="N235" s="4">
        <v>1.0041666666666664</v>
      </c>
      <c r="O235" s="4">
        <v>212.30833333333337</v>
      </c>
      <c r="P235" s="4">
        <v>0</v>
      </c>
      <c r="Q235" s="4">
        <v>271.30416666666667</v>
      </c>
      <c r="R235" s="3">
        <v>17.043472222222224</v>
      </c>
      <c r="T235" s="4">
        <f>MonthlyData!F115/MonthlyData!Q115</f>
        <v>564.18181214073638</v>
      </c>
      <c r="U235" s="4">
        <f>MonthlyData!I115/MonthlyData!R115</f>
        <v>2073.1358913559488</v>
      </c>
      <c r="V235" s="4">
        <f>MonthlyData!L115/MonthlyData!S115</f>
        <v>70097.386947504274</v>
      </c>
    </row>
    <row r="236" spans="2:22" x14ac:dyDescent="0.35">
      <c r="B236">
        <v>2023</v>
      </c>
      <c r="C236">
        <v>7</v>
      </c>
      <c r="D236" s="4">
        <v>96.268966510669557</v>
      </c>
      <c r="E236" s="4">
        <v>10.320833333333336</v>
      </c>
      <c r="F236" s="4">
        <v>46.773133177336241</v>
      </c>
      <c r="G236" s="4">
        <v>22.82500000000001</v>
      </c>
      <c r="H236" s="4">
        <v>16.823133177336238</v>
      </c>
      <c r="I236" s="4">
        <v>54.875000000000014</v>
      </c>
      <c r="J236" s="4">
        <v>3.614799844002901</v>
      </c>
      <c r="K236" s="4">
        <v>103.66666666666666</v>
      </c>
      <c r="L236" s="4">
        <v>0</v>
      </c>
      <c r="M236" s="4">
        <v>162.05186682266375</v>
      </c>
      <c r="N236" s="4">
        <v>0</v>
      </c>
      <c r="O236" s="4">
        <v>224.05186682266375</v>
      </c>
      <c r="P236" s="4">
        <v>0</v>
      </c>
      <c r="Q236" s="4">
        <v>286.05186682266384</v>
      </c>
      <c r="R236" s="3">
        <v>17.227479574924633</v>
      </c>
      <c r="T236" s="4">
        <f>MonthlyData!F116/MonthlyData!Q116</f>
        <v>586.30151099711884</v>
      </c>
      <c r="U236" s="4">
        <f>MonthlyData!I116/MonthlyData!R116</f>
        <v>2041.005103061407</v>
      </c>
      <c r="V236" s="4">
        <f>MonthlyData!L116/MonthlyData!S116</f>
        <v>64037.219975882646</v>
      </c>
    </row>
    <row r="237" spans="2:22" x14ac:dyDescent="0.35">
      <c r="B237">
        <v>2023</v>
      </c>
      <c r="C237">
        <v>8</v>
      </c>
      <c r="D237" s="4">
        <v>142.70416666666671</v>
      </c>
      <c r="E237" s="4">
        <v>0</v>
      </c>
      <c r="F237" s="4">
        <v>84.345833333333346</v>
      </c>
      <c r="G237" s="4">
        <v>3.6416666666666551</v>
      </c>
      <c r="H237" s="4">
        <v>39.037500000000001</v>
      </c>
      <c r="I237" s="4">
        <v>20.333333333333318</v>
      </c>
      <c r="J237" s="4">
        <v>15.599999999999998</v>
      </c>
      <c r="K237" s="4">
        <v>58.895833333333314</v>
      </c>
      <c r="L237" s="4">
        <v>7.3791666666666682</v>
      </c>
      <c r="M237" s="4">
        <v>112.67499999999995</v>
      </c>
      <c r="N237" s="4">
        <v>2.44166666666667</v>
      </c>
      <c r="O237" s="4">
        <v>169.73749999999998</v>
      </c>
      <c r="P237" s="4">
        <v>0</v>
      </c>
      <c r="Q237" s="4">
        <v>229.29583333333335</v>
      </c>
      <c r="R237" s="3">
        <v>15.396639784946235</v>
      </c>
      <c r="T237" s="4">
        <f>MonthlyData!F117/MonthlyData!Q117</f>
        <v>605.05162053164213</v>
      </c>
      <c r="U237" s="4">
        <f>MonthlyData!I117/MonthlyData!R117</f>
        <v>2057.5185488612269</v>
      </c>
      <c r="V237" s="4">
        <f>MonthlyData!L117/MonthlyData!S117</f>
        <v>61045.897657887472</v>
      </c>
    </row>
    <row r="238" spans="2:22" x14ac:dyDescent="0.35">
      <c r="B238">
        <v>2023</v>
      </c>
      <c r="C238">
        <v>9</v>
      </c>
      <c r="D238" s="4">
        <v>204.76249999999999</v>
      </c>
      <c r="E238" s="4">
        <v>11.42916666666666</v>
      </c>
      <c r="F238" s="4">
        <v>152.76249999999999</v>
      </c>
      <c r="G238" s="4">
        <v>19.42916666666666</v>
      </c>
      <c r="H238" s="4">
        <v>103.3875</v>
      </c>
      <c r="I238" s="4">
        <v>30.054166666666656</v>
      </c>
      <c r="J238" s="4">
        <v>62.845833333333331</v>
      </c>
      <c r="K238" s="4">
        <v>49.512499999999989</v>
      </c>
      <c r="L238" s="4">
        <v>33.549999999999997</v>
      </c>
      <c r="M238" s="4">
        <v>80.216666666666669</v>
      </c>
      <c r="N238" s="4">
        <v>13.108333333333334</v>
      </c>
      <c r="O238" s="4">
        <v>119.77500000000001</v>
      </c>
      <c r="P238" s="4">
        <v>2.4124999999999988</v>
      </c>
      <c r="Q238" s="4">
        <v>169.07916666666668</v>
      </c>
      <c r="R238" s="3">
        <v>13.555555555555555</v>
      </c>
      <c r="T238" s="4">
        <f>MonthlyData!F118/MonthlyData!Q118</f>
        <v>551.98150543701252</v>
      </c>
      <c r="U238" s="4">
        <f>MonthlyData!I118/MonthlyData!R118</f>
        <v>1957.0451825038606</v>
      </c>
      <c r="V238" s="4">
        <f>MonthlyData!L118/MonthlyData!S118</f>
        <v>66463.935287693399</v>
      </c>
    </row>
    <row r="239" spans="2:22" x14ac:dyDescent="0.35">
      <c r="B239">
        <v>2023</v>
      </c>
      <c r="C239">
        <v>10</v>
      </c>
      <c r="D239" s="4">
        <v>434.83750000000003</v>
      </c>
      <c r="E239" s="4">
        <v>4.1666666666666643</v>
      </c>
      <c r="F239" s="4">
        <v>378.83750000000003</v>
      </c>
      <c r="G239" s="4">
        <v>10.166666666666664</v>
      </c>
      <c r="H239" s="4">
        <v>323.7791666666667</v>
      </c>
      <c r="I239" s="4">
        <v>17.108333333333331</v>
      </c>
      <c r="J239" s="4">
        <v>270.49166666666673</v>
      </c>
      <c r="K239" s="4">
        <v>25.820833333333329</v>
      </c>
      <c r="L239" s="4">
        <v>218.4916666666667</v>
      </c>
      <c r="M239" s="4">
        <v>35.820833333333333</v>
      </c>
      <c r="N239" s="4">
        <v>167.78333333333333</v>
      </c>
      <c r="O239" s="4">
        <v>47.11249999999999</v>
      </c>
      <c r="P239" s="4">
        <v>118.31249999999999</v>
      </c>
      <c r="Q239" s="4">
        <v>59.641666666666659</v>
      </c>
      <c r="R239" s="3">
        <v>6.107392473118276</v>
      </c>
      <c r="T239" s="4">
        <f>MonthlyData!F119/MonthlyData!Q119</f>
        <v>537.91715729037412</v>
      </c>
      <c r="U239" s="4">
        <f>MonthlyData!I119/MonthlyData!R119</f>
        <v>1875.7845153088474</v>
      </c>
      <c r="V239" s="4">
        <f>MonthlyData!L119/MonthlyData!S119</f>
        <v>63484.243126895584</v>
      </c>
    </row>
    <row r="240" spans="2:22" x14ac:dyDescent="0.35">
      <c r="B240">
        <v>2023</v>
      </c>
      <c r="C240">
        <v>11</v>
      </c>
      <c r="D240" s="4">
        <v>706.07916666666677</v>
      </c>
      <c r="E240" s="4">
        <v>0</v>
      </c>
      <c r="F240" s="4">
        <v>646.07916666666677</v>
      </c>
      <c r="G240" s="4">
        <v>0</v>
      </c>
      <c r="H240" s="4">
        <v>586.07916666666677</v>
      </c>
      <c r="I240" s="4">
        <v>0</v>
      </c>
      <c r="J240" s="4">
        <v>526.07916666666677</v>
      </c>
      <c r="K240" s="4">
        <v>0</v>
      </c>
      <c r="L240" s="4">
        <v>466.07916666666671</v>
      </c>
      <c r="M240" s="4">
        <v>0</v>
      </c>
      <c r="N240" s="4">
        <v>406.07916666666671</v>
      </c>
      <c r="O240" s="4">
        <v>0</v>
      </c>
      <c r="P240" s="4">
        <v>346.07916666666671</v>
      </c>
      <c r="Q240" s="4">
        <v>0</v>
      </c>
      <c r="R240" s="3">
        <v>-3.5359722222222221</v>
      </c>
      <c r="T240" s="4">
        <f>MonthlyData!F120/MonthlyData!Q120</f>
        <v>601.02970299128742</v>
      </c>
      <c r="U240" s="4">
        <f>MonthlyData!I120/MonthlyData!R120</f>
        <v>2054.9071511966622</v>
      </c>
      <c r="V240" s="4">
        <f>MonthlyData!L120/MonthlyData!S120</f>
        <v>67225.320460457908</v>
      </c>
    </row>
    <row r="241" spans="2:22" x14ac:dyDescent="0.35">
      <c r="B241">
        <v>2023</v>
      </c>
      <c r="C241">
        <v>12</v>
      </c>
      <c r="D241" s="4">
        <v>781.83333333333337</v>
      </c>
      <c r="E241" s="4">
        <v>0</v>
      </c>
      <c r="F241" s="4">
        <v>719.83333333333337</v>
      </c>
      <c r="G241" s="4">
        <v>0</v>
      </c>
      <c r="H241" s="4">
        <v>657.83333333333326</v>
      </c>
      <c r="I241" s="4">
        <v>0</v>
      </c>
      <c r="J241" s="4">
        <v>595.83333333333337</v>
      </c>
      <c r="K241" s="4">
        <v>0</v>
      </c>
      <c r="L241" s="4">
        <v>533.83333333333348</v>
      </c>
      <c r="M241" s="4">
        <v>0</v>
      </c>
      <c r="N241" s="4">
        <v>471.83333333333337</v>
      </c>
      <c r="O241" s="4">
        <v>0</v>
      </c>
      <c r="P241" s="4">
        <v>409.83333333333337</v>
      </c>
      <c r="Q241" s="4">
        <v>0</v>
      </c>
      <c r="R241" s="3">
        <v>-5.2204301075268811</v>
      </c>
      <c r="T241" s="4">
        <f>MonthlyData!F121/MonthlyData!Q121</f>
        <v>688.58901992215908</v>
      </c>
      <c r="U241" s="4">
        <f>MonthlyData!I121/MonthlyData!R121</f>
        <v>2349.7935078484534</v>
      </c>
      <c r="V241" s="4">
        <f>MonthlyData!L121/MonthlyData!S121</f>
        <v>76024.163042621396</v>
      </c>
    </row>
    <row r="242" spans="2:22" x14ac:dyDescent="0.35">
      <c r="B242">
        <v>2024</v>
      </c>
      <c r="C242">
        <v>1</v>
      </c>
      <c r="D242" s="4">
        <v>994.4</v>
      </c>
      <c r="E242" s="4">
        <v>0</v>
      </c>
      <c r="F242" s="4">
        <v>932.4</v>
      </c>
      <c r="G242" s="4">
        <v>0</v>
      </c>
      <c r="H242" s="4">
        <v>870.4</v>
      </c>
      <c r="I242" s="4">
        <v>0</v>
      </c>
      <c r="J242" s="4">
        <v>808.4</v>
      </c>
      <c r="K242" s="4">
        <v>0</v>
      </c>
      <c r="L242" s="4">
        <v>746.4</v>
      </c>
      <c r="M242" s="4">
        <v>0</v>
      </c>
      <c r="N242" s="4">
        <v>684.4</v>
      </c>
      <c r="O242" s="4">
        <v>0</v>
      </c>
      <c r="P242" s="4">
        <v>622.4</v>
      </c>
      <c r="Q242" s="4">
        <v>0</v>
      </c>
      <c r="R242" s="3">
        <v>-12.07741935483871</v>
      </c>
      <c r="T242" s="4">
        <f>MonthlyData!F122/MonthlyData!Q122</f>
        <v>770.95752411760213</v>
      </c>
      <c r="U242" s="4">
        <f>MonthlyData!I122/MonthlyData!R122</f>
        <v>2502.065208974695</v>
      </c>
      <c r="V242" s="4">
        <f>MonthlyData!L122/MonthlyData!S122</f>
        <v>75235.549375286719</v>
      </c>
    </row>
    <row r="243" spans="2:22" x14ac:dyDescent="0.35">
      <c r="B243">
        <v>2024</v>
      </c>
      <c r="C243">
        <v>2</v>
      </c>
      <c r="D243" s="4">
        <v>882.9</v>
      </c>
      <c r="E243" s="4">
        <v>0</v>
      </c>
      <c r="F243" s="4">
        <v>824.9</v>
      </c>
      <c r="G243" s="4">
        <v>0</v>
      </c>
      <c r="H243" s="4">
        <v>766.9</v>
      </c>
      <c r="I243" s="4">
        <v>0</v>
      </c>
      <c r="J243" s="4">
        <v>708.89999999999986</v>
      </c>
      <c r="K243" s="4">
        <v>0</v>
      </c>
      <c r="L243" s="4">
        <v>650.89999999999986</v>
      </c>
      <c r="M243" s="4">
        <v>0</v>
      </c>
      <c r="N243" s="4">
        <v>592.89999999999986</v>
      </c>
      <c r="O243" s="4">
        <v>0</v>
      </c>
      <c r="P243" s="4">
        <v>534.89999999999986</v>
      </c>
      <c r="Q243" s="4">
        <v>0</v>
      </c>
      <c r="R243" s="3">
        <v>-10.444827586206896</v>
      </c>
      <c r="T243" s="4">
        <f>MonthlyData!F123/MonthlyData!Q123</f>
        <v>829.36205632574934</v>
      </c>
      <c r="U243" s="4">
        <f>MonthlyData!I123/MonthlyData!R123</f>
        <v>2719.2328376887331</v>
      </c>
      <c r="V243" s="4">
        <f>MonthlyData!L123/MonthlyData!S123</f>
        <v>82920.289744966256</v>
      </c>
    </row>
    <row r="244" spans="2:22" x14ac:dyDescent="0.35">
      <c r="B244">
        <v>2024</v>
      </c>
      <c r="C244">
        <v>3</v>
      </c>
      <c r="D244" s="4">
        <v>771.4</v>
      </c>
      <c r="E244" s="4">
        <v>0</v>
      </c>
      <c r="F244" s="4">
        <v>709.39999999999986</v>
      </c>
      <c r="G244" s="4">
        <v>0</v>
      </c>
      <c r="H244" s="4">
        <v>647.4</v>
      </c>
      <c r="I244" s="4">
        <v>0</v>
      </c>
      <c r="J244" s="4">
        <v>585.39999999999986</v>
      </c>
      <c r="K244" s="4">
        <v>0</v>
      </c>
      <c r="L244" s="4">
        <v>523.4</v>
      </c>
      <c r="M244" s="4">
        <v>0</v>
      </c>
      <c r="N244" s="4">
        <v>461.4</v>
      </c>
      <c r="O244" s="4">
        <v>0</v>
      </c>
      <c r="P244" s="4">
        <v>399.4</v>
      </c>
      <c r="Q244" s="4">
        <v>0</v>
      </c>
      <c r="R244" s="3">
        <v>-4.8838709677419363</v>
      </c>
      <c r="T244" s="4">
        <f>MonthlyData!F124/MonthlyData!Q124</f>
        <v>726.73334640711937</v>
      </c>
      <c r="U244" s="4">
        <f>MonthlyData!I124/MonthlyData!R124</f>
        <v>2458.8638610943203</v>
      </c>
      <c r="V244" s="4">
        <f>MonthlyData!L124/MonthlyData!S124</f>
        <v>81519.058255865151</v>
      </c>
    </row>
    <row r="245" spans="2:22" x14ac:dyDescent="0.35">
      <c r="B245">
        <v>2024</v>
      </c>
      <c r="C245">
        <v>4</v>
      </c>
      <c r="D245" s="4">
        <v>521.39999999999986</v>
      </c>
      <c r="E245" s="4">
        <v>0</v>
      </c>
      <c r="F245" s="4">
        <v>461.39999999999992</v>
      </c>
      <c r="G245" s="4">
        <v>0</v>
      </c>
      <c r="H245" s="4">
        <v>401.4</v>
      </c>
      <c r="I245" s="4">
        <v>0</v>
      </c>
      <c r="J245" s="4">
        <v>341.40000000000003</v>
      </c>
      <c r="K245" s="4">
        <v>0</v>
      </c>
      <c r="L245" s="4">
        <v>281.40000000000003</v>
      </c>
      <c r="M245" s="4">
        <v>0</v>
      </c>
      <c r="N245" s="4">
        <v>221.40000000000003</v>
      </c>
      <c r="O245" s="4">
        <v>0</v>
      </c>
      <c r="P245" s="4">
        <v>163.80000000000001</v>
      </c>
      <c r="Q245" s="4">
        <v>2.4000000000000004</v>
      </c>
      <c r="R245" s="3">
        <v>2.62</v>
      </c>
      <c r="T245" s="4">
        <f>MonthlyData!F125/MonthlyData!Q125</f>
        <v>709.95632427681528</v>
      </c>
      <c r="U245" s="4">
        <f>MonthlyData!I125/MonthlyData!R125</f>
        <v>2425.1851978204777</v>
      </c>
      <c r="V245" s="4">
        <f>MonthlyData!L125/MonthlyData!S125</f>
        <v>82746.654542296354</v>
      </c>
    </row>
    <row r="246" spans="2:22" x14ac:dyDescent="0.35">
      <c r="B246">
        <v>2024</v>
      </c>
      <c r="C246">
        <v>5</v>
      </c>
      <c r="D246" s="4">
        <v>281.5</v>
      </c>
      <c r="E246" s="4">
        <v>0</v>
      </c>
      <c r="F246" s="4">
        <v>220.00000000000003</v>
      </c>
      <c r="G246" s="4">
        <v>0.5</v>
      </c>
      <c r="H246" s="4">
        <v>163.89999999999998</v>
      </c>
      <c r="I246" s="4">
        <v>6.3999999999999986</v>
      </c>
      <c r="J246" s="4">
        <v>116.2</v>
      </c>
      <c r="K246" s="4">
        <v>20.7</v>
      </c>
      <c r="L246" s="4">
        <v>73.499999999999986</v>
      </c>
      <c r="M246" s="4">
        <v>40</v>
      </c>
      <c r="N246" s="4">
        <v>36.300000000000004</v>
      </c>
      <c r="O246" s="4">
        <v>64.8</v>
      </c>
      <c r="P246" s="4">
        <v>12.700000000000001</v>
      </c>
      <c r="Q246" s="4">
        <v>103.20000000000002</v>
      </c>
      <c r="R246" s="3">
        <v>10.919354838709676</v>
      </c>
      <c r="T246" s="4">
        <f>MonthlyData!F126/MonthlyData!Q126</f>
        <v>607.17157562100988</v>
      </c>
      <c r="U246" s="4">
        <f>MonthlyData!I126/MonthlyData!R126</f>
        <v>2151.1900910329932</v>
      </c>
      <c r="V246" s="4">
        <f>MonthlyData!L126/MonthlyData!S126</f>
        <v>78705.771723570098</v>
      </c>
    </row>
    <row r="247" spans="2:22" x14ac:dyDescent="0.35">
      <c r="B247">
        <v>2024</v>
      </c>
      <c r="C247">
        <v>6</v>
      </c>
      <c r="D247" s="4">
        <v>127.7</v>
      </c>
      <c r="E247" s="4">
        <v>15.299999999999997</v>
      </c>
      <c r="F247" s="4">
        <v>86.1</v>
      </c>
      <c r="G247" s="4">
        <v>33.700000000000003</v>
      </c>
      <c r="H247" s="4">
        <v>52.899999999999991</v>
      </c>
      <c r="I247" s="4">
        <v>60.500000000000007</v>
      </c>
      <c r="J247" s="4">
        <v>29.699999999999996</v>
      </c>
      <c r="K247" s="4">
        <v>97.300000000000011</v>
      </c>
      <c r="L247" s="4">
        <v>12.899999999999999</v>
      </c>
      <c r="M247" s="4">
        <v>140.5</v>
      </c>
      <c r="N247" s="4">
        <v>4</v>
      </c>
      <c r="O247" s="4">
        <v>191.6</v>
      </c>
      <c r="P247" s="4">
        <v>0.5</v>
      </c>
      <c r="Q247" s="4">
        <v>248.10000000000002</v>
      </c>
      <c r="R247" s="3">
        <v>16.253333333333334</v>
      </c>
      <c r="T247" s="4">
        <f>MonthlyData!F127/MonthlyData!Q127</f>
        <v>547.39956728408231</v>
      </c>
      <c r="U247" s="4">
        <f>MonthlyData!I127/MonthlyData!R127</f>
        <v>1961.1999226954199</v>
      </c>
      <c r="V247" s="4">
        <f>MonthlyData!L127/MonthlyData!S127</f>
        <v>74040.932383104708</v>
      </c>
    </row>
    <row r="248" spans="2:22" x14ac:dyDescent="0.35">
      <c r="B248">
        <v>2024</v>
      </c>
      <c r="C248">
        <v>7</v>
      </c>
      <c r="D248" s="4">
        <v>64.7</v>
      </c>
      <c r="E248" s="4">
        <v>28.299999999999997</v>
      </c>
      <c r="F248" s="4">
        <v>34.400000000000006</v>
      </c>
      <c r="G248" s="4">
        <v>59.999999999999986</v>
      </c>
      <c r="H248" s="4">
        <v>13.3</v>
      </c>
      <c r="I248" s="4">
        <v>100.89999999999999</v>
      </c>
      <c r="J248" s="4">
        <v>2.6000000000000014</v>
      </c>
      <c r="K248" s="4">
        <v>152.20000000000002</v>
      </c>
      <c r="L248" s="4">
        <v>0</v>
      </c>
      <c r="M248" s="4">
        <v>211.60000000000002</v>
      </c>
      <c r="N248" s="4">
        <v>0</v>
      </c>
      <c r="O248" s="4">
        <v>273.60000000000002</v>
      </c>
      <c r="P248" s="4">
        <v>0</v>
      </c>
      <c r="Q248" s="4">
        <v>335.6</v>
      </c>
      <c r="R248" s="3">
        <v>18.825806451612902</v>
      </c>
      <c r="T248" s="4">
        <f>MonthlyData!F128/MonthlyData!Q128</f>
        <v>598.02256875026535</v>
      </c>
      <c r="U248" s="4">
        <f>MonthlyData!I128/MonthlyData!R128</f>
        <v>1946.0080917876639</v>
      </c>
      <c r="V248" s="4">
        <f>MonthlyData!L128/MonthlyData!S128</f>
        <v>68863.832173074115</v>
      </c>
    </row>
    <row r="249" spans="2:22" x14ac:dyDescent="0.35">
      <c r="B249">
        <v>2024</v>
      </c>
      <c r="C249">
        <v>8</v>
      </c>
      <c r="D249" s="4">
        <v>99.600000000000009</v>
      </c>
      <c r="E249" s="4">
        <v>16.499999999999996</v>
      </c>
      <c r="F249" s="4">
        <v>59.899999999999991</v>
      </c>
      <c r="G249" s="4">
        <v>38.799999999999997</v>
      </c>
      <c r="H249" s="4">
        <v>28.300000000000004</v>
      </c>
      <c r="I249" s="4">
        <v>69.2</v>
      </c>
      <c r="J249" s="4">
        <v>11.7</v>
      </c>
      <c r="K249" s="4">
        <v>114.59999999999998</v>
      </c>
      <c r="L249" s="4">
        <v>3.1999999999999993</v>
      </c>
      <c r="M249" s="4">
        <v>168.10000000000002</v>
      </c>
      <c r="N249" s="4">
        <v>0</v>
      </c>
      <c r="O249" s="4">
        <v>226.89999999999998</v>
      </c>
      <c r="P249" s="4">
        <v>0</v>
      </c>
      <c r="Q249" s="4">
        <v>288.90000000000003</v>
      </c>
      <c r="R249" s="3">
        <v>17.319354838709678</v>
      </c>
      <c r="T249" s="4">
        <f>MonthlyData!F129/MonthlyData!Q129</f>
        <v>659.86646042795974</v>
      </c>
      <c r="U249" s="4">
        <f>MonthlyData!I129/MonthlyData!R129</f>
        <v>2058.5796689170711</v>
      </c>
      <c r="V249" s="4">
        <f>MonthlyData!L129/MonthlyData!S129</f>
        <v>69473.992935000017</v>
      </c>
    </row>
    <row r="250" spans="2:22" x14ac:dyDescent="0.35">
      <c r="B250">
        <v>2024</v>
      </c>
      <c r="C250">
        <v>9</v>
      </c>
      <c r="D250" s="4">
        <v>151.19999999999999</v>
      </c>
      <c r="E250" s="4">
        <v>10.199999999999999</v>
      </c>
      <c r="F250" s="4">
        <v>110.69999999999999</v>
      </c>
      <c r="G250" s="4">
        <v>29.7</v>
      </c>
      <c r="H250" s="4">
        <v>78.59999999999998</v>
      </c>
      <c r="I250" s="4">
        <v>57.6</v>
      </c>
      <c r="J250" s="4">
        <v>48.399999999999991</v>
      </c>
      <c r="K250" s="4">
        <v>87.399999999999991</v>
      </c>
      <c r="L250" s="4">
        <v>23.8</v>
      </c>
      <c r="M250" s="4">
        <v>122.8</v>
      </c>
      <c r="N250" s="4">
        <v>9.8999999999999986</v>
      </c>
      <c r="O250" s="4">
        <v>168.9</v>
      </c>
      <c r="P250" s="4">
        <v>2.1999999999999993</v>
      </c>
      <c r="Q250" s="4">
        <v>221.20000000000002</v>
      </c>
      <c r="R250" s="3">
        <v>15.299999999999995</v>
      </c>
      <c r="T250" s="4">
        <f>MonthlyData!F130/MonthlyData!Q130</f>
        <v>630.66081856671963</v>
      </c>
      <c r="U250" s="4">
        <f>MonthlyData!I130/MonthlyData!R130</f>
        <v>1988.4913419376271</v>
      </c>
      <c r="V250" s="4">
        <f>MonthlyData!L130/MonthlyData!S130</f>
        <v>60370.579870826994</v>
      </c>
    </row>
    <row r="251" spans="2:22" x14ac:dyDescent="0.35">
      <c r="B251">
        <v>2024</v>
      </c>
      <c r="C251">
        <v>10</v>
      </c>
      <c r="D251" s="4">
        <v>431.89999999999992</v>
      </c>
      <c r="E251" s="4">
        <v>0</v>
      </c>
      <c r="F251" s="4">
        <v>369.89999999999992</v>
      </c>
      <c r="G251" s="4">
        <v>0</v>
      </c>
      <c r="H251" s="4">
        <v>307.89999999999992</v>
      </c>
      <c r="I251" s="4">
        <v>0</v>
      </c>
      <c r="J251" s="4">
        <v>246.29999999999998</v>
      </c>
      <c r="K251" s="4">
        <v>0.40000000000000036</v>
      </c>
      <c r="L251" s="4">
        <v>188</v>
      </c>
      <c r="M251" s="4">
        <v>4.1000000000000014</v>
      </c>
      <c r="N251" s="4">
        <v>132.70000000000005</v>
      </c>
      <c r="O251" s="4">
        <v>10.8</v>
      </c>
      <c r="P251" s="4">
        <v>84.300000000000011</v>
      </c>
      <c r="Q251" s="4">
        <v>24.4</v>
      </c>
      <c r="R251" s="3">
        <v>6.0677419354838706</v>
      </c>
      <c r="T251" s="4">
        <f>MonthlyData!F131/MonthlyData!Q131</f>
        <v>578.33644416484469</v>
      </c>
      <c r="U251" s="4">
        <f>MonthlyData!I131/MonthlyData!R131</f>
        <v>1887.5168411103975</v>
      </c>
      <c r="V251" s="4">
        <f>MonthlyData!L131/MonthlyData!S131</f>
        <v>62295.68109236825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5902-3F9C-43BB-A2E0-42B7704427AA}">
  <sheetPr codeName="Sheet4"/>
  <dimension ref="B2:T135"/>
  <sheetViews>
    <sheetView topLeftCell="A20" workbookViewId="0">
      <selection activeCell="N51" sqref="N51"/>
    </sheetView>
  </sheetViews>
  <sheetFormatPr defaultRowHeight="14.5" x14ac:dyDescent="0.35"/>
  <cols>
    <col min="2" max="2" width="14.54296875" bestFit="1" customWidth="1"/>
    <col min="3" max="3" width="8.81640625" bestFit="1" customWidth="1"/>
    <col min="4" max="4" width="14.90625" style="4" bestFit="1" customWidth="1"/>
    <col min="5" max="5" width="11.26953125" style="4" bestFit="1" customWidth="1"/>
    <col min="6" max="6" width="12.81640625" style="4" bestFit="1" customWidth="1"/>
    <col min="7" max="7" width="12.7265625" style="4" customWidth="1"/>
    <col min="8" max="8" width="7.6328125" customWidth="1"/>
    <col min="9" max="9" width="8.90625" bestFit="1" customWidth="1"/>
    <col min="11" max="11" width="8.81640625" bestFit="1" customWidth="1"/>
    <col min="12" max="14" width="12.6328125" bestFit="1" customWidth="1"/>
    <col min="15" max="15" width="10.1796875" bestFit="1" customWidth="1"/>
    <col min="16" max="16" width="9.36328125" bestFit="1" customWidth="1"/>
    <col min="17" max="17" width="11.26953125" customWidth="1"/>
  </cols>
  <sheetData>
    <row r="2" spans="2:17" ht="29" x14ac:dyDescent="0.35">
      <c r="B2" s="142" t="s">
        <v>183</v>
      </c>
      <c r="C2" s="142" t="s">
        <v>184</v>
      </c>
      <c r="D2" s="30" t="s">
        <v>100</v>
      </c>
      <c r="E2" s="30" t="s">
        <v>185</v>
      </c>
      <c r="F2" s="30" t="s">
        <v>186</v>
      </c>
      <c r="G2" s="143" t="s">
        <v>105</v>
      </c>
      <c r="H2" s="143" t="s">
        <v>187</v>
      </c>
      <c r="I2" s="30" t="s">
        <v>121</v>
      </c>
      <c r="J2" s="30"/>
    </row>
    <row r="3" spans="2:17" x14ac:dyDescent="0.35">
      <c r="B3">
        <v>2011</v>
      </c>
      <c r="C3">
        <v>2011</v>
      </c>
      <c r="D3" s="4">
        <v>84478.183829464251</v>
      </c>
      <c r="E3" s="4">
        <v>121356.32838291893</v>
      </c>
      <c r="F3" s="4">
        <v>298320.5475572276</v>
      </c>
      <c r="I3" s="37">
        <f t="shared" ref="I3:I17" si="0">SUM(D3:F3)</f>
        <v>504155.05976961076</v>
      </c>
      <c r="J3" s="37"/>
      <c r="K3" s="143"/>
      <c r="L3" s="30" t="s">
        <v>100</v>
      </c>
      <c r="M3" s="30" t="s">
        <v>185</v>
      </c>
      <c r="N3" s="30" t="s">
        <v>186</v>
      </c>
      <c r="O3" s="30" t="s">
        <v>105</v>
      </c>
      <c r="P3" s="30" t="s">
        <v>187</v>
      </c>
      <c r="Q3" s="30"/>
    </row>
    <row r="4" spans="2:17" x14ac:dyDescent="0.35">
      <c r="C4">
        <f>C3+1</f>
        <v>2012</v>
      </c>
      <c r="D4" s="4">
        <v>84478.183829464251</v>
      </c>
      <c r="E4" s="4">
        <v>121356.32838291893</v>
      </c>
      <c r="F4" s="4">
        <v>298320.5475572276</v>
      </c>
      <c r="I4" s="37">
        <f t="shared" si="0"/>
        <v>504155.05976961076</v>
      </c>
      <c r="J4" s="37"/>
      <c r="K4" s="143"/>
      <c r="L4" s="143"/>
      <c r="M4" s="143"/>
      <c r="N4" s="143"/>
      <c r="O4" s="143"/>
      <c r="P4" s="143"/>
      <c r="Q4" s="143"/>
    </row>
    <row r="5" spans="2:17" x14ac:dyDescent="0.35">
      <c r="C5">
        <f t="shared" ref="C5:C17" si="1">C4+1</f>
        <v>2013</v>
      </c>
      <c r="D5" s="4">
        <v>84478.183829464251</v>
      </c>
      <c r="E5" s="4">
        <v>121356.32838291893</v>
      </c>
      <c r="F5" s="4">
        <v>298320.5475572276</v>
      </c>
      <c r="I5" s="37">
        <f t="shared" si="0"/>
        <v>504155.05976961076</v>
      </c>
      <c r="J5" s="37"/>
      <c r="K5" s="143">
        <v>2011</v>
      </c>
      <c r="L5" s="144">
        <f>SUMIFS(D:D,$C:$C,$K5)-SUMIFS(D:D,$B:$B,$K5)/2</f>
        <v>42239.091914732126</v>
      </c>
      <c r="M5" s="144">
        <f>SUMIFS(E:E,$C:$C,$K5)-SUMIFS(E:E,$B:$B,$K5)/2</f>
        <v>60678.164191459466</v>
      </c>
      <c r="N5" s="144">
        <f>SUMIFS(F:F,$C:$C,$K5)-SUMIFS(F:F,$B:$B,$K5)/2</f>
        <v>149160.2737786138</v>
      </c>
      <c r="O5" s="144">
        <f>SUMIFS(G:G,$C:$C,$K5)-SUMIFS(G:G,$B:$B,$K5)/2</f>
        <v>0</v>
      </c>
      <c r="P5" s="144">
        <f>SUMIFS(H:H,$C:$C,$K5)-SUMIFS(H:H,$B:$B,$K5)/2</f>
        <v>0</v>
      </c>
      <c r="Q5" s="145">
        <f>SUM(L5:P5)</f>
        <v>252077.52988480538</v>
      </c>
    </row>
    <row r="6" spans="2:17" x14ac:dyDescent="0.35">
      <c r="C6">
        <f t="shared" si="1"/>
        <v>2014</v>
      </c>
      <c r="D6" s="4">
        <v>84142.836318417336</v>
      </c>
      <c r="E6" s="4">
        <v>71391.8568888062</v>
      </c>
      <c r="F6" s="4">
        <v>298320.5475572276</v>
      </c>
      <c r="I6" s="37">
        <f t="shared" si="0"/>
        <v>453855.24076445115</v>
      </c>
      <c r="J6" s="37"/>
      <c r="K6" s="143">
        <v>2012</v>
      </c>
      <c r="L6" s="144">
        <f t="shared" ref="L6:L19" si="2">SUMIFS(D:D,$C:$C,$K6)-SUMIFS(D:D,$B:$B,$K6)/2</f>
        <v>108623.90522219718</v>
      </c>
      <c r="M6" s="144">
        <f t="shared" ref="M6:M19" si="3">SUMIFS(E:E,$C:$C,$K6)-SUMIFS(E:E,$B:$B,$K6)/2</f>
        <v>331327.03841048793</v>
      </c>
      <c r="N6" s="144">
        <f t="shared" ref="N6:N19" si="4">SUMIFS(F:F,$C:$C,$K6)-SUMIFS(F:F,$B:$B,$K6)/2</f>
        <v>301562.46407611825</v>
      </c>
      <c r="O6" s="144">
        <f t="shared" ref="O6:O19" si="5">SUMIFS(G:G,$C:$C,$K6)-SUMIFS(G:G,$B:$B,$K6)/2</f>
        <v>0</v>
      </c>
      <c r="P6" s="144">
        <f t="shared" ref="P6:P19" si="6">SUMIFS(H:H,$C:$C,$K6)-SUMIFS(H:H,$B:$B,$K6)/2</f>
        <v>0</v>
      </c>
      <c r="Q6" s="145">
        <f t="shared" ref="Q6:Q19" si="7">SUM(L6:P6)</f>
        <v>741513.40770880342</v>
      </c>
    </row>
    <row r="7" spans="2:17" x14ac:dyDescent="0.35">
      <c r="C7">
        <f t="shared" si="1"/>
        <v>2015</v>
      </c>
      <c r="D7" s="4">
        <v>74558.513411928288</v>
      </c>
      <c r="E7" s="4">
        <v>71391.8568888062</v>
      </c>
      <c r="F7" s="4">
        <v>298320.5475572276</v>
      </c>
      <c r="I7" s="37">
        <f t="shared" si="0"/>
        <v>444270.91785796208</v>
      </c>
      <c r="J7" s="37"/>
      <c r="K7" s="143">
        <v>2013</v>
      </c>
      <c r="L7" s="144">
        <f t="shared" si="2"/>
        <v>217730.01319076694</v>
      </c>
      <c r="M7" s="144">
        <f t="shared" si="3"/>
        <v>755074.35091030982</v>
      </c>
      <c r="N7" s="144">
        <f t="shared" si="4"/>
        <v>340571.92682274611</v>
      </c>
      <c r="O7" s="144">
        <f t="shared" si="5"/>
        <v>0</v>
      </c>
      <c r="P7" s="144">
        <f t="shared" si="6"/>
        <v>0</v>
      </c>
      <c r="Q7" s="145">
        <f t="shared" si="7"/>
        <v>1313376.2909238229</v>
      </c>
    </row>
    <row r="8" spans="2:17" x14ac:dyDescent="0.35">
      <c r="C8">
        <f t="shared" si="1"/>
        <v>2016</v>
      </c>
      <c r="D8" s="4">
        <v>45814.137294370987</v>
      </c>
      <c r="E8" s="4">
        <v>71333.623179730566</v>
      </c>
      <c r="F8" s="4">
        <v>298320.5475572276</v>
      </c>
      <c r="I8" s="37">
        <f t="shared" si="0"/>
        <v>415468.30803132919</v>
      </c>
      <c r="J8" s="37"/>
      <c r="K8" s="143">
        <v>2014</v>
      </c>
      <c r="L8" s="144">
        <f t="shared" si="2"/>
        <v>383972.97660165501</v>
      </c>
      <c r="M8" s="144">
        <f t="shared" si="3"/>
        <v>1304823.4673604674</v>
      </c>
      <c r="N8" s="144">
        <f t="shared" si="4"/>
        <v>411345.1831284659</v>
      </c>
      <c r="O8" s="144">
        <f t="shared" si="5"/>
        <v>0</v>
      </c>
      <c r="P8" s="144">
        <f t="shared" si="6"/>
        <v>0</v>
      </c>
      <c r="Q8" s="145">
        <f t="shared" si="7"/>
        <v>2100141.6270905882</v>
      </c>
    </row>
    <row r="9" spans="2:17" x14ac:dyDescent="0.35">
      <c r="C9">
        <f t="shared" si="1"/>
        <v>2017</v>
      </c>
      <c r="D9" s="4">
        <v>34752.394986495128</v>
      </c>
      <c r="E9" s="4">
        <v>15958.483344850572</v>
      </c>
      <c r="F9" s="4">
        <v>281478.11230032629</v>
      </c>
      <c r="I9" s="37">
        <f t="shared" si="0"/>
        <v>332188.99063167197</v>
      </c>
      <c r="J9" s="37"/>
      <c r="K9" s="143">
        <v>2015</v>
      </c>
      <c r="L9" s="144">
        <f t="shared" si="2"/>
        <v>539617.51842840959</v>
      </c>
      <c r="M9" s="144">
        <f t="shared" si="3"/>
        <v>1608023.1836894662</v>
      </c>
      <c r="N9" s="144">
        <f t="shared" si="4"/>
        <v>696730.39320644841</v>
      </c>
      <c r="O9" s="144">
        <f t="shared" si="5"/>
        <v>0</v>
      </c>
      <c r="P9" s="144">
        <f t="shared" si="6"/>
        <v>0</v>
      </c>
      <c r="Q9" s="145">
        <f t="shared" si="7"/>
        <v>2844371.095324324</v>
      </c>
    </row>
    <row r="10" spans="2:17" x14ac:dyDescent="0.35">
      <c r="C10">
        <f t="shared" si="1"/>
        <v>2018</v>
      </c>
      <c r="D10" s="4">
        <v>34598.313915816696</v>
      </c>
      <c r="E10" s="4">
        <v>15958.483344850572</v>
      </c>
      <c r="F10" s="4">
        <v>281478.11230032629</v>
      </c>
      <c r="I10" s="37">
        <f t="shared" si="0"/>
        <v>332034.90956099355</v>
      </c>
      <c r="J10" s="37"/>
      <c r="K10" s="143">
        <v>2016</v>
      </c>
      <c r="L10" s="144">
        <f t="shared" si="2"/>
        <v>804074.91156592022</v>
      </c>
      <c r="M10" s="144">
        <f t="shared" si="3"/>
        <v>1693541.2987300954</v>
      </c>
      <c r="N10" s="144">
        <f t="shared" si="4"/>
        <v>1374277.7890631584</v>
      </c>
      <c r="O10" s="144">
        <f t="shared" si="5"/>
        <v>0</v>
      </c>
      <c r="P10" s="144">
        <f t="shared" si="6"/>
        <v>0</v>
      </c>
      <c r="Q10" s="145">
        <f t="shared" si="7"/>
        <v>3871893.9993591742</v>
      </c>
    </row>
    <row r="11" spans="2:17" x14ac:dyDescent="0.35">
      <c r="C11">
        <f t="shared" si="1"/>
        <v>2019</v>
      </c>
      <c r="D11" s="4">
        <v>43582.695255470571</v>
      </c>
      <c r="E11" s="4">
        <v>15958.483344850572</v>
      </c>
      <c r="F11" s="4">
        <v>281478.11230032629</v>
      </c>
      <c r="I11" s="37">
        <f t="shared" si="0"/>
        <v>341019.29090064741</v>
      </c>
      <c r="J11" s="37"/>
      <c r="K11" s="143">
        <v>2017</v>
      </c>
      <c r="L11" s="144">
        <f t="shared" si="2"/>
        <v>1413616.8545100114</v>
      </c>
      <c r="M11" s="144">
        <f t="shared" si="3"/>
        <v>1745077.6084331679</v>
      </c>
      <c r="N11" s="144">
        <f t="shared" si="4"/>
        <v>1919013.8986125891</v>
      </c>
      <c r="O11" s="144">
        <f t="shared" si="5"/>
        <v>0</v>
      </c>
      <c r="P11" s="144">
        <f t="shared" si="6"/>
        <v>0</v>
      </c>
      <c r="Q11" s="145">
        <f t="shared" si="7"/>
        <v>5077708.3615557682</v>
      </c>
    </row>
    <row r="12" spans="2:17" x14ac:dyDescent="0.35">
      <c r="C12">
        <f t="shared" si="1"/>
        <v>2020</v>
      </c>
      <c r="D12" s="4">
        <v>15625.195093191</v>
      </c>
      <c r="E12" s="4">
        <v>15958.483344850572</v>
      </c>
      <c r="F12" s="4">
        <v>281478.11230032629</v>
      </c>
      <c r="I12" s="37">
        <f t="shared" si="0"/>
        <v>313061.79073836788</v>
      </c>
      <c r="J12" s="37"/>
      <c r="K12" s="143">
        <v>2018</v>
      </c>
      <c r="L12" s="144">
        <f t="shared" si="2"/>
        <v>1728989.2096043185</v>
      </c>
      <c r="M12" s="144">
        <f t="shared" si="3"/>
        <v>2372762.8470745124</v>
      </c>
      <c r="N12" s="144">
        <f t="shared" si="4"/>
        <v>2330005.4104717188</v>
      </c>
      <c r="O12" s="144">
        <f t="shared" si="5"/>
        <v>0</v>
      </c>
      <c r="P12" s="144">
        <f t="shared" si="6"/>
        <v>0</v>
      </c>
      <c r="Q12" s="145">
        <f t="shared" si="7"/>
        <v>6431757.4671505494</v>
      </c>
    </row>
    <row r="13" spans="2:17" x14ac:dyDescent="0.35">
      <c r="C13">
        <f t="shared" si="1"/>
        <v>2021</v>
      </c>
      <c r="D13" s="4">
        <v>6282.8391417004386</v>
      </c>
      <c r="E13" s="4">
        <v>14526.603137237425</v>
      </c>
      <c r="F13" s="4">
        <v>281478.11230032629</v>
      </c>
      <c r="I13" s="37">
        <f t="shared" si="0"/>
        <v>302287.55457926414</v>
      </c>
      <c r="J13" s="37"/>
      <c r="K13" s="143">
        <v>2019</v>
      </c>
      <c r="L13" s="144">
        <f t="shared" si="2"/>
        <v>1836729.2465835006</v>
      </c>
      <c r="M13" s="144">
        <f t="shared" si="3"/>
        <v>2450850.0391563913</v>
      </c>
      <c r="N13" s="144">
        <f t="shared" si="4"/>
        <v>2578058.248162664</v>
      </c>
      <c r="O13" s="144">
        <f t="shared" si="5"/>
        <v>0</v>
      </c>
      <c r="P13" s="144">
        <f t="shared" si="6"/>
        <v>0</v>
      </c>
      <c r="Q13" s="145">
        <f t="shared" si="7"/>
        <v>6865637.5339025557</v>
      </c>
    </row>
    <row r="14" spans="2:17" x14ac:dyDescent="0.35">
      <c r="C14">
        <f t="shared" si="1"/>
        <v>2022</v>
      </c>
      <c r="D14" s="4">
        <v>5547.3721853829165</v>
      </c>
      <c r="E14" s="4">
        <v>14526.603137237425</v>
      </c>
      <c r="F14" s="4">
        <v>3181.2002415338643</v>
      </c>
      <c r="I14" s="37">
        <f t="shared" si="0"/>
        <v>23255.175564154208</v>
      </c>
      <c r="J14" s="37"/>
      <c r="K14" s="143">
        <v>2020</v>
      </c>
      <c r="L14" s="144">
        <f t="shared" si="2"/>
        <v>1802376.4005966298</v>
      </c>
      <c r="M14" s="144">
        <f t="shared" si="3"/>
        <v>2331748.4550660593</v>
      </c>
      <c r="N14" s="144">
        <f t="shared" si="4"/>
        <v>2575221.3902231087</v>
      </c>
      <c r="O14" s="144">
        <f t="shared" si="5"/>
        <v>0</v>
      </c>
      <c r="P14" s="144">
        <f t="shared" si="6"/>
        <v>0</v>
      </c>
      <c r="Q14" s="145">
        <f t="shared" si="7"/>
        <v>6709346.2458857978</v>
      </c>
    </row>
    <row r="15" spans="2:17" x14ac:dyDescent="0.35">
      <c r="C15">
        <f t="shared" si="1"/>
        <v>2023</v>
      </c>
      <c r="D15" s="4">
        <v>5547.3721853829165</v>
      </c>
      <c r="E15" s="4">
        <v>0</v>
      </c>
      <c r="F15" s="4">
        <v>0</v>
      </c>
      <c r="I15" s="37">
        <f t="shared" si="0"/>
        <v>5547.3721853829165</v>
      </c>
      <c r="J15" s="37"/>
      <c r="K15" s="143">
        <v>2021</v>
      </c>
      <c r="L15" s="144">
        <f t="shared" si="2"/>
        <v>1750816.0127679736</v>
      </c>
      <c r="M15" s="144">
        <f t="shared" si="3"/>
        <v>2196633.4102569288</v>
      </c>
      <c r="N15" s="144">
        <f t="shared" si="4"/>
        <v>2683750.8059621463</v>
      </c>
      <c r="O15" s="144">
        <f t="shared" si="5"/>
        <v>0</v>
      </c>
      <c r="P15" s="144">
        <f t="shared" si="6"/>
        <v>0</v>
      </c>
      <c r="Q15" s="145">
        <f t="shared" si="7"/>
        <v>6631200.2289870484</v>
      </c>
    </row>
    <row r="16" spans="2:17" x14ac:dyDescent="0.35">
      <c r="C16">
        <f t="shared" si="1"/>
        <v>2024</v>
      </c>
      <c r="D16" s="4">
        <v>4729.1152382000428</v>
      </c>
      <c r="E16" s="4">
        <v>0</v>
      </c>
      <c r="F16" s="4">
        <v>0</v>
      </c>
      <c r="I16" s="37">
        <f t="shared" si="0"/>
        <v>4729.1152382000428</v>
      </c>
      <c r="J16" s="37"/>
      <c r="K16" s="143">
        <v>2022</v>
      </c>
      <c r="L16" s="144">
        <f t="shared" si="2"/>
        <v>1759544.019116611</v>
      </c>
      <c r="M16" s="144">
        <f t="shared" si="3"/>
        <v>2085334.6474465069</v>
      </c>
      <c r="N16" s="144">
        <f t="shared" si="4"/>
        <v>2727421.3350247396</v>
      </c>
      <c r="O16" s="144">
        <f t="shared" si="5"/>
        <v>0</v>
      </c>
      <c r="P16" s="144">
        <f t="shared" si="6"/>
        <v>0</v>
      </c>
      <c r="Q16" s="145">
        <f t="shared" si="7"/>
        <v>6572300.0015878575</v>
      </c>
    </row>
    <row r="17" spans="2:20" x14ac:dyDescent="0.35">
      <c r="C17">
        <f t="shared" si="1"/>
        <v>2025</v>
      </c>
      <c r="D17" s="4">
        <v>4729.1152382000428</v>
      </c>
      <c r="E17" s="4">
        <v>0</v>
      </c>
      <c r="F17" s="4">
        <v>0</v>
      </c>
      <c r="I17" s="37">
        <f t="shared" si="0"/>
        <v>4729.1152382000428</v>
      </c>
      <c r="J17" s="37"/>
      <c r="K17" s="143">
        <v>2023</v>
      </c>
      <c r="L17" s="144">
        <f t="shared" si="2"/>
        <v>1772842.7825173275</v>
      </c>
      <c r="M17" s="144">
        <f t="shared" si="3"/>
        <v>2009333.1502453929</v>
      </c>
      <c r="N17" s="144">
        <f t="shared" si="4"/>
        <v>3140523.1870274674</v>
      </c>
      <c r="O17" s="144">
        <f t="shared" si="5"/>
        <v>0</v>
      </c>
      <c r="P17" s="144">
        <f t="shared" si="6"/>
        <v>0</v>
      </c>
      <c r="Q17" s="145">
        <f t="shared" si="7"/>
        <v>6922699.119790188</v>
      </c>
    </row>
    <row r="18" spans="2:20" x14ac:dyDescent="0.35">
      <c r="I18" s="37"/>
      <c r="J18" s="37"/>
      <c r="K18" s="143">
        <v>2024</v>
      </c>
      <c r="L18" s="144">
        <f>SUMIFS(D:D,$C:$C,$K18)-SUMIFS(D:D,$B:$B,$K18)/2</f>
        <v>1841179.0353738903</v>
      </c>
      <c r="M18" s="144">
        <f t="shared" si="3"/>
        <v>1842764.0292916743</v>
      </c>
      <c r="N18" s="144">
        <f t="shared" si="4"/>
        <v>3681232.526258029</v>
      </c>
      <c r="O18" s="144">
        <f t="shared" si="5"/>
        <v>0</v>
      </c>
      <c r="P18" s="144">
        <f t="shared" si="6"/>
        <v>0</v>
      </c>
      <c r="Q18" s="145">
        <f t="shared" si="7"/>
        <v>7365175.5909235934</v>
      </c>
    </row>
    <row r="19" spans="2:20" x14ac:dyDescent="0.35">
      <c r="B19">
        <v>2012</v>
      </c>
      <c r="C19">
        <f>C4</f>
        <v>2012</v>
      </c>
      <c r="D19" s="4">
        <v>48291.442785465857</v>
      </c>
      <c r="E19" s="4">
        <v>419941.42005513812</v>
      </c>
      <c r="F19" s="4">
        <v>6483.8330377812936</v>
      </c>
      <c r="I19" s="37">
        <f t="shared" ref="I19:I32" si="8">SUM(D19:F19)</f>
        <v>474716.69587838528</v>
      </c>
      <c r="J19" s="37"/>
      <c r="K19" s="143">
        <v>2025</v>
      </c>
      <c r="L19" s="144">
        <f t="shared" si="2"/>
        <v>1860263.1425093492</v>
      </c>
      <c r="M19" s="144">
        <f t="shared" si="3"/>
        <v>1556652.6238574202</v>
      </c>
      <c r="N19" s="144">
        <f t="shared" si="4"/>
        <v>3835679.0782420728</v>
      </c>
      <c r="O19" s="144">
        <f t="shared" si="5"/>
        <v>0</v>
      </c>
      <c r="P19" s="144">
        <f t="shared" si="6"/>
        <v>0</v>
      </c>
      <c r="Q19" s="145">
        <f t="shared" si="7"/>
        <v>7252594.8446088424</v>
      </c>
    </row>
    <row r="20" spans="2:20" x14ac:dyDescent="0.35">
      <c r="C20">
        <f>C5</f>
        <v>2013</v>
      </c>
      <c r="D20" s="4">
        <v>48291.442785465857</v>
      </c>
      <c r="E20" s="4">
        <v>419941.42005513812</v>
      </c>
      <c r="F20" s="4">
        <v>6483.8330377812936</v>
      </c>
      <c r="I20" s="37">
        <f t="shared" si="8"/>
        <v>474716.69587838528</v>
      </c>
      <c r="J20" s="37"/>
      <c r="K20" s="143"/>
      <c r="L20" s="144"/>
      <c r="M20" s="144"/>
      <c r="N20" s="144"/>
      <c r="O20" s="144"/>
      <c r="P20" s="144"/>
      <c r="Q20" s="145"/>
    </row>
    <row r="21" spans="2:20" x14ac:dyDescent="0.35">
      <c r="C21">
        <f t="shared" ref="C21:C32" si="9">C6</f>
        <v>2014</v>
      </c>
      <c r="D21" s="4">
        <v>48291.442785465857</v>
      </c>
      <c r="E21" s="4">
        <v>419941.42005513812</v>
      </c>
      <c r="F21" s="4">
        <v>6483.8330377812936</v>
      </c>
      <c r="I21" s="37">
        <f t="shared" si="8"/>
        <v>474716.69587838528</v>
      </c>
      <c r="J21" s="37"/>
    </row>
    <row r="22" spans="2:20" x14ac:dyDescent="0.35">
      <c r="C22">
        <f t="shared" si="9"/>
        <v>2015</v>
      </c>
      <c r="D22" s="4">
        <v>48213.381192662404</v>
      </c>
      <c r="E22" s="4">
        <v>333836.33606461849</v>
      </c>
      <c r="F22" s="4">
        <v>6483.8330377812936</v>
      </c>
      <c r="I22" s="37">
        <f t="shared" si="8"/>
        <v>388533.55029506219</v>
      </c>
      <c r="J22" s="37"/>
    </row>
    <row r="23" spans="2:20" x14ac:dyDescent="0.35">
      <c r="C23">
        <f t="shared" si="9"/>
        <v>2016</v>
      </c>
      <c r="D23" s="4">
        <v>37247.912235229291</v>
      </c>
      <c r="E23" s="4">
        <v>229715.07916366626</v>
      </c>
      <c r="F23" s="4">
        <v>6483.8330377812936</v>
      </c>
      <c r="I23" s="37">
        <f t="shared" si="8"/>
        <v>273446.82443667686</v>
      </c>
      <c r="J23" s="37"/>
    </row>
    <row r="24" spans="2:20" x14ac:dyDescent="0.35">
      <c r="C24">
        <f t="shared" si="9"/>
        <v>2017</v>
      </c>
      <c r="D24" s="4">
        <v>22739.012752163009</v>
      </c>
      <c r="E24" s="4">
        <v>89527.518413923317</v>
      </c>
      <c r="F24" s="4">
        <v>6483.8330377812936</v>
      </c>
      <c r="I24" s="37">
        <f t="shared" si="8"/>
        <v>118750.36420386762</v>
      </c>
      <c r="J24" s="37"/>
    </row>
    <row r="25" spans="2:20" x14ac:dyDescent="0.35">
      <c r="C25">
        <f t="shared" si="9"/>
        <v>2018</v>
      </c>
      <c r="D25" s="4">
        <v>15360.128392109647</v>
      </c>
      <c r="E25" s="4">
        <v>89527.518413923317</v>
      </c>
      <c r="F25" s="4">
        <v>6483.8330377812936</v>
      </c>
      <c r="I25" s="37">
        <f t="shared" si="8"/>
        <v>111371.47984381426</v>
      </c>
      <c r="J25" s="37"/>
    </row>
    <row r="26" spans="2:20" x14ac:dyDescent="0.35">
      <c r="C26">
        <f t="shared" si="9"/>
        <v>2019</v>
      </c>
      <c r="D26" s="4">
        <v>15326.867973425309</v>
      </c>
      <c r="E26" s="4">
        <v>89527.518413923317</v>
      </c>
      <c r="F26" s="4">
        <v>6483.8330377812936</v>
      </c>
      <c r="I26" s="37">
        <f t="shared" si="8"/>
        <v>111338.21942512992</v>
      </c>
      <c r="J26" s="37"/>
    </row>
    <row r="27" spans="2:20" x14ac:dyDescent="0.35">
      <c r="C27">
        <f t="shared" si="9"/>
        <v>2020</v>
      </c>
      <c r="D27" s="4">
        <v>15326.867973425309</v>
      </c>
      <c r="E27" s="4">
        <v>89527.518413923317</v>
      </c>
      <c r="F27" s="4">
        <v>6483.8330377812936</v>
      </c>
      <c r="I27" s="37">
        <f t="shared" si="8"/>
        <v>111338.21942512992</v>
      </c>
      <c r="J27" s="37"/>
    </row>
    <row r="28" spans="2:20" x14ac:dyDescent="0.35">
      <c r="C28">
        <f t="shared" si="9"/>
        <v>2021</v>
      </c>
      <c r="D28" s="4">
        <v>8367.1091564789385</v>
      </c>
      <c r="E28" s="4">
        <v>89527.518413923317</v>
      </c>
      <c r="F28" s="4">
        <v>6483.8330377812936</v>
      </c>
      <c r="I28" s="37">
        <f t="shared" si="8"/>
        <v>104378.46060818355</v>
      </c>
      <c r="J28" s="37"/>
      <c r="K28" s="143"/>
      <c r="L28" s="30" t="str">
        <f>L3</f>
        <v>Residential</v>
      </c>
      <c r="M28" s="30" t="str">
        <f>M3</f>
        <v>GS&lt;50</v>
      </c>
      <c r="N28" s="30" t="str">
        <f>N3</f>
        <v>GS&gt;50</v>
      </c>
      <c r="O28" s="30" t="str">
        <f>O3</f>
        <v>USL</v>
      </c>
      <c r="P28" s="30" t="str">
        <f>P3</f>
        <v>Streetlight</v>
      </c>
      <c r="Q28" s="30"/>
      <c r="R28" s="143"/>
    </row>
    <row r="29" spans="2:20" x14ac:dyDescent="0.35">
      <c r="C29">
        <f t="shared" si="9"/>
        <v>2022</v>
      </c>
      <c r="D29" s="4">
        <v>5941.2367196255518</v>
      </c>
      <c r="E29" s="4">
        <v>81852.406221574827</v>
      </c>
      <c r="F29" s="4">
        <v>6483.8330377812936</v>
      </c>
      <c r="I29" s="37">
        <f t="shared" si="8"/>
        <v>94277.475978981674</v>
      </c>
      <c r="J29" s="37"/>
      <c r="K29" s="143">
        <v>2023</v>
      </c>
      <c r="L29" s="378">
        <f>SUMIFS(D$3:D$131,$C$3:$C$131,$K29)-D129/2</f>
        <v>1772842.7825173275</v>
      </c>
      <c r="M29" s="378">
        <f t="shared" ref="L29:P31" si="10">SUMIFS(E$3:E$131,$C$3:$C$131,$K29)-E129/2</f>
        <v>2009333.1502453929</v>
      </c>
      <c r="N29" s="378">
        <f t="shared" si="10"/>
        <v>3140523.1870274674</v>
      </c>
      <c r="O29" s="378">
        <f t="shared" si="10"/>
        <v>0</v>
      </c>
      <c r="P29" s="378">
        <f t="shared" si="10"/>
        <v>0</v>
      </c>
      <c r="Q29" s="145">
        <f>SUM(L29:P29)</f>
        <v>6922699.119790188</v>
      </c>
      <c r="R29" s="143"/>
    </row>
    <row r="30" spans="2:20" x14ac:dyDescent="0.35">
      <c r="C30">
        <f t="shared" si="9"/>
        <v>2023</v>
      </c>
      <c r="D30" s="4">
        <v>5753.9049473164723</v>
      </c>
      <c r="E30" s="4">
        <v>81852.406221574827</v>
      </c>
      <c r="F30" s="4">
        <v>6483.8330377812936</v>
      </c>
      <c r="I30" s="37">
        <f t="shared" si="8"/>
        <v>94090.144206672601</v>
      </c>
      <c r="J30" s="37"/>
      <c r="K30" s="143">
        <v>2024</v>
      </c>
      <c r="L30" s="378">
        <f t="shared" si="10"/>
        <v>1752542.008638843</v>
      </c>
      <c r="M30" s="378">
        <f t="shared" si="10"/>
        <v>1745158.3418531928</v>
      </c>
      <c r="N30" s="378">
        <f t="shared" si="10"/>
        <v>3084013.2682538084</v>
      </c>
      <c r="O30" s="378">
        <f t="shared" si="10"/>
        <v>0</v>
      </c>
      <c r="P30" s="378">
        <f t="shared" si="10"/>
        <v>0</v>
      </c>
      <c r="Q30" s="145">
        <f>SUM(L30:P30)</f>
        <v>6581713.6187458448</v>
      </c>
      <c r="R30" s="143"/>
    </row>
    <row r="31" spans="2:20" x14ac:dyDescent="0.35">
      <c r="C31">
        <f t="shared" si="9"/>
        <v>2024</v>
      </c>
      <c r="D31" s="4">
        <v>5637.7035753581249</v>
      </c>
      <c r="E31" s="4">
        <v>0</v>
      </c>
      <c r="F31" s="4">
        <v>6483.8330377812936</v>
      </c>
      <c r="I31" s="37">
        <f t="shared" si="8"/>
        <v>12121.536613139418</v>
      </c>
      <c r="J31" s="37"/>
      <c r="K31" s="143">
        <v>2025</v>
      </c>
      <c r="L31" s="378">
        <f t="shared" si="10"/>
        <v>1722969.5923942949</v>
      </c>
      <c r="M31" s="378">
        <f t="shared" si="10"/>
        <v>1396904.3499840943</v>
      </c>
      <c r="N31" s="378">
        <f t="shared" si="10"/>
        <v>2886317.6825086963</v>
      </c>
      <c r="O31" s="378">
        <f t="shared" si="10"/>
        <v>0</v>
      </c>
      <c r="P31" s="378">
        <f t="shared" si="10"/>
        <v>0</v>
      </c>
      <c r="Q31" s="145">
        <f>SUM(L31:P31)</f>
        <v>6006191.6248870855</v>
      </c>
      <c r="R31" s="143"/>
    </row>
    <row r="32" spans="2:20" x14ac:dyDescent="0.35">
      <c r="C32">
        <f t="shared" si="9"/>
        <v>2025</v>
      </c>
      <c r="D32" s="4">
        <v>5264.4669819287237</v>
      </c>
      <c r="E32" s="4">
        <v>0</v>
      </c>
      <c r="F32" s="4">
        <v>6483.8330377812936</v>
      </c>
      <c r="I32" s="37">
        <f t="shared" si="8"/>
        <v>11748.300019710017</v>
      </c>
      <c r="J32" s="37"/>
      <c r="K32" s="37"/>
      <c r="L32" s="37"/>
      <c r="M32" s="37"/>
      <c r="N32" s="37"/>
      <c r="O32" s="37"/>
      <c r="P32" s="37"/>
      <c r="Q32" s="37"/>
      <c r="R32" s="37"/>
      <c r="S32" s="37"/>
      <c r="T32" s="37"/>
    </row>
    <row r="33" spans="2:18" x14ac:dyDescent="0.35">
      <c r="I33" s="37"/>
      <c r="J33" s="37"/>
      <c r="K33" s="143"/>
      <c r="L33" s="146"/>
      <c r="M33" s="143"/>
      <c r="N33" s="143"/>
      <c r="O33" s="143"/>
      <c r="P33" s="143"/>
      <c r="Q33" s="143"/>
      <c r="R33" s="143"/>
    </row>
    <row r="34" spans="2:18" x14ac:dyDescent="0.35">
      <c r="B34">
        <v>2013</v>
      </c>
      <c r="C34">
        <f>C20</f>
        <v>2013</v>
      </c>
      <c r="D34" s="4">
        <v>169920.77315167367</v>
      </c>
      <c r="E34" s="4">
        <v>427553.20494450565</v>
      </c>
      <c r="F34" s="4">
        <v>71535.092455474427</v>
      </c>
      <c r="I34" s="37">
        <f t="shared" ref="I34:I46" si="11">SUM(D34:F34)</f>
        <v>669009.07055165374</v>
      </c>
      <c r="J34" s="37"/>
      <c r="K34" s="143"/>
      <c r="L34" s="146"/>
      <c r="M34" s="143"/>
      <c r="N34" s="143"/>
      <c r="O34" s="143"/>
      <c r="P34" s="143"/>
      <c r="Q34" s="143"/>
      <c r="R34" s="143"/>
    </row>
    <row r="35" spans="2:18" x14ac:dyDescent="0.35">
      <c r="C35">
        <f t="shared" ref="C35:C46" si="12">C21</f>
        <v>2014</v>
      </c>
      <c r="D35" s="4">
        <v>159434.74873761169</v>
      </c>
      <c r="E35" s="4">
        <v>427553.20494450565</v>
      </c>
      <c r="F35" s="4">
        <v>71535.092455474427</v>
      </c>
      <c r="I35" s="37">
        <f t="shared" si="11"/>
        <v>658523.04613759182</v>
      </c>
      <c r="J35" s="37"/>
      <c r="K35">
        <f>K5</f>
        <v>2011</v>
      </c>
      <c r="L35" s="4">
        <f t="shared" ref="L35:N36" si="13">L5-L4</f>
        <v>42239.091914732126</v>
      </c>
      <c r="M35" s="4">
        <f t="shared" si="13"/>
        <v>60678.164191459466</v>
      </c>
      <c r="N35" s="4">
        <f t="shared" si="13"/>
        <v>149160.2737786138</v>
      </c>
      <c r="O35" s="143"/>
      <c r="P35" s="143"/>
      <c r="Q35" s="143"/>
      <c r="R35" s="143"/>
    </row>
    <row r="36" spans="2:18" x14ac:dyDescent="0.35">
      <c r="C36">
        <f t="shared" si="12"/>
        <v>2015</v>
      </c>
      <c r="D36" s="4">
        <v>157066.52462049871</v>
      </c>
      <c r="E36" s="4">
        <v>423653.13709200657</v>
      </c>
      <c r="F36" s="4">
        <v>71535.092455474427</v>
      </c>
      <c r="I36" s="37">
        <f t="shared" si="11"/>
        <v>652254.7541679797</v>
      </c>
      <c r="J36" s="37"/>
      <c r="K36">
        <f>K6</f>
        <v>2012</v>
      </c>
      <c r="L36" s="4">
        <f t="shared" si="13"/>
        <v>66384.813307465054</v>
      </c>
      <c r="M36" s="4">
        <f t="shared" si="13"/>
        <v>270648.87421902845</v>
      </c>
      <c r="N36" s="4">
        <f t="shared" si="13"/>
        <v>152402.19029750445</v>
      </c>
      <c r="O36" s="143"/>
      <c r="P36" s="143"/>
      <c r="Q36" s="143"/>
      <c r="R36" s="143"/>
    </row>
    <row r="37" spans="2:18" x14ac:dyDescent="0.35">
      <c r="C37">
        <f t="shared" si="12"/>
        <v>2016</v>
      </c>
      <c r="D37" s="4">
        <v>143271.09942299972</v>
      </c>
      <c r="E37" s="4">
        <v>353166.98799937358</v>
      </c>
      <c r="F37" s="4">
        <v>71535.092455474427</v>
      </c>
      <c r="I37" s="37">
        <f t="shared" si="11"/>
        <v>567973.17987784767</v>
      </c>
      <c r="J37" s="37"/>
      <c r="K37">
        <f t="shared" ref="K37:K48" si="14">K7</f>
        <v>2013</v>
      </c>
      <c r="L37" s="4">
        <f t="shared" ref="L37:N48" si="15">L7-L6</f>
        <v>109106.10796856976</v>
      </c>
      <c r="M37" s="4">
        <f t="shared" si="15"/>
        <v>423747.31249982188</v>
      </c>
      <c r="N37" s="4">
        <f t="shared" si="15"/>
        <v>39009.462746627862</v>
      </c>
      <c r="O37" s="143"/>
      <c r="P37" s="143"/>
      <c r="Q37" s="143"/>
      <c r="R37" s="143"/>
    </row>
    <row r="38" spans="2:18" x14ac:dyDescent="0.35">
      <c r="C38">
        <f t="shared" si="12"/>
        <v>2017</v>
      </c>
      <c r="D38" s="4">
        <v>137135.75467411426</v>
      </c>
      <c r="E38" s="4">
        <v>137167.94192313738</v>
      </c>
      <c r="F38" s="4">
        <v>46378.411799549613</v>
      </c>
      <c r="I38" s="37">
        <f t="shared" si="11"/>
        <v>320682.10839680122</v>
      </c>
      <c r="J38" s="37"/>
      <c r="K38">
        <f t="shared" si="14"/>
        <v>2014</v>
      </c>
      <c r="L38" s="4">
        <f t="shared" si="15"/>
        <v>166242.96341088807</v>
      </c>
      <c r="M38" s="4">
        <f t="shared" si="15"/>
        <v>549749.1164501576</v>
      </c>
      <c r="N38" s="4">
        <f t="shared" si="15"/>
        <v>70773.256305719784</v>
      </c>
      <c r="O38" s="146"/>
      <c r="P38" s="146"/>
      <c r="Q38" s="146"/>
      <c r="R38" s="146"/>
    </row>
    <row r="39" spans="2:18" x14ac:dyDescent="0.35">
      <c r="C39">
        <f t="shared" si="12"/>
        <v>2018</v>
      </c>
      <c r="D39" s="4">
        <v>129918.11354081501</v>
      </c>
      <c r="E39" s="4">
        <v>137167.94192313738</v>
      </c>
      <c r="F39" s="4">
        <v>46378.411799549613</v>
      </c>
      <c r="I39" s="37">
        <f t="shared" si="11"/>
        <v>313464.46726350195</v>
      </c>
      <c r="J39" s="37"/>
      <c r="K39">
        <f t="shared" si="14"/>
        <v>2015</v>
      </c>
      <c r="L39" s="4">
        <f t="shared" si="15"/>
        <v>155644.54182675458</v>
      </c>
      <c r="M39" s="4">
        <f t="shared" si="15"/>
        <v>303199.71632899879</v>
      </c>
      <c r="N39" s="4">
        <f t="shared" si="15"/>
        <v>285385.21007798251</v>
      </c>
      <c r="O39" s="146"/>
      <c r="P39" s="146"/>
      <c r="Q39" s="146"/>
      <c r="R39" s="146"/>
    </row>
    <row r="40" spans="2:18" x14ac:dyDescent="0.35">
      <c r="C40">
        <f t="shared" si="12"/>
        <v>2019</v>
      </c>
      <c r="D40" s="4">
        <v>129918.11354081501</v>
      </c>
      <c r="E40" s="4">
        <v>137167.94192313738</v>
      </c>
      <c r="F40" s="4">
        <v>46378.411799549613</v>
      </c>
      <c r="I40" s="37">
        <f t="shared" si="11"/>
        <v>313464.46726350195</v>
      </c>
      <c r="J40" s="37"/>
      <c r="K40">
        <f t="shared" si="14"/>
        <v>2016</v>
      </c>
      <c r="L40" s="4">
        <f t="shared" si="15"/>
        <v>264457.39313751063</v>
      </c>
      <c r="M40" s="4">
        <f t="shared" si="15"/>
        <v>85518.115040629171</v>
      </c>
      <c r="N40" s="4">
        <f t="shared" si="15"/>
        <v>677547.39585671003</v>
      </c>
      <c r="O40" s="146" t="s">
        <v>188</v>
      </c>
      <c r="P40" s="146"/>
      <c r="Q40" s="146"/>
      <c r="R40" s="146"/>
    </row>
    <row r="41" spans="2:18" x14ac:dyDescent="0.35">
      <c r="C41">
        <f t="shared" si="12"/>
        <v>2020</v>
      </c>
      <c r="D41" s="4">
        <v>129896.78456269801</v>
      </c>
      <c r="E41" s="4">
        <v>136810.9590039191</v>
      </c>
      <c r="F41" s="4">
        <v>45133.801346791894</v>
      </c>
      <c r="I41" s="37">
        <f t="shared" si="11"/>
        <v>311841.54491340904</v>
      </c>
      <c r="J41" s="37"/>
      <c r="K41">
        <f t="shared" si="14"/>
        <v>2017</v>
      </c>
      <c r="L41" s="4">
        <f t="shared" si="15"/>
        <v>609541.94294409116</v>
      </c>
      <c r="M41" s="4">
        <f t="shared" si="15"/>
        <v>51536.309703072533</v>
      </c>
      <c r="N41" s="4">
        <f t="shared" si="15"/>
        <v>544736.10954943066</v>
      </c>
      <c r="O41" s="143"/>
      <c r="P41" s="146"/>
      <c r="Q41" s="146"/>
      <c r="R41" s="146"/>
    </row>
    <row r="42" spans="2:18" x14ac:dyDescent="0.35">
      <c r="C42">
        <f t="shared" si="12"/>
        <v>2021</v>
      </c>
      <c r="D42" s="4">
        <v>90339.865173222992</v>
      </c>
      <c r="E42" s="4">
        <v>136613.60889745102</v>
      </c>
      <c r="F42" s="4">
        <v>44445.74600257296</v>
      </c>
      <c r="I42" s="37">
        <f t="shared" si="11"/>
        <v>271399.22007324698</v>
      </c>
      <c r="J42" s="37"/>
      <c r="K42">
        <f t="shared" si="14"/>
        <v>2018</v>
      </c>
      <c r="L42" s="4">
        <f t="shared" si="15"/>
        <v>315372.3550943071</v>
      </c>
      <c r="M42" s="4">
        <f t="shared" si="15"/>
        <v>627685.23864134448</v>
      </c>
      <c r="N42" s="4">
        <f t="shared" si="15"/>
        <v>410991.51185912965</v>
      </c>
      <c r="O42" s="143"/>
      <c r="P42" s="143"/>
      <c r="Q42" s="146"/>
      <c r="R42" s="146"/>
    </row>
    <row r="43" spans="2:18" x14ac:dyDescent="0.35">
      <c r="C43">
        <f t="shared" si="12"/>
        <v>2022</v>
      </c>
      <c r="D43" s="4">
        <v>90339.865173222992</v>
      </c>
      <c r="E43" s="4">
        <v>136613.60889745102</v>
      </c>
      <c r="F43" s="4">
        <v>44445.74600257296</v>
      </c>
      <c r="I43" s="37">
        <f t="shared" si="11"/>
        <v>271399.22007324698</v>
      </c>
      <c r="J43" s="37"/>
      <c r="K43">
        <f t="shared" si="14"/>
        <v>2019</v>
      </c>
      <c r="L43" s="4">
        <f t="shared" si="15"/>
        <v>107740.03697918216</v>
      </c>
      <c r="M43" s="4">
        <f t="shared" si="15"/>
        <v>78087.192081878893</v>
      </c>
      <c r="N43" s="4">
        <f t="shared" si="15"/>
        <v>248052.83769094525</v>
      </c>
      <c r="O43" s="143"/>
      <c r="P43" s="143"/>
      <c r="Q43" s="143"/>
      <c r="R43" s="146"/>
    </row>
    <row r="44" spans="2:18" x14ac:dyDescent="0.35">
      <c r="C44">
        <f t="shared" si="12"/>
        <v>2023</v>
      </c>
      <c r="D44" s="4">
        <v>77674.811011591999</v>
      </c>
      <c r="E44" s="4">
        <v>129599.31764890248</v>
      </c>
      <c r="F44" s="4">
        <v>30495.421102062515</v>
      </c>
      <c r="I44" s="37">
        <f t="shared" si="11"/>
        <v>237769.54976255697</v>
      </c>
      <c r="J44" s="37"/>
      <c r="K44">
        <f t="shared" si="14"/>
        <v>2020</v>
      </c>
      <c r="L44" s="4">
        <f t="shared" si="15"/>
        <v>-34352.845986870816</v>
      </c>
      <c r="M44" s="4">
        <f t="shared" si="15"/>
        <v>-119101.58409033203</v>
      </c>
      <c r="N44" s="4">
        <f t="shared" si="15"/>
        <v>-2836.8579395553097</v>
      </c>
      <c r="O44" s="143"/>
      <c r="P44" s="143"/>
      <c r="Q44" s="143"/>
      <c r="R44" s="143"/>
    </row>
    <row r="45" spans="2:18" x14ac:dyDescent="0.35">
      <c r="C45">
        <f t="shared" si="12"/>
        <v>2024</v>
      </c>
      <c r="D45" s="4">
        <v>74118.233470981999</v>
      </c>
      <c r="E45" s="4">
        <v>65362.591475017878</v>
      </c>
      <c r="F45" s="4">
        <v>20175.779502310124</v>
      </c>
      <c r="I45" s="37">
        <f t="shared" si="11"/>
        <v>159656.60444831001</v>
      </c>
      <c r="J45" s="37"/>
      <c r="K45">
        <f t="shared" si="14"/>
        <v>2021</v>
      </c>
      <c r="L45" s="4">
        <f t="shared" si="15"/>
        <v>-51560.387828656239</v>
      </c>
      <c r="M45" s="4">
        <f t="shared" si="15"/>
        <v>-135115.04480913049</v>
      </c>
      <c r="N45" s="4">
        <f t="shared" si="15"/>
        <v>108529.41573903756</v>
      </c>
      <c r="O45" s="143"/>
      <c r="P45" s="143"/>
      <c r="Q45" s="143"/>
      <c r="R45" s="143"/>
    </row>
    <row r="46" spans="2:18" x14ac:dyDescent="0.35">
      <c r="C46">
        <f t="shared" si="12"/>
        <v>2025</v>
      </c>
      <c r="D46" s="4">
        <v>74118.233470981999</v>
      </c>
      <c r="E46" s="4">
        <v>3770.3707310494442</v>
      </c>
      <c r="F46" s="4">
        <v>13145.286707027557</v>
      </c>
      <c r="I46" s="37">
        <f t="shared" si="11"/>
        <v>91033.890909059002</v>
      </c>
      <c r="J46" s="37"/>
      <c r="K46">
        <f t="shared" si="14"/>
        <v>2022</v>
      </c>
      <c r="L46" s="4">
        <f t="shared" si="15"/>
        <v>8728.0063486373983</v>
      </c>
      <c r="M46" s="4">
        <f t="shared" si="15"/>
        <v>-111298.76281042187</v>
      </c>
      <c r="N46" s="4">
        <f t="shared" si="15"/>
        <v>43670.529062593356</v>
      </c>
      <c r="O46" s="143"/>
      <c r="P46" s="143"/>
      <c r="Q46" s="143"/>
      <c r="R46" s="143"/>
    </row>
    <row r="47" spans="2:18" x14ac:dyDescent="0.35">
      <c r="I47" s="37"/>
      <c r="J47" s="37"/>
      <c r="K47">
        <f t="shared" si="14"/>
        <v>2023</v>
      </c>
      <c r="L47" s="4">
        <f t="shared" si="15"/>
        <v>13298.763400716474</v>
      </c>
      <c r="M47" s="4">
        <f t="shared" si="15"/>
        <v>-76001.497201113962</v>
      </c>
      <c r="N47" s="4">
        <f t="shared" si="15"/>
        <v>413101.8520027278</v>
      </c>
      <c r="O47" s="143"/>
      <c r="P47" s="143"/>
      <c r="Q47" s="143"/>
      <c r="R47" s="143"/>
    </row>
    <row r="48" spans="2:18" x14ac:dyDescent="0.35">
      <c r="B48">
        <f>B34+1</f>
        <v>2014</v>
      </c>
      <c r="C48">
        <f>C35</f>
        <v>2014</v>
      </c>
      <c r="D48" s="4">
        <v>184207.89752032026</v>
      </c>
      <c r="E48" s="4">
        <v>771873.97094403487</v>
      </c>
      <c r="F48" s="4">
        <v>70011.420155965068</v>
      </c>
      <c r="I48" s="37">
        <f t="shared" ref="I48:I59" si="16">SUM(D48:F48)</f>
        <v>1026093.2886203201</v>
      </c>
      <c r="J48" s="37"/>
      <c r="K48">
        <f t="shared" si="14"/>
        <v>2024</v>
      </c>
      <c r="L48" s="4">
        <f t="shared" si="15"/>
        <v>68336.252856562845</v>
      </c>
      <c r="M48" s="4">
        <f t="shared" si="15"/>
        <v>-166569.12095371867</v>
      </c>
      <c r="N48" s="4">
        <f t="shared" si="15"/>
        <v>540709.33923056163</v>
      </c>
    </row>
    <row r="49" spans="2:10" x14ac:dyDescent="0.35">
      <c r="C49">
        <f>C36</f>
        <v>2015</v>
      </c>
      <c r="D49" s="4">
        <v>164853.59920332025</v>
      </c>
      <c r="E49" s="4">
        <v>759456.35364403494</v>
      </c>
      <c r="F49" s="4">
        <v>70011.420155965068</v>
      </c>
      <c r="I49" s="37">
        <f t="shared" si="16"/>
        <v>994321.37300332019</v>
      </c>
      <c r="J49" s="37"/>
    </row>
    <row r="50" spans="2:10" x14ac:dyDescent="0.35">
      <c r="C50">
        <f t="shared" ref="C50:C59" si="17">C37</f>
        <v>2016</v>
      </c>
      <c r="D50" s="4">
        <v>154763.76261332026</v>
      </c>
      <c r="E50" s="4">
        <v>661123.00424403488</v>
      </c>
      <c r="F50" s="4">
        <v>70011.420155965068</v>
      </c>
      <c r="I50" s="37">
        <f t="shared" si="16"/>
        <v>885898.18701332016</v>
      </c>
      <c r="J50" s="37"/>
    </row>
    <row r="51" spans="2:10" x14ac:dyDescent="0.35">
      <c r="C51">
        <f t="shared" si="17"/>
        <v>2017</v>
      </c>
      <c r="D51" s="4">
        <v>154659.35456672026</v>
      </c>
      <c r="E51" s="4">
        <v>508795.05182087998</v>
      </c>
      <c r="F51" s="4">
        <v>68247.650179119999</v>
      </c>
      <c r="I51" s="37">
        <f t="shared" si="16"/>
        <v>731702.05656672025</v>
      </c>
      <c r="J51" s="37"/>
    </row>
    <row r="52" spans="2:10" x14ac:dyDescent="0.35">
      <c r="C52">
        <f t="shared" si="17"/>
        <v>2018</v>
      </c>
      <c r="D52" s="4">
        <v>148876.1927158389</v>
      </c>
      <c r="E52" s="4">
        <v>508795.05182087998</v>
      </c>
      <c r="F52" s="4">
        <v>68247.650179119999</v>
      </c>
      <c r="I52" s="37">
        <f t="shared" si="16"/>
        <v>725918.89471583883</v>
      </c>
      <c r="J52" s="37"/>
    </row>
    <row r="53" spans="2:10" x14ac:dyDescent="0.35">
      <c r="C53">
        <f t="shared" si="17"/>
        <v>2019</v>
      </c>
      <c r="D53" s="4">
        <v>139483.13864778</v>
      </c>
      <c r="E53" s="4">
        <v>508795.05182087998</v>
      </c>
      <c r="F53" s="4">
        <v>68247.650179119999</v>
      </c>
      <c r="I53" s="37">
        <f t="shared" si="16"/>
        <v>716525.84064777999</v>
      </c>
      <c r="J53" s="37"/>
    </row>
    <row r="54" spans="2:10" x14ac:dyDescent="0.35">
      <c r="C54">
        <f t="shared" si="17"/>
        <v>2020</v>
      </c>
      <c r="D54" s="4">
        <v>139483.13864778</v>
      </c>
      <c r="E54" s="4">
        <v>508206.38328662957</v>
      </c>
      <c r="F54" s="4">
        <v>68105.093113370443</v>
      </c>
      <c r="I54" s="37">
        <f t="shared" si="16"/>
        <v>715794.6150477801</v>
      </c>
      <c r="J54" s="37"/>
    </row>
    <row r="55" spans="2:10" x14ac:dyDescent="0.35">
      <c r="C55">
        <f t="shared" si="17"/>
        <v>2021</v>
      </c>
      <c r="D55" s="4">
        <v>139385.85169777999</v>
      </c>
      <c r="E55" s="4">
        <v>508206.38328662957</v>
      </c>
      <c r="F55" s="4">
        <v>68105.093113370443</v>
      </c>
      <c r="I55" s="37">
        <f t="shared" si="16"/>
        <v>715697.32809778</v>
      </c>
      <c r="J55" s="37"/>
    </row>
    <row r="56" spans="2:10" x14ac:dyDescent="0.35">
      <c r="C56">
        <f t="shared" si="17"/>
        <v>2022</v>
      </c>
      <c r="D56" s="4">
        <v>139025.70664778</v>
      </c>
      <c r="E56" s="4">
        <v>438666.81607785274</v>
      </c>
      <c r="F56" s="4">
        <v>51264.789822147271</v>
      </c>
      <c r="I56" s="37">
        <f t="shared" si="16"/>
        <v>628957.31254777999</v>
      </c>
      <c r="J56" s="37"/>
    </row>
    <row r="57" spans="2:10" x14ac:dyDescent="0.35">
      <c r="C57">
        <f t="shared" si="17"/>
        <v>2023</v>
      </c>
      <c r="D57" s="4">
        <v>127468.84545778</v>
      </c>
      <c r="E57" s="4">
        <v>417547.53855806368</v>
      </c>
      <c r="F57" s="4">
        <v>46150.362841936352</v>
      </c>
      <c r="I57" s="37">
        <f t="shared" si="16"/>
        <v>591166.74685778003</v>
      </c>
      <c r="J57" s="37"/>
    </row>
    <row r="58" spans="2:10" x14ac:dyDescent="0.35">
      <c r="C58">
        <f t="shared" si="17"/>
        <v>2024</v>
      </c>
      <c r="D58" s="4">
        <v>122460.81934177999</v>
      </c>
      <c r="E58" s="4">
        <v>365087.96541383606</v>
      </c>
      <c r="F58" s="4">
        <v>33669.625686163927</v>
      </c>
      <c r="I58" s="37">
        <f t="shared" si="16"/>
        <v>521218.41044178</v>
      </c>
      <c r="J58" s="37"/>
    </row>
    <row r="59" spans="2:10" x14ac:dyDescent="0.35">
      <c r="C59">
        <f t="shared" si="17"/>
        <v>2025</v>
      </c>
      <c r="D59" s="4">
        <v>107661.29593178</v>
      </c>
      <c r="E59" s="4">
        <v>159236.13455846655</v>
      </c>
      <c r="F59" s="4">
        <v>17837.868471533446</v>
      </c>
      <c r="I59" s="37">
        <f t="shared" si="16"/>
        <v>284735.29896178003</v>
      </c>
      <c r="J59" s="37"/>
    </row>
    <row r="60" spans="2:10" x14ac:dyDescent="0.35">
      <c r="I60" s="37"/>
      <c r="J60" s="37"/>
    </row>
    <row r="61" spans="2:10" x14ac:dyDescent="0.35">
      <c r="B61">
        <f>B48+1</f>
        <v>2015</v>
      </c>
      <c r="C61">
        <f t="shared" ref="C61:C71" si="18">C49</f>
        <v>2015</v>
      </c>
      <c r="D61" s="4">
        <v>189851</v>
      </c>
      <c r="E61" s="4">
        <v>39371</v>
      </c>
      <c r="F61" s="4">
        <v>500759</v>
      </c>
      <c r="I61" s="37">
        <f t="shared" ref="I61:I71" si="19">SUM(D61:F61)</f>
        <v>729981</v>
      </c>
      <c r="J61" s="37"/>
    </row>
    <row r="62" spans="2:10" x14ac:dyDescent="0.35">
      <c r="C62">
        <f t="shared" si="18"/>
        <v>2016</v>
      </c>
      <c r="D62" s="4">
        <v>187476</v>
      </c>
      <c r="E62" s="4">
        <v>39371</v>
      </c>
      <c r="F62" s="4">
        <v>500759</v>
      </c>
      <c r="I62" s="37">
        <f t="shared" si="19"/>
        <v>727606</v>
      </c>
      <c r="J62" s="37"/>
    </row>
    <row r="63" spans="2:10" x14ac:dyDescent="0.35">
      <c r="C63">
        <f t="shared" si="18"/>
        <v>2017</v>
      </c>
      <c r="D63" s="4">
        <v>187476</v>
      </c>
      <c r="E63" s="4">
        <v>39372</v>
      </c>
      <c r="F63" s="4">
        <v>500759</v>
      </c>
      <c r="I63" s="37">
        <f t="shared" si="19"/>
        <v>727607</v>
      </c>
      <c r="J63" s="37"/>
    </row>
    <row r="64" spans="2:10" x14ac:dyDescent="0.35">
      <c r="C64">
        <f t="shared" si="18"/>
        <v>2018</v>
      </c>
      <c r="D64" s="4">
        <v>187476</v>
      </c>
      <c r="E64" s="4">
        <v>44157</v>
      </c>
      <c r="F64" s="4">
        <v>500759</v>
      </c>
      <c r="I64" s="37">
        <f t="shared" si="19"/>
        <v>732392</v>
      </c>
      <c r="J64" s="37"/>
    </row>
    <row r="65" spans="2:10" x14ac:dyDescent="0.35">
      <c r="C65">
        <f t="shared" si="18"/>
        <v>2019</v>
      </c>
      <c r="D65" s="4">
        <v>182385</v>
      </c>
      <c r="E65" s="4">
        <v>44157</v>
      </c>
      <c r="F65" s="4">
        <v>500759</v>
      </c>
      <c r="I65" s="37">
        <f t="shared" si="19"/>
        <v>727301</v>
      </c>
      <c r="J65" s="37"/>
    </row>
    <row r="66" spans="2:10" x14ac:dyDescent="0.35">
      <c r="C66">
        <f t="shared" si="18"/>
        <v>2020</v>
      </c>
      <c r="D66" s="4">
        <v>176687</v>
      </c>
      <c r="E66" s="4">
        <v>44157</v>
      </c>
      <c r="F66" s="4">
        <v>500759</v>
      </c>
      <c r="I66" s="37">
        <f t="shared" si="19"/>
        <v>721603</v>
      </c>
      <c r="J66" s="37"/>
    </row>
    <row r="67" spans="2:10" x14ac:dyDescent="0.35">
      <c r="C67">
        <f t="shared" si="18"/>
        <v>2021</v>
      </c>
      <c r="D67" s="4">
        <v>176687</v>
      </c>
      <c r="E67" s="4">
        <v>44157</v>
      </c>
      <c r="F67" s="4">
        <v>500760</v>
      </c>
      <c r="I67" s="37">
        <f t="shared" si="19"/>
        <v>721604</v>
      </c>
      <c r="J67" s="37"/>
    </row>
    <row r="68" spans="2:10" x14ac:dyDescent="0.35">
      <c r="C68">
        <f t="shared" si="18"/>
        <v>2022</v>
      </c>
      <c r="D68" s="4">
        <v>176620</v>
      </c>
      <c r="E68" s="4">
        <v>44157</v>
      </c>
      <c r="F68" s="4">
        <v>500760</v>
      </c>
      <c r="I68" s="37">
        <f t="shared" si="19"/>
        <v>721537</v>
      </c>
      <c r="J68" s="37"/>
    </row>
    <row r="69" spans="2:10" x14ac:dyDescent="0.35">
      <c r="C69">
        <f t="shared" si="18"/>
        <v>2023</v>
      </c>
      <c r="D69" s="4">
        <v>176620</v>
      </c>
      <c r="E69" s="4">
        <v>44157</v>
      </c>
      <c r="F69" s="4">
        <v>500760</v>
      </c>
      <c r="I69" s="37">
        <f t="shared" si="19"/>
        <v>721537</v>
      </c>
      <c r="J69" s="37"/>
    </row>
    <row r="70" spans="2:10" x14ac:dyDescent="0.35">
      <c r="C70">
        <f t="shared" si="18"/>
        <v>2024</v>
      </c>
      <c r="D70" s="4">
        <v>176620</v>
      </c>
      <c r="E70" s="4">
        <v>44157</v>
      </c>
      <c r="F70" s="4">
        <v>479970</v>
      </c>
      <c r="I70" s="37">
        <f t="shared" si="19"/>
        <v>700747</v>
      </c>
      <c r="J70" s="37"/>
    </row>
    <row r="71" spans="2:10" x14ac:dyDescent="0.35">
      <c r="C71">
        <f t="shared" si="18"/>
        <v>2025</v>
      </c>
      <c r="D71" s="4">
        <v>164467</v>
      </c>
      <c r="E71" s="4">
        <v>44157</v>
      </c>
      <c r="F71" s="4">
        <v>322787</v>
      </c>
      <c r="I71" s="37">
        <f t="shared" si="19"/>
        <v>531411</v>
      </c>
      <c r="J71" s="37"/>
    </row>
    <row r="72" spans="2:10" x14ac:dyDescent="0.35">
      <c r="I72" s="37"/>
      <c r="J72" s="37"/>
    </row>
    <row r="73" spans="2:10" x14ac:dyDescent="0.35">
      <c r="B73">
        <f>B61+1</f>
        <v>2016</v>
      </c>
      <c r="C73">
        <f t="shared" ref="C73:C82" si="20">C62</f>
        <v>2016</v>
      </c>
      <c r="D73" s="4">
        <v>471004</v>
      </c>
      <c r="E73" s="4">
        <v>677663.20828658051</v>
      </c>
      <c r="F73" s="4">
        <v>854335.7917134196</v>
      </c>
      <c r="I73" s="37">
        <f t="shared" ref="I73:I82" si="21">SUM(D73:F73)</f>
        <v>2003003.0000000002</v>
      </c>
      <c r="J73" s="37"/>
    </row>
    <row r="74" spans="2:10" x14ac:dyDescent="0.35">
      <c r="C74">
        <f t="shared" si="20"/>
        <v>2017</v>
      </c>
      <c r="D74" s="4">
        <v>471004</v>
      </c>
      <c r="E74" s="4">
        <v>677663.20828658051</v>
      </c>
      <c r="F74" s="4">
        <v>854335.7917134196</v>
      </c>
      <c r="I74" s="37">
        <f t="shared" si="21"/>
        <v>2003003.0000000002</v>
      </c>
      <c r="J74" s="37"/>
    </row>
    <row r="75" spans="2:10" x14ac:dyDescent="0.35">
      <c r="C75">
        <f t="shared" si="20"/>
        <v>2018</v>
      </c>
      <c r="D75" s="4">
        <v>471004</v>
      </c>
      <c r="E75" s="4">
        <v>650359.86220817431</v>
      </c>
      <c r="F75" s="4">
        <v>854428.13779182569</v>
      </c>
      <c r="I75" s="37">
        <f t="shared" si="21"/>
        <v>1975792</v>
      </c>
      <c r="J75" s="37"/>
    </row>
    <row r="76" spans="2:10" x14ac:dyDescent="0.35">
      <c r="C76">
        <f t="shared" si="20"/>
        <v>2019</v>
      </c>
      <c r="D76" s="4">
        <v>471004</v>
      </c>
      <c r="E76" s="4">
        <v>392919.86220817431</v>
      </c>
      <c r="F76" s="4">
        <v>854428.13779182569</v>
      </c>
      <c r="I76" s="37">
        <f t="shared" si="21"/>
        <v>1718352</v>
      </c>
      <c r="J76" s="37"/>
    </row>
    <row r="77" spans="2:10" x14ac:dyDescent="0.35">
      <c r="C77">
        <f t="shared" si="20"/>
        <v>2020</v>
      </c>
      <c r="D77" s="4">
        <v>471004</v>
      </c>
      <c r="E77" s="4">
        <v>369156.86220817431</v>
      </c>
      <c r="F77" s="4">
        <v>854428.13779182569</v>
      </c>
      <c r="I77" s="37">
        <f t="shared" si="21"/>
        <v>1694589</v>
      </c>
      <c r="J77" s="37"/>
    </row>
    <row r="78" spans="2:10" x14ac:dyDescent="0.35">
      <c r="C78">
        <f t="shared" si="20"/>
        <v>2021</v>
      </c>
      <c r="D78" s="4">
        <v>471004</v>
      </c>
      <c r="E78" s="4">
        <v>294498.34526243136</v>
      </c>
      <c r="F78" s="4">
        <v>833932.65473756869</v>
      </c>
      <c r="I78" s="37">
        <f t="shared" si="21"/>
        <v>1599435</v>
      </c>
      <c r="J78" s="37"/>
    </row>
    <row r="79" spans="2:10" x14ac:dyDescent="0.35">
      <c r="C79">
        <f t="shared" si="20"/>
        <v>2022</v>
      </c>
      <c r="D79" s="4">
        <v>471004</v>
      </c>
      <c r="E79" s="4">
        <v>252420.34526243136</v>
      </c>
      <c r="F79" s="4">
        <v>833932.65473756869</v>
      </c>
      <c r="I79" s="37">
        <f t="shared" si="21"/>
        <v>1557357</v>
      </c>
      <c r="J79" s="37"/>
    </row>
    <row r="80" spans="2:10" x14ac:dyDescent="0.35">
      <c r="C80">
        <f t="shared" si="20"/>
        <v>2023</v>
      </c>
      <c r="D80" s="4">
        <v>470944</v>
      </c>
      <c r="E80" s="4">
        <v>239870.34526243136</v>
      </c>
      <c r="F80" s="4">
        <v>833932.65473756869</v>
      </c>
      <c r="I80" s="37">
        <f t="shared" si="21"/>
        <v>1544747</v>
      </c>
      <c r="J80" s="37"/>
    </row>
    <row r="81" spans="2:10" x14ac:dyDescent="0.35">
      <c r="C81">
        <f t="shared" si="20"/>
        <v>2024</v>
      </c>
      <c r="D81" s="4">
        <v>470944</v>
      </c>
      <c r="E81" s="4">
        <v>222991.20580084674</v>
      </c>
      <c r="F81" s="4">
        <v>821557.79419915332</v>
      </c>
      <c r="I81" s="37">
        <f t="shared" si="21"/>
        <v>1515493</v>
      </c>
      <c r="J81" s="37"/>
    </row>
    <row r="82" spans="2:10" x14ac:dyDescent="0.35">
      <c r="C82">
        <f t="shared" si="20"/>
        <v>2025</v>
      </c>
      <c r="D82" s="4">
        <v>469153</v>
      </c>
      <c r="E82" s="4">
        <v>214932.20580084674</v>
      </c>
      <c r="F82" s="4">
        <v>821557.79419915332</v>
      </c>
      <c r="I82" s="37">
        <f t="shared" si="21"/>
        <v>1505643</v>
      </c>
      <c r="J82" s="37"/>
    </row>
    <row r="83" spans="2:10" x14ac:dyDescent="0.35">
      <c r="I83" s="37"/>
      <c r="J83" s="37"/>
    </row>
    <row r="84" spans="2:10" x14ac:dyDescent="0.35">
      <c r="B84">
        <f>B73+1</f>
        <v>2017</v>
      </c>
      <c r="C84">
        <f t="shared" ref="C84:C92" si="22">C74</f>
        <v>2017</v>
      </c>
      <c r="D84" s="4">
        <v>811700.6750610373</v>
      </c>
      <c r="E84" s="4">
        <v>553186.80928759195</v>
      </c>
      <c r="F84" s="4">
        <v>322662.1991647844</v>
      </c>
      <c r="I84" s="37">
        <f t="shared" ref="I84:I92" si="23">SUM(D84:F84)</f>
        <v>1687549.6835134136</v>
      </c>
      <c r="J84" s="37"/>
    </row>
    <row r="85" spans="2:10" x14ac:dyDescent="0.35">
      <c r="C85">
        <f t="shared" si="22"/>
        <v>2018</v>
      </c>
      <c r="D85" s="4">
        <v>627812.60092542099</v>
      </c>
      <c r="E85" s="4">
        <v>552761.99888078403</v>
      </c>
      <c r="F85" s="4">
        <v>322727.73725112318</v>
      </c>
      <c r="I85" s="37">
        <f t="shared" si="23"/>
        <v>1503302.3370573281</v>
      </c>
      <c r="J85" s="37"/>
    </row>
    <row r="86" spans="2:10" x14ac:dyDescent="0.35">
      <c r="C86">
        <f t="shared" si="22"/>
        <v>2019</v>
      </c>
      <c r="D86" s="4">
        <v>627812.60092542099</v>
      </c>
      <c r="E86" s="4">
        <v>543299.60099711909</v>
      </c>
      <c r="F86" s="4">
        <v>322511.86281431909</v>
      </c>
      <c r="I86" s="37">
        <f t="shared" si="23"/>
        <v>1493624.0647368592</v>
      </c>
      <c r="J86" s="37"/>
    </row>
    <row r="87" spans="2:10" x14ac:dyDescent="0.35">
      <c r="C87">
        <f t="shared" si="22"/>
        <v>2020</v>
      </c>
      <c r="D87" s="4">
        <v>627807.47406699252</v>
      </c>
      <c r="E87" s="4">
        <v>480724.20311345416</v>
      </c>
      <c r="F87" s="4">
        <v>322295.98837751488</v>
      </c>
      <c r="I87" s="37">
        <f t="shared" si="23"/>
        <v>1430827.6655579614</v>
      </c>
      <c r="J87" s="37"/>
    </row>
    <row r="88" spans="2:10" x14ac:dyDescent="0.35">
      <c r="C88">
        <f t="shared" si="22"/>
        <v>2021</v>
      </c>
      <c r="D88" s="4">
        <v>627807.47406699252</v>
      </c>
      <c r="E88" s="4">
        <v>468271.5553592674</v>
      </c>
      <c r="F88" s="4">
        <v>322295.98837751488</v>
      </c>
      <c r="I88" s="37">
        <f t="shared" si="23"/>
        <v>1418375.0178037747</v>
      </c>
      <c r="J88" s="37"/>
    </row>
    <row r="89" spans="2:10" x14ac:dyDescent="0.35">
      <c r="C89">
        <f t="shared" si="22"/>
        <v>2022</v>
      </c>
      <c r="D89" s="4">
        <v>627807.47406699252</v>
      </c>
      <c r="E89" s="4">
        <v>429977.5665817241</v>
      </c>
      <c r="F89" s="4">
        <v>299709.82329817099</v>
      </c>
      <c r="I89" s="37">
        <f t="shared" si="23"/>
        <v>1357494.8639468874</v>
      </c>
      <c r="J89" s="37"/>
    </row>
    <row r="90" spans="2:10" x14ac:dyDescent="0.35">
      <c r="C90">
        <f t="shared" si="22"/>
        <v>2023</v>
      </c>
      <c r="D90" s="4">
        <v>627807.47406699252</v>
      </c>
      <c r="E90" s="4">
        <v>400415.82034072542</v>
      </c>
      <c r="F90" s="4">
        <v>299709.82329817099</v>
      </c>
      <c r="I90" s="37">
        <f t="shared" si="23"/>
        <v>1327933.1177058888</v>
      </c>
      <c r="J90" s="37"/>
    </row>
    <row r="91" spans="2:10" x14ac:dyDescent="0.35">
      <c r="C91">
        <f t="shared" si="22"/>
        <v>2024</v>
      </c>
      <c r="D91" s="4">
        <v>620218.43729959719</v>
      </c>
      <c r="E91" s="4">
        <v>384000.15886988316</v>
      </c>
      <c r="F91" s="4">
        <v>299709.82329817099</v>
      </c>
      <c r="I91" s="37">
        <f t="shared" si="23"/>
        <v>1303928.4194676513</v>
      </c>
      <c r="J91" s="37"/>
    </row>
    <row r="92" spans="2:10" x14ac:dyDescent="0.35">
      <c r="C92">
        <f t="shared" si="22"/>
        <v>2025</v>
      </c>
      <c r="D92" s="4">
        <v>620218.43729959719</v>
      </c>
      <c r="E92" s="4">
        <v>341946.36669156712</v>
      </c>
      <c r="F92" s="4">
        <v>285023.9811383303</v>
      </c>
      <c r="I92" s="37">
        <f t="shared" si="23"/>
        <v>1247188.7851294945</v>
      </c>
      <c r="J92" s="37"/>
    </row>
    <row r="93" spans="2:10" x14ac:dyDescent="0.35">
      <c r="I93" s="37"/>
      <c r="J93" s="37"/>
    </row>
    <row r="94" spans="2:10" x14ac:dyDescent="0.35">
      <c r="B94">
        <f>B84+1</f>
        <v>2018</v>
      </c>
      <c r="C94">
        <f t="shared" ref="C94:C101" si="24">C85</f>
        <v>2018</v>
      </c>
      <c r="D94" s="421">
        <v>227887.72022863457</v>
      </c>
      <c r="E94" s="421">
        <v>748069.98096552514</v>
      </c>
      <c r="F94" s="4">
        <v>499005.05622398551</v>
      </c>
      <c r="I94" s="37">
        <f t="shared" ref="I94:I101" si="25">SUM(D94:F94)</f>
        <v>1474962.7574181452</v>
      </c>
      <c r="J94" s="37"/>
    </row>
    <row r="95" spans="2:10" x14ac:dyDescent="0.35">
      <c r="C95">
        <f t="shared" si="24"/>
        <v>2019</v>
      </c>
      <c r="D95" s="421">
        <v>227216.83024058881</v>
      </c>
      <c r="E95" s="421">
        <v>707425.56364426471</v>
      </c>
      <c r="F95" s="4">
        <v>497771.24023974186</v>
      </c>
      <c r="I95" s="37">
        <f t="shared" si="25"/>
        <v>1432413.6341245952</v>
      </c>
      <c r="J95" s="37"/>
    </row>
    <row r="96" spans="2:10" x14ac:dyDescent="0.35">
      <c r="C96">
        <f t="shared" si="24"/>
        <v>2020</v>
      </c>
      <c r="D96" s="421">
        <v>226545.94025254302</v>
      </c>
      <c r="E96" s="421">
        <v>666781.14632300427</v>
      </c>
      <c r="F96" s="4">
        <v>496537.42425549816</v>
      </c>
      <c r="I96" s="37">
        <f t="shared" si="25"/>
        <v>1389864.5108310455</v>
      </c>
      <c r="J96" s="37"/>
    </row>
    <row r="97" spans="2:12" x14ac:dyDescent="0.35">
      <c r="C97">
        <f t="shared" si="24"/>
        <v>2021</v>
      </c>
      <c r="D97" s="421">
        <v>226545.94025254302</v>
      </c>
      <c r="E97" s="421">
        <v>595946.27201570501</v>
      </c>
      <c r="F97" s="4">
        <v>496537.42425549816</v>
      </c>
      <c r="I97" s="37">
        <f t="shared" si="25"/>
        <v>1319029.6365237462</v>
      </c>
      <c r="J97" s="37"/>
    </row>
    <row r="98" spans="2:12" x14ac:dyDescent="0.35">
      <c r="C98">
        <f t="shared" si="24"/>
        <v>2022</v>
      </c>
      <c r="D98" s="421">
        <v>226545.94025254302</v>
      </c>
      <c r="E98" s="421">
        <v>587924.27634266205</v>
      </c>
      <c r="F98" s="4">
        <v>496537.42425549816</v>
      </c>
      <c r="I98" s="37">
        <f t="shared" si="25"/>
        <v>1311007.6408507032</v>
      </c>
      <c r="J98" s="37"/>
    </row>
    <row r="99" spans="2:12" x14ac:dyDescent="0.35">
      <c r="C99">
        <f t="shared" si="24"/>
        <v>2023</v>
      </c>
      <c r="D99" s="421">
        <v>226545.94025254302</v>
      </c>
      <c r="E99" s="421">
        <v>529793.33066139685</v>
      </c>
      <c r="F99" s="4">
        <v>455683.03261755552</v>
      </c>
      <c r="I99" s="37">
        <f t="shared" si="25"/>
        <v>1212022.3035314954</v>
      </c>
      <c r="J99" s="37"/>
    </row>
    <row r="100" spans="2:12" x14ac:dyDescent="0.35">
      <c r="C100">
        <f t="shared" si="24"/>
        <v>2024</v>
      </c>
      <c r="D100" s="421">
        <v>226545.94025254302</v>
      </c>
      <c r="E100" s="421">
        <v>513924.67249838624</v>
      </c>
      <c r="F100" s="4">
        <v>455683.03261755552</v>
      </c>
      <c r="I100" s="37">
        <f t="shared" si="25"/>
        <v>1196153.6453684848</v>
      </c>
      <c r="J100" s="37"/>
    </row>
    <row r="101" spans="2:12" x14ac:dyDescent="0.35">
      <c r="C101">
        <f t="shared" si="24"/>
        <v>2025</v>
      </c>
      <c r="D101" s="421">
        <v>226541.05247857523</v>
      </c>
      <c r="E101" s="421">
        <v>507508.59476969054</v>
      </c>
      <c r="F101" s="4">
        <v>455683.03261755552</v>
      </c>
      <c r="I101" s="37">
        <f t="shared" si="25"/>
        <v>1189732.6798658213</v>
      </c>
      <c r="J101" s="37"/>
    </row>
    <row r="102" spans="2:12" x14ac:dyDescent="0.35">
      <c r="I102" s="37"/>
      <c r="J102" s="37"/>
    </row>
    <row r="103" spans="2:12" x14ac:dyDescent="0.35">
      <c r="B103">
        <f>B94+1</f>
        <v>2019</v>
      </c>
      <c r="C103">
        <f t="shared" ref="C103:C109" si="26">C95</f>
        <v>2019</v>
      </c>
      <c r="D103" s="4">
        <v>0</v>
      </c>
      <c r="E103" s="4">
        <v>23198.033608083679</v>
      </c>
      <c r="F103" s="4">
        <v>0</v>
      </c>
      <c r="I103" s="37">
        <f t="shared" ref="I103:I109" si="27">SUM(D103:F103)</f>
        <v>23198.033608083679</v>
      </c>
      <c r="J103" s="37"/>
      <c r="L103" s="17"/>
    </row>
    <row r="104" spans="2:12" x14ac:dyDescent="0.35">
      <c r="C104">
        <f t="shared" si="26"/>
        <v>2020</v>
      </c>
      <c r="D104" s="4">
        <v>0</v>
      </c>
      <c r="E104" s="4">
        <v>20425.899372104122</v>
      </c>
      <c r="F104" s="4">
        <v>0</v>
      </c>
      <c r="I104" s="37">
        <f t="shared" si="27"/>
        <v>20425.899372104122</v>
      </c>
      <c r="J104" s="37"/>
      <c r="L104" s="17"/>
    </row>
    <row r="105" spans="2:12" x14ac:dyDescent="0.35">
      <c r="C105">
        <f t="shared" si="26"/>
        <v>2021</v>
      </c>
      <c r="D105" s="4">
        <v>0</v>
      </c>
      <c r="E105" s="4">
        <v>19319.533829179236</v>
      </c>
      <c r="F105" s="4">
        <v>0</v>
      </c>
      <c r="I105" s="37">
        <f t="shared" si="27"/>
        <v>19319.533829179236</v>
      </c>
      <c r="J105" s="37"/>
    </row>
    <row r="106" spans="2:12" x14ac:dyDescent="0.35">
      <c r="C106">
        <f t="shared" si="26"/>
        <v>2022</v>
      </c>
      <c r="D106" s="4">
        <v>0</v>
      </c>
      <c r="E106" s="4">
        <v>9662.0933910536169</v>
      </c>
      <c r="F106" s="4">
        <v>0</v>
      </c>
      <c r="I106" s="37">
        <f t="shared" si="27"/>
        <v>9662.0933910536169</v>
      </c>
      <c r="J106" s="37"/>
    </row>
    <row r="107" spans="2:12" x14ac:dyDescent="0.35">
      <c r="C107">
        <f t="shared" si="26"/>
        <v>2023</v>
      </c>
      <c r="D107" s="4">
        <v>0</v>
      </c>
      <c r="E107" s="4">
        <v>8568.3956021478025</v>
      </c>
      <c r="F107" s="4">
        <v>0</v>
      </c>
      <c r="I107" s="37">
        <f t="shared" si="27"/>
        <v>8568.3956021478025</v>
      </c>
      <c r="J107" s="37"/>
    </row>
    <row r="108" spans="2:12" x14ac:dyDescent="0.35">
      <c r="C108">
        <f t="shared" si="26"/>
        <v>2024</v>
      </c>
      <c r="D108" s="4">
        <v>0</v>
      </c>
      <c r="E108" s="4">
        <v>6533.1055053358532</v>
      </c>
      <c r="F108" s="4">
        <v>0</v>
      </c>
      <c r="I108" s="37">
        <f t="shared" si="27"/>
        <v>6533.1055053358532</v>
      </c>
      <c r="J108" s="37"/>
    </row>
    <row r="109" spans="2:12" x14ac:dyDescent="0.35">
      <c r="C109">
        <f t="shared" si="26"/>
        <v>2025</v>
      </c>
      <c r="D109" s="4">
        <v>0</v>
      </c>
      <c r="E109" s="4">
        <v>4369.6143925061542</v>
      </c>
      <c r="F109" s="4">
        <v>0</v>
      </c>
      <c r="I109" s="37">
        <f t="shared" si="27"/>
        <v>4369.6143925061542</v>
      </c>
      <c r="J109" s="37"/>
    </row>
    <row r="110" spans="2:12" x14ac:dyDescent="0.35">
      <c r="I110" s="37"/>
      <c r="J110" s="37"/>
    </row>
    <row r="111" spans="2:12" x14ac:dyDescent="0.35">
      <c r="B111">
        <f>B103+1</f>
        <v>2020</v>
      </c>
      <c r="C111">
        <f t="shared" ref="C111:C116" si="28">C104</f>
        <v>2020</v>
      </c>
      <c r="D111" s="4">
        <v>0</v>
      </c>
      <c r="E111" s="4">
        <v>0</v>
      </c>
      <c r="F111" s="4">
        <v>0</v>
      </c>
      <c r="I111" s="37">
        <f t="shared" ref="I111:I116" si="29">SUM(D111:F111)</f>
        <v>0</v>
      </c>
      <c r="J111" s="37"/>
    </row>
    <row r="112" spans="2:12" x14ac:dyDescent="0.35">
      <c r="C112">
        <f t="shared" si="28"/>
        <v>2021</v>
      </c>
      <c r="D112" s="4">
        <v>0</v>
      </c>
      <c r="E112" s="4">
        <v>0</v>
      </c>
      <c r="F112" s="4">
        <v>0</v>
      </c>
      <c r="I112" s="37">
        <f t="shared" si="29"/>
        <v>0</v>
      </c>
      <c r="J112" s="37"/>
    </row>
    <row r="113" spans="2:10" x14ac:dyDescent="0.35">
      <c r="C113">
        <f t="shared" si="28"/>
        <v>2022</v>
      </c>
      <c r="D113" s="4">
        <v>0</v>
      </c>
      <c r="E113" s="4">
        <v>0</v>
      </c>
      <c r="F113" s="4">
        <v>0</v>
      </c>
      <c r="I113" s="37">
        <f t="shared" si="29"/>
        <v>0</v>
      </c>
      <c r="J113" s="37"/>
    </row>
    <row r="114" spans="2:10" x14ac:dyDescent="0.35">
      <c r="C114">
        <f t="shared" si="28"/>
        <v>2023</v>
      </c>
      <c r="D114" s="4">
        <v>0</v>
      </c>
      <c r="E114" s="4">
        <v>0</v>
      </c>
      <c r="F114" s="4">
        <v>0</v>
      </c>
      <c r="I114" s="37">
        <f t="shared" si="29"/>
        <v>0</v>
      </c>
      <c r="J114" s="37"/>
    </row>
    <row r="115" spans="2:10" x14ac:dyDescent="0.35">
      <c r="C115">
        <f t="shared" si="28"/>
        <v>2024</v>
      </c>
      <c r="D115" s="4">
        <v>0</v>
      </c>
      <c r="E115" s="4">
        <v>0</v>
      </c>
      <c r="F115" s="4">
        <v>0</v>
      </c>
      <c r="I115" s="37">
        <f t="shared" si="29"/>
        <v>0</v>
      </c>
      <c r="J115" s="37"/>
    </row>
    <row r="116" spans="2:10" x14ac:dyDescent="0.35">
      <c r="C116">
        <f t="shared" si="28"/>
        <v>2025</v>
      </c>
      <c r="D116" s="4">
        <v>0</v>
      </c>
      <c r="E116" s="4">
        <v>0</v>
      </c>
      <c r="F116" s="4">
        <v>0</v>
      </c>
      <c r="I116" s="37">
        <f t="shared" si="29"/>
        <v>0</v>
      </c>
      <c r="J116" s="37"/>
    </row>
    <row r="117" spans="2:10" x14ac:dyDescent="0.35">
      <c r="I117" s="37"/>
      <c r="J117" s="37"/>
    </row>
    <row r="118" spans="2:10" x14ac:dyDescent="0.35">
      <c r="B118">
        <f>B111+1</f>
        <v>2021</v>
      </c>
      <c r="C118">
        <f>C112</f>
        <v>2021</v>
      </c>
      <c r="D118" s="4">
        <f>'CDM Framework'!N36</f>
        <v>8791.8665585109957</v>
      </c>
      <c r="E118" s="4">
        <f>'CDM Framework'!N37</f>
        <v>51133.180110209549</v>
      </c>
      <c r="F118" s="4">
        <f>'CDM Framework'!N38</f>
        <v>259423.90827502633</v>
      </c>
      <c r="I118" s="37">
        <f>SUM(D118:F118)</f>
        <v>319348.95494374691</v>
      </c>
      <c r="J118" s="37"/>
    </row>
    <row r="119" spans="2:10" x14ac:dyDescent="0.35">
      <c r="C119">
        <f>C113</f>
        <v>2022</v>
      </c>
      <c r="D119" s="4">
        <f>D$118*(D4+D20+D35+D49+D62+D74+D85+D95+D104)/(D$3+D$19+D$34+D$48+D$61+D$73+D$84+D$94+D$103)</f>
        <v>7920.5575125529731</v>
      </c>
      <c r="E119" s="4">
        <f>E$118*(E4+E20+E35+E49+E62+E74+E85+E95+E104)/(E$3+E$19+E$34+E$48+E$61+E$73+E$84+E$94+E$103)</f>
        <v>50372.593704302824</v>
      </c>
      <c r="F119" s="4">
        <f>F$118*(F4+F20+F35+F49+F62+F74+F85+F95+F104)/(F$3+F$19+F$34+F$48+F$61+F$73+F$84+F$94+F$103)</f>
        <v>259308.36646454289</v>
      </c>
      <c r="I119" s="37">
        <f>SUM(D119:F119)</f>
        <v>317601.51768139866</v>
      </c>
      <c r="J119" s="37"/>
    </row>
    <row r="120" spans="2:10" x14ac:dyDescent="0.35">
      <c r="C120">
        <f>C114</f>
        <v>2023</v>
      </c>
      <c r="D120" s="4">
        <f t="shared" ref="D120:F122" si="30">D$118*(D5+D21+D36+D50+D63+D75+D86+D96+D105)/(D$3+D$19+D$34+D$48+D$61+D$73+D$84+D$94+D$103)</f>
        <v>7867.7866158262086</v>
      </c>
      <c r="E120" s="4">
        <f t="shared" si="30"/>
        <v>47928.980408315612</v>
      </c>
      <c r="F120" s="4">
        <f t="shared" si="30"/>
        <v>259174.12612405579</v>
      </c>
      <c r="I120" s="37">
        <f>SUM(D120:F120)</f>
        <v>314970.89314819762</v>
      </c>
      <c r="J120" s="37"/>
    </row>
    <row r="121" spans="2:10" x14ac:dyDescent="0.35">
      <c r="C121">
        <f>C115</f>
        <v>2024</v>
      </c>
      <c r="D121" s="4">
        <f t="shared" si="30"/>
        <v>7810.2349347947556</v>
      </c>
      <c r="E121" s="4">
        <f t="shared" si="30"/>
        <v>37727.171664913694</v>
      </c>
      <c r="F121" s="4">
        <f t="shared" si="30"/>
        <v>258978.34077189205</v>
      </c>
      <c r="I121" s="37">
        <f>SUM(D121:F121)</f>
        <v>304515.74737160048</v>
      </c>
      <c r="J121" s="37"/>
    </row>
    <row r="122" spans="2:10" x14ac:dyDescent="0.35">
      <c r="C122">
        <f>C116</f>
        <v>2025</v>
      </c>
      <c r="D122" s="4">
        <f t="shared" si="30"/>
        <v>7659.2679682505122</v>
      </c>
      <c r="E122" s="4">
        <f t="shared" si="30"/>
        <v>32786.492750617574</v>
      </c>
      <c r="F122" s="4">
        <f t="shared" si="30"/>
        <v>256490.36386678056</v>
      </c>
      <c r="I122" s="37">
        <f>SUM(D122:F122)</f>
        <v>296936.12458564865</v>
      </c>
      <c r="J122" s="37"/>
    </row>
    <row r="123" spans="2:10" x14ac:dyDescent="0.35">
      <c r="I123" s="37"/>
      <c r="J123" s="37"/>
    </row>
    <row r="124" spans="2:10" x14ac:dyDescent="0.35">
      <c r="B124">
        <f>B118+1</f>
        <v>2022</v>
      </c>
      <c r="C124">
        <f>C119</f>
        <v>2022</v>
      </c>
      <c r="D124" s="4">
        <f>'CDM Framework'!O36</f>
        <v>17583.733117021991</v>
      </c>
      <c r="E124" s="4">
        <f>'CDM Framework'!O37</f>
        <v>78322.675660434645</v>
      </c>
      <c r="F124" s="4">
        <f>'CDM Framework'!O38</f>
        <v>463594.99432984804</v>
      </c>
      <c r="I124" s="37">
        <f>SUM(D124:F124)</f>
        <v>559501.40310730471</v>
      </c>
      <c r="J124" s="37"/>
    </row>
    <row r="125" spans="2:10" x14ac:dyDescent="0.35">
      <c r="C125">
        <f>C120</f>
        <v>2023</v>
      </c>
      <c r="D125" s="4">
        <f>D$124*(D4+D20+D35+D49+D62+D74+D85+D95+D104)/(D$3+D$19+D$34+D$48+D$61+D$73+D$84+D$94+D$103)</f>
        <v>15841.115025105946</v>
      </c>
      <c r="E125" s="4">
        <f>E$124*(E4+E20+E35+E49+E62+E74+E85+E95+E104)/(E$3+E$19+E$34+E$48+E$61+E$73+E$84+E$94+E$103)</f>
        <v>77157.655955945869</v>
      </c>
      <c r="F125" s="4">
        <f>F$124*(F4+F20+F35+F49+F62+F74+F85+F95+F104)/(F$3+F$19+F$34+F$48+F$61+F$73+F$84+F$94+F$103)</f>
        <v>463388.51912356459</v>
      </c>
      <c r="I125" s="37">
        <f>SUM(D125:F125)</f>
        <v>556387.29010461643</v>
      </c>
      <c r="J125" s="37"/>
    </row>
    <row r="126" spans="2:10" x14ac:dyDescent="0.35">
      <c r="C126">
        <f>C121</f>
        <v>2024</v>
      </c>
      <c r="D126" s="4">
        <f t="shared" ref="D126:F127" si="31">D$124*(D5+D21+D36+D50+D63+D75+D86+D96+D105)/(D$3+D$19+D$34+D$48+D$61+D$73+D$84+D$94+D$103)</f>
        <v>15735.573231652417</v>
      </c>
      <c r="E126" s="4">
        <f t="shared" si="31"/>
        <v>73414.678671751521</v>
      </c>
      <c r="F126" s="4">
        <f t="shared" si="31"/>
        <v>463148.62932196248</v>
      </c>
      <c r="I126" s="37">
        <f>SUM(D126:F126)</f>
        <v>552298.88122536638</v>
      </c>
      <c r="J126" s="37"/>
    </row>
    <row r="127" spans="2:10" x14ac:dyDescent="0.35">
      <c r="C127">
        <f>C122</f>
        <v>2025</v>
      </c>
      <c r="D127" s="4">
        <f t="shared" si="31"/>
        <v>15620.469869589511</v>
      </c>
      <c r="E127" s="4">
        <f t="shared" si="31"/>
        <v>57788.172445519071</v>
      </c>
      <c r="F127" s="4">
        <f t="shared" si="31"/>
        <v>462798.75752398616</v>
      </c>
      <c r="I127" s="37">
        <f>SUM(D127:F127)</f>
        <v>536207.39983909472</v>
      </c>
      <c r="J127" s="37"/>
    </row>
    <row r="128" spans="2:10" x14ac:dyDescent="0.35">
      <c r="I128" s="37"/>
      <c r="J128" s="37"/>
    </row>
    <row r="129" spans="2:10" x14ac:dyDescent="0.35">
      <c r="B129">
        <f>B124+1</f>
        <v>2023</v>
      </c>
      <c r="C129">
        <f>C125</f>
        <v>2023</v>
      </c>
      <c r="D129" s="4">
        <f>'CDM Framework'!P36</f>
        <v>61543.065909576966</v>
      </c>
      <c r="E129" s="4">
        <f>'CDM Framework'!P37</f>
        <v>64884.719171779056</v>
      </c>
      <c r="F129" s="4">
        <f>'CDM Framework'!P38</f>
        <v>489490.82828954468</v>
      </c>
      <c r="I129" s="37">
        <f>SUM(D129:F129)</f>
        <v>615918.61337090074</v>
      </c>
      <c r="J129" s="37"/>
    </row>
    <row r="130" spans="2:10" x14ac:dyDescent="0.35">
      <c r="C130">
        <f>C126</f>
        <v>2024</v>
      </c>
      <c r="D130" s="4">
        <f t="shared" ref="D130:F131" si="32">D$129*(D4+D20+D35+D49+D62+D74+D85+D95+D104)/(D$3+D$19+D$34+D$48+D$61+D$73+D$84+D$94+D$103)</f>
        <v>55443.902587870813</v>
      </c>
      <c r="E130" s="4">
        <f t="shared" si="32"/>
        <v>63919.583906443258</v>
      </c>
      <c r="F130" s="4">
        <f t="shared" si="32"/>
        <v>489272.81963763718</v>
      </c>
      <c r="I130" s="37">
        <f>SUM(D130:F130)</f>
        <v>608636.30613195128</v>
      </c>
      <c r="J130" s="37"/>
    </row>
    <row r="131" spans="2:10" x14ac:dyDescent="0.35">
      <c r="C131">
        <f>C127</f>
        <v>2025</v>
      </c>
      <c r="D131" s="4">
        <f t="shared" si="32"/>
        <v>55074.506310783465</v>
      </c>
      <c r="E131" s="4">
        <f t="shared" si="32"/>
        <v>60818.79568766203</v>
      </c>
      <c r="F131" s="4">
        <f t="shared" si="32"/>
        <v>489019.5298930959</v>
      </c>
      <c r="I131" s="37">
        <f>SUM(D131:F131)</f>
        <v>604912.83189154137</v>
      </c>
      <c r="J131" s="37"/>
    </row>
    <row r="132" spans="2:10" x14ac:dyDescent="0.35">
      <c r="I132" s="37"/>
      <c r="J132" s="37"/>
    </row>
    <row r="133" spans="2:10" x14ac:dyDescent="0.35">
      <c r="B133">
        <f>B129+1</f>
        <v>2024</v>
      </c>
      <c r="C133">
        <f>C130</f>
        <v>2024</v>
      </c>
      <c r="D133" s="4">
        <f>'CDM Framework'!Q36</f>
        <v>121830.15088222378</v>
      </c>
      <c r="E133" s="4">
        <f>'CDM Framework'!Q37</f>
        <v>131291.79097051933</v>
      </c>
      <c r="F133" s="4">
        <f>'CDM Framework'!Q38</f>
        <v>705165.69637080375</v>
      </c>
      <c r="I133" s="37">
        <f>SUM(D133:F133)</f>
        <v>958287.63822354679</v>
      </c>
      <c r="J133" s="37"/>
    </row>
    <row r="134" spans="2:10" x14ac:dyDescent="0.35">
      <c r="C134">
        <f>C131</f>
        <v>2025</v>
      </c>
      <c r="D134" s="4">
        <f>D$133*(D4+D20+D35+D49+D62+D74+D85+D95+D104)/(D$3+D$19+D$34+D$48+D$61+D$73+D$84+D$94+D$103)</f>
        <v>109756.29695966262</v>
      </c>
      <c r="E134" s="4">
        <f>E$133*(E4+E20+E35+E49+E62+E74+E85+E95+E104)/(E$3+E$19+E$34+E$48+E$61+E$73+E$84+E$94+E$103)</f>
        <v>129338.87602949486</v>
      </c>
      <c r="F134" s="4">
        <f>F$133*(F4+F20+F35+F49+F62+F74+F85+F95+F104)/(F$3+F$19+F$34+F$48+F$61+F$73+F$84+F$94+F$103)</f>
        <v>704851.63078682858</v>
      </c>
      <c r="I134" s="37">
        <f>SUM(D134:F134)</f>
        <v>943946.80377598607</v>
      </c>
      <c r="J134" s="37"/>
    </row>
    <row r="135" spans="2:10" x14ac:dyDescent="0.35">
      <c r="I135" s="37"/>
      <c r="J135" s="3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8F2A-A184-44BD-9093-20AEE895844A}">
  <sheetPr codeName="Sheet5"/>
  <dimension ref="A1:V158"/>
  <sheetViews>
    <sheetView topLeftCell="D100" workbookViewId="0">
      <selection activeCell="O132" sqref="O132"/>
    </sheetView>
  </sheetViews>
  <sheetFormatPr defaultRowHeight="14.5" x14ac:dyDescent="0.35"/>
  <cols>
    <col min="1" max="3" width="12.453125" customWidth="1"/>
    <col min="4" max="4" width="14.6328125" bestFit="1" customWidth="1"/>
    <col min="5" max="5" width="9.1796875" bestFit="1" customWidth="1"/>
    <col min="6" max="6" width="9.1796875" customWidth="1"/>
    <col min="7" max="7" width="8.81640625" bestFit="1" customWidth="1"/>
    <col min="9" max="10" width="12.7265625" bestFit="1" customWidth="1"/>
    <col min="11" max="11" width="12.7265625" customWidth="1"/>
    <col min="12" max="12" width="11.1796875" bestFit="1" customWidth="1"/>
    <col min="13" max="14" width="12.7265625" bestFit="1" customWidth="1"/>
    <col min="15" max="15" width="11.1796875" bestFit="1" customWidth="1"/>
    <col min="18" max="18" width="13.81640625" bestFit="1" customWidth="1"/>
    <col min="19" max="19" width="14.08984375" customWidth="1"/>
    <col min="20" max="20" width="10.1796875" bestFit="1" customWidth="1"/>
    <col min="21" max="21" width="11.1796875" bestFit="1" customWidth="1"/>
  </cols>
  <sheetData>
    <row r="1" spans="1:22" x14ac:dyDescent="0.35">
      <c r="A1" s="1" t="str">
        <f>MonthlyData!A1</f>
        <v>Date</v>
      </c>
      <c r="B1" s="1" t="s">
        <v>1</v>
      </c>
      <c r="C1" s="1" t="s">
        <v>2</v>
      </c>
      <c r="D1" s="4" t="str">
        <f>MonthlyData!F1</f>
        <v>Res_NoCDM</v>
      </c>
      <c r="E1" t="str">
        <f>MonthlyData!AF1</f>
        <v>HDD10</v>
      </c>
      <c r="F1" t="str">
        <f>MonthlyData!BP1</f>
        <v>Fall</v>
      </c>
      <c r="G1" t="str">
        <f>MonthlyData!BN1</f>
        <v>Dec</v>
      </c>
      <c r="I1" t="str">
        <f>R8</f>
        <v>const</v>
      </c>
      <c r="J1" t="str">
        <f>E1</f>
        <v>HDD10</v>
      </c>
      <c r="K1" t="str">
        <f>F1</f>
        <v>Fall</v>
      </c>
      <c r="L1" t="str">
        <f>G1</f>
        <v>Dec</v>
      </c>
      <c r="M1" t="s">
        <v>243</v>
      </c>
    </row>
    <row r="2" spans="1:22" x14ac:dyDescent="0.35">
      <c r="A2" s="1">
        <f>MonthlyData!A2</f>
        <v>41640</v>
      </c>
      <c r="B2" s="13">
        <f>YEAR(A2)</f>
        <v>2014</v>
      </c>
      <c r="C2" s="13">
        <f>MONTH(A2)</f>
        <v>1</v>
      </c>
      <c r="D2" s="4">
        <f>MonthlyData!F2</f>
        <v>5204846.2077724002</v>
      </c>
      <c r="E2" s="4">
        <f>MonthlyData!AF2</f>
        <v>923.86930657636822</v>
      </c>
      <c r="F2">
        <f>MonthlyData!BP2</f>
        <v>0</v>
      </c>
      <c r="G2">
        <f>MonthlyData!BN2</f>
        <v>0</v>
      </c>
      <c r="H2" s="4"/>
      <c r="I2" s="4">
        <f>$S$8</f>
        <v>2993597.51664689</v>
      </c>
      <c r="J2" s="4">
        <f>E2*$S$9</f>
        <v>1747427.3829616474</v>
      </c>
      <c r="K2" s="4">
        <f>F2*$S$10</f>
        <v>0</v>
      </c>
      <c r="L2" s="4">
        <f>G2*$S$11</f>
        <v>0</v>
      </c>
      <c r="M2" s="4">
        <f>SUM(I2:L2)</f>
        <v>4741024.8996085376</v>
      </c>
      <c r="N2" s="4">
        <f>M2-D2</f>
        <v>-463821.30816386268</v>
      </c>
      <c r="O2" s="182">
        <f>ABS(N2/D2)</f>
        <v>8.9113355063447988E-2</v>
      </c>
    </row>
    <row r="3" spans="1:22" x14ac:dyDescent="0.35">
      <c r="A3" s="1">
        <f>MonthlyData!A3</f>
        <v>41671</v>
      </c>
      <c r="B3" s="13">
        <f t="shared" ref="B3:B66" si="0">YEAR(A3)</f>
        <v>2014</v>
      </c>
      <c r="C3" s="13">
        <f t="shared" ref="C3:C66" si="1">MONTH(A3)</f>
        <v>2</v>
      </c>
      <c r="D3" s="4">
        <f>MonthlyData!F3</f>
        <v>5264300.1641396759</v>
      </c>
      <c r="E3" s="4">
        <f>MonthlyData!AF3</f>
        <v>750.36010382542349</v>
      </c>
      <c r="F3">
        <f>MonthlyData!BP3</f>
        <v>0</v>
      </c>
      <c r="G3">
        <f>MonthlyData!BN3</f>
        <v>0</v>
      </c>
      <c r="H3" s="4"/>
      <c r="I3" s="4">
        <f t="shared" ref="I3:I66" si="2">$S$8</f>
        <v>2993597.51664689</v>
      </c>
      <c r="J3" s="4">
        <f t="shared" ref="J3:J66" si="3">E3*$S$9</f>
        <v>1419248.137342578</v>
      </c>
      <c r="K3" s="4">
        <f t="shared" ref="K3:K66" si="4">F3*$S$10</f>
        <v>0</v>
      </c>
      <c r="L3" s="4">
        <f t="shared" ref="L3:L66" si="5">G3*$S$11</f>
        <v>0</v>
      </c>
      <c r="M3" s="4">
        <f t="shared" ref="M3:M34" si="6">SUM(I3:L3)</f>
        <v>4412845.6539894678</v>
      </c>
      <c r="N3" s="4">
        <f t="shared" ref="N3:N34" si="7">M3-D3</f>
        <v>-851454.51015020814</v>
      </c>
      <c r="O3" s="182">
        <f t="shared" ref="O3:O34" si="8">ABS(N3/D3)</f>
        <v>0.16174125403226472</v>
      </c>
      <c r="R3" t="s">
        <v>488</v>
      </c>
    </row>
    <row r="4" spans="1:22" x14ac:dyDescent="0.35">
      <c r="A4" s="1">
        <f>MonthlyData!A4</f>
        <v>41699</v>
      </c>
      <c r="B4" s="13">
        <f t="shared" si="0"/>
        <v>2014</v>
      </c>
      <c r="C4" s="13">
        <f t="shared" si="1"/>
        <v>3</v>
      </c>
      <c r="D4" s="4">
        <f>MonthlyData!F4</f>
        <v>4226177.3477285299</v>
      </c>
      <c r="E4" s="4">
        <f>MonthlyData!AF4</f>
        <v>718.29098039039206</v>
      </c>
      <c r="F4">
        <f>MonthlyData!BP4</f>
        <v>0</v>
      </c>
      <c r="G4">
        <f>MonthlyData!BN4</f>
        <v>0</v>
      </c>
      <c r="H4" s="4"/>
      <c r="I4" s="4">
        <f t="shared" si="2"/>
        <v>2993597.51664689</v>
      </c>
      <c r="J4" s="4">
        <f t="shared" si="3"/>
        <v>1358591.8691463589</v>
      </c>
      <c r="K4" s="4">
        <f t="shared" si="4"/>
        <v>0</v>
      </c>
      <c r="L4" s="4">
        <f t="shared" si="5"/>
        <v>0</v>
      </c>
      <c r="M4" s="4">
        <f t="shared" si="6"/>
        <v>4352189.3857932491</v>
      </c>
      <c r="N4" s="4">
        <f t="shared" si="7"/>
        <v>126012.03806471918</v>
      </c>
      <c r="O4" s="182">
        <f t="shared" si="8"/>
        <v>2.9817025575712686E-2</v>
      </c>
      <c r="R4" t="s">
        <v>459</v>
      </c>
    </row>
    <row r="5" spans="1:22" x14ac:dyDescent="0.35">
      <c r="A5" s="1">
        <f>MonthlyData!A5</f>
        <v>41730</v>
      </c>
      <c r="B5" s="13">
        <f t="shared" si="0"/>
        <v>2014</v>
      </c>
      <c r="C5" s="13">
        <f t="shared" si="1"/>
        <v>4</v>
      </c>
      <c r="D5" s="4">
        <f>MonthlyData!F5</f>
        <v>4303459.0892479047</v>
      </c>
      <c r="E5" s="4">
        <f>MonthlyData!AF5</f>
        <v>342.04088813973715</v>
      </c>
      <c r="F5">
        <f>MonthlyData!BP5</f>
        <v>0</v>
      </c>
      <c r="G5">
        <f>MonthlyData!BN5</f>
        <v>0</v>
      </c>
      <c r="H5" s="4"/>
      <c r="I5" s="4">
        <f t="shared" si="2"/>
        <v>2993597.51664689</v>
      </c>
      <c r="J5" s="4">
        <f t="shared" si="3"/>
        <v>646943.90188456001</v>
      </c>
      <c r="K5" s="4">
        <f t="shared" si="4"/>
        <v>0</v>
      </c>
      <c r="L5" s="4">
        <f t="shared" si="5"/>
        <v>0</v>
      </c>
      <c r="M5" s="4">
        <f t="shared" si="6"/>
        <v>3640541.41853145</v>
      </c>
      <c r="N5" s="4">
        <f t="shared" si="7"/>
        <v>-662917.67071645474</v>
      </c>
      <c r="O5" s="182">
        <f t="shared" si="8"/>
        <v>0.15404298192882548</v>
      </c>
      <c r="R5" t="s">
        <v>489</v>
      </c>
    </row>
    <row r="6" spans="1:22" x14ac:dyDescent="0.35">
      <c r="A6" s="1">
        <f>MonthlyData!A6</f>
        <v>41760</v>
      </c>
      <c r="B6" s="13">
        <f t="shared" si="0"/>
        <v>2014</v>
      </c>
      <c r="C6" s="13">
        <f t="shared" si="1"/>
        <v>5</v>
      </c>
      <c r="D6" s="4">
        <f>MonthlyData!F6</f>
        <v>3338319.3932956383</v>
      </c>
      <c r="E6" s="4">
        <f>MonthlyData!AF6</f>
        <v>76.76559436311274</v>
      </c>
      <c r="F6">
        <f>MonthlyData!BP6</f>
        <v>0</v>
      </c>
      <c r="G6">
        <f>MonthlyData!BN6</f>
        <v>0</v>
      </c>
      <c r="H6" s="4"/>
      <c r="I6" s="4">
        <f t="shared" si="2"/>
        <v>2993597.51664689</v>
      </c>
      <c r="J6" s="4">
        <f t="shared" si="3"/>
        <v>145196.18814540745</v>
      </c>
      <c r="K6" s="4">
        <f t="shared" si="4"/>
        <v>0</v>
      </c>
      <c r="L6" s="4">
        <f t="shared" si="5"/>
        <v>0</v>
      </c>
      <c r="M6" s="4">
        <f t="shared" si="6"/>
        <v>3138793.7047922974</v>
      </c>
      <c r="N6" s="4">
        <f t="shared" si="7"/>
        <v>-199525.68850334082</v>
      </c>
      <c r="O6" s="182">
        <f t="shared" si="8"/>
        <v>5.9768304046655674E-2</v>
      </c>
    </row>
    <row r="7" spans="1:22" x14ac:dyDescent="0.35">
      <c r="A7" s="1">
        <f>MonthlyData!A7</f>
        <v>41791</v>
      </c>
      <c r="B7" s="13">
        <f t="shared" si="0"/>
        <v>2014</v>
      </c>
      <c r="C7" s="13">
        <f t="shared" si="1"/>
        <v>6</v>
      </c>
      <c r="D7" s="4">
        <f>MonthlyData!F7</f>
        <v>2933277.9474340756</v>
      </c>
      <c r="E7" s="4">
        <f>MonthlyData!AF7</f>
        <v>0</v>
      </c>
      <c r="F7">
        <f>MonthlyData!BP7</f>
        <v>0</v>
      </c>
      <c r="G7">
        <f>MonthlyData!BN7</f>
        <v>0</v>
      </c>
      <c r="H7" s="4"/>
      <c r="I7" s="4">
        <f t="shared" si="2"/>
        <v>2993597.51664689</v>
      </c>
      <c r="J7" s="4">
        <f t="shared" si="3"/>
        <v>0</v>
      </c>
      <c r="K7" s="4">
        <f t="shared" si="4"/>
        <v>0</v>
      </c>
      <c r="L7" s="4">
        <f t="shared" si="5"/>
        <v>0</v>
      </c>
      <c r="M7" s="4">
        <f t="shared" si="6"/>
        <v>2993597.51664689</v>
      </c>
      <c r="N7" s="4">
        <f t="shared" si="7"/>
        <v>60319.569212814327</v>
      </c>
      <c r="O7" s="182">
        <f t="shared" si="8"/>
        <v>2.0563877782390067E-2</v>
      </c>
      <c r="S7" t="s">
        <v>84</v>
      </c>
      <c r="T7" t="s">
        <v>85</v>
      </c>
      <c r="U7" t="s">
        <v>86</v>
      </c>
      <c r="V7" t="s">
        <v>87</v>
      </c>
    </row>
    <row r="8" spans="1:22" x14ac:dyDescent="0.35">
      <c r="A8" s="1">
        <f>MonthlyData!A8</f>
        <v>41821</v>
      </c>
      <c r="B8" s="13">
        <f t="shared" si="0"/>
        <v>2014</v>
      </c>
      <c r="C8" s="13">
        <f t="shared" si="1"/>
        <v>7</v>
      </c>
      <c r="D8" s="4">
        <f>MonthlyData!F8</f>
        <v>2814669.0496893516</v>
      </c>
      <c r="E8" s="4">
        <f>MonthlyData!AF8</f>
        <v>0</v>
      </c>
      <c r="F8">
        <f>MonthlyData!BP8</f>
        <v>0</v>
      </c>
      <c r="G8">
        <f>MonthlyData!BN8</f>
        <v>0</v>
      </c>
      <c r="H8" s="4"/>
      <c r="I8" s="4">
        <f t="shared" si="2"/>
        <v>2993597.51664689</v>
      </c>
      <c r="J8" s="4">
        <f t="shared" si="3"/>
        <v>0</v>
      </c>
      <c r="K8" s="4">
        <f t="shared" si="4"/>
        <v>0</v>
      </c>
      <c r="L8" s="4">
        <f t="shared" si="5"/>
        <v>0</v>
      </c>
      <c r="M8" s="4">
        <f t="shared" si="6"/>
        <v>2993597.51664689</v>
      </c>
      <c r="N8" s="4">
        <f t="shared" si="7"/>
        <v>178928.46695753839</v>
      </c>
      <c r="O8" s="182">
        <f t="shared" si="8"/>
        <v>6.35699841788811E-2</v>
      </c>
      <c r="R8" t="s">
        <v>88</v>
      </c>
      <c r="S8" s="4">
        <v>2993597.51664689</v>
      </c>
      <c r="T8" s="4">
        <v>34915.099462320701</v>
      </c>
      <c r="U8" s="214">
        <v>85.739338072844106</v>
      </c>
      <c r="V8" s="188">
        <v>1.3557764578634499E-113</v>
      </c>
    </row>
    <row r="9" spans="1:22" x14ac:dyDescent="0.35">
      <c r="A9" s="1">
        <f>MonthlyData!A9</f>
        <v>41852</v>
      </c>
      <c r="B9" s="13">
        <f t="shared" si="0"/>
        <v>2014</v>
      </c>
      <c r="C9" s="13">
        <f t="shared" si="1"/>
        <v>8</v>
      </c>
      <c r="D9" s="4">
        <f>MonthlyData!F9</f>
        <v>2865737.10711757</v>
      </c>
      <c r="E9" s="4">
        <f>MonthlyData!AF9</f>
        <v>0.84166666666666856</v>
      </c>
      <c r="F9">
        <f>MonthlyData!BP9</f>
        <v>0</v>
      </c>
      <c r="G9">
        <f>MonthlyData!BN9</f>
        <v>0</v>
      </c>
      <c r="H9" s="4"/>
      <c r="I9" s="4">
        <f t="shared" si="2"/>
        <v>2993597.51664689</v>
      </c>
      <c r="J9" s="4">
        <f t="shared" si="3"/>
        <v>1591.947443421009</v>
      </c>
      <c r="K9" s="4">
        <f t="shared" si="4"/>
        <v>0</v>
      </c>
      <c r="L9" s="4">
        <f t="shared" si="5"/>
        <v>0</v>
      </c>
      <c r="M9" s="4">
        <f t="shared" si="6"/>
        <v>2995189.464090311</v>
      </c>
      <c r="N9" s="4">
        <f t="shared" si="7"/>
        <v>129452.35697274096</v>
      </c>
      <c r="O9" s="182">
        <f t="shared" si="8"/>
        <v>4.5172446785583686E-2</v>
      </c>
      <c r="R9" t="s">
        <v>13</v>
      </c>
      <c r="S9" s="4">
        <v>1891.4227050546599</v>
      </c>
      <c r="T9" s="4">
        <v>80.751497667451204</v>
      </c>
      <c r="U9" s="214">
        <v>23.422756972803999</v>
      </c>
      <c r="V9" s="188">
        <v>9.7140371630274E-48</v>
      </c>
    </row>
    <row r="10" spans="1:22" x14ac:dyDescent="0.35">
      <c r="A10" s="1">
        <f>MonthlyData!A10</f>
        <v>41883</v>
      </c>
      <c r="B10" s="13">
        <f t="shared" si="0"/>
        <v>2014</v>
      </c>
      <c r="C10" s="13">
        <f t="shared" si="1"/>
        <v>9</v>
      </c>
      <c r="D10" s="4">
        <f>MonthlyData!F10</f>
        <v>2882718.5753333331</v>
      </c>
      <c r="E10" s="4">
        <f>MonthlyData!AF10</f>
        <v>63.679206155876841</v>
      </c>
      <c r="F10">
        <f>MonthlyData!BP10</f>
        <v>0</v>
      </c>
      <c r="G10">
        <f>MonthlyData!BN10</f>
        <v>0</v>
      </c>
      <c r="H10" s="4"/>
      <c r="I10" s="4">
        <f t="shared" si="2"/>
        <v>2993597.51664689</v>
      </c>
      <c r="J10" s="4">
        <f t="shared" si="3"/>
        <v>120444.29636308193</v>
      </c>
      <c r="K10" s="4">
        <f t="shared" si="4"/>
        <v>0</v>
      </c>
      <c r="L10" s="4">
        <f t="shared" si="5"/>
        <v>0</v>
      </c>
      <c r="M10" s="4">
        <f t="shared" si="6"/>
        <v>3114041.8130099718</v>
      </c>
      <c r="N10" s="4">
        <f t="shared" si="7"/>
        <v>231323.23767663864</v>
      </c>
      <c r="O10" s="182">
        <f t="shared" si="8"/>
        <v>8.0244821556988227E-2</v>
      </c>
      <c r="R10" t="s">
        <v>62</v>
      </c>
      <c r="S10" s="4">
        <v>-602637.76155081904</v>
      </c>
      <c r="T10" s="4">
        <v>61138.157436032903</v>
      </c>
      <c r="U10" s="214">
        <v>-9.8569827228002609</v>
      </c>
      <c r="V10" s="188">
        <v>2.4415331036516299E-17</v>
      </c>
    </row>
    <row r="11" spans="1:22" x14ac:dyDescent="0.35">
      <c r="A11" s="1">
        <f>MonthlyData!A11</f>
        <v>41913</v>
      </c>
      <c r="B11" s="13">
        <f t="shared" si="0"/>
        <v>2014</v>
      </c>
      <c r="C11" s="13">
        <f t="shared" si="1"/>
        <v>10</v>
      </c>
      <c r="D11" s="4">
        <f>MonthlyData!F11</f>
        <v>2860364.5175931277</v>
      </c>
      <c r="E11" s="4">
        <f>MonthlyData!AF11</f>
        <v>180.10416666666666</v>
      </c>
      <c r="F11">
        <f>MonthlyData!BP11</f>
        <v>1</v>
      </c>
      <c r="G11">
        <f>MonthlyData!BN11</f>
        <v>0</v>
      </c>
      <c r="H11" s="4"/>
      <c r="I11" s="4">
        <f t="shared" si="2"/>
        <v>2993597.51664689</v>
      </c>
      <c r="J11" s="4">
        <f t="shared" si="3"/>
        <v>340653.11010828195</v>
      </c>
      <c r="K11" s="4">
        <f t="shared" si="4"/>
        <v>-602637.76155081904</v>
      </c>
      <c r="L11" s="4">
        <f t="shared" si="5"/>
        <v>0</v>
      </c>
      <c r="M11" s="4">
        <f t="shared" si="6"/>
        <v>2731612.8652043529</v>
      </c>
      <c r="N11" s="4">
        <f t="shared" si="7"/>
        <v>-128751.65238877479</v>
      </c>
      <c r="O11" s="182">
        <f t="shared" si="8"/>
        <v>4.5012323288471538E-2</v>
      </c>
      <c r="R11" t="s">
        <v>28</v>
      </c>
      <c r="S11" s="4">
        <v>-626381.313089823</v>
      </c>
      <c r="T11" s="4">
        <v>85019.440210264802</v>
      </c>
      <c r="U11" s="214">
        <v>-7.3675069083105704</v>
      </c>
      <c r="V11" s="188">
        <v>2.0073297504774301E-11</v>
      </c>
    </row>
    <row r="12" spans="1:22" x14ac:dyDescent="0.35">
      <c r="A12" s="1">
        <f>MonthlyData!A12</f>
        <v>41944</v>
      </c>
      <c r="B12" s="13">
        <f t="shared" si="0"/>
        <v>2014</v>
      </c>
      <c r="C12" s="13">
        <f t="shared" si="1"/>
        <v>11</v>
      </c>
      <c r="D12" s="4">
        <f>MonthlyData!F12</f>
        <v>3257670.4024071149</v>
      </c>
      <c r="E12" s="4">
        <f>MonthlyData!AF12</f>
        <v>525.22500000000002</v>
      </c>
      <c r="F12">
        <f>MonthlyData!BP12</f>
        <v>1</v>
      </c>
      <c r="G12">
        <f>MonthlyData!BN12</f>
        <v>0</v>
      </c>
      <c r="H12" s="4"/>
      <c r="I12" s="4">
        <f t="shared" si="2"/>
        <v>2993597.51664689</v>
      </c>
      <c r="J12" s="4">
        <f t="shared" si="3"/>
        <v>993422.49026233377</v>
      </c>
      <c r="K12" s="4">
        <f t="shared" si="4"/>
        <v>-602637.76155081904</v>
      </c>
      <c r="L12" s="4">
        <f t="shared" si="5"/>
        <v>0</v>
      </c>
      <c r="M12" s="4">
        <f t="shared" si="6"/>
        <v>3384382.2453584047</v>
      </c>
      <c r="N12" s="4">
        <f t="shared" si="7"/>
        <v>126711.84295128984</v>
      </c>
      <c r="O12" s="182">
        <f t="shared" si="8"/>
        <v>3.8896458910533616E-2</v>
      </c>
      <c r="S12" s="4"/>
      <c r="T12" s="4"/>
      <c r="U12" s="214"/>
      <c r="V12" s="188"/>
    </row>
    <row r="13" spans="1:22" x14ac:dyDescent="0.35">
      <c r="A13" s="1">
        <f>MonthlyData!A13</f>
        <v>41974</v>
      </c>
      <c r="B13" s="13">
        <f t="shared" si="0"/>
        <v>2014</v>
      </c>
      <c r="C13" s="13">
        <f t="shared" si="1"/>
        <v>12</v>
      </c>
      <c r="D13" s="4">
        <f>MonthlyData!F13</f>
        <v>3913237.1748429327</v>
      </c>
      <c r="E13" s="4">
        <f>MonthlyData!AF13</f>
        <v>649.30879458660854</v>
      </c>
      <c r="F13">
        <f>MonthlyData!BP13</f>
        <v>0</v>
      </c>
      <c r="G13">
        <f>MonthlyData!BN13</f>
        <v>1</v>
      </c>
      <c r="H13" s="4"/>
      <c r="I13" s="4">
        <f t="shared" si="2"/>
        <v>2993597.51664689</v>
      </c>
      <c r="J13" s="4">
        <f t="shared" si="3"/>
        <v>1228117.3966727837</v>
      </c>
      <c r="K13" s="4">
        <f t="shared" si="4"/>
        <v>0</v>
      </c>
      <c r="L13" s="4">
        <f t="shared" si="5"/>
        <v>-626381.313089823</v>
      </c>
      <c r="M13" s="4">
        <f t="shared" si="6"/>
        <v>3595333.6002298505</v>
      </c>
      <c r="N13" s="4">
        <f t="shared" si="7"/>
        <v>-317903.57461308222</v>
      </c>
      <c r="O13" s="182">
        <f t="shared" si="8"/>
        <v>8.1238003322873481E-2</v>
      </c>
      <c r="R13" t="s">
        <v>89</v>
      </c>
    </row>
    <row r="14" spans="1:22" x14ac:dyDescent="0.35">
      <c r="A14" s="1">
        <f>MonthlyData!A14</f>
        <v>42005</v>
      </c>
      <c r="B14" s="13">
        <f t="shared" si="0"/>
        <v>2015</v>
      </c>
      <c r="C14" s="13">
        <f t="shared" si="1"/>
        <v>1</v>
      </c>
      <c r="D14" s="4">
        <f>MonthlyData!F14</f>
        <v>4555170.2447226988</v>
      </c>
      <c r="E14" s="4">
        <f>MonthlyData!AF14</f>
        <v>888.83475522239621</v>
      </c>
      <c r="F14">
        <f>MonthlyData!BP14</f>
        <v>0</v>
      </c>
      <c r="G14">
        <f>MonthlyData!BN14</f>
        <v>0</v>
      </c>
      <c r="H14" s="4"/>
      <c r="I14" s="4">
        <f t="shared" si="2"/>
        <v>2993597.51664689</v>
      </c>
      <c r="J14" s="4">
        <f t="shared" si="3"/>
        <v>1681162.2370693411</v>
      </c>
      <c r="K14" s="4">
        <f t="shared" si="4"/>
        <v>0</v>
      </c>
      <c r="L14" s="4">
        <f t="shared" si="5"/>
        <v>0</v>
      </c>
      <c r="M14" s="4">
        <f t="shared" si="6"/>
        <v>4674759.7537162313</v>
      </c>
      <c r="N14" s="4">
        <f t="shared" si="7"/>
        <v>119589.50899353251</v>
      </c>
      <c r="O14" s="182">
        <f t="shared" si="8"/>
        <v>2.6253576171402275E-2</v>
      </c>
      <c r="R14" t="s">
        <v>90</v>
      </c>
      <c r="S14" s="320">
        <v>7623913684607</v>
      </c>
      <c r="T14" t="s">
        <v>91</v>
      </c>
      <c r="U14" s="4">
        <v>245982.21778237299</v>
      </c>
    </row>
    <row r="15" spans="1:22" x14ac:dyDescent="0.35">
      <c r="A15" s="1">
        <f>MonthlyData!A15</f>
        <v>42036</v>
      </c>
      <c r="B15" s="13">
        <f t="shared" si="0"/>
        <v>2015</v>
      </c>
      <c r="C15" s="13">
        <f t="shared" si="1"/>
        <v>2</v>
      </c>
      <c r="D15" s="4">
        <f>MonthlyData!F15</f>
        <v>4992071.1433578841</v>
      </c>
      <c r="E15" s="4">
        <f>MonthlyData!AF15</f>
        <v>925.79933618827647</v>
      </c>
      <c r="F15">
        <f>MonthlyData!BP15</f>
        <v>0</v>
      </c>
      <c r="G15">
        <f>MonthlyData!BN15</f>
        <v>0</v>
      </c>
      <c r="H15" s="4"/>
      <c r="I15" s="4">
        <f t="shared" si="2"/>
        <v>2993597.51664689</v>
      </c>
      <c r="J15" s="4">
        <f t="shared" si="3"/>
        <v>1751077.8847910385</v>
      </c>
      <c r="K15" s="4">
        <f t="shared" si="4"/>
        <v>0</v>
      </c>
      <c r="L15" s="4">
        <f t="shared" si="5"/>
        <v>0</v>
      </c>
      <c r="M15" s="4">
        <f t="shared" si="6"/>
        <v>4744675.4014379289</v>
      </c>
      <c r="N15" s="4">
        <f t="shared" si="7"/>
        <v>-247395.74191995524</v>
      </c>
      <c r="O15" s="182">
        <f t="shared" si="8"/>
        <v>4.9557735620239199E-2</v>
      </c>
      <c r="R15" t="s">
        <v>92</v>
      </c>
      <c r="S15" s="2">
        <v>0.85321990261632097</v>
      </c>
      <c r="T15" t="s">
        <v>93</v>
      </c>
      <c r="U15" s="321">
        <v>0.84972513839289998</v>
      </c>
    </row>
    <row r="16" spans="1:22" x14ac:dyDescent="0.35">
      <c r="A16" s="1">
        <f>MonthlyData!A16</f>
        <v>42064</v>
      </c>
      <c r="B16" s="13">
        <f t="shared" si="0"/>
        <v>2015</v>
      </c>
      <c r="C16" s="13">
        <f t="shared" si="1"/>
        <v>3</v>
      </c>
      <c r="D16" s="4">
        <f>MonthlyData!F16</f>
        <v>4650468.1502021682</v>
      </c>
      <c r="E16" s="4">
        <f>MonthlyData!AF16</f>
        <v>604.8724417886641</v>
      </c>
      <c r="F16">
        <f>MonthlyData!BP16</f>
        <v>0</v>
      </c>
      <c r="G16">
        <f>MonthlyData!BN16</f>
        <v>0</v>
      </c>
      <c r="H16" s="4"/>
      <c r="I16" s="4">
        <f t="shared" si="2"/>
        <v>2993597.51664689</v>
      </c>
      <c r="J16" s="4">
        <f t="shared" si="3"/>
        <v>1144069.4700609324</v>
      </c>
      <c r="K16" s="4">
        <f t="shared" si="4"/>
        <v>0</v>
      </c>
      <c r="L16" s="4">
        <f t="shared" si="5"/>
        <v>0</v>
      </c>
      <c r="M16" s="4">
        <f t="shared" si="6"/>
        <v>4137666.9867078224</v>
      </c>
      <c r="N16" s="4">
        <f t="shared" si="7"/>
        <v>-512801.16349434573</v>
      </c>
      <c r="O16" s="182">
        <f t="shared" si="8"/>
        <v>0.11026871853149944</v>
      </c>
      <c r="R16" t="s">
        <v>490</v>
      </c>
      <c r="S16" s="2">
        <v>218.69786887181101</v>
      </c>
      <c r="T16" t="s">
        <v>94</v>
      </c>
      <c r="U16" s="18">
        <v>9.2309097571580505E-50</v>
      </c>
    </row>
    <row r="17" spans="1:21" x14ac:dyDescent="0.35">
      <c r="A17" s="1">
        <f>MonthlyData!A17</f>
        <v>42095</v>
      </c>
      <c r="B17" s="13">
        <f t="shared" si="0"/>
        <v>2015</v>
      </c>
      <c r="C17" s="13">
        <f t="shared" si="1"/>
        <v>4</v>
      </c>
      <c r="D17" s="4">
        <f>MonthlyData!F17</f>
        <v>3963990.3580730828</v>
      </c>
      <c r="E17" s="4">
        <f>MonthlyData!AF17</f>
        <v>309.39652575448434</v>
      </c>
      <c r="F17">
        <f>MonthlyData!BP17</f>
        <v>0</v>
      </c>
      <c r="G17">
        <f>MonthlyData!BN17</f>
        <v>0</v>
      </c>
      <c r="H17" s="4"/>
      <c r="I17" s="4">
        <f t="shared" si="2"/>
        <v>2993597.51664689</v>
      </c>
      <c r="J17" s="4">
        <f t="shared" si="3"/>
        <v>585199.61367706058</v>
      </c>
      <c r="K17" s="4">
        <f t="shared" si="4"/>
        <v>0</v>
      </c>
      <c r="L17" s="4">
        <f t="shared" si="5"/>
        <v>0</v>
      </c>
      <c r="M17" s="4">
        <f t="shared" si="6"/>
        <v>3578797.1303239507</v>
      </c>
      <c r="N17" s="4">
        <f t="shared" si="7"/>
        <v>-385193.22774913209</v>
      </c>
      <c r="O17" s="182">
        <f t="shared" si="8"/>
        <v>9.7173099062828353E-2</v>
      </c>
      <c r="R17" t="s">
        <v>95</v>
      </c>
      <c r="S17" s="2">
        <v>-1.09285436820719E-2</v>
      </c>
      <c r="T17" t="s">
        <v>96</v>
      </c>
      <c r="U17" s="322">
        <v>1.97895470842757</v>
      </c>
    </row>
    <row r="18" spans="1:21" x14ac:dyDescent="0.35">
      <c r="A18" s="1">
        <f>MonthlyData!A18</f>
        <v>42125</v>
      </c>
      <c r="B18" s="13">
        <f t="shared" si="0"/>
        <v>2015</v>
      </c>
      <c r="C18" s="13">
        <f t="shared" si="1"/>
        <v>5</v>
      </c>
      <c r="D18" s="4">
        <f>MonthlyData!F18</f>
        <v>3251922.6162512815</v>
      </c>
      <c r="E18" s="4">
        <f>MonthlyData!AF18</f>
        <v>288.41468054388343</v>
      </c>
      <c r="F18">
        <f>MonthlyData!BP18</f>
        <v>0</v>
      </c>
      <c r="G18">
        <f>MonthlyData!BN18</f>
        <v>0</v>
      </c>
      <c r="H18" s="4"/>
      <c r="I18" s="4">
        <f t="shared" si="2"/>
        <v>2993597.51664689</v>
      </c>
      <c r="J18" s="4">
        <f t="shared" si="3"/>
        <v>545514.07525178755</v>
      </c>
      <c r="K18" s="4">
        <f t="shared" si="4"/>
        <v>0</v>
      </c>
      <c r="L18" s="4">
        <f t="shared" si="5"/>
        <v>0</v>
      </c>
      <c r="M18" s="4">
        <f t="shared" si="6"/>
        <v>3539111.5918986774</v>
      </c>
      <c r="N18" s="4">
        <f t="shared" si="7"/>
        <v>287188.97564739594</v>
      </c>
      <c r="O18" s="182">
        <f t="shared" si="8"/>
        <v>8.8313594613902202E-2</v>
      </c>
    </row>
    <row r="19" spans="1:21" x14ac:dyDescent="0.35">
      <c r="A19" s="1">
        <f>MonthlyData!A19</f>
        <v>42156</v>
      </c>
      <c r="B19" s="13">
        <f t="shared" si="0"/>
        <v>2015</v>
      </c>
      <c r="C19" s="13">
        <f t="shared" si="1"/>
        <v>6</v>
      </c>
      <c r="D19" s="4">
        <f>MonthlyData!F19</f>
        <v>2838539.9592128773</v>
      </c>
      <c r="E19" s="4">
        <f>MonthlyData!AF19</f>
        <v>6.6599390687185451</v>
      </c>
      <c r="F19">
        <f>MonthlyData!BP19</f>
        <v>0</v>
      </c>
      <c r="G19">
        <f>MonthlyData!BN19</f>
        <v>0</v>
      </c>
      <c r="H19" s="4"/>
      <c r="I19" s="4">
        <f t="shared" si="2"/>
        <v>2993597.51664689</v>
      </c>
      <c r="J19" s="4">
        <f t="shared" si="3"/>
        <v>12596.759968854843</v>
      </c>
      <c r="K19" s="4">
        <f t="shared" si="4"/>
        <v>0</v>
      </c>
      <c r="L19" s="4">
        <f t="shared" si="5"/>
        <v>0</v>
      </c>
      <c r="M19" s="4">
        <f t="shared" si="6"/>
        <v>3006194.2766157449</v>
      </c>
      <c r="N19" s="4">
        <f t="shared" si="7"/>
        <v>167654.3174028676</v>
      </c>
      <c r="O19" s="182">
        <f t="shared" si="8"/>
        <v>5.9063574870144818E-2</v>
      </c>
      <c r="R19" t="s">
        <v>97</v>
      </c>
    </row>
    <row r="20" spans="1:21" x14ac:dyDescent="0.35">
      <c r="A20" s="1">
        <f>MonthlyData!A20</f>
        <v>42186</v>
      </c>
      <c r="B20" s="13">
        <f t="shared" si="0"/>
        <v>2015</v>
      </c>
      <c r="C20" s="13">
        <f t="shared" si="1"/>
        <v>7</v>
      </c>
      <c r="D20" s="4">
        <f>MonthlyData!F20</f>
        <v>2693601.264651109</v>
      </c>
      <c r="E20" s="4">
        <f>MonthlyData!AF20</f>
        <v>0</v>
      </c>
      <c r="F20">
        <f>MonthlyData!BP20</f>
        <v>0</v>
      </c>
      <c r="G20">
        <f>MonthlyData!BN20</f>
        <v>0</v>
      </c>
      <c r="H20" s="4"/>
      <c r="I20" s="4">
        <f t="shared" si="2"/>
        <v>2993597.51664689</v>
      </c>
      <c r="J20" s="4">
        <f t="shared" si="3"/>
        <v>0</v>
      </c>
      <c r="K20" s="4">
        <f t="shared" si="4"/>
        <v>0</v>
      </c>
      <c r="L20" s="4">
        <f t="shared" si="5"/>
        <v>0</v>
      </c>
      <c r="M20" s="4">
        <f t="shared" si="6"/>
        <v>2993597.51664689</v>
      </c>
      <c r="N20" s="4">
        <f t="shared" si="7"/>
        <v>299996.25199578097</v>
      </c>
      <c r="O20" s="182">
        <f t="shared" si="8"/>
        <v>0.11137366763697233</v>
      </c>
      <c r="R20" t="s">
        <v>98</v>
      </c>
      <c r="S20">
        <v>3426460.7830698099</v>
      </c>
      <c r="T20" t="s">
        <v>99</v>
      </c>
      <c r="U20">
        <v>634363.55761683895</v>
      </c>
    </row>
    <row r="21" spans="1:21" x14ac:dyDescent="0.35">
      <c r="A21" s="1">
        <f>MonthlyData!A21</f>
        <v>42217</v>
      </c>
      <c r="B21" s="13">
        <f t="shared" si="0"/>
        <v>2015</v>
      </c>
      <c r="C21" s="13">
        <f t="shared" si="1"/>
        <v>8</v>
      </c>
      <c r="D21" s="4">
        <f>MonthlyData!F21</f>
        <v>3029214.4043009067</v>
      </c>
      <c r="E21" s="4">
        <f>MonthlyData!AF21</f>
        <v>0</v>
      </c>
      <c r="F21">
        <f>MonthlyData!BP21</f>
        <v>0</v>
      </c>
      <c r="G21">
        <f>MonthlyData!BN21</f>
        <v>0</v>
      </c>
      <c r="H21" s="4"/>
      <c r="I21" s="4">
        <f t="shared" si="2"/>
        <v>2993597.51664689</v>
      </c>
      <c r="J21" s="4">
        <f t="shared" si="3"/>
        <v>0</v>
      </c>
      <c r="K21" s="4">
        <f t="shared" si="4"/>
        <v>0</v>
      </c>
      <c r="L21" s="4">
        <f t="shared" si="5"/>
        <v>0</v>
      </c>
      <c r="M21" s="4">
        <f t="shared" si="6"/>
        <v>2993597.51664689</v>
      </c>
      <c r="N21" s="4">
        <f t="shared" si="7"/>
        <v>-35616.887654016726</v>
      </c>
      <c r="O21" s="182">
        <f t="shared" si="8"/>
        <v>1.1757796874149132E-2</v>
      </c>
    </row>
    <row r="22" spans="1:21" x14ac:dyDescent="0.35">
      <c r="A22" s="1">
        <f>MonthlyData!A22</f>
        <v>42248</v>
      </c>
      <c r="B22" s="13">
        <f t="shared" si="0"/>
        <v>2015</v>
      </c>
      <c r="C22" s="13">
        <f t="shared" si="1"/>
        <v>9</v>
      </c>
      <c r="D22" s="4">
        <f>MonthlyData!F22</f>
        <v>2908421.6058402224</v>
      </c>
      <c r="E22" s="4">
        <f>MonthlyData!AF22</f>
        <v>16.877396174576482</v>
      </c>
      <c r="F22">
        <f>MonthlyData!BP22</f>
        <v>0</v>
      </c>
      <c r="G22">
        <f>MonthlyData!BN22</f>
        <v>0</v>
      </c>
      <c r="H22" s="4"/>
      <c r="I22" s="4">
        <f t="shared" si="2"/>
        <v>2993597.51664689</v>
      </c>
      <c r="J22" s="4">
        <f t="shared" si="3"/>
        <v>31922.290326796618</v>
      </c>
      <c r="K22" s="4">
        <f t="shared" si="4"/>
        <v>0</v>
      </c>
      <c r="L22" s="4">
        <f t="shared" si="5"/>
        <v>0</v>
      </c>
      <c r="M22" s="4">
        <f t="shared" si="6"/>
        <v>3025519.8069736864</v>
      </c>
      <c r="N22" s="4">
        <f t="shared" si="7"/>
        <v>117098.201133464</v>
      </c>
      <c r="O22" s="182">
        <f t="shared" si="8"/>
        <v>4.0261769785483063E-2</v>
      </c>
    </row>
    <row r="23" spans="1:21" x14ac:dyDescent="0.35">
      <c r="A23" s="1">
        <f>MonthlyData!A23</f>
        <v>42278</v>
      </c>
      <c r="B23" s="13">
        <f t="shared" si="0"/>
        <v>2015</v>
      </c>
      <c r="C23" s="13">
        <f t="shared" si="1"/>
        <v>10</v>
      </c>
      <c r="D23" s="4">
        <f>MonthlyData!F23</f>
        <v>2824688.182724908</v>
      </c>
      <c r="E23" s="4">
        <f>MonthlyData!AF23</f>
        <v>212.50558278834421</v>
      </c>
      <c r="F23">
        <f>MonthlyData!BP23</f>
        <v>1</v>
      </c>
      <c r="G23">
        <f>MonthlyData!BN23</f>
        <v>0</v>
      </c>
      <c r="H23" s="4"/>
      <c r="I23" s="4">
        <f t="shared" si="2"/>
        <v>2993597.51664689</v>
      </c>
      <c r="J23" s="4">
        <f t="shared" si="3"/>
        <v>401937.88423674699</v>
      </c>
      <c r="K23" s="4">
        <f t="shared" si="4"/>
        <v>-602637.76155081904</v>
      </c>
      <c r="L23" s="4">
        <f t="shared" si="5"/>
        <v>0</v>
      </c>
      <c r="M23" s="4">
        <f t="shared" si="6"/>
        <v>2792897.6393328179</v>
      </c>
      <c r="N23" s="4">
        <f t="shared" si="7"/>
        <v>-31790.543392090127</v>
      </c>
      <c r="O23" s="182">
        <f t="shared" si="8"/>
        <v>1.1254531946751929E-2</v>
      </c>
    </row>
    <row r="24" spans="1:21" x14ac:dyDescent="0.35">
      <c r="A24" s="1">
        <f>MonthlyData!A24</f>
        <v>42309</v>
      </c>
      <c r="B24" s="13">
        <f t="shared" si="0"/>
        <v>2015</v>
      </c>
      <c r="C24" s="13">
        <f t="shared" si="1"/>
        <v>11</v>
      </c>
      <c r="D24" s="4">
        <f>MonthlyData!F24</f>
        <v>3175868.9001177405</v>
      </c>
      <c r="E24" s="4">
        <f>MonthlyData!AF24</f>
        <v>296.19166666666666</v>
      </c>
      <c r="F24">
        <f>MonthlyData!BP24</f>
        <v>1</v>
      </c>
      <c r="G24">
        <f>MonthlyData!BN24</f>
        <v>0</v>
      </c>
      <c r="H24" s="4"/>
      <c r="I24" s="4">
        <f t="shared" si="2"/>
        <v>2993597.51664689</v>
      </c>
      <c r="J24" s="4">
        <f t="shared" si="3"/>
        <v>560223.64338131482</v>
      </c>
      <c r="K24" s="4">
        <f t="shared" si="4"/>
        <v>-602637.76155081904</v>
      </c>
      <c r="L24" s="4">
        <f t="shared" si="5"/>
        <v>0</v>
      </c>
      <c r="M24" s="4">
        <f t="shared" si="6"/>
        <v>2951183.3984773858</v>
      </c>
      <c r="N24" s="4">
        <f t="shared" si="7"/>
        <v>-224685.50164035475</v>
      </c>
      <c r="O24" s="182">
        <f t="shared" si="8"/>
        <v>7.0747725648254836E-2</v>
      </c>
    </row>
    <row r="25" spans="1:21" x14ac:dyDescent="0.35">
      <c r="A25" s="1">
        <f>MonthlyData!A25</f>
        <v>42339</v>
      </c>
      <c r="B25" s="13">
        <f t="shared" si="0"/>
        <v>2015</v>
      </c>
      <c r="C25" s="13">
        <f t="shared" si="1"/>
        <v>12</v>
      </c>
      <c r="D25" s="4">
        <f>MonthlyData!F25</f>
        <v>3340356.6889735274</v>
      </c>
      <c r="E25" s="4">
        <f>MonthlyData!AF25</f>
        <v>465.28749999999997</v>
      </c>
      <c r="F25">
        <f>MonthlyData!BP25</f>
        <v>0</v>
      </c>
      <c r="G25">
        <f>MonthlyData!BN25</f>
        <v>1</v>
      </c>
      <c r="H25" s="4"/>
      <c r="I25" s="4">
        <f t="shared" si="2"/>
        <v>2993597.51664689</v>
      </c>
      <c r="J25" s="4">
        <f t="shared" si="3"/>
        <v>880055.34187811997</v>
      </c>
      <c r="K25" s="4">
        <f t="shared" si="4"/>
        <v>0</v>
      </c>
      <c r="L25" s="4">
        <f t="shared" si="5"/>
        <v>-626381.313089823</v>
      </c>
      <c r="M25" s="4">
        <f t="shared" si="6"/>
        <v>3247271.5454351869</v>
      </c>
      <c r="N25" s="4">
        <f t="shared" si="7"/>
        <v>-93085.143538340461</v>
      </c>
      <c r="O25" s="182">
        <f t="shared" si="8"/>
        <v>2.7866827469537392E-2</v>
      </c>
    </row>
    <row r="26" spans="1:21" x14ac:dyDescent="0.35">
      <c r="A26" s="1">
        <f>MonthlyData!A26</f>
        <v>42370</v>
      </c>
      <c r="B26" s="13">
        <f t="shared" si="0"/>
        <v>2016</v>
      </c>
      <c r="C26" s="13">
        <f t="shared" si="1"/>
        <v>1</v>
      </c>
      <c r="D26" s="4">
        <f>MonthlyData!F26</f>
        <v>3973539.4669082318</v>
      </c>
      <c r="E26" s="4">
        <f>MonthlyData!AF26</f>
        <v>718.46798406531877</v>
      </c>
      <c r="F26">
        <f>MonthlyData!BP26</f>
        <v>0</v>
      </c>
      <c r="G26">
        <f>MonthlyData!BN26</f>
        <v>0</v>
      </c>
      <c r="H26" s="4"/>
      <c r="I26" s="4">
        <f t="shared" si="2"/>
        <v>2993597.51664689</v>
      </c>
      <c r="J26" s="4">
        <f t="shared" si="3"/>
        <v>1358926.6579159936</v>
      </c>
      <c r="K26" s="4">
        <f t="shared" si="4"/>
        <v>0</v>
      </c>
      <c r="L26" s="4">
        <f t="shared" si="5"/>
        <v>0</v>
      </c>
      <c r="M26" s="4">
        <f t="shared" si="6"/>
        <v>4352524.1745628836</v>
      </c>
      <c r="N26" s="4">
        <f t="shared" si="7"/>
        <v>378984.70765465172</v>
      </c>
      <c r="O26" s="182">
        <f t="shared" si="8"/>
        <v>9.5377109202223587E-2</v>
      </c>
    </row>
    <row r="27" spans="1:21" x14ac:dyDescent="0.35">
      <c r="A27" s="1">
        <f>MonthlyData!A27</f>
        <v>42401</v>
      </c>
      <c r="B27" s="13">
        <f t="shared" si="0"/>
        <v>2016</v>
      </c>
      <c r="C27" s="13">
        <f t="shared" si="1"/>
        <v>2</v>
      </c>
      <c r="D27" s="4">
        <f>MonthlyData!F27</f>
        <v>4373678.5316178575</v>
      </c>
      <c r="E27" s="4">
        <f>MonthlyData!AF27</f>
        <v>732.41995472340568</v>
      </c>
      <c r="F27">
        <f>MonthlyData!BP27</f>
        <v>0</v>
      </c>
      <c r="G27">
        <f>MonthlyData!BN27</f>
        <v>0</v>
      </c>
      <c r="H27" s="4"/>
      <c r="I27" s="4">
        <f t="shared" si="2"/>
        <v>2993597.51664689</v>
      </c>
      <c r="J27" s="4">
        <f t="shared" si="3"/>
        <v>1385315.7319989556</v>
      </c>
      <c r="K27" s="4">
        <f t="shared" si="4"/>
        <v>0</v>
      </c>
      <c r="L27" s="4">
        <f t="shared" si="5"/>
        <v>0</v>
      </c>
      <c r="M27" s="4">
        <f t="shared" si="6"/>
        <v>4378913.2486458458</v>
      </c>
      <c r="N27" s="4">
        <f t="shared" si="7"/>
        <v>5234.7170279882848</v>
      </c>
      <c r="O27" s="182">
        <f t="shared" si="8"/>
        <v>1.1968682632127337E-3</v>
      </c>
    </row>
    <row r="28" spans="1:21" x14ac:dyDescent="0.35">
      <c r="A28" s="1">
        <f>MonthlyData!A28</f>
        <v>42430</v>
      </c>
      <c r="B28" s="13">
        <f t="shared" si="0"/>
        <v>2016</v>
      </c>
      <c r="C28" s="13">
        <f t="shared" si="1"/>
        <v>3</v>
      </c>
      <c r="D28" s="4">
        <f>MonthlyData!F28</f>
        <v>4078599.2188125048</v>
      </c>
      <c r="E28" s="4">
        <f>MonthlyData!AF28</f>
        <v>515.41411900761977</v>
      </c>
      <c r="F28">
        <f>MonthlyData!BP28</f>
        <v>0</v>
      </c>
      <c r="G28">
        <f>MonthlyData!BN28</f>
        <v>0</v>
      </c>
      <c r="H28" s="4"/>
      <c r="I28" s="4">
        <f t="shared" si="2"/>
        <v>2993597.51664689</v>
      </c>
      <c r="J28" s="4">
        <f t="shared" si="3"/>
        <v>974865.96719675662</v>
      </c>
      <c r="K28" s="4">
        <f t="shared" si="4"/>
        <v>0</v>
      </c>
      <c r="L28" s="4">
        <f t="shared" si="5"/>
        <v>0</v>
      </c>
      <c r="M28" s="4">
        <f t="shared" si="6"/>
        <v>3968463.4838436465</v>
      </c>
      <c r="N28" s="4">
        <f t="shared" si="7"/>
        <v>-110135.73496885831</v>
      </c>
      <c r="O28" s="182">
        <f t="shared" si="8"/>
        <v>2.7003323705074564E-2</v>
      </c>
    </row>
    <row r="29" spans="1:21" x14ac:dyDescent="0.35">
      <c r="A29" s="1">
        <f>MonthlyData!A29</f>
        <v>42461</v>
      </c>
      <c r="B29" s="13">
        <f t="shared" si="0"/>
        <v>2016</v>
      </c>
      <c r="C29" s="13">
        <f t="shared" si="1"/>
        <v>4</v>
      </c>
      <c r="D29" s="4">
        <f>MonthlyData!F29</f>
        <v>3641025.3194270958</v>
      </c>
      <c r="E29" s="4">
        <f>MonthlyData!AF29</f>
        <v>361.875</v>
      </c>
      <c r="F29">
        <f>MonthlyData!BP29</f>
        <v>0</v>
      </c>
      <c r="G29">
        <f>MonthlyData!BN29</f>
        <v>0</v>
      </c>
      <c r="H29" s="4"/>
      <c r="I29" s="4">
        <f t="shared" si="2"/>
        <v>2993597.51664689</v>
      </c>
      <c r="J29" s="4">
        <f t="shared" si="3"/>
        <v>684458.59139165503</v>
      </c>
      <c r="K29" s="4">
        <f t="shared" si="4"/>
        <v>0</v>
      </c>
      <c r="L29" s="4">
        <f t="shared" si="5"/>
        <v>0</v>
      </c>
      <c r="M29" s="4">
        <f t="shared" si="6"/>
        <v>3678056.1080385451</v>
      </c>
      <c r="N29" s="4">
        <f t="shared" si="7"/>
        <v>37030.788611449301</v>
      </c>
      <c r="O29" s="182">
        <f t="shared" si="8"/>
        <v>1.0170428756391067E-2</v>
      </c>
    </row>
    <row r="30" spans="1:21" x14ac:dyDescent="0.35">
      <c r="A30" s="1">
        <f>MonthlyData!A30</f>
        <v>42491</v>
      </c>
      <c r="B30" s="13">
        <f t="shared" si="0"/>
        <v>2016</v>
      </c>
      <c r="C30" s="13">
        <f t="shared" si="1"/>
        <v>5</v>
      </c>
      <c r="D30" s="4">
        <f>MonthlyData!F30</f>
        <v>3177152.5735410037</v>
      </c>
      <c r="E30" s="4">
        <f>MonthlyData!AF30</f>
        <v>72.507170139097227</v>
      </c>
      <c r="F30">
        <f>MonthlyData!BP30</f>
        <v>0</v>
      </c>
      <c r="G30">
        <f>MonthlyData!BN30</f>
        <v>0</v>
      </c>
      <c r="H30" s="4"/>
      <c r="I30" s="4">
        <f t="shared" si="2"/>
        <v>2993597.51664689</v>
      </c>
      <c r="J30" s="4">
        <f t="shared" si="3"/>
        <v>137141.70788034974</v>
      </c>
      <c r="K30" s="4">
        <f t="shared" si="4"/>
        <v>0</v>
      </c>
      <c r="L30" s="4">
        <f t="shared" si="5"/>
        <v>0</v>
      </c>
      <c r="M30" s="4">
        <f t="shared" si="6"/>
        <v>3130739.2245272398</v>
      </c>
      <c r="N30" s="4">
        <f t="shared" si="7"/>
        <v>-46413.349013763946</v>
      </c>
      <c r="O30" s="182">
        <f t="shared" si="8"/>
        <v>1.4608473448927033E-2</v>
      </c>
    </row>
    <row r="31" spans="1:21" x14ac:dyDescent="0.35">
      <c r="A31" s="1">
        <f>MonthlyData!A31</f>
        <v>42522</v>
      </c>
      <c r="B31" s="13">
        <f t="shared" si="0"/>
        <v>2016</v>
      </c>
      <c r="C31" s="13">
        <f t="shared" si="1"/>
        <v>6</v>
      </c>
      <c r="D31" s="4">
        <f>MonthlyData!F31</f>
        <v>2739869.6835225313</v>
      </c>
      <c r="E31" s="4">
        <f>MonthlyData!AF31</f>
        <v>10.937500000000002</v>
      </c>
      <c r="F31">
        <f>MonthlyData!BP31</f>
        <v>0</v>
      </c>
      <c r="G31">
        <f>MonthlyData!BN31</f>
        <v>0</v>
      </c>
      <c r="H31" s="4"/>
      <c r="I31" s="4">
        <f t="shared" si="2"/>
        <v>2993597.51664689</v>
      </c>
      <c r="J31" s="4">
        <f t="shared" si="3"/>
        <v>20687.435836535347</v>
      </c>
      <c r="K31" s="4">
        <f t="shared" si="4"/>
        <v>0</v>
      </c>
      <c r="L31" s="4">
        <f t="shared" si="5"/>
        <v>0</v>
      </c>
      <c r="M31" s="4">
        <f t="shared" si="6"/>
        <v>3014284.9524834254</v>
      </c>
      <c r="N31" s="4">
        <f t="shared" si="7"/>
        <v>274415.26896089409</v>
      </c>
      <c r="O31" s="182">
        <f t="shared" si="8"/>
        <v>0.10015632152551515</v>
      </c>
    </row>
    <row r="32" spans="1:21" x14ac:dyDescent="0.35">
      <c r="A32" s="1">
        <f>MonthlyData!A32</f>
        <v>42552</v>
      </c>
      <c r="B32" s="13">
        <f t="shared" si="0"/>
        <v>2016</v>
      </c>
      <c r="C32" s="13">
        <f t="shared" si="1"/>
        <v>7</v>
      </c>
      <c r="D32" s="4">
        <f>MonthlyData!F32</f>
        <v>2763767.6378775481</v>
      </c>
      <c r="E32" s="4">
        <f>MonthlyData!AF32</f>
        <v>0</v>
      </c>
      <c r="F32">
        <f>MonthlyData!BP32</f>
        <v>0</v>
      </c>
      <c r="G32">
        <f>MonthlyData!BN32</f>
        <v>0</v>
      </c>
      <c r="H32" s="4"/>
      <c r="I32" s="4">
        <f t="shared" si="2"/>
        <v>2993597.51664689</v>
      </c>
      <c r="J32" s="4">
        <f t="shared" si="3"/>
        <v>0</v>
      </c>
      <c r="K32" s="4">
        <f t="shared" si="4"/>
        <v>0</v>
      </c>
      <c r="L32" s="4">
        <f t="shared" si="5"/>
        <v>0</v>
      </c>
      <c r="M32" s="4">
        <f t="shared" si="6"/>
        <v>2993597.51664689</v>
      </c>
      <c r="N32" s="4">
        <f t="shared" si="7"/>
        <v>229829.87876934186</v>
      </c>
      <c r="O32" s="182">
        <f t="shared" si="8"/>
        <v>8.3158177127307664E-2</v>
      </c>
    </row>
    <row r="33" spans="1:15" x14ac:dyDescent="0.35">
      <c r="A33" s="1">
        <f>MonthlyData!A33</f>
        <v>42583</v>
      </c>
      <c r="B33" s="13">
        <f t="shared" si="0"/>
        <v>2016</v>
      </c>
      <c r="C33" s="13">
        <f t="shared" si="1"/>
        <v>8</v>
      </c>
      <c r="D33" s="4">
        <f>MonthlyData!F33</f>
        <v>2903630.3248763289</v>
      </c>
      <c r="E33" s="4">
        <f>MonthlyData!AF33</f>
        <v>0</v>
      </c>
      <c r="F33">
        <f>MonthlyData!BP33</f>
        <v>0</v>
      </c>
      <c r="G33">
        <f>MonthlyData!BN33</f>
        <v>0</v>
      </c>
      <c r="H33" s="4"/>
      <c r="I33" s="4">
        <f t="shared" si="2"/>
        <v>2993597.51664689</v>
      </c>
      <c r="J33" s="4">
        <f t="shared" si="3"/>
        <v>0</v>
      </c>
      <c r="K33" s="4">
        <f t="shared" si="4"/>
        <v>0</v>
      </c>
      <c r="L33" s="4">
        <f t="shared" si="5"/>
        <v>0</v>
      </c>
      <c r="M33" s="4">
        <f t="shared" si="6"/>
        <v>2993597.51664689</v>
      </c>
      <c r="N33" s="4">
        <f t="shared" si="7"/>
        <v>89967.191770561039</v>
      </c>
      <c r="O33" s="182">
        <f t="shared" si="8"/>
        <v>3.0984382205883221E-2</v>
      </c>
    </row>
    <row r="34" spans="1:15" x14ac:dyDescent="0.35">
      <c r="A34" s="1">
        <f>MonthlyData!A34</f>
        <v>42614</v>
      </c>
      <c r="B34" s="13">
        <f t="shared" si="0"/>
        <v>2016</v>
      </c>
      <c r="C34" s="13">
        <f t="shared" si="1"/>
        <v>9</v>
      </c>
      <c r="D34" s="4">
        <f>MonthlyData!F34</f>
        <v>3021284.2970265597</v>
      </c>
      <c r="E34" s="4">
        <f>MonthlyData!AF34</f>
        <v>7.7458333333333318</v>
      </c>
      <c r="F34">
        <f>MonthlyData!BP34</f>
        <v>0</v>
      </c>
      <c r="G34">
        <f>MonthlyData!BN34</f>
        <v>0</v>
      </c>
      <c r="H34" s="4"/>
      <c r="I34" s="4">
        <f t="shared" si="2"/>
        <v>2993597.51664689</v>
      </c>
      <c r="J34" s="4">
        <f t="shared" si="3"/>
        <v>14650.645036235883</v>
      </c>
      <c r="K34" s="4">
        <f t="shared" si="4"/>
        <v>0</v>
      </c>
      <c r="L34" s="4">
        <f t="shared" si="5"/>
        <v>0</v>
      </c>
      <c r="M34" s="4">
        <f t="shared" si="6"/>
        <v>3008248.1616831259</v>
      </c>
      <c r="N34" s="4">
        <f t="shared" si="7"/>
        <v>-13036.135343433823</v>
      </c>
      <c r="O34" s="182">
        <f t="shared" si="8"/>
        <v>4.3147661927292053E-3</v>
      </c>
    </row>
    <row r="35" spans="1:15" x14ac:dyDescent="0.35">
      <c r="A35" s="1">
        <f>MonthlyData!A35</f>
        <v>42644</v>
      </c>
      <c r="B35" s="13">
        <f t="shared" si="0"/>
        <v>2016</v>
      </c>
      <c r="C35" s="13">
        <f t="shared" si="1"/>
        <v>10</v>
      </c>
      <c r="D35" s="4">
        <f>MonthlyData!F35</f>
        <v>2625003.7267804854</v>
      </c>
      <c r="E35" s="4">
        <f>MonthlyData!AF35</f>
        <v>165.32732502849939</v>
      </c>
      <c r="F35">
        <f>MonthlyData!BP35</f>
        <v>1</v>
      </c>
      <c r="G35">
        <f>MonthlyData!BN35</f>
        <v>0</v>
      </c>
      <c r="H35" s="4"/>
      <c r="I35" s="4">
        <f t="shared" si="2"/>
        <v>2993597.51664689</v>
      </c>
      <c r="J35" s="4">
        <f t="shared" si="3"/>
        <v>312703.8563248553</v>
      </c>
      <c r="K35" s="4">
        <f t="shared" si="4"/>
        <v>-602637.76155081904</v>
      </c>
      <c r="L35" s="4">
        <f t="shared" si="5"/>
        <v>0</v>
      </c>
      <c r="M35" s="4">
        <f t="shared" ref="M35:M86" si="9">SUM(I35:L35)</f>
        <v>2703663.6114209262</v>
      </c>
      <c r="N35" s="4">
        <f t="shared" ref="N35:N86" si="10">M35-D35</f>
        <v>78659.88464044081</v>
      </c>
      <c r="O35" s="182">
        <f t="shared" ref="O35:O86" si="11">ABS(N35/D35)</f>
        <v>2.9965627796237678E-2</v>
      </c>
    </row>
    <row r="36" spans="1:15" x14ac:dyDescent="0.35">
      <c r="A36" s="1">
        <f>MonthlyData!A36</f>
        <v>42675</v>
      </c>
      <c r="B36" s="13">
        <f t="shared" si="0"/>
        <v>2016</v>
      </c>
      <c r="C36" s="13">
        <f t="shared" si="1"/>
        <v>11</v>
      </c>
      <c r="D36" s="4">
        <f>MonthlyData!F36</f>
        <v>3032250.0202558096</v>
      </c>
      <c r="E36" s="4">
        <f>MonthlyData!AF36</f>
        <v>267.69583333333338</v>
      </c>
      <c r="F36">
        <f>MonthlyData!BP36</f>
        <v>1</v>
      </c>
      <c r="G36">
        <f>MonthlyData!BN36</f>
        <v>0</v>
      </c>
      <c r="H36" s="4"/>
      <c r="I36" s="4">
        <f t="shared" si="2"/>
        <v>2993597.51664689</v>
      </c>
      <c r="J36" s="4">
        <f t="shared" si="3"/>
        <v>506325.97721519484</v>
      </c>
      <c r="K36" s="4">
        <f t="shared" si="4"/>
        <v>-602637.76155081904</v>
      </c>
      <c r="L36" s="4">
        <f t="shared" si="5"/>
        <v>0</v>
      </c>
      <c r="M36" s="4">
        <f t="shared" si="9"/>
        <v>2897285.732311266</v>
      </c>
      <c r="N36" s="4">
        <f t="shared" si="10"/>
        <v>-134964.28794454364</v>
      </c>
      <c r="O36" s="182">
        <f t="shared" si="11"/>
        <v>4.4509617295066473E-2</v>
      </c>
    </row>
    <row r="37" spans="1:15" x14ac:dyDescent="0.35">
      <c r="A37" s="1">
        <f>MonthlyData!A37</f>
        <v>42705</v>
      </c>
      <c r="B37" s="13">
        <f t="shared" si="0"/>
        <v>2016</v>
      </c>
      <c r="C37" s="13">
        <f t="shared" si="1"/>
        <v>12</v>
      </c>
      <c r="D37" s="4">
        <f>MonthlyData!F37</f>
        <v>3246789.110919965</v>
      </c>
      <c r="E37" s="4">
        <f>MonthlyData!AF37</f>
        <v>649.50833333333321</v>
      </c>
      <c r="F37">
        <f>MonthlyData!BP37</f>
        <v>0</v>
      </c>
      <c r="G37">
        <f>MonthlyData!BN37</f>
        <v>1</v>
      </c>
      <c r="H37" s="4"/>
      <c r="I37" s="4">
        <f t="shared" si="2"/>
        <v>2993597.51664689</v>
      </c>
      <c r="J37" s="4">
        <f t="shared" si="3"/>
        <v>1228494.8087888767</v>
      </c>
      <c r="K37" s="4">
        <f t="shared" si="4"/>
        <v>0</v>
      </c>
      <c r="L37" s="4">
        <f t="shared" si="5"/>
        <v>-626381.313089823</v>
      </c>
      <c r="M37" s="4">
        <f t="shared" si="9"/>
        <v>3595711.0123459441</v>
      </c>
      <c r="N37" s="4">
        <f t="shared" si="10"/>
        <v>348921.9014259791</v>
      </c>
      <c r="O37" s="182">
        <f t="shared" si="11"/>
        <v>0.10746675854383207</v>
      </c>
    </row>
    <row r="38" spans="1:15" x14ac:dyDescent="0.35">
      <c r="A38" s="1">
        <f>MonthlyData!A38</f>
        <v>42736</v>
      </c>
      <c r="B38" s="13">
        <f t="shared" si="0"/>
        <v>2017</v>
      </c>
      <c r="C38" s="13">
        <f t="shared" si="1"/>
        <v>1</v>
      </c>
      <c r="D38" s="4">
        <f>MonthlyData!F38</f>
        <v>4284025.074772466</v>
      </c>
      <c r="E38" s="4">
        <f>MonthlyData!AF38</f>
        <v>625.60416666666674</v>
      </c>
      <c r="F38">
        <f>MonthlyData!BP38</f>
        <v>0</v>
      </c>
      <c r="G38">
        <f>MonthlyData!BN38</f>
        <v>0</v>
      </c>
      <c r="H38" s="4"/>
      <c r="I38" s="4">
        <f t="shared" si="2"/>
        <v>2993597.51664689</v>
      </c>
      <c r="J38" s="4">
        <f t="shared" si="3"/>
        <v>1183281.9252101332</v>
      </c>
      <c r="K38" s="4">
        <f t="shared" si="4"/>
        <v>0</v>
      </c>
      <c r="L38" s="4">
        <f t="shared" si="5"/>
        <v>0</v>
      </c>
      <c r="M38" s="4">
        <f t="shared" si="9"/>
        <v>4176879.4418570232</v>
      </c>
      <c r="N38" s="4">
        <f t="shared" si="10"/>
        <v>-107145.63291544281</v>
      </c>
      <c r="O38" s="182">
        <f t="shared" si="11"/>
        <v>2.5010505551518871E-2</v>
      </c>
    </row>
    <row r="39" spans="1:15" x14ac:dyDescent="0.35">
      <c r="A39" s="1">
        <f>MonthlyData!A39</f>
        <v>42767</v>
      </c>
      <c r="B39" s="13">
        <f t="shared" si="0"/>
        <v>2017</v>
      </c>
      <c r="C39" s="13">
        <f t="shared" si="1"/>
        <v>2</v>
      </c>
      <c r="D39" s="4">
        <f>MonthlyData!F39</f>
        <v>4141946.425713704</v>
      </c>
      <c r="E39" s="4">
        <f>MonthlyData!AF39</f>
        <v>608.23750000000007</v>
      </c>
      <c r="F39">
        <f>MonthlyData!BP39</f>
        <v>0</v>
      </c>
      <c r="G39">
        <f>MonthlyData!BN39</f>
        <v>0</v>
      </c>
      <c r="H39" s="4"/>
      <c r="I39" s="4">
        <f t="shared" si="2"/>
        <v>2993597.51664689</v>
      </c>
      <c r="J39" s="4">
        <f t="shared" si="3"/>
        <v>1150434.2175656839</v>
      </c>
      <c r="K39" s="4">
        <f t="shared" si="4"/>
        <v>0</v>
      </c>
      <c r="L39" s="4">
        <f t="shared" si="5"/>
        <v>0</v>
      </c>
      <c r="M39" s="4">
        <f t="shared" si="9"/>
        <v>4144031.7342125736</v>
      </c>
      <c r="N39" s="4">
        <f t="shared" si="10"/>
        <v>2085.3084988696501</v>
      </c>
      <c r="O39" s="182">
        <f t="shared" si="11"/>
        <v>5.0346100227752894E-4</v>
      </c>
    </row>
    <row r="40" spans="1:15" x14ac:dyDescent="0.35">
      <c r="A40" s="1">
        <f>MonthlyData!A40</f>
        <v>42795</v>
      </c>
      <c r="B40" s="13">
        <f t="shared" si="0"/>
        <v>2017</v>
      </c>
      <c r="C40" s="13">
        <f t="shared" si="1"/>
        <v>3</v>
      </c>
      <c r="D40" s="4">
        <f>MonthlyData!F40</f>
        <v>3631178.1721385596</v>
      </c>
      <c r="E40" s="4">
        <f>MonthlyData!AF40</f>
        <v>573.71046635567325</v>
      </c>
      <c r="F40">
        <f>MonthlyData!BP40</f>
        <v>0</v>
      </c>
      <c r="G40">
        <f>MonthlyData!BN40</f>
        <v>0</v>
      </c>
      <c r="H40" s="4"/>
      <c r="I40" s="4">
        <f t="shared" si="2"/>
        <v>2993597.51664689</v>
      </c>
      <c r="J40" s="4">
        <f t="shared" si="3"/>
        <v>1085129.0021926179</v>
      </c>
      <c r="K40" s="4">
        <f t="shared" si="4"/>
        <v>0</v>
      </c>
      <c r="L40" s="4">
        <f t="shared" si="5"/>
        <v>0</v>
      </c>
      <c r="M40" s="4">
        <f t="shared" si="9"/>
        <v>4078726.5188395078</v>
      </c>
      <c r="N40" s="4">
        <f t="shared" si="10"/>
        <v>447548.3467009482</v>
      </c>
      <c r="O40" s="182">
        <f t="shared" si="11"/>
        <v>0.12325155238454394</v>
      </c>
    </row>
    <row r="41" spans="1:15" x14ac:dyDescent="0.35">
      <c r="A41" s="1">
        <f>MonthlyData!A41</f>
        <v>42826</v>
      </c>
      <c r="B41" s="13">
        <f t="shared" si="0"/>
        <v>2017</v>
      </c>
      <c r="C41" s="13">
        <f t="shared" si="1"/>
        <v>4</v>
      </c>
      <c r="D41" s="4">
        <f>MonthlyData!F41</f>
        <v>3784627.5028657969</v>
      </c>
      <c r="E41" s="4">
        <f>MonthlyData!AF41</f>
        <v>246.73333333333338</v>
      </c>
      <c r="F41">
        <f>MonthlyData!BP41</f>
        <v>0</v>
      </c>
      <c r="G41">
        <f>MonthlyData!BN41</f>
        <v>0</v>
      </c>
      <c r="H41" s="4"/>
      <c r="I41" s="4">
        <f t="shared" si="2"/>
        <v>2993597.51664689</v>
      </c>
      <c r="J41" s="4">
        <f t="shared" si="3"/>
        <v>466677.02876048652</v>
      </c>
      <c r="K41" s="4">
        <f t="shared" si="4"/>
        <v>0</v>
      </c>
      <c r="L41" s="4">
        <f t="shared" si="5"/>
        <v>0</v>
      </c>
      <c r="M41" s="4">
        <f t="shared" si="9"/>
        <v>3460274.5454073763</v>
      </c>
      <c r="N41" s="4">
        <f t="shared" si="10"/>
        <v>-324352.95745842066</v>
      </c>
      <c r="O41" s="182">
        <f t="shared" si="11"/>
        <v>8.5702742796434792E-2</v>
      </c>
    </row>
    <row r="42" spans="1:15" x14ac:dyDescent="0.35">
      <c r="A42" s="1">
        <f>MonthlyData!A42</f>
        <v>42856</v>
      </c>
      <c r="B42" s="13">
        <f t="shared" si="0"/>
        <v>2017</v>
      </c>
      <c r="C42" s="13">
        <f t="shared" si="1"/>
        <v>5</v>
      </c>
      <c r="D42" s="4">
        <f>MonthlyData!F42</f>
        <v>3010340.6759071886</v>
      </c>
      <c r="E42" s="4">
        <f>MonthlyData!AF42</f>
        <v>94.194629289914161</v>
      </c>
      <c r="F42">
        <f>MonthlyData!BP42</f>
        <v>0</v>
      </c>
      <c r="G42">
        <f>MonthlyData!BN42</f>
        <v>0</v>
      </c>
      <c r="H42" s="4"/>
      <c r="I42" s="4">
        <f t="shared" si="2"/>
        <v>2993597.51664689</v>
      </c>
      <c r="J42" s="4">
        <f t="shared" si="3"/>
        <v>178161.86053315035</v>
      </c>
      <c r="K42" s="4">
        <f t="shared" si="4"/>
        <v>0</v>
      </c>
      <c r="L42" s="4">
        <f t="shared" si="5"/>
        <v>0</v>
      </c>
      <c r="M42" s="4">
        <f t="shared" si="9"/>
        <v>3171759.3771800403</v>
      </c>
      <c r="N42" s="4">
        <f t="shared" si="10"/>
        <v>161418.70127285179</v>
      </c>
      <c r="O42" s="182">
        <f t="shared" si="11"/>
        <v>5.3621406561968961E-2</v>
      </c>
    </row>
    <row r="43" spans="1:15" x14ac:dyDescent="0.35">
      <c r="A43" s="1">
        <f>MonthlyData!A43</f>
        <v>42887</v>
      </c>
      <c r="B43" s="13">
        <f t="shared" si="0"/>
        <v>2017</v>
      </c>
      <c r="C43" s="13">
        <f t="shared" si="1"/>
        <v>6</v>
      </c>
      <c r="D43" s="4">
        <f>MonthlyData!F43</f>
        <v>2828775.0668538539</v>
      </c>
      <c r="E43" s="4">
        <f>MonthlyData!AF43</f>
        <v>4.8083333333333345</v>
      </c>
      <c r="F43">
        <f>MonthlyData!BP43</f>
        <v>0</v>
      </c>
      <c r="G43">
        <f>MonthlyData!BN43</f>
        <v>0</v>
      </c>
      <c r="H43" s="4"/>
      <c r="I43" s="4">
        <f t="shared" si="2"/>
        <v>2993597.51664689</v>
      </c>
      <c r="J43" s="4">
        <f t="shared" si="3"/>
        <v>9094.5908401378256</v>
      </c>
      <c r="K43" s="4">
        <f t="shared" si="4"/>
        <v>0</v>
      </c>
      <c r="L43" s="4">
        <f t="shared" si="5"/>
        <v>0</v>
      </c>
      <c r="M43" s="4">
        <f t="shared" si="9"/>
        <v>3002692.107487028</v>
      </c>
      <c r="N43" s="4">
        <f t="shared" si="10"/>
        <v>173917.04063317413</v>
      </c>
      <c r="O43" s="182">
        <f t="shared" si="11"/>
        <v>6.1481396195493046E-2</v>
      </c>
    </row>
    <row r="44" spans="1:15" x14ac:dyDescent="0.35">
      <c r="A44" s="1">
        <f>MonthlyData!A44</f>
        <v>42917</v>
      </c>
      <c r="B44" s="13">
        <f t="shared" si="0"/>
        <v>2017</v>
      </c>
      <c r="C44" s="13">
        <f t="shared" si="1"/>
        <v>7</v>
      </c>
      <c r="D44" s="4">
        <f>MonthlyData!F44</f>
        <v>2615197.0309777902</v>
      </c>
      <c r="E44" s="4">
        <f>MonthlyData!AF44</f>
        <v>0</v>
      </c>
      <c r="F44">
        <f>MonthlyData!BP44</f>
        <v>0</v>
      </c>
      <c r="G44">
        <f>MonthlyData!BN44</f>
        <v>0</v>
      </c>
      <c r="H44" s="4"/>
      <c r="I44" s="4">
        <f t="shared" si="2"/>
        <v>2993597.51664689</v>
      </c>
      <c r="J44" s="4">
        <f t="shared" si="3"/>
        <v>0</v>
      </c>
      <c r="K44" s="4">
        <f t="shared" si="4"/>
        <v>0</v>
      </c>
      <c r="L44" s="4">
        <f t="shared" si="5"/>
        <v>0</v>
      </c>
      <c r="M44" s="4">
        <f t="shared" si="9"/>
        <v>2993597.51664689</v>
      </c>
      <c r="N44" s="4">
        <f t="shared" si="10"/>
        <v>378400.48566909973</v>
      </c>
      <c r="O44" s="182">
        <f t="shared" si="11"/>
        <v>0.1446929165133001</v>
      </c>
    </row>
    <row r="45" spans="1:15" x14ac:dyDescent="0.35">
      <c r="A45" s="1">
        <f>MonthlyData!A45</f>
        <v>42948</v>
      </c>
      <c r="B45" s="13">
        <f t="shared" si="0"/>
        <v>2017</v>
      </c>
      <c r="C45" s="13">
        <f t="shared" si="1"/>
        <v>8</v>
      </c>
      <c r="D45" s="4">
        <f>MonthlyData!F45</f>
        <v>2773486.081661527</v>
      </c>
      <c r="E45" s="4">
        <f>MonthlyData!AF45</f>
        <v>2.2708333333333357</v>
      </c>
      <c r="F45">
        <f>MonthlyData!BP45</f>
        <v>0</v>
      </c>
      <c r="G45">
        <f>MonthlyData!BN45</f>
        <v>0</v>
      </c>
      <c r="H45" s="4"/>
      <c r="I45" s="4">
        <f t="shared" si="2"/>
        <v>2993597.51664689</v>
      </c>
      <c r="J45" s="4">
        <f t="shared" si="3"/>
        <v>4295.105726061628</v>
      </c>
      <c r="K45" s="4">
        <f t="shared" si="4"/>
        <v>0</v>
      </c>
      <c r="L45" s="4">
        <f t="shared" si="5"/>
        <v>0</v>
      </c>
      <c r="M45" s="4">
        <f t="shared" si="9"/>
        <v>2997892.6223729518</v>
      </c>
      <c r="N45" s="4">
        <f t="shared" si="10"/>
        <v>224406.54071142478</v>
      </c>
      <c r="O45" s="182">
        <f t="shared" si="11"/>
        <v>8.0911363570639716E-2</v>
      </c>
    </row>
    <row r="46" spans="1:15" x14ac:dyDescent="0.35">
      <c r="A46" s="1">
        <f>MonthlyData!A46</f>
        <v>42979</v>
      </c>
      <c r="B46" s="13">
        <f t="shared" si="0"/>
        <v>2017</v>
      </c>
      <c r="C46" s="13">
        <f t="shared" si="1"/>
        <v>9</v>
      </c>
      <c r="D46" s="4">
        <f>MonthlyData!F46</f>
        <v>2668600.8868638426</v>
      </c>
      <c r="E46" s="4">
        <f>MonthlyData!AF46</f>
        <v>19.666666666666668</v>
      </c>
      <c r="F46">
        <f>MonthlyData!BP46</f>
        <v>0</v>
      </c>
      <c r="G46">
        <f>MonthlyData!BN46</f>
        <v>0</v>
      </c>
      <c r="H46" s="4"/>
      <c r="I46" s="4">
        <f t="shared" si="2"/>
        <v>2993597.51664689</v>
      </c>
      <c r="J46" s="4">
        <f t="shared" si="3"/>
        <v>37197.97986607498</v>
      </c>
      <c r="K46" s="4">
        <f t="shared" si="4"/>
        <v>0</v>
      </c>
      <c r="L46" s="4">
        <f t="shared" si="5"/>
        <v>0</v>
      </c>
      <c r="M46" s="4">
        <f t="shared" si="9"/>
        <v>3030795.4965129648</v>
      </c>
      <c r="N46" s="4">
        <f t="shared" si="10"/>
        <v>362194.60964912223</v>
      </c>
      <c r="O46" s="182">
        <f t="shared" si="11"/>
        <v>0.13572453319341271</v>
      </c>
    </row>
    <row r="47" spans="1:15" x14ac:dyDescent="0.35">
      <c r="A47" s="1">
        <f>MonthlyData!A47</f>
        <v>43009</v>
      </c>
      <c r="B47" s="13">
        <f t="shared" si="0"/>
        <v>2017</v>
      </c>
      <c r="C47" s="13">
        <f t="shared" si="1"/>
        <v>10</v>
      </c>
      <c r="D47" s="4">
        <f>MonthlyData!F47</f>
        <v>2649865.1236280049</v>
      </c>
      <c r="E47" s="4">
        <f>MonthlyData!AF47</f>
        <v>119.86995575588458</v>
      </c>
      <c r="F47">
        <f>MonthlyData!BP47</f>
        <v>1</v>
      </c>
      <c r="G47">
        <f>MonthlyData!BN47</f>
        <v>0</v>
      </c>
      <c r="H47" s="4"/>
      <c r="I47" s="4">
        <f t="shared" si="2"/>
        <v>2993597.51664689</v>
      </c>
      <c r="J47" s="4">
        <f t="shared" si="3"/>
        <v>226724.75597057759</v>
      </c>
      <c r="K47" s="4">
        <f t="shared" si="4"/>
        <v>-602637.76155081904</v>
      </c>
      <c r="L47" s="4">
        <f t="shared" si="5"/>
        <v>0</v>
      </c>
      <c r="M47" s="4">
        <f t="shared" si="9"/>
        <v>2617684.5110666486</v>
      </c>
      <c r="N47" s="4">
        <f t="shared" si="10"/>
        <v>-32180.612561356276</v>
      </c>
      <c r="O47" s="182">
        <f t="shared" si="11"/>
        <v>1.214424548419917E-2</v>
      </c>
    </row>
    <row r="48" spans="1:15" x14ac:dyDescent="0.35">
      <c r="A48" s="1">
        <f>MonthlyData!A48</f>
        <v>43040</v>
      </c>
      <c r="B48" s="13">
        <f t="shared" si="0"/>
        <v>2017</v>
      </c>
      <c r="C48" s="13">
        <f t="shared" si="1"/>
        <v>11</v>
      </c>
      <c r="D48" s="4">
        <f>MonthlyData!F48</f>
        <v>2903496.7581354552</v>
      </c>
      <c r="E48" s="4">
        <f>MonthlyData!AF48</f>
        <v>468.65833333333336</v>
      </c>
      <c r="F48">
        <f>MonthlyData!BP48</f>
        <v>1</v>
      </c>
      <c r="G48">
        <f>MonthlyData!BN48</f>
        <v>0</v>
      </c>
      <c r="H48" s="4"/>
      <c r="I48" s="4">
        <f t="shared" si="2"/>
        <v>2993597.51664689</v>
      </c>
      <c r="J48" s="4">
        <f t="shared" si="3"/>
        <v>886431.01257974189</v>
      </c>
      <c r="K48" s="4">
        <f t="shared" si="4"/>
        <v>-602637.76155081904</v>
      </c>
      <c r="L48" s="4">
        <f t="shared" si="5"/>
        <v>0</v>
      </c>
      <c r="M48" s="4">
        <f t="shared" si="9"/>
        <v>3277390.7676758128</v>
      </c>
      <c r="N48" s="4">
        <f t="shared" si="10"/>
        <v>373894.00954035763</v>
      </c>
      <c r="O48" s="182">
        <f t="shared" si="11"/>
        <v>0.12877369623118229</v>
      </c>
    </row>
    <row r="49" spans="1:15" x14ac:dyDescent="0.35">
      <c r="A49" s="1">
        <f>MonthlyData!A49</f>
        <v>43070</v>
      </c>
      <c r="B49" s="13">
        <f t="shared" si="0"/>
        <v>2017</v>
      </c>
      <c r="C49" s="13">
        <f t="shared" si="1"/>
        <v>12</v>
      </c>
      <c r="D49" s="4">
        <f>MonthlyData!F49</f>
        <v>3605157.3879918298</v>
      </c>
      <c r="E49" s="4">
        <f>MonthlyData!AF49</f>
        <v>807.0920673261536</v>
      </c>
      <c r="F49">
        <f>MonthlyData!BP49</f>
        <v>0</v>
      </c>
      <c r="G49">
        <f>MonthlyData!BN49</f>
        <v>1</v>
      </c>
      <c r="H49" s="4"/>
      <c r="I49" s="4">
        <f t="shared" si="2"/>
        <v>2993597.51664689</v>
      </c>
      <c r="J49" s="4">
        <f t="shared" si="3"/>
        <v>1526552.2612101911</v>
      </c>
      <c r="K49" s="4">
        <f t="shared" si="4"/>
        <v>0</v>
      </c>
      <c r="L49" s="4">
        <f t="shared" si="5"/>
        <v>-626381.313089823</v>
      </c>
      <c r="M49" s="4">
        <f t="shared" si="9"/>
        <v>3893768.4647672581</v>
      </c>
      <c r="N49" s="4">
        <f t="shared" si="10"/>
        <v>288611.07677542837</v>
      </c>
      <c r="O49" s="182">
        <f t="shared" si="11"/>
        <v>8.0055056052959886E-2</v>
      </c>
    </row>
    <row r="50" spans="1:15" x14ac:dyDescent="0.35">
      <c r="A50" s="1">
        <f>MonthlyData!A50</f>
        <v>43101</v>
      </c>
      <c r="B50" s="13">
        <f t="shared" si="0"/>
        <v>2018</v>
      </c>
      <c r="C50" s="13">
        <f t="shared" si="1"/>
        <v>1</v>
      </c>
      <c r="D50" s="4">
        <f>MonthlyData!F50</f>
        <v>4536154.7431210773</v>
      </c>
      <c r="E50" s="4">
        <f>MonthlyData!AF50</f>
        <v>810.98333333333335</v>
      </c>
      <c r="F50">
        <f>MonthlyData!BP50</f>
        <v>0</v>
      </c>
      <c r="G50">
        <f>MonthlyData!BN50</f>
        <v>0</v>
      </c>
      <c r="H50" s="4"/>
      <c r="I50" s="4">
        <f t="shared" si="2"/>
        <v>2993597.51664689</v>
      </c>
      <c r="J50" s="4">
        <f t="shared" si="3"/>
        <v>1533912.2900875784</v>
      </c>
      <c r="K50" s="4">
        <f t="shared" si="4"/>
        <v>0</v>
      </c>
      <c r="L50" s="4">
        <f t="shared" si="5"/>
        <v>0</v>
      </c>
      <c r="M50" s="4">
        <f t="shared" si="9"/>
        <v>4527509.8067344688</v>
      </c>
      <c r="N50" s="4">
        <f t="shared" si="10"/>
        <v>-8644.9363866085187</v>
      </c>
      <c r="O50" s="182">
        <f t="shared" si="11"/>
        <v>1.9057851586122073E-3</v>
      </c>
    </row>
    <row r="51" spans="1:15" x14ac:dyDescent="0.35">
      <c r="A51" s="1">
        <f>MonthlyData!A51</f>
        <v>43132</v>
      </c>
      <c r="B51" s="13">
        <f t="shared" si="0"/>
        <v>2018</v>
      </c>
      <c r="C51" s="13">
        <f t="shared" si="1"/>
        <v>2</v>
      </c>
      <c r="D51" s="4">
        <f>MonthlyData!F51</f>
        <v>4527153.7188929524</v>
      </c>
      <c r="E51" s="4">
        <f>MonthlyData!AF51</f>
        <v>705.50416666666672</v>
      </c>
      <c r="F51">
        <f>MonthlyData!BP51</f>
        <v>0</v>
      </c>
      <c r="G51">
        <f>MonthlyData!BN51</f>
        <v>0</v>
      </c>
      <c r="H51" s="4"/>
      <c r="I51" s="4">
        <f t="shared" si="2"/>
        <v>2993597.51664689</v>
      </c>
      <c r="J51" s="4">
        <f t="shared" si="3"/>
        <v>1334406.5993440005</v>
      </c>
      <c r="K51" s="4">
        <f t="shared" si="4"/>
        <v>0</v>
      </c>
      <c r="L51" s="4">
        <f t="shared" si="5"/>
        <v>0</v>
      </c>
      <c r="M51" s="4">
        <f t="shared" si="9"/>
        <v>4328004.1159908902</v>
      </c>
      <c r="N51" s="4">
        <f t="shared" si="10"/>
        <v>-199149.60290206224</v>
      </c>
      <c r="O51" s="182">
        <f t="shared" si="11"/>
        <v>4.3990024476297504E-2</v>
      </c>
    </row>
    <row r="52" spans="1:15" x14ac:dyDescent="0.35">
      <c r="A52" s="1">
        <f>MonthlyData!A52</f>
        <v>43160</v>
      </c>
      <c r="B52" s="13">
        <f t="shared" si="0"/>
        <v>2018</v>
      </c>
      <c r="C52" s="13">
        <f t="shared" si="1"/>
        <v>3</v>
      </c>
      <c r="D52" s="4">
        <f>MonthlyData!F52</f>
        <v>3823633.2459336612</v>
      </c>
      <c r="E52" s="4">
        <f>MonthlyData!AF52</f>
        <v>624.80416666666656</v>
      </c>
      <c r="F52">
        <f>MonthlyData!BP52</f>
        <v>0</v>
      </c>
      <c r="G52">
        <f>MonthlyData!BN52</f>
        <v>0</v>
      </c>
      <c r="H52" s="4"/>
      <c r="I52" s="4">
        <f t="shared" si="2"/>
        <v>2993597.51664689</v>
      </c>
      <c r="J52" s="4">
        <f t="shared" si="3"/>
        <v>1181768.7870460891</v>
      </c>
      <c r="K52" s="4">
        <f t="shared" si="4"/>
        <v>0</v>
      </c>
      <c r="L52" s="4">
        <f t="shared" si="5"/>
        <v>0</v>
      </c>
      <c r="M52" s="4">
        <f t="shared" si="9"/>
        <v>4175366.3036929788</v>
      </c>
      <c r="N52" s="4">
        <f t="shared" si="10"/>
        <v>351733.05775931757</v>
      </c>
      <c r="O52" s="182">
        <f t="shared" si="11"/>
        <v>9.1989224681362142E-2</v>
      </c>
    </row>
    <row r="53" spans="1:15" x14ac:dyDescent="0.35">
      <c r="A53" s="1">
        <f>MonthlyData!A53</f>
        <v>43191</v>
      </c>
      <c r="B53" s="13">
        <f t="shared" si="0"/>
        <v>2018</v>
      </c>
      <c r="C53" s="13">
        <f t="shared" si="1"/>
        <v>4</v>
      </c>
      <c r="D53" s="4">
        <f>MonthlyData!F53</f>
        <v>3577310.9818680743</v>
      </c>
      <c r="E53" s="4">
        <f>MonthlyData!AF53</f>
        <v>402.86250000000007</v>
      </c>
      <c r="F53">
        <f>MonthlyData!BP53</f>
        <v>0</v>
      </c>
      <c r="G53">
        <f>MonthlyData!BN53</f>
        <v>0</v>
      </c>
      <c r="H53" s="4"/>
      <c r="I53" s="4">
        <f t="shared" si="2"/>
        <v>2993597.51664689</v>
      </c>
      <c r="J53" s="4">
        <f t="shared" si="3"/>
        <v>761983.27951508306</v>
      </c>
      <c r="K53" s="4">
        <f t="shared" si="4"/>
        <v>0</v>
      </c>
      <c r="L53" s="4">
        <f t="shared" si="5"/>
        <v>0</v>
      </c>
      <c r="M53" s="4">
        <f t="shared" si="9"/>
        <v>3755580.7961619729</v>
      </c>
      <c r="N53" s="4">
        <f t="shared" si="10"/>
        <v>178269.81429389864</v>
      </c>
      <c r="O53" s="182">
        <f t="shared" si="11"/>
        <v>4.9833468545920495E-2</v>
      </c>
    </row>
    <row r="54" spans="1:15" x14ac:dyDescent="0.35">
      <c r="A54" s="1">
        <f>MonthlyData!A54</f>
        <v>43221</v>
      </c>
      <c r="B54" s="13">
        <f t="shared" si="0"/>
        <v>2018</v>
      </c>
      <c r="C54" s="13">
        <f t="shared" si="1"/>
        <v>5</v>
      </c>
      <c r="D54" s="4">
        <f>MonthlyData!F54</f>
        <v>3186058.7873352217</v>
      </c>
      <c r="E54" s="4">
        <f>MonthlyData!AF54</f>
        <v>71.978468478130409</v>
      </c>
      <c r="F54">
        <f>MonthlyData!BP54</f>
        <v>0</v>
      </c>
      <c r="G54">
        <f>MonthlyData!BN54</f>
        <v>0</v>
      </c>
      <c r="H54" s="4"/>
      <c r="I54" s="4">
        <f t="shared" si="2"/>
        <v>2993597.51664689</v>
      </c>
      <c r="J54" s="4">
        <f t="shared" si="3"/>
        <v>136141.70955459698</v>
      </c>
      <c r="K54" s="4">
        <f t="shared" si="4"/>
        <v>0</v>
      </c>
      <c r="L54" s="4">
        <f t="shared" si="5"/>
        <v>0</v>
      </c>
      <c r="M54" s="4">
        <f t="shared" si="9"/>
        <v>3129739.2262014868</v>
      </c>
      <c r="N54" s="4">
        <f t="shared" si="10"/>
        <v>-56319.561133734882</v>
      </c>
      <c r="O54" s="182">
        <f t="shared" si="11"/>
        <v>1.7676874437348292E-2</v>
      </c>
    </row>
    <row r="55" spans="1:15" x14ac:dyDescent="0.35">
      <c r="A55" s="1">
        <f>MonthlyData!A55</f>
        <v>43252</v>
      </c>
      <c r="B55" s="13">
        <f t="shared" si="0"/>
        <v>2018</v>
      </c>
      <c r="C55" s="13">
        <f t="shared" si="1"/>
        <v>6</v>
      </c>
      <c r="D55" s="4">
        <f>MonthlyData!F55</f>
        <v>2724113.2649387745</v>
      </c>
      <c r="E55" s="4">
        <f>MonthlyData!AF55</f>
        <v>8.1458333333333357</v>
      </c>
      <c r="F55">
        <f>MonthlyData!BP55</f>
        <v>0</v>
      </c>
      <c r="G55">
        <f>MonthlyData!BN55</f>
        <v>0</v>
      </c>
      <c r="H55" s="4"/>
      <c r="I55" s="4">
        <f t="shared" si="2"/>
        <v>2993597.51664689</v>
      </c>
      <c r="J55" s="4">
        <f t="shared" si="3"/>
        <v>15407.214118257754</v>
      </c>
      <c r="K55" s="4">
        <f t="shared" si="4"/>
        <v>0</v>
      </c>
      <c r="L55" s="4">
        <f t="shared" si="5"/>
        <v>0</v>
      </c>
      <c r="M55" s="4">
        <f t="shared" si="9"/>
        <v>3009004.7307651476</v>
      </c>
      <c r="N55" s="4">
        <f t="shared" si="10"/>
        <v>284891.46582637308</v>
      </c>
      <c r="O55" s="182">
        <f t="shared" si="11"/>
        <v>0.10458135845272062</v>
      </c>
    </row>
    <row r="56" spans="1:15" x14ac:dyDescent="0.35">
      <c r="A56" s="1">
        <f>MonthlyData!A56</f>
        <v>43282</v>
      </c>
      <c r="B56" s="13">
        <f t="shared" si="0"/>
        <v>2018</v>
      </c>
      <c r="C56" s="13">
        <f t="shared" si="1"/>
        <v>7</v>
      </c>
      <c r="D56" s="4">
        <f>MonthlyData!F56</f>
        <v>2667498.1877178443</v>
      </c>
      <c r="E56" s="4">
        <f>MonthlyData!AF56</f>
        <v>0</v>
      </c>
      <c r="F56">
        <f>MonthlyData!BP56</f>
        <v>0</v>
      </c>
      <c r="G56">
        <f>MonthlyData!BN56</f>
        <v>0</v>
      </c>
      <c r="H56" s="4"/>
      <c r="I56" s="4">
        <f t="shared" si="2"/>
        <v>2993597.51664689</v>
      </c>
      <c r="J56" s="4">
        <f t="shared" si="3"/>
        <v>0</v>
      </c>
      <c r="K56" s="4">
        <f t="shared" si="4"/>
        <v>0</v>
      </c>
      <c r="L56" s="4">
        <f t="shared" si="5"/>
        <v>0</v>
      </c>
      <c r="M56" s="4">
        <f t="shared" si="9"/>
        <v>2993597.51664689</v>
      </c>
      <c r="N56" s="4">
        <f t="shared" si="10"/>
        <v>326099.3289290457</v>
      </c>
      <c r="O56" s="182">
        <f t="shared" si="11"/>
        <v>0.1222491285769297</v>
      </c>
    </row>
    <row r="57" spans="1:15" x14ac:dyDescent="0.35">
      <c r="A57" s="1">
        <f>MonthlyData!A57</f>
        <v>43313</v>
      </c>
      <c r="B57" s="13">
        <f t="shared" si="0"/>
        <v>2018</v>
      </c>
      <c r="C57" s="13">
        <f t="shared" si="1"/>
        <v>8</v>
      </c>
      <c r="D57" s="4">
        <f>MonthlyData!F57</f>
        <v>3163717.0850223936</v>
      </c>
      <c r="E57" s="4">
        <f>MonthlyData!AF57</f>
        <v>0.77916666666666679</v>
      </c>
      <c r="F57">
        <f>MonthlyData!BP57</f>
        <v>0</v>
      </c>
      <c r="G57">
        <f>MonthlyData!BN57</f>
        <v>0</v>
      </c>
      <c r="H57" s="4"/>
      <c r="I57" s="4">
        <f t="shared" si="2"/>
        <v>2993597.51664689</v>
      </c>
      <c r="J57" s="4">
        <f t="shared" si="3"/>
        <v>1473.7335243550895</v>
      </c>
      <c r="K57" s="4">
        <f t="shared" si="4"/>
        <v>0</v>
      </c>
      <c r="L57" s="4">
        <f t="shared" si="5"/>
        <v>0</v>
      </c>
      <c r="M57" s="4">
        <f t="shared" si="9"/>
        <v>2995071.2501712451</v>
      </c>
      <c r="N57" s="4">
        <f t="shared" si="10"/>
        <v>-168645.83485114854</v>
      </c>
      <c r="O57" s="182">
        <f t="shared" si="11"/>
        <v>5.3306231347154363E-2</v>
      </c>
    </row>
    <row r="58" spans="1:15" x14ac:dyDescent="0.35">
      <c r="A58" s="1">
        <f>MonthlyData!A58</f>
        <v>43344</v>
      </c>
      <c r="B58" s="13">
        <f t="shared" si="0"/>
        <v>2018</v>
      </c>
      <c r="C58" s="13">
        <f t="shared" si="1"/>
        <v>9</v>
      </c>
      <c r="D58" s="4">
        <f>MonthlyData!F58</f>
        <v>2861088.3165282067</v>
      </c>
      <c r="E58" s="4">
        <f>MonthlyData!AF58</f>
        <v>55.145833333333329</v>
      </c>
      <c r="F58">
        <f>MonthlyData!BP58</f>
        <v>0</v>
      </c>
      <c r="G58">
        <f>MonthlyData!BN58</f>
        <v>0</v>
      </c>
      <c r="H58" s="4"/>
      <c r="I58" s="4">
        <f t="shared" si="2"/>
        <v>2993597.51664689</v>
      </c>
      <c r="J58" s="4">
        <f t="shared" si="3"/>
        <v>104304.08125582675</v>
      </c>
      <c r="K58" s="4">
        <f t="shared" si="4"/>
        <v>0</v>
      </c>
      <c r="L58" s="4">
        <f t="shared" si="5"/>
        <v>0</v>
      </c>
      <c r="M58" s="4">
        <f t="shared" si="9"/>
        <v>3097901.5979027166</v>
      </c>
      <c r="N58" s="4">
        <f t="shared" si="10"/>
        <v>236813.28137450991</v>
      </c>
      <c r="O58" s="182">
        <f t="shared" si="11"/>
        <v>8.2770350012079136E-2</v>
      </c>
    </row>
    <row r="59" spans="1:15" x14ac:dyDescent="0.35">
      <c r="A59" s="1">
        <f>MonthlyData!A59</f>
        <v>43374</v>
      </c>
      <c r="B59" s="13">
        <f t="shared" si="0"/>
        <v>2018</v>
      </c>
      <c r="C59" s="13">
        <f t="shared" si="1"/>
        <v>10</v>
      </c>
      <c r="D59" s="4">
        <f>MonthlyData!F59</f>
        <v>2699552.3326085135</v>
      </c>
      <c r="E59" s="4">
        <f>MonthlyData!AF59</f>
        <v>285.1166956035878</v>
      </c>
      <c r="F59">
        <f>MonthlyData!BP59</f>
        <v>1</v>
      </c>
      <c r="G59">
        <f>MonthlyData!BN59</f>
        <v>0</v>
      </c>
      <c r="H59" s="4"/>
      <c r="I59" s="4">
        <f t="shared" si="2"/>
        <v>2993597.51664689</v>
      </c>
      <c r="J59" s="4">
        <f t="shared" si="3"/>
        <v>539276.19165478414</v>
      </c>
      <c r="K59" s="4">
        <f t="shared" si="4"/>
        <v>-602637.76155081904</v>
      </c>
      <c r="L59" s="4">
        <f t="shared" si="5"/>
        <v>0</v>
      </c>
      <c r="M59" s="4">
        <f t="shared" si="9"/>
        <v>2930235.9467508551</v>
      </c>
      <c r="N59" s="4">
        <f t="shared" si="10"/>
        <v>230683.61414234154</v>
      </c>
      <c r="O59" s="182">
        <f t="shared" si="11"/>
        <v>8.5452543873982767E-2</v>
      </c>
    </row>
    <row r="60" spans="1:15" x14ac:dyDescent="0.35">
      <c r="A60" s="1">
        <f>MonthlyData!A60</f>
        <v>43405</v>
      </c>
      <c r="B60" s="13">
        <f t="shared" si="0"/>
        <v>2018</v>
      </c>
      <c r="C60" s="13">
        <f t="shared" si="1"/>
        <v>11</v>
      </c>
      <c r="D60" s="4">
        <f>MonthlyData!F60</f>
        <v>3237543.4805977391</v>
      </c>
      <c r="E60" s="4">
        <f>MonthlyData!AF60</f>
        <v>510.11249999999995</v>
      </c>
      <c r="F60">
        <f>MonthlyData!BP60</f>
        <v>1</v>
      </c>
      <c r="G60">
        <f>MonthlyData!BN60</f>
        <v>0</v>
      </c>
      <c r="H60" s="4"/>
      <c r="I60" s="4">
        <f t="shared" si="2"/>
        <v>2993597.51664689</v>
      </c>
      <c r="J60" s="4">
        <f t="shared" si="3"/>
        <v>964838.36463219509</v>
      </c>
      <c r="K60" s="4">
        <f t="shared" si="4"/>
        <v>-602637.76155081904</v>
      </c>
      <c r="L60" s="4">
        <f t="shared" si="5"/>
        <v>0</v>
      </c>
      <c r="M60" s="4">
        <f t="shared" si="9"/>
        <v>3355798.1197282658</v>
      </c>
      <c r="N60" s="4">
        <f t="shared" si="10"/>
        <v>118254.63913052669</v>
      </c>
      <c r="O60" s="182">
        <f t="shared" si="11"/>
        <v>3.652603890548943E-2</v>
      </c>
    </row>
    <row r="61" spans="1:15" x14ac:dyDescent="0.35">
      <c r="A61" s="1">
        <f>MonthlyData!A61</f>
        <v>43435</v>
      </c>
      <c r="B61" s="13">
        <f t="shared" si="0"/>
        <v>2018</v>
      </c>
      <c r="C61" s="13">
        <f t="shared" si="1"/>
        <v>12</v>
      </c>
      <c r="D61" s="4">
        <f>MonthlyData!F61</f>
        <v>3603896.0650398619</v>
      </c>
      <c r="E61" s="4">
        <f>MonthlyData!AF61</f>
        <v>622.70000000000005</v>
      </c>
      <c r="F61">
        <f>MonthlyData!BP61</f>
        <v>0</v>
      </c>
      <c r="G61">
        <f>MonthlyData!BN61</f>
        <v>1</v>
      </c>
      <c r="H61" s="4"/>
      <c r="I61" s="4">
        <f t="shared" si="2"/>
        <v>2993597.51664689</v>
      </c>
      <c r="J61" s="4">
        <f t="shared" si="3"/>
        <v>1177788.9184375368</v>
      </c>
      <c r="K61" s="4">
        <f t="shared" si="4"/>
        <v>0</v>
      </c>
      <c r="L61" s="4">
        <f t="shared" si="5"/>
        <v>-626381.313089823</v>
      </c>
      <c r="M61" s="4">
        <f t="shared" si="9"/>
        <v>3545005.1219946039</v>
      </c>
      <c r="N61" s="4">
        <f t="shared" si="10"/>
        <v>-58890.943045258056</v>
      </c>
      <c r="O61" s="182">
        <f t="shared" si="11"/>
        <v>1.6340910498651318E-2</v>
      </c>
    </row>
    <row r="62" spans="1:15" x14ac:dyDescent="0.35">
      <c r="A62" s="1">
        <f>MonthlyData!A62</f>
        <v>43466</v>
      </c>
      <c r="B62" s="13">
        <f t="shared" si="0"/>
        <v>2019</v>
      </c>
      <c r="C62" s="13">
        <f t="shared" si="1"/>
        <v>1</v>
      </c>
      <c r="D62" s="4">
        <f>MonthlyData!F62</f>
        <v>4201767.5984519115</v>
      </c>
      <c r="E62" s="4">
        <f>MonthlyData!AF62</f>
        <v>937.74938350982984</v>
      </c>
      <c r="F62">
        <f>MonthlyData!BP62</f>
        <v>0</v>
      </c>
      <c r="G62">
        <f>MonthlyData!BN62</f>
        <v>0</v>
      </c>
      <c r="H62" s="4"/>
      <c r="I62" s="4">
        <f t="shared" si="2"/>
        <v>2993597.51664689</v>
      </c>
      <c r="J62" s="4">
        <f t="shared" si="3"/>
        <v>1773680.4756215021</v>
      </c>
      <c r="K62" s="4">
        <f t="shared" si="4"/>
        <v>0</v>
      </c>
      <c r="L62" s="4">
        <f t="shared" si="5"/>
        <v>0</v>
      </c>
      <c r="M62" s="4">
        <f t="shared" si="9"/>
        <v>4767277.9922683919</v>
      </c>
      <c r="N62" s="4">
        <f t="shared" si="10"/>
        <v>565510.39381648041</v>
      </c>
      <c r="O62" s="182">
        <f t="shared" si="11"/>
        <v>0.13458868929943571</v>
      </c>
    </row>
    <row r="63" spans="1:15" x14ac:dyDescent="0.35">
      <c r="A63" s="1">
        <f>MonthlyData!A63</f>
        <v>43497</v>
      </c>
      <c r="B63" s="13">
        <f t="shared" si="0"/>
        <v>2019</v>
      </c>
      <c r="C63" s="13">
        <f t="shared" si="1"/>
        <v>2</v>
      </c>
      <c r="D63" s="4">
        <f>MonthlyData!F63</f>
        <v>4731159.0052934075</v>
      </c>
      <c r="E63" s="4">
        <f>MonthlyData!AF63</f>
        <v>755.45416666666677</v>
      </c>
      <c r="F63">
        <f>MonthlyData!BP63</f>
        <v>0</v>
      </c>
      <c r="G63">
        <f>MonthlyData!BN63</f>
        <v>0</v>
      </c>
      <c r="H63" s="4"/>
      <c r="I63" s="4">
        <f t="shared" si="2"/>
        <v>2993597.51664689</v>
      </c>
      <c r="J63" s="4">
        <f t="shared" si="3"/>
        <v>1428883.1634614808</v>
      </c>
      <c r="K63" s="4">
        <f t="shared" si="4"/>
        <v>0</v>
      </c>
      <c r="L63" s="4">
        <f t="shared" si="5"/>
        <v>0</v>
      </c>
      <c r="M63" s="4">
        <f t="shared" si="9"/>
        <v>4422480.6801083703</v>
      </c>
      <c r="N63" s="4">
        <f t="shared" si="10"/>
        <v>-308678.32518503722</v>
      </c>
      <c r="O63" s="182">
        <f t="shared" si="11"/>
        <v>6.5243701350911204E-2</v>
      </c>
    </row>
    <row r="64" spans="1:15" x14ac:dyDescent="0.35">
      <c r="A64" s="1">
        <f>MonthlyData!A64</f>
        <v>43525</v>
      </c>
      <c r="B64" s="13">
        <f t="shared" si="0"/>
        <v>2019</v>
      </c>
      <c r="C64" s="13">
        <f t="shared" si="1"/>
        <v>3</v>
      </c>
      <c r="D64" s="4">
        <f>MonthlyData!F64</f>
        <v>3958865.8288539383</v>
      </c>
      <c r="E64" s="4">
        <f>MonthlyData!AF64</f>
        <v>574.84424598258033</v>
      </c>
      <c r="F64">
        <f>MonthlyData!BP64</f>
        <v>0</v>
      </c>
      <c r="G64">
        <f>MonthlyData!BN64</f>
        <v>0</v>
      </c>
      <c r="H64" s="4"/>
      <c r="I64" s="4">
        <f t="shared" si="2"/>
        <v>2993597.51664689</v>
      </c>
      <c r="J64" s="4">
        <f t="shared" si="3"/>
        <v>1087273.4587214785</v>
      </c>
      <c r="K64" s="4">
        <f t="shared" si="4"/>
        <v>0</v>
      </c>
      <c r="L64" s="4">
        <f t="shared" si="5"/>
        <v>0</v>
      </c>
      <c r="M64" s="4">
        <f t="shared" si="9"/>
        <v>4080870.9753683684</v>
      </c>
      <c r="N64" s="4">
        <f t="shared" si="10"/>
        <v>122005.14651443018</v>
      </c>
      <c r="O64" s="182">
        <f t="shared" si="11"/>
        <v>3.0818206978676453E-2</v>
      </c>
    </row>
    <row r="65" spans="1:15" x14ac:dyDescent="0.35">
      <c r="A65" s="1">
        <f>MonthlyData!A65</f>
        <v>43556</v>
      </c>
      <c r="B65" s="13">
        <f t="shared" si="0"/>
        <v>2019</v>
      </c>
      <c r="C65" s="13">
        <f t="shared" si="1"/>
        <v>4</v>
      </c>
      <c r="D65" s="4">
        <f>MonthlyData!F65</f>
        <v>3717277.5404794915</v>
      </c>
      <c r="E65" s="4">
        <f>MonthlyData!AF65</f>
        <v>295.23333333333335</v>
      </c>
      <c r="F65">
        <f>MonthlyData!BP65</f>
        <v>0</v>
      </c>
      <c r="G65">
        <f>MonthlyData!BN65</f>
        <v>0</v>
      </c>
      <c r="H65" s="4"/>
      <c r="I65" s="4">
        <f t="shared" si="2"/>
        <v>2993597.51664689</v>
      </c>
      <c r="J65" s="4">
        <f t="shared" si="3"/>
        <v>558411.02995563741</v>
      </c>
      <c r="K65" s="4">
        <f t="shared" si="4"/>
        <v>0</v>
      </c>
      <c r="L65" s="4">
        <f t="shared" si="5"/>
        <v>0</v>
      </c>
      <c r="M65" s="4">
        <f t="shared" si="9"/>
        <v>3552008.5466025276</v>
      </c>
      <c r="N65" s="4">
        <f t="shared" si="10"/>
        <v>-165268.99387696385</v>
      </c>
      <c r="O65" s="182">
        <f t="shared" si="11"/>
        <v>4.4459686444517081E-2</v>
      </c>
    </row>
    <row r="66" spans="1:15" x14ac:dyDescent="0.35">
      <c r="A66" s="1">
        <f>MonthlyData!A66</f>
        <v>43586</v>
      </c>
      <c r="B66" s="13">
        <f t="shared" si="0"/>
        <v>2019</v>
      </c>
      <c r="C66" s="13">
        <f t="shared" si="1"/>
        <v>5</v>
      </c>
      <c r="D66" s="4">
        <f>MonthlyData!F66</f>
        <v>3119229.5605003946</v>
      </c>
      <c r="E66" s="4">
        <f>MonthlyData!AF66</f>
        <v>95.812499999999957</v>
      </c>
      <c r="F66">
        <f>MonthlyData!BP66</f>
        <v>0</v>
      </c>
      <c r="G66">
        <f>MonthlyData!BN66</f>
        <v>0</v>
      </c>
      <c r="H66" s="4"/>
      <c r="I66" s="4">
        <f t="shared" si="2"/>
        <v>2993597.51664689</v>
      </c>
      <c r="J66" s="4">
        <f t="shared" si="3"/>
        <v>181221.93792804953</v>
      </c>
      <c r="K66" s="4">
        <f t="shared" si="4"/>
        <v>0</v>
      </c>
      <c r="L66" s="4">
        <f t="shared" si="5"/>
        <v>0</v>
      </c>
      <c r="M66" s="4">
        <f t="shared" si="9"/>
        <v>3174819.4545749393</v>
      </c>
      <c r="N66" s="4">
        <f t="shared" si="10"/>
        <v>55589.894074544776</v>
      </c>
      <c r="O66" s="182">
        <f t="shared" si="11"/>
        <v>1.7821674550181844E-2</v>
      </c>
    </row>
    <row r="67" spans="1:15" x14ac:dyDescent="0.35">
      <c r="A67" s="1">
        <f>MonthlyData!A67</f>
        <v>43617</v>
      </c>
      <c r="B67" s="13">
        <f t="shared" ref="B67:B121" si="12">YEAR(A67)</f>
        <v>2019</v>
      </c>
      <c r="C67" s="13">
        <f t="shared" ref="C67:C121" si="13">MONTH(A67)</f>
        <v>6</v>
      </c>
      <c r="D67" s="4">
        <f>MonthlyData!F67</f>
        <v>2814109.7860574927</v>
      </c>
      <c r="E67" s="4">
        <f>MonthlyData!AF67</f>
        <v>10.320833333333335</v>
      </c>
      <c r="F67">
        <f>MonthlyData!BP67</f>
        <v>0</v>
      </c>
      <c r="G67">
        <f>MonthlyData!BN67</f>
        <v>0</v>
      </c>
      <c r="H67" s="4"/>
      <c r="I67" s="4">
        <f t="shared" ref="I67:I130" si="14">$S$8</f>
        <v>2993597.51664689</v>
      </c>
      <c r="J67" s="4">
        <f t="shared" ref="J67:J121" si="15">E67*$S$9</f>
        <v>19521.058501751639</v>
      </c>
      <c r="K67" s="4">
        <f t="shared" ref="K67:K121" si="16">F67*$S$10</f>
        <v>0</v>
      </c>
      <c r="L67" s="4">
        <f t="shared" ref="L67:L121" si="17">G67*$S$11</f>
        <v>0</v>
      </c>
      <c r="M67" s="4">
        <f t="shared" si="9"/>
        <v>3013118.5751486416</v>
      </c>
      <c r="N67" s="4">
        <f t="shared" si="10"/>
        <v>199008.78909114888</v>
      </c>
      <c r="O67" s="182">
        <f t="shared" si="11"/>
        <v>7.0718203702335267E-2</v>
      </c>
    </row>
    <row r="68" spans="1:15" x14ac:dyDescent="0.35">
      <c r="A68" s="1">
        <f>MonthlyData!A68</f>
        <v>43647</v>
      </c>
      <c r="B68" s="13">
        <f t="shared" si="12"/>
        <v>2019</v>
      </c>
      <c r="C68" s="13">
        <f t="shared" si="13"/>
        <v>7</v>
      </c>
      <c r="D68" s="4">
        <f>MonthlyData!F68</f>
        <v>2659220.8806687742</v>
      </c>
      <c r="E68" s="4">
        <f>MonthlyData!AF68</f>
        <v>0</v>
      </c>
      <c r="F68">
        <f>MonthlyData!BP68</f>
        <v>0</v>
      </c>
      <c r="G68">
        <f>MonthlyData!BN68</f>
        <v>0</v>
      </c>
      <c r="H68" s="4"/>
      <c r="I68" s="4">
        <f t="shared" si="14"/>
        <v>2993597.51664689</v>
      </c>
      <c r="J68" s="4">
        <f t="shared" si="15"/>
        <v>0</v>
      </c>
      <c r="K68" s="4">
        <f t="shared" si="16"/>
        <v>0</v>
      </c>
      <c r="L68" s="4">
        <f t="shared" si="17"/>
        <v>0</v>
      </c>
      <c r="M68" s="4">
        <f t="shared" si="9"/>
        <v>2993597.51664689</v>
      </c>
      <c r="N68" s="4">
        <f t="shared" si="10"/>
        <v>334376.63597811572</v>
      </c>
      <c r="O68" s="182">
        <f t="shared" si="11"/>
        <v>0.12574233242859559</v>
      </c>
    </row>
    <row r="69" spans="1:15" x14ac:dyDescent="0.35">
      <c r="A69" s="1">
        <f>MonthlyData!A69</f>
        <v>43678</v>
      </c>
      <c r="B69" s="13">
        <f t="shared" si="12"/>
        <v>2019</v>
      </c>
      <c r="C69" s="13">
        <f t="shared" si="13"/>
        <v>8</v>
      </c>
      <c r="D69" s="4">
        <f>MonthlyData!F69</f>
        <v>3150272.9022329389</v>
      </c>
      <c r="E69" s="4">
        <f>MonthlyData!AF69</f>
        <v>9.3492078733420492</v>
      </c>
      <c r="F69">
        <f>MonthlyData!BP69</f>
        <v>0</v>
      </c>
      <c r="G69">
        <f>MonthlyData!BN69</f>
        <v>0</v>
      </c>
      <c r="H69" s="4"/>
      <c r="I69" s="4">
        <f t="shared" si="14"/>
        <v>2993597.51664689</v>
      </c>
      <c r="J69" s="4">
        <f t="shared" si="15"/>
        <v>17683.304045914942</v>
      </c>
      <c r="K69" s="4">
        <f t="shared" si="16"/>
        <v>0</v>
      </c>
      <c r="L69" s="4">
        <f t="shared" si="17"/>
        <v>0</v>
      </c>
      <c r="M69" s="4">
        <f t="shared" si="9"/>
        <v>3011280.8206928051</v>
      </c>
      <c r="N69" s="4">
        <f t="shared" si="10"/>
        <v>-138992.0815401338</v>
      </c>
      <c r="O69" s="182">
        <f t="shared" si="11"/>
        <v>4.4120647910095373E-2</v>
      </c>
    </row>
    <row r="70" spans="1:15" x14ac:dyDescent="0.35">
      <c r="A70" s="1">
        <f>MonthlyData!A70</f>
        <v>43709</v>
      </c>
      <c r="B70" s="13">
        <f t="shared" si="12"/>
        <v>2019</v>
      </c>
      <c r="C70" s="13">
        <f t="shared" si="13"/>
        <v>9</v>
      </c>
      <c r="D70" s="4">
        <f>MonthlyData!F70</f>
        <v>2819850.5793669079</v>
      </c>
      <c r="E70" s="4">
        <f>MonthlyData!AF70</f>
        <v>29.270833333333339</v>
      </c>
      <c r="F70">
        <f>MonthlyData!BP70</f>
        <v>0</v>
      </c>
      <c r="G70">
        <f>MonthlyData!BN70</f>
        <v>0</v>
      </c>
      <c r="H70" s="4"/>
      <c r="I70" s="4">
        <f t="shared" si="14"/>
        <v>2993597.51664689</v>
      </c>
      <c r="J70" s="4">
        <f t="shared" si="15"/>
        <v>55363.518762537453</v>
      </c>
      <c r="K70" s="4">
        <f t="shared" si="16"/>
        <v>0</v>
      </c>
      <c r="L70" s="4">
        <f t="shared" si="17"/>
        <v>0</v>
      </c>
      <c r="M70" s="4">
        <f t="shared" si="9"/>
        <v>3048961.0354094272</v>
      </c>
      <c r="N70" s="4">
        <f t="shared" si="10"/>
        <v>229110.4560425193</v>
      </c>
      <c r="O70" s="182">
        <f t="shared" si="11"/>
        <v>8.1249147638864427E-2</v>
      </c>
    </row>
    <row r="71" spans="1:15" x14ac:dyDescent="0.35">
      <c r="A71" s="1">
        <f>MonthlyData!A71</f>
        <v>43739</v>
      </c>
      <c r="B71" s="13">
        <f t="shared" si="12"/>
        <v>2019</v>
      </c>
      <c r="C71" s="13">
        <f t="shared" si="13"/>
        <v>10</v>
      </c>
      <c r="D71" s="4">
        <f>MonthlyData!F71</f>
        <v>2715126.9884351878</v>
      </c>
      <c r="E71" s="4">
        <f>MonthlyData!AF71</f>
        <v>151.38749999999999</v>
      </c>
      <c r="F71">
        <f>MonthlyData!BP71</f>
        <v>1</v>
      </c>
      <c r="G71">
        <f>MonthlyData!BN71</f>
        <v>0</v>
      </c>
      <c r="H71" s="4"/>
      <c r="I71" s="4">
        <f t="shared" si="14"/>
        <v>2993597.51664689</v>
      </c>
      <c r="J71" s="4">
        <f t="shared" si="15"/>
        <v>286337.75476146233</v>
      </c>
      <c r="K71" s="4">
        <f t="shared" si="16"/>
        <v>-602637.76155081904</v>
      </c>
      <c r="L71" s="4">
        <f t="shared" si="17"/>
        <v>0</v>
      </c>
      <c r="M71" s="4">
        <f t="shared" si="9"/>
        <v>2677297.509857533</v>
      </c>
      <c r="N71" s="4">
        <f t="shared" si="10"/>
        <v>-37829.478577654809</v>
      </c>
      <c r="O71" s="182">
        <f t="shared" si="11"/>
        <v>1.3932857924798986E-2</v>
      </c>
    </row>
    <row r="72" spans="1:15" x14ac:dyDescent="0.35">
      <c r="A72" s="1">
        <f>MonthlyData!A72</f>
        <v>43770</v>
      </c>
      <c r="B72" s="13">
        <f t="shared" si="12"/>
        <v>2019</v>
      </c>
      <c r="C72" s="13">
        <f t="shared" si="13"/>
        <v>11</v>
      </c>
      <c r="D72" s="4">
        <f>MonthlyData!F72</f>
        <v>3069611.5170936594</v>
      </c>
      <c r="E72" s="4">
        <f>MonthlyData!AF72</f>
        <v>493.48750000000007</v>
      </c>
      <c r="F72">
        <f>MonthlyData!BP72</f>
        <v>1</v>
      </c>
      <c r="G72">
        <f>MonthlyData!BN72</f>
        <v>0</v>
      </c>
      <c r="H72" s="4"/>
      <c r="I72" s="4">
        <f t="shared" si="14"/>
        <v>2993597.51664689</v>
      </c>
      <c r="J72" s="4">
        <f t="shared" si="15"/>
        <v>933393.46216066158</v>
      </c>
      <c r="K72" s="4">
        <f t="shared" si="16"/>
        <v>-602637.76155081904</v>
      </c>
      <c r="L72" s="4">
        <f t="shared" si="17"/>
        <v>0</v>
      </c>
      <c r="M72" s="4">
        <f t="shared" si="9"/>
        <v>3324353.2172567328</v>
      </c>
      <c r="N72" s="4">
        <f t="shared" si="10"/>
        <v>254741.70016307337</v>
      </c>
      <c r="O72" s="182">
        <f t="shared" si="11"/>
        <v>8.2988253967806819E-2</v>
      </c>
    </row>
    <row r="73" spans="1:15" x14ac:dyDescent="0.35">
      <c r="A73" s="1">
        <f>MonthlyData!A73</f>
        <v>43800</v>
      </c>
      <c r="B73" s="13">
        <f t="shared" si="12"/>
        <v>2019</v>
      </c>
      <c r="C73" s="13">
        <f t="shared" si="13"/>
        <v>12</v>
      </c>
      <c r="D73" s="4">
        <f>MonthlyData!F73</f>
        <v>3682927.0591493947</v>
      </c>
      <c r="E73" s="4">
        <f>MonthlyData!AF73</f>
        <v>702.36249999999995</v>
      </c>
      <c r="F73">
        <f>MonthlyData!BP73</f>
        <v>0</v>
      </c>
      <c r="G73">
        <f>MonthlyData!BN73</f>
        <v>1</v>
      </c>
      <c r="H73" s="4"/>
      <c r="I73" s="4">
        <f t="shared" si="14"/>
        <v>2993597.51664689</v>
      </c>
      <c r="J73" s="4">
        <f t="shared" si="15"/>
        <v>1328464.3796789534</v>
      </c>
      <c r="K73" s="4">
        <f t="shared" si="16"/>
        <v>0</v>
      </c>
      <c r="L73" s="4">
        <f t="shared" si="17"/>
        <v>-626381.313089823</v>
      </c>
      <c r="M73" s="4">
        <f t="shared" si="9"/>
        <v>3695680.5832360205</v>
      </c>
      <c r="N73" s="4">
        <f t="shared" si="10"/>
        <v>12753.524086625781</v>
      </c>
      <c r="O73" s="182">
        <f t="shared" si="11"/>
        <v>3.4628771848583184E-3</v>
      </c>
    </row>
    <row r="74" spans="1:15" x14ac:dyDescent="0.35">
      <c r="A74" s="1">
        <f>MonthlyData!A74</f>
        <v>43831</v>
      </c>
      <c r="B74" s="13">
        <f t="shared" si="12"/>
        <v>2020</v>
      </c>
      <c r="C74" s="13">
        <f t="shared" si="13"/>
        <v>1</v>
      </c>
      <c r="D74" s="4">
        <f>MonthlyData!F74</f>
        <v>4335064.0073985169</v>
      </c>
      <c r="E74" s="4">
        <f>MonthlyData!AF74</f>
        <v>692.15</v>
      </c>
      <c r="F74">
        <f>MonthlyData!BP74</f>
        <v>0</v>
      </c>
      <c r="G74">
        <f>MonthlyData!BN74</f>
        <v>0</v>
      </c>
      <c r="H74" s="4"/>
      <c r="I74" s="4">
        <f t="shared" si="14"/>
        <v>2993597.51664689</v>
      </c>
      <c r="J74" s="4">
        <f t="shared" si="15"/>
        <v>1309148.2253035828</v>
      </c>
      <c r="K74" s="4">
        <f t="shared" si="16"/>
        <v>0</v>
      </c>
      <c r="L74" s="4">
        <f t="shared" si="17"/>
        <v>0</v>
      </c>
      <c r="M74" s="4">
        <f t="shared" si="9"/>
        <v>4302745.7419504728</v>
      </c>
      <c r="N74" s="4">
        <f t="shared" si="10"/>
        <v>-32318.265448044054</v>
      </c>
      <c r="O74" s="182">
        <f t="shared" si="11"/>
        <v>7.4550837987368791E-3</v>
      </c>
    </row>
    <row r="75" spans="1:15" x14ac:dyDescent="0.35">
      <c r="A75" s="1">
        <f>MonthlyData!A75</f>
        <v>43862</v>
      </c>
      <c r="B75" s="13">
        <f t="shared" si="12"/>
        <v>2020</v>
      </c>
      <c r="C75" s="13">
        <f t="shared" si="13"/>
        <v>2</v>
      </c>
      <c r="D75" s="4">
        <f>MonthlyData!F75</f>
        <v>4140385.8750499859</v>
      </c>
      <c r="E75" s="4">
        <f>MonthlyData!AF75</f>
        <v>654.39166666666677</v>
      </c>
      <c r="F75">
        <f>MonthlyData!BP75</f>
        <v>0</v>
      </c>
      <c r="G75">
        <f>MonthlyData!BN75</f>
        <v>0</v>
      </c>
      <c r="H75" s="4"/>
      <c r="I75" s="4">
        <f t="shared" si="14"/>
        <v>2993597.51664689</v>
      </c>
      <c r="J75" s="4">
        <f t="shared" si="15"/>
        <v>1237731.2563318941</v>
      </c>
      <c r="K75" s="4">
        <f t="shared" si="16"/>
        <v>0</v>
      </c>
      <c r="L75" s="4">
        <f t="shared" si="17"/>
        <v>0</v>
      </c>
      <c r="M75" s="4">
        <f t="shared" si="9"/>
        <v>4231328.7729787845</v>
      </c>
      <c r="N75" s="4">
        <f t="shared" si="10"/>
        <v>90942.897928798571</v>
      </c>
      <c r="O75" s="182">
        <f t="shared" si="11"/>
        <v>2.196483629142432E-2</v>
      </c>
    </row>
    <row r="76" spans="1:15" x14ac:dyDescent="0.35">
      <c r="A76" s="1">
        <f>MonthlyData!A76</f>
        <v>43891</v>
      </c>
      <c r="B76" s="13">
        <f t="shared" si="12"/>
        <v>2020</v>
      </c>
      <c r="C76" s="13">
        <f t="shared" si="13"/>
        <v>3</v>
      </c>
      <c r="D76" s="4">
        <f>MonthlyData!F76</f>
        <v>3848248.3152240166</v>
      </c>
      <c r="E76" s="4">
        <f>MonthlyData!AF76</f>
        <v>514.9666666666667</v>
      </c>
      <c r="F76">
        <f>MonthlyData!BP76</f>
        <v>0</v>
      </c>
      <c r="G76">
        <f>MonthlyData!BN76</f>
        <v>0</v>
      </c>
      <c r="H76" s="4"/>
      <c r="I76" s="4">
        <f t="shared" si="14"/>
        <v>2993597.51664689</v>
      </c>
      <c r="J76" s="4">
        <f t="shared" si="15"/>
        <v>974019.64567964803</v>
      </c>
      <c r="K76" s="4">
        <f t="shared" si="16"/>
        <v>0</v>
      </c>
      <c r="L76" s="4">
        <f t="shared" si="17"/>
        <v>0</v>
      </c>
      <c r="M76" s="4">
        <f t="shared" si="9"/>
        <v>3967617.162326538</v>
      </c>
      <c r="N76" s="4">
        <f t="shared" si="10"/>
        <v>119368.84710252145</v>
      </c>
      <c r="O76" s="182">
        <f t="shared" si="11"/>
        <v>3.1019008474657821E-2</v>
      </c>
    </row>
    <row r="77" spans="1:15" x14ac:dyDescent="0.35">
      <c r="A77" s="1">
        <f>MonthlyData!A77</f>
        <v>43922</v>
      </c>
      <c r="B77" s="13">
        <f t="shared" si="12"/>
        <v>2020</v>
      </c>
      <c r="C77" s="13">
        <f t="shared" si="13"/>
        <v>4</v>
      </c>
      <c r="D77" s="4">
        <f>MonthlyData!F77</f>
        <v>3687997.4999043434</v>
      </c>
      <c r="E77" s="4">
        <f>MonthlyData!AF77</f>
        <v>343.1875</v>
      </c>
      <c r="F77">
        <f>MonthlyData!BP77</f>
        <v>0</v>
      </c>
      <c r="G77">
        <f>MonthlyData!BN77</f>
        <v>0</v>
      </c>
      <c r="H77" s="4"/>
      <c r="I77" s="4">
        <f t="shared" si="14"/>
        <v>2993597.51664689</v>
      </c>
      <c r="J77" s="4">
        <f t="shared" si="15"/>
        <v>649112.62959094613</v>
      </c>
      <c r="K77" s="4">
        <f t="shared" si="16"/>
        <v>0</v>
      </c>
      <c r="L77" s="4">
        <f t="shared" si="17"/>
        <v>0</v>
      </c>
      <c r="M77" s="4">
        <f t="shared" si="9"/>
        <v>3642710.1462378362</v>
      </c>
      <c r="N77" s="4">
        <f t="shared" si="10"/>
        <v>-45287.353666507173</v>
      </c>
      <c r="O77" s="182">
        <f t="shared" si="11"/>
        <v>1.2279659535474685E-2</v>
      </c>
    </row>
    <row r="78" spans="1:15" x14ac:dyDescent="0.35">
      <c r="A78" s="1">
        <f>MonthlyData!A78</f>
        <v>43952</v>
      </c>
      <c r="B78" s="13">
        <f t="shared" si="12"/>
        <v>2020</v>
      </c>
      <c r="C78" s="13">
        <f t="shared" si="13"/>
        <v>5</v>
      </c>
      <c r="D78" s="4">
        <f>MonthlyData!F78</f>
        <v>3326415.6707476983</v>
      </c>
      <c r="E78" s="4">
        <f>MonthlyData!AF78</f>
        <v>153.04999999999995</v>
      </c>
      <c r="F78">
        <f>MonthlyData!BP78</f>
        <v>0</v>
      </c>
      <c r="G78">
        <f>MonthlyData!BN78</f>
        <v>0</v>
      </c>
      <c r="H78" s="4"/>
      <c r="I78" s="4">
        <f t="shared" si="14"/>
        <v>2993597.51664689</v>
      </c>
      <c r="J78" s="4">
        <f t="shared" si="15"/>
        <v>289482.2450086156</v>
      </c>
      <c r="K78" s="4">
        <f t="shared" si="16"/>
        <v>0</v>
      </c>
      <c r="L78" s="4">
        <f t="shared" si="17"/>
        <v>0</v>
      </c>
      <c r="M78" s="4">
        <f t="shared" si="9"/>
        <v>3283079.7616555057</v>
      </c>
      <c r="N78" s="4">
        <f t="shared" si="10"/>
        <v>-43335.909092192538</v>
      </c>
      <c r="O78" s="182">
        <f t="shared" si="11"/>
        <v>1.3027809324398615E-2</v>
      </c>
    </row>
    <row r="79" spans="1:15" x14ac:dyDescent="0.35">
      <c r="A79" s="1">
        <f>MonthlyData!A79</f>
        <v>43983</v>
      </c>
      <c r="B79" s="13">
        <f t="shared" si="12"/>
        <v>2020</v>
      </c>
      <c r="C79" s="13">
        <f t="shared" si="13"/>
        <v>6</v>
      </c>
      <c r="D79" s="4">
        <f>MonthlyData!F79</f>
        <v>3154968.7690774924</v>
      </c>
      <c r="E79" s="4">
        <f>MonthlyData!AF79</f>
        <v>10.508333333333333</v>
      </c>
      <c r="F79">
        <f>MonthlyData!BP79</f>
        <v>0</v>
      </c>
      <c r="G79">
        <f>MonthlyData!BN79</f>
        <v>0</v>
      </c>
      <c r="H79" s="4"/>
      <c r="I79" s="4">
        <f t="shared" si="14"/>
        <v>2993597.51664689</v>
      </c>
      <c r="J79" s="4">
        <f t="shared" si="15"/>
        <v>19875.700258949382</v>
      </c>
      <c r="K79" s="4">
        <f t="shared" si="16"/>
        <v>0</v>
      </c>
      <c r="L79" s="4">
        <f t="shared" si="17"/>
        <v>0</v>
      </c>
      <c r="M79" s="4">
        <f t="shared" si="9"/>
        <v>3013473.2169058393</v>
      </c>
      <c r="N79" s="4">
        <f t="shared" si="10"/>
        <v>-141495.55217165314</v>
      </c>
      <c r="O79" s="182">
        <f t="shared" si="11"/>
        <v>4.484847950270715E-2</v>
      </c>
    </row>
    <row r="80" spans="1:15" x14ac:dyDescent="0.35">
      <c r="A80" s="1">
        <f>MonthlyData!A80</f>
        <v>44013</v>
      </c>
      <c r="B80" s="13">
        <f t="shared" si="12"/>
        <v>2020</v>
      </c>
      <c r="C80" s="13">
        <f t="shared" si="13"/>
        <v>7</v>
      </c>
      <c r="D80" s="4">
        <f>MonthlyData!F80</f>
        <v>3122567.0435269368</v>
      </c>
      <c r="E80" s="4">
        <f>MonthlyData!AF80</f>
        <v>0</v>
      </c>
      <c r="F80">
        <f>MonthlyData!BP80</f>
        <v>0</v>
      </c>
      <c r="G80">
        <f>MonthlyData!BN80</f>
        <v>0</v>
      </c>
      <c r="H80" s="4"/>
      <c r="I80" s="4">
        <f t="shared" si="14"/>
        <v>2993597.51664689</v>
      </c>
      <c r="J80" s="4">
        <f t="shared" si="15"/>
        <v>0</v>
      </c>
      <c r="K80" s="4">
        <f t="shared" si="16"/>
        <v>0</v>
      </c>
      <c r="L80" s="4">
        <f t="shared" si="17"/>
        <v>0</v>
      </c>
      <c r="M80" s="4">
        <f t="shared" si="9"/>
        <v>2993597.51664689</v>
      </c>
      <c r="N80" s="4">
        <f t="shared" si="10"/>
        <v>-128969.52688004682</v>
      </c>
      <c r="O80" s="182">
        <f t="shared" si="11"/>
        <v>4.1302404426319647E-2</v>
      </c>
    </row>
    <row r="81" spans="1:15" x14ac:dyDescent="0.35">
      <c r="A81" s="1">
        <f>MonthlyData!A81</f>
        <v>44044</v>
      </c>
      <c r="B81" s="13">
        <f t="shared" si="12"/>
        <v>2020</v>
      </c>
      <c r="C81" s="13">
        <f t="shared" si="13"/>
        <v>8</v>
      </c>
      <c r="D81" s="4">
        <f>MonthlyData!F81</f>
        <v>3663341.6855258569</v>
      </c>
      <c r="E81" s="4">
        <f>MonthlyData!AF81</f>
        <v>0</v>
      </c>
      <c r="F81">
        <f>MonthlyData!BP81</f>
        <v>0</v>
      </c>
      <c r="G81">
        <f>MonthlyData!BN81</f>
        <v>0</v>
      </c>
      <c r="H81" s="4"/>
      <c r="I81" s="4">
        <f t="shared" si="14"/>
        <v>2993597.51664689</v>
      </c>
      <c r="J81" s="4">
        <f t="shared" si="15"/>
        <v>0</v>
      </c>
      <c r="K81" s="4">
        <f t="shared" si="16"/>
        <v>0</v>
      </c>
      <c r="L81" s="4">
        <f t="shared" si="17"/>
        <v>0</v>
      </c>
      <c r="M81" s="4">
        <f t="shared" si="9"/>
        <v>2993597.51664689</v>
      </c>
      <c r="N81" s="4">
        <f t="shared" si="10"/>
        <v>-669744.16887896694</v>
      </c>
      <c r="O81" s="182">
        <f t="shared" si="11"/>
        <v>0.18282328714386031</v>
      </c>
    </row>
    <row r="82" spans="1:15" x14ac:dyDescent="0.35">
      <c r="A82" s="1">
        <f>MonthlyData!A82</f>
        <v>44075</v>
      </c>
      <c r="B82" s="13">
        <f t="shared" si="12"/>
        <v>2020</v>
      </c>
      <c r="C82" s="13">
        <f t="shared" si="13"/>
        <v>9</v>
      </c>
      <c r="D82" s="4">
        <f>MonthlyData!F82</f>
        <v>3155144.2023287057</v>
      </c>
      <c r="E82" s="4">
        <f>MonthlyData!AF82</f>
        <v>30.970833333333331</v>
      </c>
      <c r="F82">
        <f>MonthlyData!BP82</f>
        <v>0</v>
      </c>
      <c r="G82">
        <f>MonthlyData!BN82</f>
        <v>0</v>
      </c>
      <c r="H82" s="4"/>
      <c r="I82" s="4">
        <f t="shared" si="14"/>
        <v>2993597.51664689</v>
      </c>
      <c r="J82" s="4">
        <f t="shared" si="15"/>
        <v>58578.93736113036</v>
      </c>
      <c r="K82" s="4">
        <f t="shared" si="16"/>
        <v>0</v>
      </c>
      <c r="L82" s="4">
        <f t="shared" si="17"/>
        <v>0</v>
      </c>
      <c r="M82" s="4">
        <f t="shared" si="9"/>
        <v>3052176.4540080205</v>
      </c>
      <c r="N82" s="4">
        <f t="shared" si="10"/>
        <v>-102967.74832068523</v>
      </c>
      <c r="O82" s="182">
        <f t="shared" si="11"/>
        <v>3.2634878698947642E-2</v>
      </c>
    </row>
    <row r="83" spans="1:15" x14ac:dyDescent="0.35">
      <c r="A83" s="1">
        <f>MonthlyData!A83</f>
        <v>44105</v>
      </c>
      <c r="B83" s="13">
        <f t="shared" si="12"/>
        <v>2020</v>
      </c>
      <c r="C83" s="13">
        <f t="shared" si="13"/>
        <v>10</v>
      </c>
      <c r="D83" s="4">
        <f>MonthlyData!F83</f>
        <v>2719754.2042069854</v>
      </c>
      <c r="E83" s="4">
        <f>MonthlyData!AF83</f>
        <v>265.67500000000001</v>
      </c>
      <c r="F83">
        <f>MonthlyData!BP83</f>
        <v>1</v>
      </c>
      <c r="G83">
        <f>MonthlyData!BN83</f>
        <v>0</v>
      </c>
      <c r="H83" s="4"/>
      <c r="I83" s="4">
        <f t="shared" si="14"/>
        <v>2993597.51664689</v>
      </c>
      <c r="J83" s="4">
        <f t="shared" si="15"/>
        <v>502503.72716539679</v>
      </c>
      <c r="K83" s="4">
        <f t="shared" si="16"/>
        <v>-602637.76155081904</v>
      </c>
      <c r="L83" s="4">
        <f t="shared" si="17"/>
        <v>0</v>
      </c>
      <c r="M83" s="4">
        <f t="shared" si="9"/>
        <v>2893463.4822614677</v>
      </c>
      <c r="N83" s="4">
        <f t="shared" si="10"/>
        <v>173709.2780544823</v>
      </c>
      <c r="O83" s="182">
        <f t="shared" si="11"/>
        <v>6.3869476802640601E-2</v>
      </c>
    </row>
    <row r="84" spans="1:15" x14ac:dyDescent="0.35">
      <c r="A84" s="1">
        <f>MonthlyData!A84</f>
        <v>44136</v>
      </c>
      <c r="B84" s="13">
        <f t="shared" si="12"/>
        <v>2020</v>
      </c>
      <c r="C84" s="13">
        <f t="shared" si="13"/>
        <v>11</v>
      </c>
      <c r="D84" s="4">
        <f>MonthlyData!F84</f>
        <v>3265883.4528217777</v>
      </c>
      <c r="E84" s="4">
        <f>MonthlyData!AF84</f>
        <v>352.30416666666673</v>
      </c>
      <c r="F84">
        <f>MonthlyData!BP84</f>
        <v>1</v>
      </c>
      <c r="G84">
        <f>MonthlyData!BN84</f>
        <v>0</v>
      </c>
      <c r="H84" s="4"/>
      <c r="I84" s="4">
        <f t="shared" si="14"/>
        <v>2993597.51664689</v>
      </c>
      <c r="J84" s="4">
        <f t="shared" si="15"/>
        <v>666356.09991869458</v>
      </c>
      <c r="K84" s="4">
        <f t="shared" si="16"/>
        <v>-602637.76155081904</v>
      </c>
      <c r="L84" s="4">
        <f t="shared" si="17"/>
        <v>0</v>
      </c>
      <c r="M84" s="4">
        <f t="shared" si="9"/>
        <v>3057315.8550147656</v>
      </c>
      <c r="N84" s="4">
        <f t="shared" si="10"/>
        <v>-208567.59780701203</v>
      </c>
      <c r="O84" s="182">
        <f t="shared" si="11"/>
        <v>6.3862535457842554E-2</v>
      </c>
    </row>
    <row r="85" spans="1:15" x14ac:dyDescent="0.35">
      <c r="A85" s="1">
        <f>MonthlyData!A85</f>
        <v>44166</v>
      </c>
      <c r="B85" s="13">
        <f t="shared" si="12"/>
        <v>2020</v>
      </c>
      <c r="C85" s="13">
        <f t="shared" si="13"/>
        <v>12</v>
      </c>
      <c r="D85" s="4">
        <f>MonthlyData!F85</f>
        <v>3509586.6747843111</v>
      </c>
      <c r="E85" s="4">
        <f>MonthlyData!AF85</f>
        <v>617.46666666666681</v>
      </c>
      <c r="F85">
        <f>MonthlyData!BP85</f>
        <v>0</v>
      </c>
      <c r="G85">
        <f>MonthlyData!BN85</f>
        <v>1</v>
      </c>
      <c r="H85" s="4"/>
      <c r="I85" s="4">
        <f t="shared" si="14"/>
        <v>2993597.51664689</v>
      </c>
      <c r="J85" s="4">
        <f t="shared" si="15"/>
        <v>1167890.4729477509</v>
      </c>
      <c r="K85" s="4">
        <f t="shared" si="16"/>
        <v>0</v>
      </c>
      <c r="L85" s="4">
        <f t="shared" si="17"/>
        <v>-626381.313089823</v>
      </c>
      <c r="M85" s="4">
        <f t="shared" si="9"/>
        <v>3535106.6765048183</v>
      </c>
      <c r="N85" s="4">
        <f t="shared" si="10"/>
        <v>25520.001720507164</v>
      </c>
      <c r="O85" s="182">
        <f t="shared" si="11"/>
        <v>7.271512028428689E-3</v>
      </c>
    </row>
    <row r="86" spans="1:15" x14ac:dyDescent="0.35">
      <c r="A86" s="1">
        <f>MonthlyData!A86</f>
        <v>44197</v>
      </c>
      <c r="B86" s="13">
        <f t="shared" si="12"/>
        <v>2021</v>
      </c>
      <c r="C86" s="13">
        <f t="shared" si="13"/>
        <v>1</v>
      </c>
      <c r="D86" s="4">
        <f>MonthlyData!F86</f>
        <v>4263190.1574048484</v>
      </c>
      <c r="E86" s="4">
        <f>MonthlyData!AF86</f>
        <v>652.06666666666683</v>
      </c>
      <c r="F86">
        <f>MonthlyData!BP86</f>
        <v>0</v>
      </c>
      <c r="G86">
        <f>MonthlyData!BN86</f>
        <v>0</v>
      </c>
      <c r="H86" s="4"/>
      <c r="I86" s="4">
        <f t="shared" si="14"/>
        <v>2993597.51664689</v>
      </c>
      <c r="J86" s="4">
        <f t="shared" si="15"/>
        <v>1233333.6985426422</v>
      </c>
      <c r="K86" s="4">
        <f t="shared" si="16"/>
        <v>0</v>
      </c>
      <c r="L86" s="4">
        <f t="shared" si="17"/>
        <v>0</v>
      </c>
      <c r="M86" s="4">
        <f t="shared" si="9"/>
        <v>4226931.2151895324</v>
      </c>
      <c r="N86" s="4">
        <f t="shared" si="10"/>
        <v>-36258.942215315998</v>
      </c>
      <c r="O86" s="182">
        <f t="shared" si="11"/>
        <v>8.5051196115042815E-3</v>
      </c>
    </row>
    <row r="87" spans="1:15" x14ac:dyDescent="0.35">
      <c r="A87" s="1">
        <f>MonthlyData!A87</f>
        <v>44228</v>
      </c>
      <c r="B87" s="13">
        <f t="shared" si="12"/>
        <v>2021</v>
      </c>
      <c r="C87" s="13">
        <f t="shared" si="13"/>
        <v>2</v>
      </c>
      <c r="D87" s="4">
        <f>MonthlyData!F87</f>
        <v>4226829.1876737475</v>
      </c>
      <c r="E87" s="4">
        <f>MonthlyData!AF87</f>
        <v>753.49583333333328</v>
      </c>
      <c r="F87">
        <f>MonthlyData!BP87</f>
        <v>0</v>
      </c>
      <c r="G87">
        <f>MonthlyData!BN87</f>
        <v>0</v>
      </c>
      <c r="H87" s="4"/>
      <c r="I87" s="4">
        <f t="shared" si="14"/>
        <v>2993597.51664689</v>
      </c>
      <c r="J87" s="4">
        <f t="shared" si="15"/>
        <v>1425179.1273307484</v>
      </c>
      <c r="K87" s="4">
        <f t="shared" si="16"/>
        <v>0</v>
      </c>
      <c r="L87" s="4">
        <f t="shared" si="17"/>
        <v>0</v>
      </c>
      <c r="M87" s="4">
        <f t="shared" ref="M87:M121" si="18">SUM(I87:L87)</f>
        <v>4418776.6439776383</v>
      </c>
      <c r="N87" s="4">
        <f t="shared" ref="N87:N121" si="19">M87-D87</f>
        <v>191947.45630389079</v>
      </c>
      <c r="O87" s="182">
        <f t="shared" ref="O87:O121" si="20">ABS(N87/D87)</f>
        <v>4.5411689893607894E-2</v>
      </c>
    </row>
    <row r="88" spans="1:15" x14ac:dyDescent="0.35">
      <c r="A88" s="1">
        <f>MonthlyData!A88</f>
        <v>44256</v>
      </c>
      <c r="B88" s="13">
        <f t="shared" si="12"/>
        <v>2021</v>
      </c>
      <c r="C88" s="13">
        <f t="shared" si="13"/>
        <v>3</v>
      </c>
      <c r="D88" s="4">
        <f>MonthlyData!F88</f>
        <v>4039244.4894530168</v>
      </c>
      <c r="E88" s="4">
        <f>MonthlyData!AF88</f>
        <v>492.00833333333338</v>
      </c>
      <c r="F88">
        <f>MonthlyData!BP88</f>
        <v>0</v>
      </c>
      <c r="G88">
        <f>MonthlyData!BN88</f>
        <v>0</v>
      </c>
      <c r="H88" s="4"/>
      <c r="I88" s="4">
        <f t="shared" si="14"/>
        <v>2993597.51664689</v>
      </c>
      <c r="J88" s="4">
        <f t="shared" si="15"/>
        <v>930595.73274276825</v>
      </c>
      <c r="K88" s="4">
        <f t="shared" si="16"/>
        <v>0</v>
      </c>
      <c r="L88" s="4">
        <f t="shared" si="17"/>
        <v>0</v>
      </c>
      <c r="M88" s="4">
        <f t="shared" si="18"/>
        <v>3924193.2493896582</v>
      </c>
      <c r="N88" s="4">
        <f t="shared" si="19"/>
        <v>-115051.24006335856</v>
      </c>
      <c r="O88" s="182">
        <f t="shared" si="20"/>
        <v>2.8483356321651745E-2</v>
      </c>
    </row>
    <row r="89" spans="1:15" x14ac:dyDescent="0.35">
      <c r="A89" s="1">
        <f>MonthlyData!A89</f>
        <v>44287</v>
      </c>
      <c r="B89" s="13">
        <f t="shared" si="12"/>
        <v>2021</v>
      </c>
      <c r="C89" s="13">
        <f t="shared" si="13"/>
        <v>4</v>
      </c>
      <c r="D89" s="4">
        <f>MonthlyData!F89</f>
        <v>3794108.820810948</v>
      </c>
      <c r="E89" s="4">
        <f>MonthlyData!AF89</f>
        <v>213.375</v>
      </c>
      <c r="F89">
        <f>MonthlyData!BP89</f>
        <v>0</v>
      </c>
      <c r="G89">
        <f>MonthlyData!BN89</f>
        <v>0</v>
      </c>
      <c r="H89" s="4"/>
      <c r="I89" s="4">
        <f t="shared" si="14"/>
        <v>2993597.51664689</v>
      </c>
      <c r="J89" s="4">
        <f t="shared" si="15"/>
        <v>403582.31969103805</v>
      </c>
      <c r="K89" s="4">
        <f t="shared" si="16"/>
        <v>0</v>
      </c>
      <c r="L89" s="4">
        <f t="shared" si="17"/>
        <v>0</v>
      </c>
      <c r="M89" s="4">
        <f t="shared" si="18"/>
        <v>3397179.8363379282</v>
      </c>
      <c r="N89" s="4">
        <f t="shared" si="19"/>
        <v>-396928.98447301984</v>
      </c>
      <c r="O89" s="182">
        <f t="shared" si="20"/>
        <v>0.10461718501478846</v>
      </c>
    </row>
    <row r="90" spans="1:15" x14ac:dyDescent="0.35">
      <c r="A90" s="1">
        <f>MonthlyData!A90</f>
        <v>44317</v>
      </c>
      <c r="B90" s="13">
        <f t="shared" si="12"/>
        <v>2021</v>
      </c>
      <c r="C90" s="13">
        <f t="shared" si="13"/>
        <v>5</v>
      </c>
      <c r="D90" s="4">
        <f>MonthlyData!F90</f>
        <v>3101868.9257601164</v>
      </c>
      <c r="E90" s="4">
        <f>MonthlyData!AF90</f>
        <v>86.762499999999974</v>
      </c>
      <c r="F90">
        <f>MonthlyData!BP90</f>
        <v>0</v>
      </c>
      <c r="G90">
        <f>MonthlyData!BN90</f>
        <v>0</v>
      </c>
      <c r="H90" s="4"/>
      <c r="I90" s="4">
        <f t="shared" si="14"/>
        <v>2993597.51664689</v>
      </c>
      <c r="J90" s="4">
        <f t="shared" si="15"/>
        <v>164104.5624473049</v>
      </c>
      <c r="K90" s="4">
        <f t="shared" si="16"/>
        <v>0</v>
      </c>
      <c r="L90" s="4">
        <f t="shared" si="17"/>
        <v>0</v>
      </c>
      <c r="M90" s="4">
        <f t="shared" si="18"/>
        <v>3157702.0790941948</v>
      </c>
      <c r="N90" s="4">
        <f t="shared" si="19"/>
        <v>55833.153334078379</v>
      </c>
      <c r="O90" s="182">
        <f t="shared" si="20"/>
        <v>1.7999842891619412E-2</v>
      </c>
    </row>
    <row r="91" spans="1:15" x14ac:dyDescent="0.35">
      <c r="A91" s="1">
        <f>MonthlyData!A91</f>
        <v>44348</v>
      </c>
      <c r="B91" s="13">
        <f t="shared" si="12"/>
        <v>2021</v>
      </c>
      <c r="C91" s="13">
        <f t="shared" si="13"/>
        <v>6</v>
      </c>
      <c r="D91" s="4">
        <f>MonthlyData!F91</f>
        <v>2965128.7299124626</v>
      </c>
      <c r="E91" s="4">
        <f>MonthlyData!AF91</f>
        <v>2.9166666666666679</v>
      </c>
      <c r="F91">
        <f>MonthlyData!BP91</f>
        <v>0</v>
      </c>
      <c r="G91">
        <f>MonthlyData!BN91</f>
        <v>0</v>
      </c>
      <c r="H91" s="4"/>
      <c r="I91" s="4">
        <f t="shared" si="14"/>
        <v>2993597.51664689</v>
      </c>
      <c r="J91" s="4">
        <f t="shared" si="15"/>
        <v>5516.6495564094266</v>
      </c>
      <c r="K91" s="4">
        <f t="shared" si="16"/>
        <v>0</v>
      </c>
      <c r="L91" s="4">
        <f t="shared" si="17"/>
        <v>0</v>
      </c>
      <c r="M91" s="4">
        <f t="shared" si="18"/>
        <v>2999114.1662032995</v>
      </c>
      <c r="N91" s="4">
        <f t="shared" si="19"/>
        <v>33985.436290836893</v>
      </c>
      <c r="O91" s="182">
        <f t="shared" si="20"/>
        <v>1.1461706855418793E-2</v>
      </c>
    </row>
    <row r="92" spans="1:15" x14ac:dyDescent="0.35">
      <c r="A92" s="1">
        <f>MonthlyData!A92</f>
        <v>44378</v>
      </c>
      <c r="B92" s="13">
        <f t="shared" si="12"/>
        <v>2021</v>
      </c>
      <c r="C92" s="13">
        <f t="shared" si="13"/>
        <v>7</v>
      </c>
      <c r="D92" s="4">
        <f>MonthlyData!F92</f>
        <v>2919562.1742881173</v>
      </c>
      <c r="E92" s="4">
        <f>MonthlyData!AF92</f>
        <v>2.104755252394658</v>
      </c>
      <c r="F92">
        <f>MonthlyData!BP92</f>
        <v>0</v>
      </c>
      <c r="G92">
        <f>MonthlyData!BN92</f>
        <v>0</v>
      </c>
      <c r="H92" s="4"/>
      <c r="I92" s="4">
        <f t="shared" si="14"/>
        <v>2993597.51664689</v>
      </c>
      <c r="J92" s="4">
        <f t="shared" si="15"/>
        <v>3980.9818729623075</v>
      </c>
      <c r="K92" s="4">
        <f t="shared" si="16"/>
        <v>0</v>
      </c>
      <c r="L92" s="4">
        <f t="shared" si="17"/>
        <v>0</v>
      </c>
      <c r="M92" s="4">
        <f t="shared" si="18"/>
        <v>2997578.4985198523</v>
      </c>
      <c r="N92" s="4">
        <f t="shared" si="19"/>
        <v>78016.324231734965</v>
      </c>
      <c r="O92" s="182">
        <f t="shared" si="20"/>
        <v>2.6721925951365581E-2</v>
      </c>
    </row>
    <row r="93" spans="1:15" x14ac:dyDescent="0.35">
      <c r="A93" s="1">
        <f>MonthlyData!A93</f>
        <v>44409</v>
      </c>
      <c r="B93" s="13">
        <f t="shared" si="12"/>
        <v>2021</v>
      </c>
      <c r="C93" s="13">
        <f t="shared" si="13"/>
        <v>8</v>
      </c>
      <c r="D93" s="4">
        <f>MonthlyData!F93</f>
        <v>3078894.175760556</v>
      </c>
      <c r="E93" s="4">
        <f>MonthlyData!AF93</f>
        <v>0</v>
      </c>
      <c r="F93">
        <f>MonthlyData!BP93</f>
        <v>0</v>
      </c>
      <c r="G93">
        <f>MonthlyData!BN93</f>
        <v>0</v>
      </c>
      <c r="H93" s="4"/>
      <c r="I93" s="4">
        <f t="shared" si="14"/>
        <v>2993597.51664689</v>
      </c>
      <c r="J93" s="4">
        <f t="shared" si="15"/>
        <v>0</v>
      </c>
      <c r="K93" s="4">
        <f t="shared" si="16"/>
        <v>0</v>
      </c>
      <c r="L93" s="4">
        <f t="shared" si="17"/>
        <v>0</v>
      </c>
      <c r="M93" s="4">
        <f t="shared" si="18"/>
        <v>2993597.51664689</v>
      </c>
      <c r="N93" s="4">
        <f t="shared" si="19"/>
        <v>-85296.659113666043</v>
      </c>
      <c r="O93" s="182">
        <f t="shared" si="20"/>
        <v>2.7703667045521581E-2</v>
      </c>
    </row>
    <row r="94" spans="1:15" x14ac:dyDescent="0.35">
      <c r="A94" s="1">
        <f>MonthlyData!A94</f>
        <v>44440</v>
      </c>
      <c r="B94" s="13">
        <f t="shared" si="12"/>
        <v>2021</v>
      </c>
      <c r="C94" s="13">
        <f t="shared" si="13"/>
        <v>9</v>
      </c>
      <c r="D94" s="4">
        <f>MonthlyData!F94</f>
        <v>3326739.1100639156</v>
      </c>
      <c r="E94" s="4">
        <f>MonthlyData!AF94</f>
        <v>22.32083333333334</v>
      </c>
      <c r="F94">
        <f>MonthlyData!BP94</f>
        <v>0</v>
      </c>
      <c r="G94">
        <f>MonthlyData!BN94</f>
        <v>0</v>
      </c>
      <c r="H94" s="4"/>
      <c r="I94" s="4">
        <f t="shared" si="14"/>
        <v>2993597.51664689</v>
      </c>
      <c r="J94" s="4">
        <f t="shared" si="15"/>
        <v>42218.130962407566</v>
      </c>
      <c r="K94" s="4">
        <f t="shared" si="16"/>
        <v>0</v>
      </c>
      <c r="L94" s="4">
        <f t="shared" si="17"/>
        <v>0</v>
      </c>
      <c r="M94" s="4">
        <f t="shared" si="18"/>
        <v>3035815.6476092977</v>
      </c>
      <c r="N94" s="4">
        <f t="shared" si="19"/>
        <v>-290923.46245461795</v>
      </c>
      <c r="O94" s="182">
        <f t="shared" si="20"/>
        <v>8.7450038259546156E-2</v>
      </c>
    </row>
    <row r="95" spans="1:15" x14ac:dyDescent="0.35">
      <c r="A95" s="1">
        <f>MonthlyData!A95</f>
        <v>44470</v>
      </c>
      <c r="B95" s="13">
        <f t="shared" si="12"/>
        <v>2021</v>
      </c>
      <c r="C95" s="13">
        <f t="shared" si="13"/>
        <v>10</v>
      </c>
      <c r="D95" s="4">
        <f>MonthlyData!F95</f>
        <v>2700605.3984909002</v>
      </c>
      <c r="E95" s="4">
        <f>MonthlyData!AF95</f>
        <v>99.116666666666674</v>
      </c>
      <c r="F95">
        <f>MonthlyData!BP95</f>
        <v>1</v>
      </c>
      <c r="G95">
        <f>MonthlyData!BN95</f>
        <v>0</v>
      </c>
      <c r="H95" s="4"/>
      <c r="I95" s="4">
        <f t="shared" si="14"/>
        <v>2993597.51664689</v>
      </c>
      <c r="J95" s="4">
        <f t="shared" si="15"/>
        <v>187471.51378266772</v>
      </c>
      <c r="K95" s="4">
        <f t="shared" si="16"/>
        <v>-602637.76155081904</v>
      </c>
      <c r="L95" s="4">
        <f t="shared" si="17"/>
        <v>0</v>
      </c>
      <c r="M95" s="4">
        <f t="shared" si="18"/>
        <v>2578431.2688787389</v>
      </c>
      <c r="N95" s="4">
        <f t="shared" si="19"/>
        <v>-122174.12961216131</v>
      </c>
      <c r="O95" s="182">
        <f t="shared" si="20"/>
        <v>4.5239533950584665E-2</v>
      </c>
    </row>
    <row r="96" spans="1:15" x14ac:dyDescent="0.35">
      <c r="A96" s="1">
        <f>MonthlyData!A96</f>
        <v>44501</v>
      </c>
      <c r="B96" s="13">
        <f t="shared" si="12"/>
        <v>2021</v>
      </c>
      <c r="C96" s="13">
        <f t="shared" si="13"/>
        <v>11</v>
      </c>
      <c r="D96" s="4">
        <f>MonthlyData!F96</f>
        <v>2951575.7355931653</v>
      </c>
      <c r="E96" s="4">
        <f>MonthlyData!AF96</f>
        <v>364.64166666666665</v>
      </c>
      <c r="F96">
        <f>MonthlyData!BP96</f>
        <v>1</v>
      </c>
      <c r="G96">
        <f>MonthlyData!BN96</f>
        <v>0</v>
      </c>
      <c r="H96" s="4"/>
      <c r="I96" s="4">
        <f t="shared" si="14"/>
        <v>2993597.51664689</v>
      </c>
      <c r="J96" s="4">
        <f t="shared" si="15"/>
        <v>689691.52754230623</v>
      </c>
      <c r="K96" s="4">
        <f t="shared" si="16"/>
        <v>-602637.76155081904</v>
      </c>
      <c r="L96" s="4">
        <f t="shared" si="17"/>
        <v>0</v>
      </c>
      <c r="M96" s="4">
        <f t="shared" si="18"/>
        <v>3080651.282638377</v>
      </c>
      <c r="N96" s="4">
        <f t="shared" si="19"/>
        <v>129075.54704521177</v>
      </c>
      <c r="O96" s="182">
        <f t="shared" si="20"/>
        <v>4.3731063881805504E-2</v>
      </c>
    </row>
    <row r="97" spans="1:15" x14ac:dyDescent="0.35">
      <c r="A97" s="1">
        <f>MonthlyData!A97</f>
        <v>44531</v>
      </c>
      <c r="B97" s="13">
        <f t="shared" si="12"/>
        <v>2021</v>
      </c>
      <c r="C97" s="13">
        <f t="shared" si="13"/>
        <v>12</v>
      </c>
      <c r="D97" s="4">
        <f>MonthlyData!F97</f>
        <v>3487610.1075561787</v>
      </c>
      <c r="E97" s="4">
        <f>MonthlyData!AF97</f>
        <v>683.00833333333321</v>
      </c>
      <c r="F97">
        <f>MonthlyData!BP97</f>
        <v>0</v>
      </c>
      <c r="G97">
        <f>MonthlyData!BN97</f>
        <v>1</v>
      </c>
      <c r="H97" s="4"/>
      <c r="I97" s="4">
        <f t="shared" si="14"/>
        <v>2993597.51664689</v>
      </c>
      <c r="J97" s="4">
        <f t="shared" si="15"/>
        <v>1291857.469408208</v>
      </c>
      <c r="K97" s="4">
        <f t="shared" si="16"/>
        <v>0</v>
      </c>
      <c r="L97" s="4">
        <f t="shared" si="17"/>
        <v>-626381.313089823</v>
      </c>
      <c r="M97" s="4">
        <f t="shared" si="18"/>
        <v>3659073.6729652756</v>
      </c>
      <c r="N97" s="4">
        <f t="shared" si="19"/>
        <v>171463.56540909689</v>
      </c>
      <c r="O97" s="182">
        <f t="shared" si="20"/>
        <v>4.9163627848654218E-2</v>
      </c>
    </row>
    <row r="98" spans="1:15" x14ac:dyDescent="0.35">
      <c r="A98" s="1">
        <f>MonthlyData!A98</f>
        <v>44562</v>
      </c>
      <c r="B98" s="13">
        <f t="shared" si="12"/>
        <v>2022</v>
      </c>
      <c r="C98" s="13">
        <f t="shared" si="13"/>
        <v>1</v>
      </c>
      <c r="D98" s="4">
        <f>MonthlyData!F98</f>
        <v>4371204.1273712702</v>
      </c>
      <c r="E98" s="4">
        <f>MonthlyData!AF98</f>
        <v>990.57499999999993</v>
      </c>
      <c r="F98">
        <f>MonthlyData!BP98</f>
        <v>0</v>
      </c>
      <c r="G98">
        <f>MonthlyData!BN98</f>
        <v>0</v>
      </c>
      <c r="H98" s="4"/>
      <c r="I98" s="4">
        <f t="shared" si="14"/>
        <v>2993597.51664689</v>
      </c>
      <c r="J98" s="4">
        <f t="shared" si="15"/>
        <v>1873596.0460595195</v>
      </c>
      <c r="K98" s="4">
        <f t="shared" si="16"/>
        <v>0</v>
      </c>
      <c r="L98" s="4">
        <f t="shared" si="17"/>
        <v>0</v>
      </c>
      <c r="M98" s="4">
        <f t="shared" si="18"/>
        <v>4867193.562706409</v>
      </c>
      <c r="N98" s="4">
        <f t="shared" si="19"/>
        <v>495989.43533513881</v>
      </c>
      <c r="O98" s="182">
        <f t="shared" si="20"/>
        <v>0.1134674613407757</v>
      </c>
    </row>
    <row r="99" spans="1:15" x14ac:dyDescent="0.35">
      <c r="A99" s="1">
        <f>MonthlyData!A99</f>
        <v>44593</v>
      </c>
      <c r="B99" s="13">
        <f t="shared" si="12"/>
        <v>2022</v>
      </c>
      <c r="C99" s="13">
        <f t="shared" si="13"/>
        <v>2</v>
      </c>
      <c r="D99" s="4">
        <f>MonthlyData!F99</f>
        <v>5039152.9107136903</v>
      </c>
      <c r="E99" s="4">
        <f>MonthlyData!AF99</f>
        <v>803.72083333333319</v>
      </c>
      <c r="F99">
        <f>MonthlyData!BP99</f>
        <v>0</v>
      </c>
      <c r="G99">
        <f>MonthlyData!BN99</f>
        <v>0</v>
      </c>
      <c r="H99" s="4"/>
      <c r="I99" s="4">
        <f t="shared" si="14"/>
        <v>2993597.51664689</v>
      </c>
      <c r="J99" s="4">
        <f t="shared" si="15"/>
        <v>1520175.8326921186</v>
      </c>
      <c r="K99" s="4">
        <f t="shared" si="16"/>
        <v>0</v>
      </c>
      <c r="L99" s="4">
        <f t="shared" si="17"/>
        <v>0</v>
      </c>
      <c r="M99" s="4">
        <f t="shared" si="18"/>
        <v>4513773.3493390083</v>
      </c>
      <c r="N99" s="4">
        <f t="shared" si="19"/>
        <v>-525379.561374682</v>
      </c>
      <c r="O99" s="182">
        <f t="shared" si="20"/>
        <v>0.10425949969838741</v>
      </c>
    </row>
    <row r="100" spans="1:15" x14ac:dyDescent="0.35">
      <c r="A100" s="1">
        <f>MonthlyData!A100</f>
        <v>44621</v>
      </c>
      <c r="B100" s="13">
        <f t="shared" si="12"/>
        <v>2022</v>
      </c>
      <c r="C100" s="13">
        <f t="shared" si="13"/>
        <v>3</v>
      </c>
      <c r="D100" s="4">
        <f>MonthlyData!F100</f>
        <v>4211552.0037224032</v>
      </c>
      <c r="E100" s="4">
        <f>MonthlyData!AF100</f>
        <v>555.07083333333333</v>
      </c>
      <c r="F100">
        <f>MonthlyData!BP100</f>
        <v>0</v>
      </c>
      <c r="G100">
        <f>MonthlyData!BN100</f>
        <v>0</v>
      </c>
      <c r="H100" s="4"/>
      <c r="I100" s="4">
        <f t="shared" si="14"/>
        <v>2993597.51664689</v>
      </c>
      <c r="J100" s="4">
        <f t="shared" si="15"/>
        <v>1049873.5770802775</v>
      </c>
      <c r="K100" s="4">
        <f t="shared" si="16"/>
        <v>0</v>
      </c>
      <c r="L100" s="4">
        <f t="shared" si="17"/>
        <v>0</v>
      </c>
      <c r="M100" s="4">
        <f t="shared" si="18"/>
        <v>4043471.0937271677</v>
      </c>
      <c r="N100" s="4">
        <f t="shared" si="19"/>
        <v>-168080.9099952355</v>
      </c>
      <c r="O100" s="182">
        <f t="shared" si="20"/>
        <v>3.9909494135814128E-2</v>
      </c>
    </row>
    <row r="101" spans="1:15" x14ac:dyDescent="0.35">
      <c r="A101" s="1">
        <f>MonthlyData!A101</f>
        <v>44652</v>
      </c>
      <c r="B101" s="13">
        <f t="shared" si="12"/>
        <v>2022</v>
      </c>
      <c r="C101" s="13">
        <f t="shared" si="13"/>
        <v>4</v>
      </c>
      <c r="D101" s="4">
        <f>MonthlyData!F101</f>
        <v>3799695.9318750687</v>
      </c>
      <c r="E101" s="4">
        <f>MonthlyData!AF101</f>
        <v>269.69166666666661</v>
      </c>
      <c r="F101">
        <f>MonthlyData!BP101</f>
        <v>0</v>
      </c>
      <c r="G101">
        <f>MonthlyData!BN101</f>
        <v>0</v>
      </c>
      <c r="H101" s="4"/>
      <c r="I101" s="4">
        <f t="shared" si="14"/>
        <v>2993597.51664689</v>
      </c>
      <c r="J101" s="4">
        <f t="shared" si="15"/>
        <v>510100.94169736619</v>
      </c>
      <c r="K101" s="4">
        <f t="shared" si="16"/>
        <v>0</v>
      </c>
      <c r="L101" s="4">
        <f t="shared" si="17"/>
        <v>0</v>
      </c>
      <c r="M101" s="4">
        <f t="shared" si="18"/>
        <v>3503698.458344256</v>
      </c>
      <c r="N101" s="4">
        <f t="shared" si="19"/>
        <v>-295997.47353081265</v>
      </c>
      <c r="O101" s="182">
        <f t="shared" si="20"/>
        <v>7.7900305402791595E-2</v>
      </c>
    </row>
    <row r="102" spans="1:15" x14ac:dyDescent="0.35">
      <c r="A102" s="1">
        <f>MonthlyData!A102</f>
        <v>44682</v>
      </c>
      <c r="B102" s="13">
        <f t="shared" si="12"/>
        <v>2022</v>
      </c>
      <c r="C102" s="13">
        <f t="shared" si="13"/>
        <v>5</v>
      </c>
      <c r="D102" s="4">
        <f>MonthlyData!F102</f>
        <v>3175119.6492238664</v>
      </c>
      <c r="E102" s="4">
        <f>MonthlyData!AF102</f>
        <v>37.020833333333329</v>
      </c>
      <c r="F102">
        <f>MonthlyData!BP102</f>
        <v>0</v>
      </c>
      <c r="G102">
        <f>MonthlyData!BN102</f>
        <v>0</v>
      </c>
      <c r="H102" s="4"/>
      <c r="I102" s="4">
        <f t="shared" si="14"/>
        <v>2993597.51664689</v>
      </c>
      <c r="J102" s="4">
        <f t="shared" si="15"/>
        <v>70022.044726711043</v>
      </c>
      <c r="K102" s="4">
        <f t="shared" si="16"/>
        <v>0</v>
      </c>
      <c r="L102" s="4">
        <f t="shared" si="17"/>
        <v>0</v>
      </c>
      <c r="M102" s="4">
        <f t="shared" si="18"/>
        <v>3063619.5613736012</v>
      </c>
      <c r="N102" s="4">
        <f t="shared" si="19"/>
        <v>-111500.0878502652</v>
      </c>
      <c r="O102" s="182">
        <f t="shared" si="20"/>
        <v>3.5116814535641375E-2</v>
      </c>
    </row>
    <row r="103" spans="1:15" x14ac:dyDescent="0.35">
      <c r="A103" s="1">
        <f>MonthlyData!A103</f>
        <v>44713</v>
      </c>
      <c r="B103" s="13">
        <f t="shared" si="12"/>
        <v>2022</v>
      </c>
      <c r="C103" s="13">
        <f t="shared" si="13"/>
        <v>6</v>
      </c>
      <c r="D103" s="4">
        <f>MonthlyData!F103</f>
        <v>2854775.0126316771</v>
      </c>
      <c r="E103" s="4">
        <f>MonthlyData!AF103</f>
        <v>0.58750000000000036</v>
      </c>
      <c r="F103">
        <f>MonthlyData!BP103</f>
        <v>0</v>
      </c>
      <c r="G103">
        <f>MonthlyData!BN103</f>
        <v>0</v>
      </c>
      <c r="H103" s="4"/>
      <c r="I103" s="4">
        <f t="shared" si="14"/>
        <v>2993597.51664689</v>
      </c>
      <c r="J103" s="4">
        <f t="shared" si="15"/>
        <v>1111.2108392196133</v>
      </c>
      <c r="K103" s="4">
        <f t="shared" si="16"/>
        <v>0</v>
      </c>
      <c r="L103" s="4">
        <f t="shared" si="17"/>
        <v>0</v>
      </c>
      <c r="M103" s="4">
        <f t="shared" si="18"/>
        <v>2994708.7274861094</v>
      </c>
      <c r="N103" s="4">
        <f t="shared" si="19"/>
        <v>139933.71485443227</v>
      </c>
      <c r="O103" s="182">
        <f t="shared" si="20"/>
        <v>4.9017423171794625E-2</v>
      </c>
    </row>
    <row r="104" spans="1:15" x14ac:dyDescent="0.35">
      <c r="A104" s="1">
        <f>MonthlyData!A104</f>
        <v>44743</v>
      </c>
      <c r="B104" s="13">
        <f t="shared" si="12"/>
        <v>2022</v>
      </c>
      <c r="C104" s="13">
        <f t="shared" si="13"/>
        <v>7</v>
      </c>
      <c r="D104" s="4">
        <f>MonthlyData!F104</f>
        <v>2826823.9241817086</v>
      </c>
      <c r="E104" s="4">
        <f>MonthlyData!AF104</f>
        <v>0.76620813333721038</v>
      </c>
      <c r="F104">
        <f>MonthlyData!BP104</f>
        <v>0</v>
      </c>
      <c r="G104">
        <f>MonthlyData!BN104</f>
        <v>0</v>
      </c>
      <c r="H104" s="4"/>
      <c r="I104" s="4">
        <f t="shared" si="14"/>
        <v>2993597.51664689</v>
      </c>
      <c r="J104" s="4">
        <f t="shared" si="15"/>
        <v>1449.2234601915479</v>
      </c>
      <c r="K104" s="4">
        <f t="shared" si="16"/>
        <v>0</v>
      </c>
      <c r="L104" s="4">
        <f t="shared" si="17"/>
        <v>0</v>
      </c>
      <c r="M104" s="4">
        <f t="shared" si="18"/>
        <v>2995046.7401070814</v>
      </c>
      <c r="N104" s="4">
        <f t="shared" si="19"/>
        <v>168222.81592537276</v>
      </c>
      <c r="O104" s="182">
        <f t="shared" si="20"/>
        <v>5.9509477929039691E-2</v>
      </c>
    </row>
    <row r="105" spans="1:15" x14ac:dyDescent="0.35">
      <c r="A105" s="1">
        <f>MonthlyData!A105</f>
        <v>44774</v>
      </c>
      <c r="B105" s="13">
        <f t="shared" si="12"/>
        <v>2022</v>
      </c>
      <c r="C105" s="13">
        <f t="shared" si="13"/>
        <v>8</v>
      </c>
      <c r="D105" s="4">
        <f>MonthlyData!F105</f>
        <v>2984810.1592924753</v>
      </c>
      <c r="E105" s="4">
        <f>MonthlyData!AF105</f>
        <v>1.0791666666666657</v>
      </c>
      <c r="F105">
        <f>MonthlyData!BP105</f>
        <v>0</v>
      </c>
      <c r="G105">
        <f>MonthlyData!BN105</f>
        <v>0</v>
      </c>
      <c r="H105" s="4"/>
      <c r="I105" s="4">
        <f t="shared" si="14"/>
        <v>2993597.51664689</v>
      </c>
      <c r="J105" s="4">
        <f t="shared" si="15"/>
        <v>2041.1603358714854</v>
      </c>
      <c r="K105" s="4">
        <f t="shared" si="16"/>
        <v>0</v>
      </c>
      <c r="L105" s="4">
        <f t="shared" si="17"/>
        <v>0</v>
      </c>
      <c r="M105" s="4">
        <f t="shared" si="18"/>
        <v>2995638.6769827614</v>
      </c>
      <c r="N105" s="4">
        <f t="shared" si="19"/>
        <v>10828.51769028604</v>
      </c>
      <c r="O105" s="182">
        <f t="shared" si="20"/>
        <v>3.6278748437565127E-3</v>
      </c>
    </row>
    <row r="106" spans="1:15" x14ac:dyDescent="0.35">
      <c r="A106" s="1">
        <f>MonthlyData!A106</f>
        <v>44805</v>
      </c>
      <c r="B106" s="13">
        <f t="shared" si="12"/>
        <v>2022</v>
      </c>
      <c r="C106" s="13">
        <f t="shared" si="13"/>
        <v>9</v>
      </c>
      <c r="D106" s="4">
        <f>MonthlyData!F106</f>
        <v>2963730.8451401889</v>
      </c>
      <c r="E106" s="4">
        <f>MonthlyData!AF106</f>
        <v>23.4375</v>
      </c>
      <c r="F106">
        <f>MonthlyData!BP106</f>
        <v>0</v>
      </c>
      <c r="G106">
        <f>MonthlyData!BN106</f>
        <v>0</v>
      </c>
      <c r="H106" s="4"/>
      <c r="I106" s="4">
        <f t="shared" si="14"/>
        <v>2993597.51664689</v>
      </c>
      <c r="J106" s="4">
        <f t="shared" si="15"/>
        <v>44330.219649718594</v>
      </c>
      <c r="K106" s="4">
        <f t="shared" si="16"/>
        <v>0</v>
      </c>
      <c r="L106" s="4">
        <f t="shared" si="17"/>
        <v>0</v>
      </c>
      <c r="M106" s="4">
        <f t="shared" si="18"/>
        <v>3037927.7362966086</v>
      </c>
      <c r="N106" s="4">
        <f t="shared" si="19"/>
        <v>74196.891156419646</v>
      </c>
      <c r="O106" s="182">
        <f t="shared" si="20"/>
        <v>2.5034962698480139E-2</v>
      </c>
    </row>
    <row r="107" spans="1:15" x14ac:dyDescent="0.35">
      <c r="A107" s="1">
        <f>MonthlyData!A107</f>
        <v>44835</v>
      </c>
      <c r="B107" s="13">
        <f t="shared" si="12"/>
        <v>2022</v>
      </c>
      <c r="C107" s="13">
        <f t="shared" si="13"/>
        <v>10</v>
      </c>
      <c r="D107" s="4">
        <f>MonthlyData!F107</f>
        <v>2727687.2112562652</v>
      </c>
      <c r="E107" s="4">
        <f>MonthlyData!AF107</f>
        <v>133.35833333333338</v>
      </c>
      <c r="F107">
        <f>MonthlyData!BP107</f>
        <v>1</v>
      </c>
      <c r="G107">
        <f>MonthlyData!BN107</f>
        <v>0</v>
      </c>
      <c r="H107" s="4"/>
      <c r="I107" s="4">
        <f t="shared" si="14"/>
        <v>2993597.51664689</v>
      </c>
      <c r="J107" s="4">
        <f t="shared" si="15"/>
        <v>252236.97957491444</v>
      </c>
      <c r="K107" s="4">
        <f t="shared" si="16"/>
        <v>-602637.76155081904</v>
      </c>
      <c r="L107" s="4">
        <f t="shared" si="17"/>
        <v>0</v>
      </c>
      <c r="M107" s="4">
        <f t="shared" si="18"/>
        <v>2643196.7346709855</v>
      </c>
      <c r="N107" s="4">
        <f t="shared" si="19"/>
        <v>-84490.476585279685</v>
      </c>
      <c r="O107" s="182">
        <f t="shared" si="20"/>
        <v>3.097513389241089E-2</v>
      </c>
    </row>
    <row r="108" spans="1:15" x14ac:dyDescent="0.35">
      <c r="A108" s="1">
        <f>MonthlyData!A108</f>
        <v>44866</v>
      </c>
      <c r="B108" s="13">
        <f t="shared" si="12"/>
        <v>2022</v>
      </c>
      <c r="C108" s="13">
        <f t="shared" si="13"/>
        <v>11</v>
      </c>
      <c r="D108" s="4">
        <f>MonthlyData!F108</f>
        <v>3025375.9504829473</v>
      </c>
      <c r="E108" s="4">
        <f>MonthlyData!AF108</f>
        <v>355.58750000000009</v>
      </c>
      <c r="F108">
        <f>MonthlyData!BP108</f>
        <v>1</v>
      </c>
      <c r="G108">
        <f>MonthlyData!BN108</f>
        <v>0</v>
      </c>
      <c r="H108" s="4"/>
      <c r="I108" s="4">
        <f t="shared" si="14"/>
        <v>2993597.51664689</v>
      </c>
      <c r="J108" s="4">
        <f t="shared" si="15"/>
        <v>672566.27113362402</v>
      </c>
      <c r="K108" s="4">
        <f t="shared" si="16"/>
        <v>-602637.76155081904</v>
      </c>
      <c r="L108" s="4">
        <f t="shared" si="17"/>
        <v>0</v>
      </c>
      <c r="M108" s="4">
        <f t="shared" si="18"/>
        <v>3063526.026229695</v>
      </c>
      <c r="N108" s="4">
        <f t="shared" si="19"/>
        <v>38150.075746747665</v>
      </c>
      <c r="O108" s="182">
        <f t="shared" si="20"/>
        <v>1.2610028099369827E-2</v>
      </c>
    </row>
    <row r="109" spans="1:15" x14ac:dyDescent="0.35">
      <c r="A109" s="1">
        <f>MonthlyData!A109</f>
        <v>44896</v>
      </c>
      <c r="B109" s="13">
        <f t="shared" si="12"/>
        <v>2022</v>
      </c>
      <c r="C109" s="13">
        <f t="shared" si="13"/>
        <v>12</v>
      </c>
      <c r="D109" s="4">
        <f>MonthlyData!F109</f>
        <v>3450879.2932250476</v>
      </c>
      <c r="E109" s="4">
        <f>MonthlyData!AF109</f>
        <v>628.47916666666674</v>
      </c>
      <c r="F109">
        <f>MonthlyData!BP109</f>
        <v>0</v>
      </c>
      <c r="G109">
        <f>MonthlyData!BN109</f>
        <v>1</v>
      </c>
      <c r="H109" s="4"/>
      <c r="I109" s="4">
        <f t="shared" si="14"/>
        <v>2993597.51664689</v>
      </c>
      <c r="J109" s="4">
        <f t="shared" si="15"/>
        <v>1188719.7654871652</v>
      </c>
      <c r="K109" s="4">
        <f t="shared" si="16"/>
        <v>0</v>
      </c>
      <c r="L109" s="4">
        <f t="shared" si="17"/>
        <v>-626381.313089823</v>
      </c>
      <c r="M109" s="4">
        <f t="shared" si="18"/>
        <v>3555935.9690442323</v>
      </c>
      <c r="N109" s="4">
        <f t="shared" si="19"/>
        <v>105056.67581918463</v>
      </c>
      <c r="O109" s="182">
        <f t="shared" si="20"/>
        <v>3.0443451332950868E-2</v>
      </c>
    </row>
    <row r="110" spans="1:15" x14ac:dyDescent="0.35">
      <c r="A110" s="1">
        <f>MonthlyData!A110</f>
        <v>44927</v>
      </c>
      <c r="B110" s="13">
        <f t="shared" si="12"/>
        <v>2023</v>
      </c>
      <c r="C110" s="13">
        <f t="shared" si="13"/>
        <v>1</v>
      </c>
      <c r="D110" s="4">
        <f>MonthlyData!F110</f>
        <v>4207177.010986764</v>
      </c>
      <c r="E110" s="4">
        <f>MonthlyData!AF110</f>
        <v>694.54583333333335</v>
      </c>
      <c r="F110">
        <f>MonthlyData!BP110</f>
        <v>0</v>
      </c>
      <c r="G110">
        <f>MonthlyData!BN110</f>
        <v>0</v>
      </c>
      <c r="H110" s="4"/>
      <c r="I110" s="4">
        <f t="shared" si="14"/>
        <v>2993597.51664689</v>
      </c>
      <c r="J110" s="4">
        <f t="shared" si="15"/>
        <v>1313679.7588677763</v>
      </c>
      <c r="K110" s="4">
        <f t="shared" si="16"/>
        <v>0</v>
      </c>
      <c r="L110" s="4">
        <f t="shared" si="17"/>
        <v>0</v>
      </c>
      <c r="M110" s="4">
        <f t="shared" si="18"/>
        <v>4307277.275514666</v>
      </c>
      <c r="N110" s="4">
        <f t="shared" si="19"/>
        <v>100100.26452790201</v>
      </c>
      <c r="O110" s="182">
        <f t="shared" si="20"/>
        <v>2.3792738994935749E-2</v>
      </c>
    </row>
    <row r="111" spans="1:15" x14ac:dyDescent="0.35">
      <c r="A111" s="1">
        <f>MonthlyData!A111</f>
        <v>44958</v>
      </c>
      <c r="B111" s="13">
        <f t="shared" si="12"/>
        <v>2023</v>
      </c>
      <c r="C111" s="13">
        <f t="shared" si="13"/>
        <v>2</v>
      </c>
      <c r="D111" s="4">
        <f>MonthlyData!F111</f>
        <v>4233347.46244244</v>
      </c>
      <c r="E111" s="4">
        <f>MonthlyData!AF111</f>
        <v>671.62500000000023</v>
      </c>
      <c r="F111">
        <f>MonthlyData!BP111</f>
        <v>0</v>
      </c>
      <c r="G111">
        <f>MonthlyData!BN111</f>
        <v>0</v>
      </c>
      <c r="H111" s="4"/>
      <c r="I111" s="4">
        <f t="shared" si="14"/>
        <v>2993597.51664689</v>
      </c>
      <c r="J111" s="4">
        <f t="shared" si="15"/>
        <v>1270326.7742823365</v>
      </c>
      <c r="K111" s="4">
        <f t="shared" si="16"/>
        <v>0</v>
      </c>
      <c r="L111" s="4">
        <f t="shared" si="17"/>
        <v>0</v>
      </c>
      <c r="M111" s="4">
        <f t="shared" si="18"/>
        <v>4263924.2909292262</v>
      </c>
      <c r="N111" s="4">
        <f t="shared" si="19"/>
        <v>30576.828486786224</v>
      </c>
      <c r="O111" s="182">
        <f t="shared" si="20"/>
        <v>7.2228487640239314E-3</v>
      </c>
    </row>
    <row r="112" spans="1:15" x14ac:dyDescent="0.35">
      <c r="A112" s="1">
        <f>MonthlyData!A112</f>
        <v>44986</v>
      </c>
      <c r="B112" s="13">
        <f t="shared" si="12"/>
        <v>2023</v>
      </c>
      <c r="C112" s="13">
        <f t="shared" si="13"/>
        <v>3</v>
      </c>
      <c r="D112" s="4">
        <f>MonthlyData!F112</f>
        <v>3958712.948354044</v>
      </c>
      <c r="E112" s="4">
        <f>MonthlyData!AF112</f>
        <v>598.18749999999989</v>
      </c>
      <c r="F112">
        <f>MonthlyData!BP112</f>
        <v>0</v>
      </c>
      <c r="G112">
        <f>MonthlyData!BN112</f>
        <v>0</v>
      </c>
      <c r="H112" s="4"/>
      <c r="I112" s="4">
        <f t="shared" si="14"/>
        <v>2993597.51664689</v>
      </c>
      <c r="J112" s="4">
        <f t="shared" si="15"/>
        <v>1131425.4193798841</v>
      </c>
      <c r="K112" s="4">
        <f t="shared" si="16"/>
        <v>0</v>
      </c>
      <c r="L112" s="4">
        <f t="shared" si="17"/>
        <v>0</v>
      </c>
      <c r="M112" s="4">
        <f t="shared" si="18"/>
        <v>4125022.9360267743</v>
      </c>
      <c r="N112" s="4">
        <f t="shared" si="19"/>
        <v>166309.98767273035</v>
      </c>
      <c r="O112" s="182">
        <f t="shared" si="20"/>
        <v>4.2011125798317561E-2</v>
      </c>
    </row>
    <row r="113" spans="1:15" x14ac:dyDescent="0.35">
      <c r="A113" s="1">
        <f>MonthlyData!A113</f>
        <v>45017</v>
      </c>
      <c r="B113" s="13">
        <f t="shared" si="12"/>
        <v>2023</v>
      </c>
      <c r="C113" s="13">
        <f t="shared" si="13"/>
        <v>4</v>
      </c>
      <c r="D113" s="4">
        <f>MonthlyData!F113</f>
        <v>3784505.644967339</v>
      </c>
      <c r="E113" s="4">
        <f>MonthlyData!AF113</f>
        <v>288.91250000000008</v>
      </c>
      <c r="F113">
        <f>MonthlyData!BP113</f>
        <v>0</v>
      </c>
      <c r="G113">
        <f>MonthlyData!BN113</f>
        <v>0</v>
      </c>
      <c r="H113" s="4"/>
      <c r="I113" s="4">
        <f t="shared" si="14"/>
        <v>2993597.51664689</v>
      </c>
      <c r="J113" s="4">
        <f t="shared" si="15"/>
        <v>546455.66227410454</v>
      </c>
      <c r="K113" s="4">
        <f t="shared" si="16"/>
        <v>0</v>
      </c>
      <c r="L113" s="4">
        <f t="shared" si="17"/>
        <v>0</v>
      </c>
      <c r="M113" s="4">
        <f t="shared" si="18"/>
        <v>3540053.1789209945</v>
      </c>
      <c r="N113" s="4">
        <f t="shared" si="19"/>
        <v>-244452.46604634449</v>
      </c>
      <c r="O113" s="182">
        <f t="shared" si="20"/>
        <v>6.4592971705939722E-2</v>
      </c>
    </row>
    <row r="114" spans="1:15" x14ac:dyDescent="0.35">
      <c r="A114" s="1">
        <f>MonthlyData!A114</f>
        <v>45047</v>
      </c>
      <c r="B114" s="13">
        <f t="shared" si="12"/>
        <v>2023</v>
      </c>
      <c r="C114" s="13">
        <f t="shared" si="13"/>
        <v>5</v>
      </c>
      <c r="D114" s="4">
        <f>MonthlyData!F114</f>
        <v>3224377.6879194174</v>
      </c>
      <c r="E114" s="4">
        <f>MonthlyData!AF114</f>
        <v>53.558333333333323</v>
      </c>
      <c r="F114">
        <f>MonthlyData!BP114</f>
        <v>0</v>
      </c>
      <c r="G114">
        <f>MonthlyData!BN114</f>
        <v>0</v>
      </c>
      <c r="H114" s="4"/>
      <c r="I114" s="4">
        <f t="shared" si="14"/>
        <v>2993597.51664689</v>
      </c>
      <c r="J114" s="4">
        <f t="shared" si="15"/>
        <v>101301.44771155248</v>
      </c>
      <c r="K114" s="4">
        <f t="shared" si="16"/>
        <v>0</v>
      </c>
      <c r="L114" s="4">
        <f t="shared" si="17"/>
        <v>0</v>
      </c>
      <c r="M114" s="4">
        <f t="shared" si="18"/>
        <v>3094898.9643584425</v>
      </c>
      <c r="N114" s="4">
        <f t="shared" si="19"/>
        <v>-129478.72356097493</v>
      </c>
      <c r="O114" s="182">
        <f t="shared" si="20"/>
        <v>4.0156190152935589E-2</v>
      </c>
    </row>
    <row r="115" spans="1:15" x14ac:dyDescent="0.35">
      <c r="A115" s="1">
        <f>MonthlyData!A115</f>
        <v>45078</v>
      </c>
      <c r="B115" s="13">
        <f t="shared" si="12"/>
        <v>2023</v>
      </c>
      <c r="C115" s="13">
        <f t="shared" si="13"/>
        <v>6</v>
      </c>
      <c r="D115" s="4">
        <f>MonthlyData!F115</f>
        <v>2928667.7868225626</v>
      </c>
      <c r="E115" s="4">
        <f>MonthlyData!AF115</f>
        <v>1.0041666666666664</v>
      </c>
      <c r="F115">
        <f>MonthlyData!BP115</f>
        <v>0</v>
      </c>
      <c r="G115">
        <f>MonthlyData!BN115</f>
        <v>0</v>
      </c>
      <c r="H115" s="4"/>
      <c r="I115" s="4">
        <f t="shared" si="14"/>
        <v>2993597.51664689</v>
      </c>
      <c r="J115" s="4">
        <f t="shared" si="15"/>
        <v>1899.3036329923873</v>
      </c>
      <c r="K115" s="4">
        <f t="shared" si="16"/>
        <v>0</v>
      </c>
      <c r="L115" s="4">
        <f t="shared" si="17"/>
        <v>0</v>
      </c>
      <c r="M115" s="4">
        <f t="shared" si="18"/>
        <v>2995496.8202798823</v>
      </c>
      <c r="N115" s="4">
        <f t="shared" si="19"/>
        <v>66829.033457319718</v>
      </c>
      <c r="O115" s="182">
        <f t="shared" si="20"/>
        <v>2.2818919154304423E-2</v>
      </c>
    </row>
    <row r="116" spans="1:15" x14ac:dyDescent="0.35">
      <c r="A116" s="1">
        <f>MonthlyData!A116</f>
        <v>45108</v>
      </c>
      <c r="B116" s="13">
        <f t="shared" si="12"/>
        <v>2023</v>
      </c>
      <c r="C116" s="13">
        <f t="shared" si="13"/>
        <v>7</v>
      </c>
      <c r="D116" s="4">
        <f>MonthlyData!F116</f>
        <v>3049940.460207012</v>
      </c>
      <c r="E116" s="4">
        <f>MonthlyData!AF116</f>
        <v>0</v>
      </c>
      <c r="F116">
        <f>MonthlyData!BP116</f>
        <v>0</v>
      </c>
      <c r="G116">
        <f>MonthlyData!BN116</f>
        <v>0</v>
      </c>
      <c r="H116" s="4"/>
      <c r="I116" s="4">
        <f t="shared" si="14"/>
        <v>2993597.51664689</v>
      </c>
      <c r="J116" s="4">
        <f t="shared" si="15"/>
        <v>0</v>
      </c>
      <c r="K116" s="4">
        <f t="shared" si="16"/>
        <v>0</v>
      </c>
      <c r="L116" s="4">
        <f t="shared" si="17"/>
        <v>0</v>
      </c>
      <c r="M116" s="4">
        <f t="shared" si="18"/>
        <v>2993597.51664689</v>
      </c>
      <c r="N116" s="4">
        <f t="shared" si="19"/>
        <v>-56342.943560122047</v>
      </c>
      <c r="O116" s="182">
        <f t="shared" si="20"/>
        <v>1.8473456874072165E-2</v>
      </c>
    </row>
    <row r="117" spans="1:15" x14ac:dyDescent="0.35">
      <c r="A117" s="1">
        <f>MonthlyData!A117</f>
        <v>45139</v>
      </c>
      <c r="B117" s="13">
        <f t="shared" si="12"/>
        <v>2023</v>
      </c>
      <c r="C117" s="13">
        <f t="shared" si="13"/>
        <v>8</v>
      </c>
      <c r="D117" s="4">
        <f>MonthlyData!F117</f>
        <v>3144453.271902944</v>
      </c>
      <c r="E117" s="4">
        <f>MonthlyData!AF117</f>
        <v>2.44166666666667</v>
      </c>
      <c r="F117">
        <f>MonthlyData!BP117</f>
        <v>0</v>
      </c>
      <c r="G117">
        <f>MonthlyData!BN117</f>
        <v>0</v>
      </c>
      <c r="H117" s="4"/>
      <c r="I117" s="4">
        <f t="shared" si="14"/>
        <v>2993597.51664689</v>
      </c>
      <c r="J117" s="4">
        <f t="shared" si="15"/>
        <v>4618.2237715084675</v>
      </c>
      <c r="K117" s="4">
        <f t="shared" si="16"/>
        <v>0</v>
      </c>
      <c r="L117" s="4">
        <f t="shared" si="17"/>
        <v>0</v>
      </c>
      <c r="M117" s="4">
        <f t="shared" si="18"/>
        <v>2998215.7404183983</v>
      </c>
      <c r="N117" s="4">
        <f t="shared" si="19"/>
        <v>-146237.53148454567</v>
      </c>
      <c r="O117" s="182">
        <f t="shared" si="20"/>
        <v>4.6506504895856317E-2</v>
      </c>
    </row>
    <row r="118" spans="1:15" x14ac:dyDescent="0.35">
      <c r="A118" s="1">
        <f>MonthlyData!A118</f>
        <v>45170</v>
      </c>
      <c r="B118" s="13">
        <f t="shared" si="12"/>
        <v>2023</v>
      </c>
      <c r="C118" s="13">
        <f t="shared" si="13"/>
        <v>9</v>
      </c>
      <c r="D118" s="4">
        <f>MonthlyData!F118</f>
        <v>2865887.9762289687</v>
      </c>
      <c r="E118" s="4">
        <f>MonthlyData!AF118</f>
        <v>13.108333333333334</v>
      </c>
      <c r="F118">
        <f>MonthlyData!BP118</f>
        <v>0</v>
      </c>
      <c r="G118">
        <f>MonthlyData!BN118</f>
        <v>0</v>
      </c>
      <c r="H118" s="4"/>
      <c r="I118" s="4">
        <f t="shared" si="14"/>
        <v>2993597.51664689</v>
      </c>
      <c r="J118" s="4">
        <f t="shared" si="15"/>
        <v>24793.399292091501</v>
      </c>
      <c r="K118" s="4">
        <f t="shared" si="16"/>
        <v>0</v>
      </c>
      <c r="L118" s="4">
        <f t="shared" si="17"/>
        <v>0</v>
      </c>
      <c r="M118" s="4">
        <f t="shared" si="18"/>
        <v>3018390.9159389813</v>
      </c>
      <c r="N118" s="4">
        <f t="shared" si="19"/>
        <v>152502.93971001264</v>
      </c>
      <c r="O118" s="182">
        <f t="shared" si="20"/>
        <v>5.3213154517882139E-2</v>
      </c>
    </row>
    <row r="119" spans="1:15" x14ac:dyDescent="0.35">
      <c r="A119" s="1">
        <f>MonthlyData!A119</f>
        <v>45200</v>
      </c>
      <c r="B119" s="13">
        <f t="shared" si="12"/>
        <v>2023</v>
      </c>
      <c r="C119" s="13">
        <f t="shared" si="13"/>
        <v>10</v>
      </c>
      <c r="D119" s="4">
        <f>MonthlyData!F119</f>
        <v>2795555.4664380746</v>
      </c>
      <c r="E119" s="4">
        <f>MonthlyData!AF119</f>
        <v>167.78333333333333</v>
      </c>
      <c r="F119">
        <f>MonthlyData!BP119</f>
        <v>1</v>
      </c>
      <c r="G119">
        <f>MonthlyData!BN119</f>
        <v>0</v>
      </c>
      <c r="H119" s="4"/>
      <c r="I119" s="4">
        <f t="shared" si="14"/>
        <v>2993597.51664689</v>
      </c>
      <c r="J119" s="4">
        <f t="shared" si="15"/>
        <v>317349.206196421</v>
      </c>
      <c r="K119" s="4">
        <f t="shared" si="16"/>
        <v>-602637.76155081904</v>
      </c>
      <c r="L119" s="4">
        <f t="shared" si="17"/>
        <v>0</v>
      </c>
      <c r="M119" s="4">
        <f t="shared" si="18"/>
        <v>2708308.9612924918</v>
      </c>
      <c r="N119" s="4">
        <f t="shared" si="19"/>
        <v>-87246.505145582836</v>
      </c>
      <c r="O119" s="182">
        <f t="shared" si="20"/>
        <v>3.1209005220256634E-2</v>
      </c>
    </row>
    <row r="120" spans="1:15" x14ac:dyDescent="0.35">
      <c r="A120" s="1">
        <f>MonthlyData!A120</f>
        <v>45231</v>
      </c>
      <c r="B120" s="13">
        <f t="shared" si="12"/>
        <v>2023</v>
      </c>
      <c r="C120" s="13">
        <f t="shared" si="13"/>
        <v>11</v>
      </c>
      <c r="D120" s="4">
        <f>MonthlyData!F120</f>
        <v>3136774.019911529</v>
      </c>
      <c r="E120" s="4">
        <f>MonthlyData!AF120</f>
        <v>406.07916666666671</v>
      </c>
      <c r="F120">
        <f>MonthlyData!BP120</f>
        <v>1</v>
      </c>
      <c r="G120">
        <f>MonthlyData!BN120</f>
        <v>0</v>
      </c>
      <c r="H120" s="4"/>
      <c r="I120" s="4">
        <f t="shared" si="14"/>
        <v>2993597.51664689</v>
      </c>
      <c r="J120" s="4">
        <f t="shared" si="15"/>
        <v>768067.3558830088</v>
      </c>
      <c r="K120" s="4">
        <f t="shared" si="16"/>
        <v>-602637.76155081904</v>
      </c>
      <c r="L120" s="4">
        <f t="shared" si="17"/>
        <v>0</v>
      </c>
      <c r="M120" s="4">
        <f t="shared" si="18"/>
        <v>3159027.1109790797</v>
      </c>
      <c r="N120" s="4">
        <f t="shared" si="19"/>
        <v>22253.091067550704</v>
      </c>
      <c r="O120" s="182">
        <f t="shared" si="20"/>
        <v>7.09426019416545E-3</v>
      </c>
    </row>
    <row r="121" spans="1:15" x14ac:dyDescent="0.35">
      <c r="A121" s="1">
        <f>MonthlyData!A121</f>
        <v>45261</v>
      </c>
      <c r="B121" s="13">
        <f t="shared" si="12"/>
        <v>2023</v>
      </c>
      <c r="C121" s="13">
        <f t="shared" si="13"/>
        <v>12</v>
      </c>
      <c r="D121" s="4">
        <f>MonthlyData!F121</f>
        <v>3571711.2463362389</v>
      </c>
      <c r="E121" s="4">
        <f>MonthlyData!AF121</f>
        <v>471.83333333333337</v>
      </c>
      <c r="F121">
        <f>MonthlyData!BP121</f>
        <v>0</v>
      </c>
      <c r="G121">
        <f>MonthlyData!BN121</f>
        <v>1</v>
      </c>
      <c r="H121" s="4"/>
      <c r="I121" s="4">
        <f t="shared" si="14"/>
        <v>2993597.51664689</v>
      </c>
      <c r="J121" s="4">
        <f t="shared" si="15"/>
        <v>892436.2796682904</v>
      </c>
      <c r="K121" s="4">
        <f t="shared" si="16"/>
        <v>0</v>
      </c>
      <c r="L121" s="4">
        <f t="shared" si="17"/>
        <v>-626381.313089823</v>
      </c>
      <c r="M121" s="4">
        <f t="shared" si="18"/>
        <v>3259652.4832253573</v>
      </c>
      <c r="N121" s="4">
        <f t="shared" si="19"/>
        <v>-312058.76311088167</v>
      </c>
      <c r="O121" s="182">
        <f t="shared" si="20"/>
        <v>8.7369538461705934E-2</v>
      </c>
    </row>
    <row r="122" spans="1:15" x14ac:dyDescent="0.35">
      <c r="A122" s="1">
        <f>MonthlyData!A122</f>
        <v>45292</v>
      </c>
      <c r="B122" s="13">
        <f t="shared" ref="B122:B131" si="21">YEAR(A122)</f>
        <v>2024</v>
      </c>
      <c r="C122" s="13">
        <f t="shared" ref="C122:C131" si="22">MONTH(A122)</f>
        <v>1</v>
      </c>
      <c r="D122" s="4">
        <f>MonthlyData!F122</f>
        <v>4005895.2953150608</v>
      </c>
      <c r="E122" s="4">
        <f>MonthlyData!AF122</f>
        <v>684.4</v>
      </c>
      <c r="F122">
        <f>MonthlyData!BP122</f>
        <v>0</v>
      </c>
      <c r="G122">
        <f>MonthlyData!BN122</f>
        <v>0</v>
      </c>
      <c r="H122" s="4"/>
      <c r="I122" s="4">
        <f t="shared" si="14"/>
        <v>2993597.51664689</v>
      </c>
      <c r="J122" s="4">
        <f t="shared" ref="J122:J131" si="23">E122*$S$9</f>
        <v>1294489.6993394091</v>
      </c>
      <c r="K122" s="4">
        <f t="shared" ref="K122:K131" si="24">F122*$S$10</f>
        <v>0</v>
      </c>
      <c r="L122" s="4">
        <f t="shared" ref="L122:L131" si="25">G122*$S$11</f>
        <v>0</v>
      </c>
      <c r="M122" s="4">
        <f t="shared" ref="M122:M131" si="26">SUM(I122:L122)</f>
        <v>4288087.2159862993</v>
      </c>
      <c r="N122" s="4">
        <f t="shared" ref="N122:N131" si="27">M122-D122</f>
        <v>282191.92067123856</v>
      </c>
      <c r="O122" s="182">
        <f t="shared" ref="O122:O131" si="28">ABS(N122/D122)</f>
        <v>7.0444157889315073E-2</v>
      </c>
    </row>
    <row r="123" spans="1:15" x14ac:dyDescent="0.35">
      <c r="A123" s="1">
        <f>MonthlyData!A123</f>
        <v>45323</v>
      </c>
      <c r="B123" s="13">
        <f t="shared" si="21"/>
        <v>2024</v>
      </c>
      <c r="C123" s="13">
        <f t="shared" si="22"/>
        <v>2</v>
      </c>
      <c r="D123" s="4">
        <f>MonthlyData!F123</f>
        <v>4302730.3482179875</v>
      </c>
      <c r="E123" s="4">
        <f>MonthlyData!AF123</f>
        <v>592.89999999999986</v>
      </c>
      <c r="F123">
        <f>MonthlyData!BP123</f>
        <v>0</v>
      </c>
      <c r="G123">
        <f>MonthlyData!BN123</f>
        <v>0</v>
      </c>
      <c r="H123" s="4"/>
      <c r="I123" s="4">
        <f t="shared" si="14"/>
        <v>2993597.51664689</v>
      </c>
      <c r="J123" s="4">
        <f t="shared" si="23"/>
        <v>1121424.5218269075</v>
      </c>
      <c r="K123" s="4">
        <f t="shared" si="24"/>
        <v>0</v>
      </c>
      <c r="L123" s="4">
        <f t="shared" si="25"/>
        <v>0</v>
      </c>
      <c r="M123" s="4">
        <f t="shared" si="26"/>
        <v>4115022.0384737975</v>
      </c>
      <c r="N123" s="4">
        <f t="shared" si="27"/>
        <v>-187708.30974418996</v>
      </c>
      <c r="O123" s="182">
        <f t="shared" si="28"/>
        <v>4.362539470360511E-2</v>
      </c>
    </row>
    <row r="124" spans="1:15" x14ac:dyDescent="0.35">
      <c r="A124" s="1">
        <f>MonthlyData!A124</f>
        <v>45352</v>
      </c>
      <c r="B124" s="13">
        <f t="shared" si="21"/>
        <v>2024</v>
      </c>
      <c r="C124" s="13">
        <f t="shared" si="22"/>
        <v>3</v>
      </c>
      <c r="D124" s="4">
        <f>MonthlyData!F124</f>
        <v>3768112.4011209141</v>
      </c>
      <c r="E124" s="4">
        <f>MonthlyData!AF124</f>
        <v>461.4</v>
      </c>
      <c r="F124">
        <f>MonthlyData!BP124</f>
        <v>0</v>
      </c>
      <c r="G124">
        <f>MonthlyData!BN124</f>
        <v>0</v>
      </c>
      <c r="H124" s="4"/>
      <c r="I124" s="4">
        <f t="shared" si="14"/>
        <v>2993597.51664689</v>
      </c>
      <c r="J124" s="4">
        <f t="shared" si="23"/>
        <v>872702.43611222005</v>
      </c>
      <c r="K124" s="4">
        <f t="shared" si="24"/>
        <v>0</v>
      </c>
      <c r="L124" s="4">
        <f t="shared" si="25"/>
        <v>0</v>
      </c>
      <c r="M124" s="4">
        <f t="shared" si="26"/>
        <v>3866299.9527591099</v>
      </c>
      <c r="N124" s="4">
        <f t="shared" si="27"/>
        <v>98187.551638195757</v>
      </c>
      <c r="O124" s="182">
        <f t="shared" si="28"/>
        <v>2.605749011334894E-2</v>
      </c>
    </row>
    <row r="125" spans="1:15" x14ac:dyDescent="0.35">
      <c r="A125" s="1">
        <f>MonthlyData!A125</f>
        <v>45383</v>
      </c>
      <c r="B125" s="13">
        <f t="shared" si="21"/>
        <v>2024</v>
      </c>
      <c r="C125" s="13">
        <f t="shared" si="22"/>
        <v>4</v>
      </c>
      <c r="D125" s="4">
        <f>MonthlyData!F125</f>
        <v>3682543.4540238408</v>
      </c>
      <c r="E125" s="4">
        <f>MonthlyData!AF125</f>
        <v>221.40000000000003</v>
      </c>
      <c r="F125">
        <f>MonthlyData!BP125</f>
        <v>0</v>
      </c>
      <c r="G125">
        <f>MonthlyData!BN125</f>
        <v>0</v>
      </c>
      <c r="H125" s="4"/>
      <c r="I125" s="4">
        <f t="shared" si="14"/>
        <v>2993597.51664689</v>
      </c>
      <c r="J125" s="4">
        <f t="shared" si="23"/>
        <v>418760.98689910176</v>
      </c>
      <c r="K125" s="4">
        <f t="shared" si="24"/>
        <v>0</v>
      </c>
      <c r="L125" s="4">
        <f t="shared" si="25"/>
        <v>0</v>
      </c>
      <c r="M125" s="4">
        <f t="shared" si="26"/>
        <v>3412358.5035459916</v>
      </c>
      <c r="N125" s="4">
        <f t="shared" si="27"/>
        <v>-270184.95047784923</v>
      </c>
      <c r="O125" s="182">
        <f t="shared" si="28"/>
        <v>7.3369113997181379E-2</v>
      </c>
    </row>
    <row r="126" spans="1:15" x14ac:dyDescent="0.35">
      <c r="A126" s="1">
        <f>MonthlyData!A126</f>
        <v>45413</v>
      </c>
      <c r="B126" s="13">
        <f t="shared" si="21"/>
        <v>2024</v>
      </c>
      <c r="C126" s="13">
        <f t="shared" si="22"/>
        <v>5</v>
      </c>
      <c r="D126" s="4">
        <f>MonthlyData!F126</f>
        <v>3154863.5069267675</v>
      </c>
      <c r="E126" s="4">
        <f>MonthlyData!AF126</f>
        <v>36.300000000000004</v>
      </c>
      <c r="F126">
        <f>MonthlyData!BP126</f>
        <v>0</v>
      </c>
      <c r="G126">
        <f>MonthlyData!BN126</f>
        <v>0</v>
      </c>
      <c r="H126" s="4"/>
      <c r="I126" s="4">
        <f t="shared" si="14"/>
        <v>2993597.51664689</v>
      </c>
      <c r="J126" s="4">
        <f t="shared" si="23"/>
        <v>68658.644193484157</v>
      </c>
      <c r="K126" s="4">
        <f t="shared" si="24"/>
        <v>0</v>
      </c>
      <c r="L126" s="4">
        <f t="shared" si="25"/>
        <v>0</v>
      </c>
      <c r="M126" s="4">
        <f t="shared" si="26"/>
        <v>3062256.160840374</v>
      </c>
      <c r="N126" s="4">
        <f t="shared" si="27"/>
        <v>-92607.346086393576</v>
      </c>
      <c r="O126" s="182">
        <f t="shared" si="28"/>
        <v>2.9353836032229724E-2</v>
      </c>
    </row>
    <row r="127" spans="1:15" x14ac:dyDescent="0.35">
      <c r="A127" s="1">
        <f>MonthlyData!A127</f>
        <v>45444</v>
      </c>
      <c r="B127" s="13">
        <f t="shared" si="21"/>
        <v>2024</v>
      </c>
      <c r="C127" s="13">
        <f t="shared" si="22"/>
        <v>6</v>
      </c>
      <c r="D127" s="4">
        <f>MonthlyData!F127</f>
        <v>2833887.5598296942</v>
      </c>
      <c r="E127" s="4">
        <f>MonthlyData!AF127</f>
        <v>4</v>
      </c>
      <c r="F127">
        <f>MonthlyData!BP127</f>
        <v>0</v>
      </c>
      <c r="G127">
        <f>MonthlyData!BN127</f>
        <v>0</v>
      </c>
      <c r="H127" s="4"/>
      <c r="I127" s="4">
        <f t="shared" si="14"/>
        <v>2993597.51664689</v>
      </c>
      <c r="J127" s="4">
        <f t="shared" si="23"/>
        <v>7565.6908202186396</v>
      </c>
      <c r="K127" s="4">
        <f t="shared" si="24"/>
        <v>0</v>
      </c>
      <c r="L127" s="4">
        <f t="shared" si="25"/>
        <v>0</v>
      </c>
      <c r="M127" s="4">
        <f t="shared" si="26"/>
        <v>3001163.2074671085</v>
      </c>
      <c r="N127" s="4">
        <f t="shared" si="27"/>
        <v>167275.64763741428</v>
      </c>
      <c r="O127" s="182">
        <f t="shared" si="28"/>
        <v>5.9026917654935791E-2</v>
      </c>
    </row>
    <row r="128" spans="1:15" x14ac:dyDescent="0.35">
      <c r="A128" s="1">
        <f>MonthlyData!A128</f>
        <v>45474</v>
      </c>
      <c r="B128" s="13">
        <f t="shared" si="21"/>
        <v>2024</v>
      </c>
      <c r="C128" s="13">
        <f t="shared" si="22"/>
        <v>7</v>
      </c>
      <c r="D128" s="4">
        <f>MonthlyData!F128</f>
        <v>3089982.6127326209</v>
      </c>
      <c r="E128" s="4">
        <f>MonthlyData!AF128</f>
        <v>0</v>
      </c>
      <c r="F128">
        <f>MonthlyData!BP128</f>
        <v>0</v>
      </c>
      <c r="G128">
        <f>MonthlyData!BN128</f>
        <v>0</v>
      </c>
      <c r="H128" s="4"/>
      <c r="I128" s="4">
        <f t="shared" si="14"/>
        <v>2993597.51664689</v>
      </c>
      <c r="J128" s="4">
        <f t="shared" si="23"/>
        <v>0</v>
      </c>
      <c r="K128" s="4">
        <f t="shared" si="24"/>
        <v>0</v>
      </c>
      <c r="L128" s="4">
        <f t="shared" si="25"/>
        <v>0</v>
      </c>
      <c r="M128" s="4">
        <f t="shared" si="26"/>
        <v>2993597.51664689</v>
      </c>
      <c r="N128" s="4">
        <f t="shared" si="27"/>
        <v>-96385.09608573094</v>
      </c>
      <c r="O128" s="182">
        <f t="shared" si="28"/>
        <v>3.1192763250047204E-2</v>
      </c>
    </row>
    <row r="129" spans="1:21" x14ac:dyDescent="0.35">
      <c r="A129" s="1">
        <f>MonthlyData!A129</f>
        <v>45505</v>
      </c>
      <c r="B129" s="13">
        <f t="shared" si="21"/>
        <v>2024</v>
      </c>
      <c r="C129" s="13">
        <f t="shared" si="22"/>
        <v>8</v>
      </c>
      <c r="D129" s="4">
        <f>MonthlyData!F129</f>
        <v>3416128.6656355476</v>
      </c>
      <c r="E129" s="4">
        <f>MonthlyData!AF129</f>
        <v>0</v>
      </c>
      <c r="F129">
        <f>MonthlyData!BP129</f>
        <v>0</v>
      </c>
      <c r="G129">
        <f>MonthlyData!BN129</f>
        <v>0</v>
      </c>
      <c r="H129" s="4"/>
      <c r="I129" s="4">
        <f t="shared" si="14"/>
        <v>2993597.51664689</v>
      </c>
      <c r="J129" s="4">
        <f t="shared" si="23"/>
        <v>0</v>
      </c>
      <c r="K129" s="4">
        <f t="shared" si="24"/>
        <v>0</v>
      </c>
      <c r="L129" s="4">
        <f t="shared" si="25"/>
        <v>0</v>
      </c>
      <c r="M129" s="4">
        <f t="shared" si="26"/>
        <v>2993597.51664689</v>
      </c>
      <c r="N129" s="4">
        <f t="shared" si="27"/>
        <v>-422531.14898865763</v>
      </c>
      <c r="O129" s="182">
        <f t="shared" si="28"/>
        <v>0.12368712959763434</v>
      </c>
    </row>
    <row r="130" spans="1:21" x14ac:dyDescent="0.35">
      <c r="A130" s="1">
        <f>MonthlyData!A130</f>
        <v>45536</v>
      </c>
      <c r="B130" s="13">
        <f t="shared" si="21"/>
        <v>2024</v>
      </c>
      <c r="C130" s="13">
        <f t="shared" si="22"/>
        <v>9</v>
      </c>
      <c r="D130" s="4">
        <f>MonthlyData!F130</f>
        <v>3265561.7185384743</v>
      </c>
      <c r="E130" s="4">
        <f>MonthlyData!AF130</f>
        <v>9.8999999999999986</v>
      </c>
      <c r="F130">
        <f>MonthlyData!BP130</f>
        <v>0</v>
      </c>
      <c r="G130">
        <f>MonthlyData!BN130</f>
        <v>0</v>
      </c>
      <c r="H130" s="4"/>
      <c r="I130" s="4">
        <f t="shared" si="14"/>
        <v>2993597.51664689</v>
      </c>
      <c r="J130" s="4">
        <f t="shared" si="23"/>
        <v>18725.084780041132</v>
      </c>
      <c r="K130" s="4">
        <f t="shared" si="24"/>
        <v>0</v>
      </c>
      <c r="L130" s="4">
        <f t="shared" si="25"/>
        <v>0</v>
      </c>
      <c r="M130" s="4">
        <f t="shared" si="26"/>
        <v>3012322.6014269311</v>
      </c>
      <c r="N130" s="4">
        <f t="shared" si="27"/>
        <v>-253239.11711154319</v>
      </c>
      <c r="O130" s="182">
        <f t="shared" si="28"/>
        <v>7.754840941266368E-2</v>
      </c>
    </row>
    <row r="131" spans="1:21" x14ac:dyDescent="0.35">
      <c r="A131" s="1">
        <f>MonthlyData!A131</f>
        <v>45566</v>
      </c>
      <c r="B131" s="13">
        <f t="shared" si="21"/>
        <v>2024</v>
      </c>
      <c r="C131" s="13">
        <f t="shared" si="22"/>
        <v>10</v>
      </c>
      <c r="D131" s="4">
        <f>MonthlyData!F131</f>
        <v>2994047.771441401</v>
      </c>
      <c r="E131" s="4">
        <f>MonthlyData!AF131</f>
        <v>132.70000000000005</v>
      </c>
      <c r="F131">
        <f>MonthlyData!BP131</f>
        <v>1</v>
      </c>
      <c r="G131">
        <f>MonthlyData!BN131</f>
        <v>0</v>
      </c>
      <c r="H131" s="4"/>
      <c r="I131" s="4">
        <f t="shared" ref="I131" si="29">$S$8</f>
        <v>2993597.51664689</v>
      </c>
      <c r="J131" s="4">
        <f t="shared" si="23"/>
        <v>250991.79296075346</v>
      </c>
      <c r="K131" s="4">
        <f t="shared" si="24"/>
        <v>-602637.76155081904</v>
      </c>
      <c r="L131" s="4">
        <f t="shared" si="25"/>
        <v>0</v>
      </c>
      <c r="M131" s="4">
        <f t="shared" si="26"/>
        <v>2641951.5480568246</v>
      </c>
      <c r="N131" s="4">
        <f t="shared" si="27"/>
        <v>-352096.22338457638</v>
      </c>
      <c r="O131" s="182">
        <f t="shared" si="28"/>
        <v>0.11759873263981671</v>
      </c>
    </row>
    <row r="132" spans="1:21" x14ac:dyDescent="0.35">
      <c r="A132" s="1"/>
      <c r="B132" s="13"/>
      <c r="C132" s="13"/>
      <c r="D132" s="4"/>
      <c r="E132" s="13"/>
      <c r="F132" s="13"/>
      <c r="G132" s="17"/>
      <c r="I132" s="4"/>
      <c r="J132" s="4"/>
      <c r="K132" s="4"/>
      <c r="L132" s="4"/>
      <c r="M132" s="4"/>
      <c r="N132" s="4"/>
      <c r="O132" s="182">
        <f>AVERAGE(O2:O131)</f>
        <v>5.517469783668956E-2</v>
      </c>
    </row>
    <row r="133" spans="1:21" x14ac:dyDescent="0.35">
      <c r="A133" s="1"/>
      <c r="B133" s="13"/>
      <c r="C133" s="13"/>
      <c r="D133" s="4"/>
      <c r="E133" s="13"/>
      <c r="F133" s="13"/>
      <c r="G133" s="17"/>
      <c r="I133" s="4"/>
      <c r="J133" s="4"/>
      <c r="K133" s="4"/>
      <c r="L133" s="4"/>
      <c r="M133" s="4"/>
      <c r="N133" s="4"/>
    </row>
    <row r="134" spans="1:21" x14ac:dyDescent="0.35">
      <c r="A134" s="1"/>
      <c r="B134" s="13"/>
      <c r="C134" s="13"/>
      <c r="E134" s="13"/>
      <c r="F134" s="13"/>
      <c r="G134" s="17"/>
      <c r="I134" s="4"/>
      <c r="J134" s="4"/>
      <c r="K134" s="4"/>
      <c r="L134" s="4"/>
      <c r="M134" s="4"/>
      <c r="N134" s="4"/>
      <c r="R134" s="4"/>
      <c r="S134" s="4"/>
      <c r="T134" s="2"/>
      <c r="U134" s="182"/>
    </row>
    <row r="135" spans="1:21" x14ac:dyDescent="0.35">
      <c r="A135" s="1"/>
      <c r="B135" s="13"/>
      <c r="C135" s="13"/>
      <c r="E135" s="13"/>
      <c r="F135" s="13"/>
      <c r="G135" s="17"/>
      <c r="I135" s="4"/>
      <c r="J135" s="4"/>
      <c r="K135" s="4"/>
      <c r="L135" s="4"/>
      <c r="M135" s="4"/>
      <c r="N135" s="4"/>
      <c r="R135" s="4"/>
      <c r="S135" s="4"/>
      <c r="T135" s="2"/>
      <c r="U135" s="182"/>
    </row>
    <row r="136" spans="1:21" x14ac:dyDescent="0.35">
      <c r="A136" s="1"/>
      <c r="B136" s="13"/>
      <c r="C136" s="13"/>
      <c r="E136" s="13"/>
      <c r="F136" s="13"/>
      <c r="G136" s="17"/>
      <c r="I136" s="4"/>
      <c r="J136" s="4"/>
      <c r="K136" s="4"/>
      <c r="L136" s="4"/>
      <c r="M136" s="4"/>
      <c r="N136" s="4"/>
      <c r="R136" s="4"/>
      <c r="S136" s="4"/>
      <c r="T136" s="2"/>
      <c r="U136" s="182"/>
    </row>
    <row r="137" spans="1:21" x14ac:dyDescent="0.35">
      <c r="A137" s="1"/>
      <c r="B137" s="13"/>
      <c r="C137" s="13"/>
      <c r="E137" s="13"/>
      <c r="F137" s="13"/>
      <c r="G137" s="17"/>
      <c r="I137" s="4"/>
      <c r="J137" s="4"/>
      <c r="K137" s="4"/>
      <c r="L137" s="4"/>
      <c r="M137" s="4"/>
      <c r="N137" s="4"/>
      <c r="R137" s="4"/>
      <c r="S137" s="4"/>
      <c r="T137" s="2"/>
      <c r="U137" s="182"/>
    </row>
    <row r="138" spans="1:21" x14ac:dyDescent="0.35">
      <c r="A138" s="1"/>
      <c r="B138" s="13"/>
      <c r="C138" s="13"/>
      <c r="E138" s="13"/>
      <c r="F138" s="13"/>
      <c r="G138" s="17"/>
      <c r="I138" s="4"/>
      <c r="J138" s="4"/>
      <c r="K138" s="4"/>
      <c r="L138" s="4"/>
      <c r="M138" s="4"/>
      <c r="N138" s="4"/>
      <c r="R138" s="4"/>
      <c r="S138" s="4"/>
      <c r="T138" s="2"/>
      <c r="U138" s="182"/>
    </row>
    <row r="139" spans="1:21" x14ac:dyDescent="0.35">
      <c r="A139" s="1"/>
      <c r="B139" s="13"/>
      <c r="C139" s="13"/>
      <c r="E139" s="13"/>
      <c r="F139" s="13"/>
      <c r="G139" s="17"/>
      <c r="I139" s="4"/>
      <c r="J139" s="4"/>
      <c r="K139" s="4"/>
      <c r="L139" s="4"/>
      <c r="M139" s="4"/>
      <c r="N139" s="4"/>
      <c r="R139" s="4"/>
      <c r="S139" s="4"/>
      <c r="T139" s="2"/>
      <c r="U139" s="182"/>
    </row>
    <row r="140" spans="1:21" x14ac:dyDescent="0.35">
      <c r="A140" s="1"/>
      <c r="B140" s="13"/>
      <c r="C140" s="13"/>
      <c r="E140" s="13"/>
      <c r="F140" s="13"/>
      <c r="G140" s="17"/>
      <c r="I140" s="4"/>
      <c r="J140" s="4"/>
      <c r="K140" s="4"/>
      <c r="L140" s="4"/>
      <c r="M140" s="4"/>
      <c r="N140" s="4"/>
      <c r="R140" s="4"/>
      <c r="S140" s="4"/>
      <c r="T140" s="2"/>
      <c r="U140" s="182"/>
    </row>
    <row r="141" spans="1:21" x14ac:dyDescent="0.35">
      <c r="A141" s="1"/>
      <c r="B141" s="13"/>
      <c r="C141" s="13"/>
      <c r="E141" s="13"/>
      <c r="F141" s="13"/>
      <c r="G141" s="17"/>
      <c r="I141" s="4"/>
      <c r="J141" s="4"/>
      <c r="K141" s="4"/>
      <c r="L141" s="4"/>
      <c r="M141" s="4"/>
      <c r="N141" s="4"/>
      <c r="R141" s="4"/>
      <c r="S141" s="4"/>
      <c r="T141" s="2"/>
      <c r="U141" s="182"/>
    </row>
    <row r="142" spans="1:21" x14ac:dyDescent="0.35">
      <c r="A142" s="1"/>
      <c r="B142" s="13"/>
      <c r="C142" s="13"/>
      <c r="E142" s="13"/>
      <c r="F142" s="13"/>
      <c r="G142" s="17"/>
      <c r="I142" s="4"/>
      <c r="J142" s="4"/>
      <c r="K142" s="4"/>
      <c r="L142" s="4"/>
      <c r="M142" s="4"/>
      <c r="N142" s="4"/>
      <c r="R142" s="4"/>
      <c r="S142" s="4"/>
      <c r="T142" s="2"/>
      <c r="U142" s="182"/>
    </row>
    <row r="143" spans="1:21" x14ac:dyDescent="0.35">
      <c r="A143" s="1"/>
      <c r="B143" s="13"/>
      <c r="C143" s="13"/>
      <c r="E143" s="13"/>
      <c r="F143" s="13"/>
      <c r="G143" s="17"/>
      <c r="I143" s="4"/>
      <c r="J143" s="4"/>
      <c r="K143" s="4"/>
      <c r="L143" s="4"/>
      <c r="M143" s="4"/>
      <c r="N143" s="4"/>
      <c r="R143" s="4"/>
      <c r="S143" s="4"/>
      <c r="T143" s="2"/>
      <c r="U143" s="182"/>
    </row>
    <row r="144" spans="1:21" x14ac:dyDescent="0.35">
      <c r="A144" s="1"/>
      <c r="B144" s="13"/>
      <c r="C144" s="13"/>
      <c r="E144" s="13"/>
      <c r="F144" s="13"/>
      <c r="G144" s="17"/>
      <c r="I144" s="4"/>
      <c r="J144" s="4"/>
      <c r="K144" s="4"/>
      <c r="L144" s="4"/>
      <c r="M144" s="4"/>
      <c r="N144" s="4"/>
      <c r="R144" s="4"/>
      <c r="S144" s="4"/>
      <c r="T144" s="2"/>
      <c r="U144" s="182"/>
    </row>
    <row r="145" spans="1:21" x14ac:dyDescent="0.35">
      <c r="A145" s="1"/>
      <c r="B145" s="13"/>
      <c r="C145" s="13"/>
      <c r="E145" s="13"/>
      <c r="F145" s="13"/>
      <c r="G145" s="17"/>
      <c r="I145" s="4"/>
      <c r="J145" s="4"/>
      <c r="K145" s="4"/>
      <c r="L145" s="4"/>
      <c r="M145" s="4"/>
      <c r="N145" s="4"/>
      <c r="R145" s="4"/>
      <c r="S145" s="4"/>
      <c r="T145" s="2"/>
      <c r="U145" s="182"/>
    </row>
    <row r="146" spans="1:21" x14ac:dyDescent="0.35">
      <c r="A146" s="1"/>
      <c r="B146" s="13"/>
      <c r="C146" s="13"/>
      <c r="E146" s="13"/>
      <c r="F146" s="13"/>
      <c r="G146" s="17"/>
      <c r="I146" s="4"/>
      <c r="J146" s="4"/>
      <c r="K146" s="4"/>
      <c r="L146" s="4"/>
      <c r="M146" s="4"/>
      <c r="N146" s="4"/>
    </row>
    <row r="147" spans="1:21" x14ac:dyDescent="0.35">
      <c r="A147" s="1"/>
      <c r="B147" s="13"/>
      <c r="C147" s="13"/>
      <c r="E147" s="13"/>
      <c r="F147" s="13"/>
      <c r="G147" s="17"/>
      <c r="I147" s="4"/>
      <c r="J147" s="4"/>
      <c r="K147" s="4"/>
      <c r="L147" s="4"/>
      <c r="M147" s="4"/>
      <c r="N147" s="4"/>
      <c r="R147" s="4"/>
      <c r="S147" s="4"/>
      <c r="T147" s="2"/>
      <c r="U147" s="182"/>
    </row>
    <row r="148" spans="1:21" x14ac:dyDescent="0.35">
      <c r="A148" s="1"/>
      <c r="B148" s="13"/>
      <c r="C148" s="13"/>
      <c r="E148" s="13"/>
      <c r="F148" s="13"/>
      <c r="G148" s="17"/>
      <c r="I148" s="4"/>
      <c r="J148" s="4"/>
      <c r="K148" s="4"/>
      <c r="L148" s="4"/>
      <c r="M148" s="4"/>
      <c r="N148" s="4"/>
      <c r="R148" s="4"/>
      <c r="S148" s="4"/>
      <c r="T148" s="2"/>
      <c r="U148" s="182"/>
    </row>
    <row r="149" spans="1:21" x14ac:dyDescent="0.35">
      <c r="A149" s="1"/>
      <c r="B149" s="13"/>
      <c r="C149" s="13"/>
      <c r="E149" s="13"/>
      <c r="F149" s="13"/>
      <c r="G149" s="17"/>
      <c r="I149" s="4"/>
      <c r="J149" s="4"/>
      <c r="K149" s="4"/>
      <c r="L149" s="4"/>
      <c r="M149" s="4"/>
      <c r="N149" s="4"/>
      <c r="R149" s="4"/>
      <c r="S149" s="4"/>
      <c r="T149" s="2"/>
      <c r="U149" s="182"/>
    </row>
    <row r="150" spans="1:21" x14ac:dyDescent="0.35">
      <c r="A150" s="1"/>
      <c r="B150" s="13"/>
      <c r="C150" s="13"/>
      <c r="E150" s="13"/>
      <c r="F150" s="13"/>
      <c r="G150" s="17"/>
      <c r="I150" s="4"/>
      <c r="J150" s="4"/>
      <c r="K150" s="4"/>
      <c r="L150" s="4"/>
      <c r="M150" s="4"/>
      <c r="N150" s="4"/>
      <c r="R150" s="4"/>
      <c r="S150" s="4"/>
      <c r="T150" s="2"/>
      <c r="U150" s="182"/>
    </row>
    <row r="151" spans="1:21" x14ac:dyDescent="0.35">
      <c r="A151" s="1"/>
      <c r="B151" s="13"/>
      <c r="C151" s="13"/>
      <c r="E151" s="13"/>
      <c r="F151" s="13"/>
      <c r="G151" s="17"/>
      <c r="I151" s="4"/>
      <c r="J151" s="4"/>
      <c r="K151" s="4"/>
      <c r="L151" s="4"/>
      <c r="M151" s="4"/>
      <c r="N151" s="4"/>
      <c r="R151" s="4"/>
      <c r="S151" s="4"/>
      <c r="T151" s="2"/>
      <c r="U151" s="182"/>
    </row>
    <row r="152" spans="1:21" x14ac:dyDescent="0.35">
      <c r="A152" s="1"/>
      <c r="B152" s="13"/>
      <c r="C152" s="13"/>
      <c r="E152" s="13"/>
      <c r="F152" s="13"/>
      <c r="G152" s="17"/>
      <c r="I152" s="4"/>
      <c r="J152" s="4"/>
      <c r="K152" s="4"/>
      <c r="L152" s="4"/>
      <c r="M152" s="4"/>
      <c r="N152" s="4"/>
      <c r="R152" s="4"/>
      <c r="S152" s="4"/>
      <c r="T152" s="2"/>
      <c r="U152" s="182"/>
    </row>
    <row r="153" spans="1:21" x14ac:dyDescent="0.35">
      <c r="A153" s="1"/>
      <c r="B153" s="13"/>
      <c r="C153" s="13"/>
      <c r="E153" s="13"/>
      <c r="F153" s="13"/>
      <c r="G153" s="17"/>
      <c r="I153" s="4"/>
      <c r="J153" s="4"/>
      <c r="K153" s="4"/>
      <c r="L153" s="4"/>
      <c r="M153" s="4"/>
      <c r="N153" s="4"/>
      <c r="R153" s="4"/>
      <c r="S153" s="4"/>
      <c r="T153" s="2"/>
      <c r="U153" s="182"/>
    </row>
    <row r="154" spans="1:21" x14ac:dyDescent="0.35">
      <c r="A154" s="1"/>
      <c r="B154" s="13"/>
      <c r="C154" s="13"/>
      <c r="E154" s="13"/>
      <c r="F154" s="13"/>
      <c r="G154" s="17"/>
      <c r="I154" s="4"/>
      <c r="J154" s="4"/>
      <c r="K154" s="4"/>
      <c r="L154" s="4"/>
      <c r="M154" s="4"/>
      <c r="N154" s="4"/>
      <c r="R154" s="4"/>
      <c r="S154" s="4"/>
      <c r="T154" s="2"/>
      <c r="U154" s="182"/>
    </row>
    <row r="155" spans="1:21" x14ac:dyDescent="0.35">
      <c r="A155" s="1"/>
      <c r="B155" s="13"/>
      <c r="C155" s="13"/>
      <c r="E155" s="13"/>
      <c r="F155" s="13"/>
      <c r="G155" s="17"/>
      <c r="I155" s="4"/>
      <c r="J155" s="4"/>
      <c r="K155" s="4"/>
      <c r="L155" s="4"/>
      <c r="M155" s="4"/>
      <c r="N155" s="4"/>
      <c r="O155" s="17"/>
      <c r="R155" s="4"/>
      <c r="S155" s="4"/>
      <c r="T155" s="2"/>
      <c r="U155" s="182"/>
    </row>
    <row r="156" spans="1:21" x14ac:dyDescent="0.35">
      <c r="R156" s="4"/>
      <c r="S156" s="4"/>
      <c r="T156" s="2"/>
      <c r="U156" s="182"/>
    </row>
    <row r="157" spans="1:21" x14ac:dyDescent="0.35">
      <c r="U157" s="182"/>
    </row>
    <row r="158" spans="1:21" x14ac:dyDescent="0.35">
      <c r="U158" s="18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6392-E4CA-44B5-8A00-E13E6DED31A2}">
  <sheetPr codeName="Sheet6"/>
  <dimension ref="A1:X156"/>
  <sheetViews>
    <sheetView topLeftCell="E1" workbookViewId="0">
      <selection activeCell="O33" sqref="O33"/>
    </sheetView>
  </sheetViews>
  <sheetFormatPr defaultRowHeight="14.5" x14ac:dyDescent="0.35"/>
  <cols>
    <col min="1" max="1" width="13.81640625" customWidth="1"/>
    <col min="2" max="3" width="12.453125" customWidth="1"/>
    <col min="4" max="4" width="12.7265625" bestFit="1" customWidth="1"/>
    <col min="5" max="5" width="9.1796875" bestFit="1" customWidth="1"/>
    <col min="10" max="10" width="12.7265625" bestFit="1" customWidth="1"/>
    <col min="11" max="12" width="11.1796875" bestFit="1" customWidth="1"/>
    <col min="13" max="13" width="11.1796875" customWidth="1"/>
    <col min="14" max="14" width="11.1796875" bestFit="1" customWidth="1"/>
    <col min="15" max="15" width="12.7265625" bestFit="1" customWidth="1"/>
    <col min="16" max="16" width="11.1796875" bestFit="1" customWidth="1"/>
    <col min="17" max="17" width="12.1796875" style="182" customWidth="1"/>
    <col min="20" max="20" width="12.7265625" bestFit="1" customWidth="1"/>
    <col min="21" max="23" width="10.81640625" customWidth="1"/>
  </cols>
  <sheetData>
    <row r="1" spans="1:23" x14ac:dyDescent="0.35">
      <c r="A1" s="1" t="str">
        <f>MonthlyData!A1</f>
        <v>Date</v>
      </c>
      <c r="B1" s="1" t="s">
        <v>1</v>
      </c>
      <c r="C1" s="1" t="s">
        <v>2</v>
      </c>
      <c r="D1" t="str">
        <f>MonthlyData!I1</f>
        <v>GSlt50_NoCDM</v>
      </c>
      <c r="E1" t="str">
        <f>MonthlyData!AF1</f>
        <v>HDD10</v>
      </c>
      <c r="F1" t="str">
        <f>MonthlyData!BP1</f>
        <v>Fall</v>
      </c>
      <c r="G1" t="str">
        <f>MonthlyData!R1</f>
        <v>GSlt50Count</v>
      </c>
      <c r="H1" t="str">
        <f>MonthlyData!BN1</f>
        <v>Dec</v>
      </c>
      <c r="K1" t="str">
        <f>E1</f>
        <v>HDD10</v>
      </c>
      <c r="L1" t="str">
        <f>F1</f>
        <v>Fall</v>
      </c>
      <c r="M1" t="str">
        <f>G1</f>
        <v>GSlt50Count</v>
      </c>
      <c r="N1" t="str">
        <f>H1</f>
        <v>Dec</v>
      </c>
      <c r="O1" t="s">
        <v>243</v>
      </c>
    </row>
    <row r="2" spans="1:23" x14ac:dyDescent="0.35">
      <c r="A2" s="1">
        <f>MonthlyData!A2</f>
        <v>41640</v>
      </c>
      <c r="B2" s="13">
        <f>YEAR(A2)</f>
        <v>2014</v>
      </c>
      <c r="C2" s="13">
        <f>MONTH(A2)</f>
        <v>1</v>
      </c>
      <c r="D2" s="4">
        <f>MonthlyData!I2</f>
        <v>2267712.5500153434</v>
      </c>
      <c r="E2">
        <f>MonthlyData!AF2</f>
        <v>923.86930657636822</v>
      </c>
      <c r="F2">
        <f>MonthlyData!BP2</f>
        <v>0</v>
      </c>
      <c r="G2" s="4">
        <f>MonthlyData!R2</f>
        <v>767</v>
      </c>
      <c r="H2">
        <f>MonthlyData!BN2</f>
        <v>0</v>
      </c>
      <c r="J2" s="4">
        <f>$T$7</f>
        <v>231360.027765729</v>
      </c>
      <c r="K2" s="4">
        <f>E2*$T$8</f>
        <v>597112.92852428521</v>
      </c>
      <c r="L2" s="4">
        <f>F2*$T$9</f>
        <v>0</v>
      </c>
      <c r="M2" s="4">
        <f>G2*$T$10</f>
        <v>1356972.8568785978</v>
      </c>
      <c r="N2" s="4">
        <f>H2*$T$11</f>
        <v>0</v>
      </c>
      <c r="O2" s="4">
        <f t="shared" ref="O2:O33" si="0">SUM(J2:N2)</f>
        <v>2185445.8131686118</v>
      </c>
      <c r="P2" s="4">
        <f t="shared" ref="P2:P33" si="1">O2-D2</f>
        <v>-82266.73684673151</v>
      </c>
      <c r="Q2" s="182">
        <f t="shared" ref="Q2:Q33" si="2">ABS(P2/D2)</f>
        <v>3.6277409518316109E-2</v>
      </c>
      <c r="S2" t="s">
        <v>491</v>
      </c>
    </row>
    <row r="3" spans="1:23" x14ac:dyDescent="0.35">
      <c r="A3" s="1">
        <f>MonthlyData!A3</f>
        <v>41671</v>
      </c>
      <c r="B3" s="13">
        <f t="shared" ref="B3:B66" si="3">YEAR(A3)</f>
        <v>2014</v>
      </c>
      <c r="C3" s="13">
        <f t="shared" ref="C3:C66" si="4">MONTH(A3)</f>
        <v>2</v>
      </c>
      <c r="D3" s="4">
        <f>MonthlyData!I3</f>
        <v>2304412.939825864</v>
      </c>
      <c r="E3">
        <f>MonthlyData!AF3</f>
        <v>750.36010382542349</v>
      </c>
      <c r="F3">
        <f>MonthlyData!BP3</f>
        <v>0</v>
      </c>
      <c r="G3" s="4">
        <f>MonthlyData!R3</f>
        <v>759</v>
      </c>
      <c r="H3">
        <f>MonthlyData!BN3</f>
        <v>0</v>
      </c>
      <c r="J3" s="4">
        <f t="shared" ref="J3:J66" si="5">$T$7</f>
        <v>231360.027765729</v>
      </c>
      <c r="K3" s="4">
        <f t="shared" ref="K3:K66" si="6">E3*$T$8</f>
        <v>484970.88912212814</v>
      </c>
      <c r="L3" s="4">
        <f t="shared" ref="L3:L66" si="7">F3*$T$9</f>
        <v>0</v>
      </c>
      <c r="M3" s="4">
        <f t="shared" ref="M3:M66" si="8">G3*$T$10</f>
        <v>1342819.2938342318</v>
      </c>
      <c r="N3" s="4">
        <f t="shared" ref="N3:N66" si="9">H3*$T$11</f>
        <v>0</v>
      </c>
      <c r="O3" s="4">
        <f t="shared" si="0"/>
        <v>2059150.2107220888</v>
      </c>
      <c r="P3" s="4">
        <f t="shared" si="1"/>
        <v>-245262.72910377523</v>
      </c>
      <c r="Q3" s="182">
        <f t="shared" si="2"/>
        <v>0.10643176180147158</v>
      </c>
      <c r="S3" t="s">
        <v>462</v>
      </c>
    </row>
    <row r="4" spans="1:23" x14ac:dyDescent="0.35">
      <c r="A4" s="1">
        <f>MonthlyData!A4</f>
        <v>41699</v>
      </c>
      <c r="B4" s="13">
        <f t="shared" si="3"/>
        <v>2014</v>
      </c>
      <c r="C4" s="13">
        <f t="shared" si="4"/>
        <v>3</v>
      </c>
      <c r="D4" s="4">
        <f>MonthlyData!I4</f>
        <v>1997865.6359274124</v>
      </c>
      <c r="E4">
        <f>MonthlyData!AF4</f>
        <v>718.29098039039206</v>
      </c>
      <c r="F4">
        <f>MonthlyData!BP4</f>
        <v>0</v>
      </c>
      <c r="G4" s="4">
        <f>MonthlyData!R4</f>
        <v>767</v>
      </c>
      <c r="H4">
        <f>MonthlyData!BN4</f>
        <v>0</v>
      </c>
      <c r="J4" s="4">
        <f t="shared" si="5"/>
        <v>231360.027765729</v>
      </c>
      <c r="K4" s="4">
        <f t="shared" si="6"/>
        <v>464244.05246548087</v>
      </c>
      <c r="L4" s="4">
        <f t="shared" si="7"/>
        <v>0</v>
      </c>
      <c r="M4" s="4">
        <f t="shared" si="8"/>
        <v>1356972.8568785978</v>
      </c>
      <c r="N4" s="4">
        <f t="shared" si="9"/>
        <v>0</v>
      </c>
      <c r="O4" s="4">
        <f t="shared" si="0"/>
        <v>2052576.9371098075</v>
      </c>
      <c r="P4" s="4">
        <f t="shared" si="1"/>
        <v>54711.30118239508</v>
      </c>
      <c r="Q4" s="182">
        <f t="shared" si="2"/>
        <v>2.7384875238117806E-2</v>
      </c>
      <c r="S4" t="s">
        <v>492</v>
      </c>
    </row>
    <row r="5" spans="1:23" x14ac:dyDescent="0.35">
      <c r="A5" s="1">
        <f>MonthlyData!A5</f>
        <v>41730</v>
      </c>
      <c r="B5" s="13">
        <f t="shared" si="3"/>
        <v>2014</v>
      </c>
      <c r="C5" s="13">
        <f t="shared" si="4"/>
        <v>4</v>
      </c>
      <c r="D5" s="4">
        <f>MonthlyData!I5</f>
        <v>2043121.1177997903</v>
      </c>
      <c r="E5">
        <f>MonthlyData!AF5</f>
        <v>342.04088813973715</v>
      </c>
      <c r="F5">
        <f>MonthlyData!BP5</f>
        <v>0</v>
      </c>
      <c r="G5" s="4">
        <f>MonthlyData!R5</f>
        <v>762</v>
      </c>
      <c r="H5">
        <f>MonthlyData!BN5</f>
        <v>0</v>
      </c>
      <c r="J5" s="4">
        <f t="shared" si="5"/>
        <v>231360.027765729</v>
      </c>
      <c r="K5" s="4">
        <f t="shared" si="6"/>
        <v>221067.02207590159</v>
      </c>
      <c r="L5" s="4">
        <f t="shared" si="7"/>
        <v>0</v>
      </c>
      <c r="M5" s="4">
        <f t="shared" si="8"/>
        <v>1348126.8799758691</v>
      </c>
      <c r="N5" s="4">
        <f t="shared" si="9"/>
        <v>0</v>
      </c>
      <c r="O5" s="4">
        <f t="shared" si="0"/>
        <v>1800553.9298174996</v>
      </c>
      <c r="P5" s="4">
        <f t="shared" si="1"/>
        <v>-242567.18798229075</v>
      </c>
      <c r="Q5" s="182">
        <f t="shared" si="2"/>
        <v>0.1187238416112639</v>
      </c>
    </row>
    <row r="6" spans="1:23" x14ac:dyDescent="0.35">
      <c r="A6" s="1">
        <f>MonthlyData!A6</f>
        <v>41760</v>
      </c>
      <c r="B6" s="13">
        <f t="shared" si="3"/>
        <v>2014</v>
      </c>
      <c r="C6" s="13">
        <f t="shared" si="4"/>
        <v>5</v>
      </c>
      <c r="D6" s="4">
        <f>MonthlyData!I6</f>
        <v>1681225.2182917895</v>
      </c>
      <c r="E6">
        <f>MonthlyData!AF6</f>
        <v>76.76559436311274</v>
      </c>
      <c r="F6">
        <f>MonthlyData!BP6</f>
        <v>0</v>
      </c>
      <c r="G6" s="4">
        <f>MonthlyData!R6</f>
        <v>755</v>
      </c>
      <c r="H6">
        <f>MonthlyData!BN6</f>
        <v>0</v>
      </c>
      <c r="J6" s="4">
        <f t="shared" si="5"/>
        <v>231360.027765729</v>
      </c>
      <c r="K6" s="4">
        <f t="shared" si="6"/>
        <v>49614.949358940088</v>
      </c>
      <c r="L6" s="4">
        <f t="shared" si="7"/>
        <v>0</v>
      </c>
      <c r="M6" s="4">
        <f t="shared" si="8"/>
        <v>1335742.5123120488</v>
      </c>
      <c r="N6" s="4">
        <f t="shared" si="9"/>
        <v>0</v>
      </c>
      <c r="O6" s="4">
        <f t="shared" si="0"/>
        <v>1616717.4894367179</v>
      </c>
      <c r="P6" s="4">
        <f t="shared" si="1"/>
        <v>-64507.728855071589</v>
      </c>
      <c r="Q6" s="182">
        <f t="shared" si="2"/>
        <v>3.8369474924135824E-2</v>
      </c>
      <c r="T6" t="s">
        <v>84</v>
      </c>
      <c r="U6" t="s">
        <v>85</v>
      </c>
      <c r="V6" t="s">
        <v>86</v>
      </c>
      <c r="W6" t="s">
        <v>87</v>
      </c>
    </row>
    <row r="7" spans="1:23" x14ac:dyDescent="0.35">
      <c r="A7" s="1">
        <f>MonthlyData!A7</f>
        <v>41791</v>
      </c>
      <c r="B7" s="13">
        <f t="shared" si="3"/>
        <v>2014</v>
      </c>
      <c r="C7" s="13">
        <f t="shared" si="4"/>
        <v>6</v>
      </c>
      <c r="D7" s="4">
        <f>MonthlyData!I7</f>
        <v>1602762.3688238007</v>
      </c>
      <c r="E7">
        <f>MonthlyData!AF7</f>
        <v>0</v>
      </c>
      <c r="F7">
        <f>MonthlyData!BP7</f>
        <v>0</v>
      </c>
      <c r="G7" s="4">
        <f>MonthlyData!R7</f>
        <v>760</v>
      </c>
      <c r="H7">
        <f>MonthlyData!BN7</f>
        <v>0</v>
      </c>
      <c r="J7" s="4">
        <f t="shared" si="5"/>
        <v>231360.027765729</v>
      </c>
      <c r="K7" s="4">
        <f t="shared" si="6"/>
        <v>0</v>
      </c>
      <c r="L7" s="4">
        <f t="shared" si="7"/>
        <v>0</v>
      </c>
      <c r="M7" s="4">
        <f t="shared" si="8"/>
        <v>1344588.4892147775</v>
      </c>
      <c r="N7" s="4">
        <f t="shared" si="9"/>
        <v>0</v>
      </c>
      <c r="O7" s="4">
        <f t="shared" si="0"/>
        <v>1575948.5169805065</v>
      </c>
      <c r="P7" s="4">
        <f t="shared" si="1"/>
        <v>-26813.851843294222</v>
      </c>
      <c r="Q7" s="182">
        <f t="shared" si="2"/>
        <v>1.6729773773620459E-2</v>
      </c>
      <c r="S7" t="s">
        <v>88</v>
      </c>
      <c r="T7" s="4">
        <v>231360.027765729</v>
      </c>
      <c r="U7" s="4">
        <v>298937.33179088199</v>
      </c>
      <c r="V7" s="214">
        <v>0.77394156955804605</v>
      </c>
      <c r="W7" s="188">
        <v>0.440426647632084</v>
      </c>
    </row>
    <row r="8" spans="1:23" x14ac:dyDescent="0.35">
      <c r="A8" s="1">
        <f>MonthlyData!A8</f>
        <v>41821</v>
      </c>
      <c r="B8" s="13">
        <f t="shared" si="3"/>
        <v>2014</v>
      </c>
      <c r="C8" s="13">
        <f t="shared" si="4"/>
        <v>7</v>
      </c>
      <c r="D8" s="4">
        <f>MonthlyData!I8</f>
        <v>1541187.7010905463</v>
      </c>
      <c r="E8">
        <f>MonthlyData!AF8</f>
        <v>0</v>
      </c>
      <c r="F8">
        <f>MonthlyData!BP8</f>
        <v>0</v>
      </c>
      <c r="G8" s="4">
        <f>MonthlyData!R8</f>
        <v>757</v>
      </c>
      <c r="H8">
        <f>MonthlyData!BN8</f>
        <v>0</v>
      </c>
      <c r="J8" s="4">
        <f t="shared" si="5"/>
        <v>231360.027765729</v>
      </c>
      <c r="K8" s="4">
        <f t="shared" si="6"/>
        <v>0</v>
      </c>
      <c r="L8" s="4">
        <f t="shared" si="7"/>
        <v>0</v>
      </c>
      <c r="M8" s="4">
        <f t="shared" si="8"/>
        <v>1339280.9030731402</v>
      </c>
      <c r="N8" s="4">
        <f t="shared" si="9"/>
        <v>0</v>
      </c>
      <c r="O8" s="4">
        <f t="shared" si="0"/>
        <v>1570640.9308388692</v>
      </c>
      <c r="P8" s="4">
        <f t="shared" si="1"/>
        <v>29453.229748322861</v>
      </c>
      <c r="Q8" s="182">
        <f t="shared" si="2"/>
        <v>1.9110735004880794E-2</v>
      </c>
      <c r="S8" t="s">
        <v>13</v>
      </c>
      <c r="T8" s="4">
        <v>646.31753027604998</v>
      </c>
      <c r="U8" s="4">
        <v>32.822570412599703</v>
      </c>
      <c r="V8" s="214">
        <v>19.6912527614823</v>
      </c>
      <c r="W8" s="188">
        <v>3.9830113245502397E-40</v>
      </c>
    </row>
    <row r="9" spans="1:23" x14ac:dyDescent="0.35">
      <c r="A9" s="1">
        <f>MonthlyData!A9</f>
        <v>41852</v>
      </c>
      <c r="B9" s="13">
        <f t="shared" si="3"/>
        <v>2014</v>
      </c>
      <c r="C9" s="13">
        <f t="shared" si="4"/>
        <v>8</v>
      </c>
      <c r="D9" s="4">
        <f>MonthlyData!I9</f>
        <v>1575263.0626529807</v>
      </c>
      <c r="E9">
        <f>MonthlyData!AF9</f>
        <v>0.84166666666666856</v>
      </c>
      <c r="F9">
        <f>MonthlyData!BP9</f>
        <v>0</v>
      </c>
      <c r="G9" s="4">
        <f>MonthlyData!R9</f>
        <v>748</v>
      </c>
      <c r="H9">
        <f>MonthlyData!BN9</f>
        <v>0</v>
      </c>
      <c r="J9" s="4">
        <f t="shared" si="5"/>
        <v>231360.027765729</v>
      </c>
      <c r="K9" s="4">
        <f t="shared" si="6"/>
        <v>543.98392131567664</v>
      </c>
      <c r="L9" s="4">
        <f t="shared" si="7"/>
        <v>0</v>
      </c>
      <c r="M9" s="4">
        <f t="shared" si="8"/>
        <v>1323358.1446482283</v>
      </c>
      <c r="N9" s="4">
        <f t="shared" si="9"/>
        <v>0</v>
      </c>
      <c r="O9" s="4">
        <f t="shared" si="0"/>
        <v>1555262.1563352731</v>
      </c>
      <c r="P9" s="4">
        <f t="shared" si="1"/>
        <v>-20000.906317707617</v>
      </c>
      <c r="Q9" s="182">
        <f t="shared" si="2"/>
        <v>1.2696867457821981E-2</v>
      </c>
      <c r="S9" t="s">
        <v>62</v>
      </c>
      <c r="T9" s="4">
        <v>-257897.88627322801</v>
      </c>
      <c r="U9" s="4">
        <v>24712.8830540696</v>
      </c>
      <c r="V9" s="214">
        <v>-10.435766871431801</v>
      </c>
      <c r="W9" s="188">
        <v>1.01543132928948E-18</v>
      </c>
    </row>
    <row r="10" spans="1:23" x14ac:dyDescent="0.35">
      <c r="A10" s="1">
        <f>MonthlyData!A10</f>
        <v>41883</v>
      </c>
      <c r="B10" s="13">
        <f t="shared" si="3"/>
        <v>2014</v>
      </c>
      <c r="C10" s="13">
        <f t="shared" si="4"/>
        <v>9</v>
      </c>
      <c r="D10" s="4">
        <f>MonthlyData!I10</f>
        <v>1527288.541271715</v>
      </c>
      <c r="E10">
        <f>MonthlyData!AF10</f>
        <v>63.679206155876841</v>
      </c>
      <c r="F10">
        <f>MonthlyData!BP10</f>
        <v>0</v>
      </c>
      <c r="G10" s="4">
        <f>MonthlyData!R10</f>
        <v>753</v>
      </c>
      <c r="H10">
        <f>MonthlyData!BN10</f>
        <v>0</v>
      </c>
      <c r="J10" s="4">
        <f t="shared" si="5"/>
        <v>231360.027765729</v>
      </c>
      <c r="K10" s="4">
        <f t="shared" si="6"/>
        <v>41156.987252605759</v>
      </c>
      <c r="L10" s="4">
        <f t="shared" si="7"/>
        <v>0</v>
      </c>
      <c r="M10" s="4">
        <f t="shared" si="8"/>
        <v>1332204.1215509572</v>
      </c>
      <c r="N10" s="4">
        <f t="shared" si="9"/>
        <v>0</v>
      </c>
      <c r="O10" s="4">
        <f t="shared" si="0"/>
        <v>1604721.1365692918</v>
      </c>
      <c r="P10" s="4">
        <f t="shared" si="1"/>
        <v>77432.59529757686</v>
      </c>
      <c r="Q10" s="182">
        <f t="shared" si="2"/>
        <v>5.0699388625741727E-2</v>
      </c>
      <c r="S10" t="s">
        <v>455</v>
      </c>
      <c r="T10" s="4">
        <v>1769.1953805457599</v>
      </c>
      <c r="U10" s="4">
        <v>410.43423312221398</v>
      </c>
      <c r="V10" s="214">
        <v>4.3105453633516797</v>
      </c>
      <c r="W10" s="188">
        <v>3.2689241255142903E-5</v>
      </c>
    </row>
    <row r="11" spans="1:23" x14ac:dyDescent="0.35">
      <c r="A11" s="1">
        <f>MonthlyData!A11</f>
        <v>41913</v>
      </c>
      <c r="B11" s="13">
        <f t="shared" si="3"/>
        <v>2014</v>
      </c>
      <c r="C11" s="13">
        <f t="shared" si="4"/>
        <v>10</v>
      </c>
      <c r="D11" s="4">
        <f>MonthlyData!I11</f>
        <v>1466818.8854295593</v>
      </c>
      <c r="E11">
        <f>MonthlyData!AF11</f>
        <v>180.10416666666666</v>
      </c>
      <c r="F11">
        <f>MonthlyData!BP11</f>
        <v>1</v>
      </c>
      <c r="G11" s="4">
        <f>MonthlyData!R11</f>
        <v>754</v>
      </c>
      <c r="H11">
        <f>MonthlyData!BN11</f>
        <v>0</v>
      </c>
      <c r="J11" s="4">
        <f t="shared" si="5"/>
        <v>231360.027765729</v>
      </c>
      <c r="K11" s="4">
        <f t="shared" si="6"/>
        <v>116404.48019242608</v>
      </c>
      <c r="L11" s="4">
        <f t="shared" si="7"/>
        <v>-257897.88627322801</v>
      </c>
      <c r="M11" s="4">
        <f t="shared" si="8"/>
        <v>1333973.3169315029</v>
      </c>
      <c r="N11" s="4">
        <f t="shared" si="9"/>
        <v>0</v>
      </c>
      <c r="O11" s="4">
        <f t="shared" si="0"/>
        <v>1423839.9386164299</v>
      </c>
      <c r="P11" s="4">
        <f t="shared" si="1"/>
        <v>-42978.946813129354</v>
      </c>
      <c r="Q11" s="182">
        <f t="shared" si="2"/>
        <v>2.9300786375233319E-2</v>
      </c>
      <c r="S11" t="s">
        <v>28</v>
      </c>
      <c r="T11" s="4">
        <v>-216631.706472586</v>
      </c>
      <c r="U11" s="4">
        <v>34112.716282946698</v>
      </c>
      <c r="V11" s="214">
        <v>-6.3504678043150298</v>
      </c>
      <c r="W11" s="188">
        <v>3.6233378564353599E-9</v>
      </c>
    </row>
    <row r="12" spans="1:23" x14ac:dyDescent="0.35">
      <c r="A12" s="1">
        <f>MonthlyData!A12</f>
        <v>41944</v>
      </c>
      <c r="B12" s="13">
        <f t="shared" si="3"/>
        <v>2014</v>
      </c>
      <c r="C12" s="13">
        <f t="shared" si="4"/>
        <v>11</v>
      </c>
      <c r="D12" s="4">
        <f>MonthlyData!I12</f>
        <v>1618423.5117314449</v>
      </c>
      <c r="E12">
        <f>MonthlyData!AF12</f>
        <v>525.22500000000002</v>
      </c>
      <c r="F12">
        <f>MonthlyData!BP12</f>
        <v>1</v>
      </c>
      <c r="G12" s="4">
        <f>MonthlyData!R12</f>
        <v>754</v>
      </c>
      <c r="H12">
        <f>MonthlyData!BN12</f>
        <v>0</v>
      </c>
      <c r="J12" s="4">
        <f t="shared" si="5"/>
        <v>231360.027765729</v>
      </c>
      <c r="K12" s="4">
        <f t="shared" si="6"/>
        <v>339462.12483923836</v>
      </c>
      <c r="L12" s="4">
        <f t="shared" si="7"/>
        <v>-257897.88627322801</v>
      </c>
      <c r="M12" s="4">
        <f t="shared" si="8"/>
        <v>1333973.3169315029</v>
      </c>
      <c r="N12" s="4">
        <f t="shared" si="9"/>
        <v>0</v>
      </c>
      <c r="O12" s="4">
        <f t="shared" si="0"/>
        <v>1646897.5832632422</v>
      </c>
      <c r="P12" s="4">
        <f t="shared" si="1"/>
        <v>28474.071531797294</v>
      </c>
      <c r="Q12" s="182">
        <f t="shared" si="2"/>
        <v>1.7593708522767787E-2</v>
      </c>
      <c r="T12" s="4"/>
      <c r="U12" s="4"/>
      <c r="V12" s="214"/>
      <c r="W12" s="188"/>
    </row>
    <row r="13" spans="1:23" x14ac:dyDescent="0.35">
      <c r="A13" s="1">
        <f>MonthlyData!A13</f>
        <v>41974</v>
      </c>
      <c r="B13" s="13">
        <f t="shared" si="3"/>
        <v>2014</v>
      </c>
      <c r="C13" s="13">
        <f t="shared" si="4"/>
        <v>12</v>
      </c>
      <c r="D13" s="4">
        <f>MonthlyData!I13</f>
        <v>1844041.9345002228</v>
      </c>
      <c r="E13">
        <f>MonthlyData!AF13</f>
        <v>649.30879458660854</v>
      </c>
      <c r="F13">
        <f>MonthlyData!BP13</f>
        <v>0</v>
      </c>
      <c r="G13" s="4">
        <f>MonthlyData!R13</f>
        <v>755</v>
      </c>
      <c r="H13">
        <f>MonthlyData!BN13</f>
        <v>1</v>
      </c>
      <c r="J13" s="4">
        <f t="shared" si="5"/>
        <v>231360.027765729</v>
      </c>
      <c r="K13" s="4">
        <f t="shared" si="6"/>
        <v>419659.65650373587</v>
      </c>
      <c r="L13" s="4">
        <f t="shared" si="7"/>
        <v>0</v>
      </c>
      <c r="M13" s="4">
        <f t="shared" si="8"/>
        <v>1335742.5123120488</v>
      </c>
      <c r="N13" s="4">
        <f t="shared" si="9"/>
        <v>-216631.706472586</v>
      </c>
      <c r="O13" s="4">
        <f t="shared" si="0"/>
        <v>1770130.4901089277</v>
      </c>
      <c r="P13" s="4">
        <f t="shared" si="1"/>
        <v>-73911.444391295081</v>
      </c>
      <c r="Q13" s="182">
        <f t="shared" si="2"/>
        <v>4.0081216705804883E-2</v>
      </c>
      <c r="S13" t="s">
        <v>89</v>
      </c>
    </row>
    <row r="14" spans="1:23" x14ac:dyDescent="0.35">
      <c r="A14" s="1">
        <f>MonthlyData!A14</f>
        <v>42005</v>
      </c>
      <c r="B14" s="13">
        <f t="shared" si="3"/>
        <v>2015</v>
      </c>
      <c r="C14" s="13">
        <f t="shared" si="4"/>
        <v>1</v>
      </c>
      <c r="D14" s="4">
        <f>MonthlyData!I14</f>
        <v>2088625.4302792484</v>
      </c>
      <c r="E14">
        <f>MonthlyData!AF14</f>
        <v>888.83475522239621</v>
      </c>
      <c r="F14">
        <f>MonthlyData!BP14</f>
        <v>0</v>
      </c>
      <c r="G14" s="4">
        <f>MonthlyData!R14</f>
        <v>773</v>
      </c>
      <c r="H14">
        <f>MonthlyData!BN14</f>
        <v>0</v>
      </c>
      <c r="J14" s="4">
        <f t="shared" si="5"/>
        <v>231360.027765729</v>
      </c>
      <c r="K14" s="4">
        <f t="shared" si="6"/>
        <v>574469.48381885653</v>
      </c>
      <c r="L14" s="4">
        <f t="shared" si="7"/>
        <v>0</v>
      </c>
      <c r="M14" s="4">
        <f t="shared" si="8"/>
        <v>1367588.0291618723</v>
      </c>
      <c r="N14" s="4">
        <f t="shared" si="9"/>
        <v>0</v>
      </c>
      <c r="O14" s="4">
        <f t="shared" si="0"/>
        <v>2173417.5407464579</v>
      </c>
      <c r="P14" s="4">
        <f t="shared" si="1"/>
        <v>84792.110467209481</v>
      </c>
      <c r="Q14" s="182">
        <f t="shared" si="2"/>
        <v>4.059708803596862E-2</v>
      </c>
      <c r="S14" t="s">
        <v>90</v>
      </c>
      <c r="T14" s="352">
        <v>1221162598655.1299</v>
      </c>
      <c r="U14" t="s">
        <v>91</v>
      </c>
      <c r="V14" s="4">
        <v>98839.773316418505</v>
      </c>
    </row>
    <row r="15" spans="1:23" x14ac:dyDescent="0.35">
      <c r="A15" s="1">
        <f>MonthlyData!A15</f>
        <v>42036</v>
      </c>
      <c r="B15" s="13">
        <f t="shared" si="3"/>
        <v>2015</v>
      </c>
      <c r="C15" s="13">
        <f t="shared" si="4"/>
        <v>2</v>
      </c>
      <c r="D15" s="4">
        <f>MonthlyData!I15</f>
        <v>2271460.7616635598</v>
      </c>
      <c r="E15">
        <f>MonthlyData!AF15</f>
        <v>925.79933618827647</v>
      </c>
      <c r="F15">
        <f>MonthlyData!BP15</f>
        <v>0</v>
      </c>
      <c r="G15" s="4">
        <f>MonthlyData!R15</f>
        <v>775</v>
      </c>
      <c r="H15">
        <f>MonthlyData!BN15</f>
        <v>0</v>
      </c>
      <c r="J15" s="4">
        <f t="shared" si="5"/>
        <v>231360.027765729</v>
      </c>
      <c r="K15" s="4">
        <f t="shared" si="6"/>
        <v>598360.34049641329</v>
      </c>
      <c r="L15" s="4">
        <f t="shared" si="7"/>
        <v>0</v>
      </c>
      <c r="M15" s="4">
        <f t="shared" si="8"/>
        <v>1371126.4199229639</v>
      </c>
      <c r="N15" s="4">
        <f t="shared" si="9"/>
        <v>0</v>
      </c>
      <c r="O15" s="4">
        <f t="shared" si="0"/>
        <v>2200846.7881851061</v>
      </c>
      <c r="P15" s="4">
        <f t="shared" si="1"/>
        <v>-70613.973478453699</v>
      </c>
      <c r="Q15" s="182">
        <f t="shared" si="2"/>
        <v>3.1087472286660953E-2</v>
      </c>
      <c r="S15" t="s">
        <v>92</v>
      </c>
      <c r="T15" s="320">
        <v>0.83136346179193399</v>
      </c>
      <c r="U15" t="s">
        <v>93</v>
      </c>
      <c r="V15" s="321">
        <v>0.82596709256927503</v>
      </c>
    </row>
    <row r="16" spans="1:23" x14ac:dyDescent="0.35">
      <c r="A16" s="1">
        <f>MonthlyData!A16</f>
        <v>42064</v>
      </c>
      <c r="B16" s="13">
        <f t="shared" si="3"/>
        <v>2015</v>
      </c>
      <c r="C16" s="13">
        <f t="shared" si="4"/>
        <v>3</v>
      </c>
      <c r="D16" s="4">
        <f>MonthlyData!I16</f>
        <v>2149021.2175834598</v>
      </c>
      <c r="E16">
        <f>MonthlyData!AF16</f>
        <v>604.8724417886641</v>
      </c>
      <c r="F16">
        <f>MonthlyData!BP16</f>
        <v>0</v>
      </c>
      <c r="G16" s="4">
        <f>MonthlyData!R16</f>
        <v>777</v>
      </c>
      <c r="H16">
        <f>MonthlyData!BN16</f>
        <v>0</v>
      </c>
      <c r="J16" s="4">
        <f t="shared" si="5"/>
        <v>231360.027765729</v>
      </c>
      <c r="K16" s="4">
        <f t="shared" si="6"/>
        <v>390939.66270889319</v>
      </c>
      <c r="L16" s="4">
        <f t="shared" si="7"/>
        <v>0</v>
      </c>
      <c r="M16" s="4">
        <f t="shared" si="8"/>
        <v>1374664.8106840556</v>
      </c>
      <c r="N16" s="4">
        <f t="shared" si="9"/>
        <v>0</v>
      </c>
      <c r="O16" s="4">
        <f t="shared" si="0"/>
        <v>1996964.5011586777</v>
      </c>
      <c r="P16" s="4">
        <f t="shared" si="1"/>
        <v>-152056.71642478206</v>
      </c>
      <c r="Q16" s="182">
        <f t="shared" si="2"/>
        <v>7.075626577375882E-2</v>
      </c>
      <c r="S16" t="s">
        <v>493</v>
      </c>
      <c r="T16" s="2">
        <v>136.07786336905301</v>
      </c>
      <c r="U16" t="s">
        <v>94</v>
      </c>
      <c r="V16" s="321">
        <v>1.4779865939347099E-44</v>
      </c>
    </row>
    <row r="17" spans="1:22" x14ac:dyDescent="0.35">
      <c r="A17" s="1">
        <f>MonthlyData!A17</f>
        <v>42095</v>
      </c>
      <c r="B17" s="13">
        <f t="shared" si="3"/>
        <v>2015</v>
      </c>
      <c r="C17" s="13">
        <f t="shared" si="4"/>
        <v>4</v>
      </c>
      <c r="D17" s="4">
        <f>MonthlyData!I17</f>
        <v>2012954.0877685912</v>
      </c>
      <c r="E17">
        <f>MonthlyData!AF17</f>
        <v>309.39652575448434</v>
      </c>
      <c r="F17">
        <f>MonthlyData!BP17</f>
        <v>0</v>
      </c>
      <c r="G17" s="4">
        <f>MonthlyData!R17</f>
        <v>787</v>
      </c>
      <c r="H17">
        <f>MonthlyData!BN17</f>
        <v>0</v>
      </c>
      <c r="J17" s="4">
        <f t="shared" si="5"/>
        <v>231360.027765729</v>
      </c>
      <c r="K17" s="4">
        <f t="shared" si="6"/>
        <v>199968.3984016286</v>
      </c>
      <c r="L17" s="4">
        <f t="shared" si="7"/>
        <v>0</v>
      </c>
      <c r="M17" s="4">
        <f t="shared" si="8"/>
        <v>1392356.7644895131</v>
      </c>
      <c r="N17" s="4">
        <f t="shared" si="9"/>
        <v>0</v>
      </c>
      <c r="O17" s="4">
        <f t="shared" si="0"/>
        <v>1823685.1906568706</v>
      </c>
      <c r="P17" s="4">
        <f t="shared" si="1"/>
        <v>-189268.89711172064</v>
      </c>
      <c r="Q17" s="182">
        <f t="shared" si="2"/>
        <v>9.4025441644091268E-2</v>
      </c>
      <c r="S17" t="s">
        <v>95</v>
      </c>
      <c r="T17" s="2">
        <v>-1.23905836965604E-2</v>
      </c>
      <c r="U17" t="s">
        <v>96</v>
      </c>
      <c r="V17" s="18">
        <v>2.0184068262140098</v>
      </c>
    </row>
    <row r="18" spans="1:22" x14ac:dyDescent="0.35">
      <c r="A18" s="1">
        <f>MonthlyData!A18</f>
        <v>42125</v>
      </c>
      <c r="B18" s="13">
        <f t="shared" si="3"/>
        <v>2015</v>
      </c>
      <c r="C18" s="13">
        <f t="shared" si="4"/>
        <v>5</v>
      </c>
      <c r="D18" s="4">
        <f>MonthlyData!I18</f>
        <v>1708852.760392617</v>
      </c>
      <c r="E18">
        <f>MonthlyData!AF18</f>
        <v>288.41468054388343</v>
      </c>
      <c r="F18">
        <f>MonthlyData!BP18</f>
        <v>0</v>
      </c>
      <c r="G18" s="4">
        <f>MonthlyData!R18</f>
        <v>779</v>
      </c>
      <c r="H18">
        <f>MonthlyData!BN18</f>
        <v>0</v>
      </c>
      <c r="J18" s="4">
        <f t="shared" si="5"/>
        <v>231360.027765729</v>
      </c>
      <c r="K18" s="4">
        <f t="shared" si="6"/>
        <v>186407.46402447866</v>
      </c>
      <c r="L18" s="4">
        <f t="shared" si="7"/>
        <v>0</v>
      </c>
      <c r="M18" s="4">
        <f t="shared" si="8"/>
        <v>1378203.2014451469</v>
      </c>
      <c r="N18" s="4">
        <f t="shared" si="9"/>
        <v>0</v>
      </c>
      <c r="O18" s="4">
        <f t="shared" si="0"/>
        <v>1795970.6932353545</v>
      </c>
      <c r="P18" s="4">
        <f t="shared" si="1"/>
        <v>87117.932842737529</v>
      </c>
      <c r="Q18" s="182">
        <f t="shared" si="2"/>
        <v>5.0980362300331698E-2</v>
      </c>
      <c r="T18" s="2"/>
      <c r="V18" s="322"/>
    </row>
    <row r="19" spans="1:22" x14ac:dyDescent="0.35">
      <c r="A19" s="1">
        <f>MonthlyData!A19</f>
        <v>42156</v>
      </c>
      <c r="B19" s="13">
        <f t="shared" si="3"/>
        <v>2015</v>
      </c>
      <c r="C19" s="13">
        <f t="shared" si="4"/>
        <v>6</v>
      </c>
      <c r="D19" s="4">
        <f>MonthlyData!I19</f>
        <v>1524615.2486536917</v>
      </c>
      <c r="E19">
        <f>MonthlyData!AF19</f>
        <v>6.6599390687185451</v>
      </c>
      <c r="F19">
        <f>MonthlyData!BP19</f>
        <v>0</v>
      </c>
      <c r="G19" s="4">
        <f>MonthlyData!R19</f>
        <v>779</v>
      </c>
      <c r="H19">
        <f>MonthlyData!BN19</f>
        <v>0</v>
      </c>
      <c r="J19" s="4">
        <f t="shared" si="5"/>
        <v>231360.027765729</v>
      </c>
      <c r="K19" s="4">
        <f t="shared" si="6"/>
        <v>4304.4353706831462</v>
      </c>
      <c r="L19" s="4">
        <f t="shared" si="7"/>
        <v>0</v>
      </c>
      <c r="M19" s="4">
        <f t="shared" si="8"/>
        <v>1378203.2014451469</v>
      </c>
      <c r="N19" s="4">
        <f t="shared" si="9"/>
        <v>0</v>
      </c>
      <c r="O19" s="4">
        <f t="shared" si="0"/>
        <v>1613867.6645815591</v>
      </c>
      <c r="P19" s="4">
        <f t="shared" si="1"/>
        <v>89252.415927867405</v>
      </c>
      <c r="Q19" s="182">
        <f t="shared" si="2"/>
        <v>5.8540944022881548E-2</v>
      </c>
      <c r="S19" t="s">
        <v>97</v>
      </c>
    </row>
    <row r="20" spans="1:22" x14ac:dyDescent="0.35">
      <c r="A20" s="1">
        <f>MonthlyData!A20</f>
        <v>42186</v>
      </c>
      <c r="B20" s="13">
        <f t="shared" si="3"/>
        <v>2015</v>
      </c>
      <c r="C20" s="13">
        <f t="shared" si="4"/>
        <v>7</v>
      </c>
      <c r="D20" s="4">
        <f>MonthlyData!I20</f>
        <v>1563317.894211811</v>
      </c>
      <c r="E20">
        <f>MonthlyData!AF20</f>
        <v>0</v>
      </c>
      <c r="F20">
        <f>MonthlyData!BP20</f>
        <v>0</v>
      </c>
      <c r="G20" s="4">
        <f>MonthlyData!R20</f>
        <v>779</v>
      </c>
      <c r="H20">
        <f>MonthlyData!BN20</f>
        <v>0</v>
      </c>
      <c r="J20" s="4">
        <f t="shared" si="5"/>
        <v>231360.027765729</v>
      </c>
      <c r="K20" s="4">
        <f t="shared" si="6"/>
        <v>0</v>
      </c>
      <c r="L20" s="4">
        <f t="shared" si="7"/>
        <v>0</v>
      </c>
      <c r="M20" s="4">
        <f t="shared" si="8"/>
        <v>1378203.2014451469</v>
      </c>
      <c r="N20" s="4">
        <f t="shared" si="9"/>
        <v>0</v>
      </c>
      <c r="O20" s="4">
        <f t="shared" si="0"/>
        <v>1609563.2292108759</v>
      </c>
      <c r="P20" s="4">
        <f t="shared" si="1"/>
        <v>46245.334999064915</v>
      </c>
      <c r="Q20" s="182">
        <f t="shared" si="2"/>
        <v>2.958152987967988E-2</v>
      </c>
      <c r="S20" t="s">
        <v>98</v>
      </c>
      <c r="T20">
        <v>1663202.75209453</v>
      </c>
      <c r="U20" t="s">
        <v>99</v>
      </c>
      <c r="V20">
        <v>236789.90872694799</v>
      </c>
    </row>
    <row r="21" spans="1:22" x14ac:dyDescent="0.35">
      <c r="A21" s="1">
        <f>MonthlyData!A21</f>
        <v>42217</v>
      </c>
      <c r="B21" s="13">
        <f t="shared" si="3"/>
        <v>2015</v>
      </c>
      <c r="C21" s="13">
        <f t="shared" si="4"/>
        <v>8</v>
      </c>
      <c r="D21" s="4">
        <f>MonthlyData!I21</f>
        <v>1688131.7835848934</v>
      </c>
      <c r="E21">
        <f>MonthlyData!AF21</f>
        <v>0</v>
      </c>
      <c r="F21">
        <f>MonthlyData!BP21</f>
        <v>0</v>
      </c>
      <c r="G21" s="4">
        <f>MonthlyData!R21</f>
        <v>779</v>
      </c>
      <c r="H21">
        <f>MonthlyData!BN21</f>
        <v>0</v>
      </c>
      <c r="J21" s="4">
        <f t="shared" si="5"/>
        <v>231360.027765729</v>
      </c>
      <c r="K21" s="4">
        <f t="shared" si="6"/>
        <v>0</v>
      </c>
      <c r="L21" s="4">
        <f t="shared" si="7"/>
        <v>0</v>
      </c>
      <c r="M21" s="4">
        <f t="shared" si="8"/>
        <v>1378203.2014451469</v>
      </c>
      <c r="N21" s="4">
        <f t="shared" si="9"/>
        <v>0</v>
      </c>
      <c r="O21" s="4">
        <f t="shared" si="0"/>
        <v>1609563.2292108759</v>
      </c>
      <c r="P21" s="4">
        <f t="shared" si="1"/>
        <v>-78568.55437401752</v>
      </c>
      <c r="Q21" s="182">
        <f t="shared" si="2"/>
        <v>4.6541718566053186E-2</v>
      </c>
      <c r="T21" s="4"/>
      <c r="V21" s="4"/>
    </row>
    <row r="22" spans="1:22" x14ac:dyDescent="0.35">
      <c r="A22" s="1">
        <f>MonthlyData!A22</f>
        <v>42248</v>
      </c>
      <c r="B22" s="13">
        <f t="shared" si="3"/>
        <v>2015</v>
      </c>
      <c r="C22" s="13">
        <f t="shared" si="4"/>
        <v>9</v>
      </c>
      <c r="D22" s="4">
        <f>MonthlyData!I22</f>
        <v>1554593.7754356791</v>
      </c>
      <c r="E22">
        <f>MonthlyData!AF22</f>
        <v>16.877396174576482</v>
      </c>
      <c r="F22">
        <f>MonthlyData!BP22</f>
        <v>0</v>
      </c>
      <c r="G22" s="4">
        <f>MonthlyData!R22</f>
        <v>778</v>
      </c>
      <c r="H22">
        <f>MonthlyData!BN22</f>
        <v>0</v>
      </c>
      <c r="J22" s="4">
        <f t="shared" si="5"/>
        <v>231360.027765729</v>
      </c>
      <c r="K22" s="4">
        <f t="shared" si="6"/>
        <v>10908.157013042726</v>
      </c>
      <c r="L22" s="4">
        <f t="shared" si="7"/>
        <v>0</v>
      </c>
      <c r="M22" s="4">
        <f t="shared" si="8"/>
        <v>1376434.0060646012</v>
      </c>
      <c r="N22" s="4">
        <f t="shared" si="9"/>
        <v>0</v>
      </c>
      <c r="O22" s="4">
        <f t="shared" si="0"/>
        <v>1618702.1908433731</v>
      </c>
      <c r="P22" s="4">
        <f t="shared" si="1"/>
        <v>64108.415407693945</v>
      </c>
      <c r="Q22" s="182">
        <f t="shared" si="2"/>
        <v>4.1238049721206038E-2</v>
      </c>
    </row>
    <row r="23" spans="1:22" x14ac:dyDescent="0.35">
      <c r="A23" s="1">
        <f>MonthlyData!A23</f>
        <v>42278</v>
      </c>
      <c r="B23" s="13">
        <f t="shared" si="3"/>
        <v>2015</v>
      </c>
      <c r="C23" s="13">
        <f t="shared" si="4"/>
        <v>10</v>
      </c>
      <c r="D23" s="4">
        <f>MonthlyData!I23</f>
        <v>1529845.3402909415</v>
      </c>
      <c r="E23">
        <f>MonthlyData!AF23</f>
        <v>212.50558278834421</v>
      </c>
      <c r="F23">
        <f>MonthlyData!BP23</f>
        <v>1</v>
      </c>
      <c r="G23" s="4">
        <f>MonthlyData!R23</f>
        <v>777</v>
      </c>
      <c r="H23">
        <f>MonthlyData!BN23</f>
        <v>0</v>
      </c>
      <c r="J23" s="4">
        <f t="shared" si="5"/>
        <v>231360.027765729</v>
      </c>
      <c r="K23" s="4">
        <f t="shared" si="6"/>
        <v>137346.0834376353</v>
      </c>
      <c r="L23" s="4">
        <f t="shared" si="7"/>
        <v>-257897.88627322801</v>
      </c>
      <c r="M23" s="4">
        <f t="shared" si="8"/>
        <v>1374664.8106840556</v>
      </c>
      <c r="N23" s="4">
        <f t="shared" si="9"/>
        <v>0</v>
      </c>
      <c r="O23" s="4">
        <f t="shared" si="0"/>
        <v>1485473.0356141918</v>
      </c>
      <c r="P23" s="4">
        <f t="shared" si="1"/>
        <v>-44372.304676749744</v>
      </c>
      <c r="Q23" s="182">
        <f t="shared" si="2"/>
        <v>2.9004438231848423E-2</v>
      </c>
    </row>
    <row r="24" spans="1:22" x14ac:dyDescent="0.35">
      <c r="A24" s="1">
        <f>MonthlyData!A24</f>
        <v>42309</v>
      </c>
      <c r="B24" s="13">
        <f t="shared" si="3"/>
        <v>2015</v>
      </c>
      <c r="C24" s="13">
        <f t="shared" si="4"/>
        <v>11</v>
      </c>
      <c r="D24" s="4">
        <f>MonthlyData!I24</f>
        <v>1630921.2126257729</v>
      </c>
      <c r="E24">
        <f>MonthlyData!AF24</f>
        <v>296.19166666666666</v>
      </c>
      <c r="F24">
        <f>MonthlyData!BP24</f>
        <v>1</v>
      </c>
      <c r="G24" s="4">
        <f>MonthlyData!R24</f>
        <v>775</v>
      </c>
      <c r="H24">
        <f>MonthlyData!BN24</f>
        <v>0</v>
      </c>
      <c r="J24" s="4">
        <f t="shared" si="5"/>
        <v>231360.027765729</v>
      </c>
      <c r="K24" s="4">
        <f t="shared" si="6"/>
        <v>191433.86648834703</v>
      </c>
      <c r="L24" s="4">
        <f t="shared" si="7"/>
        <v>-257897.88627322801</v>
      </c>
      <c r="M24" s="4">
        <f t="shared" si="8"/>
        <v>1371126.4199229639</v>
      </c>
      <c r="N24" s="4">
        <f t="shared" si="9"/>
        <v>0</v>
      </c>
      <c r="O24" s="4">
        <f t="shared" si="0"/>
        <v>1536022.4279038119</v>
      </c>
      <c r="P24" s="4">
        <f t="shared" si="1"/>
        <v>-94898.784721961012</v>
      </c>
      <c r="Q24" s="182">
        <f t="shared" si="2"/>
        <v>5.8187228167309542E-2</v>
      </c>
    </row>
    <row r="25" spans="1:22" x14ac:dyDescent="0.35">
      <c r="A25" s="1">
        <f>MonthlyData!A25</f>
        <v>42339</v>
      </c>
      <c r="B25" s="13">
        <f t="shared" si="3"/>
        <v>2015</v>
      </c>
      <c r="C25" s="13">
        <f t="shared" si="4"/>
        <v>12</v>
      </c>
      <c r="D25" s="4">
        <f>MonthlyData!I25</f>
        <v>1696511.6711992016</v>
      </c>
      <c r="E25">
        <f>MonthlyData!AF25</f>
        <v>465.28749999999997</v>
      </c>
      <c r="F25">
        <f>MonthlyData!BP25</f>
        <v>0</v>
      </c>
      <c r="G25" s="4">
        <f>MonthlyData!R25</f>
        <v>777</v>
      </c>
      <c r="H25">
        <f>MonthlyData!BN25</f>
        <v>1</v>
      </c>
      <c r="J25" s="4">
        <f t="shared" si="5"/>
        <v>231360.027765729</v>
      </c>
      <c r="K25" s="4">
        <f t="shared" si="6"/>
        <v>300723.46786831756</v>
      </c>
      <c r="L25" s="4">
        <f t="shared" si="7"/>
        <v>0</v>
      </c>
      <c r="M25" s="4">
        <f t="shared" si="8"/>
        <v>1374664.8106840556</v>
      </c>
      <c r="N25" s="4">
        <f t="shared" si="9"/>
        <v>-216631.706472586</v>
      </c>
      <c r="O25" s="4">
        <f t="shared" si="0"/>
        <v>1690116.5998455163</v>
      </c>
      <c r="P25" s="4">
        <f t="shared" si="1"/>
        <v>-6395.0713536853436</v>
      </c>
      <c r="Q25" s="182">
        <f t="shared" si="2"/>
        <v>3.7695416201675189E-3</v>
      </c>
    </row>
    <row r="26" spans="1:22" x14ac:dyDescent="0.35">
      <c r="A26" s="1">
        <f>MonthlyData!A26</f>
        <v>42370</v>
      </c>
      <c r="B26" s="13">
        <f t="shared" si="3"/>
        <v>2016</v>
      </c>
      <c r="C26" s="13">
        <f t="shared" si="4"/>
        <v>1</v>
      </c>
      <c r="D26" s="4">
        <f>MonthlyData!I26</f>
        <v>1857127.1592694875</v>
      </c>
      <c r="E26">
        <f>MonthlyData!AF26</f>
        <v>718.46798406531877</v>
      </c>
      <c r="F26">
        <f>MonthlyData!BP26</f>
        <v>0</v>
      </c>
      <c r="G26" s="4">
        <f>MonthlyData!R26</f>
        <v>727</v>
      </c>
      <c r="H26">
        <f>MonthlyData!BN26</f>
        <v>0</v>
      </c>
      <c r="J26" s="4">
        <f t="shared" si="5"/>
        <v>231360.027765729</v>
      </c>
      <c r="K26" s="4">
        <f t="shared" si="6"/>
        <v>464358.45304350927</v>
      </c>
      <c r="L26" s="4">
        <f t="shared" si="7"/>
        <v>0</v>
      </c>
      <c r="M26" s="4">
        <f t="shared" si="8"/>
        <v>1286205.0416567675</v>
      </c>
      <c r="N26" s="4">
        <f t="shared" si="9"/>
        <v>0</v>
      </c>
      <c r="O26" s="4">
        <f t="shared" si="0"/>
        <v>1981923.5224660058</v>
      </c>
      <c r="P26" s="4">
        <f t="shared" si="1"/>
        <v>124796.36319651827</v>
      </c>
      <c r="Q26" s="182">
        <f t="shared" si="2"/>
        <v>6.7198609730960854E-2</v>
      </c>
    </row>
    <row r="27" spans="1:22" x14ac:dyDescent="0.35">
      <c r="A27" s="1">
        <f>MonthlyData!A27</f>
        <v>42401</v>
      </c>
      <c r="B27" s="13">
        <f t="shared" si="3"/>
        <v>2016</v>
      </c>
      <c r="C27" s="13">
        <f t="shared" si="4"/>
        <v>2</v>
      </c>
      <c r="D27" s="4">
        <f>MonthlyData!I27</f>
        <v>2011309.3943050592</v>
      </c>
      <c r="E27">
        <f>MonthlyData!AF27</f>
        <v>732.41995472340568</v>
      </c>
      <c r="F27">
        <f>MonthlyData!BP27</f>
        <v>0</v>
      </c>
      <c r="G27" s="4">
        <f>MonthlyData!R27</f>
        <v>725</v>
      </c>
      <c r="H27">
        <f>MonthlyData!BN27</f>
        <v>0</v>
      </c>
      <c r="J27" s="4">
        <f t="shared" si="5"/>
        <v>231360.027765729</v>
      </c>
      <c r="K27" s="4">
        <f t="shared" si="6"/>
        <v>473375.85626172792</v>
      </c>
      <c r="L27" s="4">
        <f t="shared" si="7"/>
        <v>0</v>
      </c>
      <c r="M27" s="4">
        <f t="shared" si="8"/>
        <v>1282666.6508956759</v>
      </c>
      <c r="N27" s="4">
        <f t="shared" si="9"/>
        <v>0</v>
      </c>
      <c r="O27" s="4">
        <f t="shared" si="0"/>
        <v>1987402.5349231327</v>
      </c>
      <c r="P27" s="4">
        <f t="shared" si="1"/>
        <v>-23906.859381926479</v>
      </c>
      <c r="Q27" s="182">
        <f t="shared" si="2"/>
        <v>1.1886216735037274E-2</v>
      </c>
    </row>
    <row r="28" spans="1:22" x14ac:dyDescent="0.35">
      <c r="A28" s="1">
        <f>MonthlyData!A28</f>
        <v>42430</v>
      </c>
      <c r="B28" s="13">
        <f t="shared" si="3"/>
        <v>2016</v>
      </c>
      <c r="C28" s="13">
        <f t="shared" si="4"/>
        <v>3</v>
      </c>
      <c r="D28" s="4">
        <f>MonthlyData!I28</f>
        <v>1960350.4018039089</v>
      </c>
      <c r="E28">
        <f>MonthlyData!AF28</f>
        <v>515.41411900761977</v>
      </c>
      <c r="F28">
        <f>MonthlyData!BP28</f>
        <v>0</v>
      </c>
      <c r="G28" s="4">
        <f>MonthlyData!R28</f>
        <v>725</v>
      </c>
      <c r="H28">
        <f>MonthlyData!BN28</f>
        <v>0</v>
      </c>
      <c r="J28" s="4">
        <f t="shared" si="5"/>
        <v>231360.027765729</v>
      </c>
      <c r="K28" s="4">
        <f t="shared" si="6"/>
        <v>333121.18046641094</v>
      </c>
      <c r="L28" s="4">
        <f t="shared" si="7"/>
        <v>0</v>
      </c>
      <c r="M28" s="4">
        <f t="shared" si="8"/>
        <v>1282666.6508956759</v>
      </c>
      <c r="N28" s="4">
        <f t="shared" si="9"/>
        <v>0</v>
      </c>
      <c r="O28" s="4">
        <f t="shared" si="0"/>
        <v>1847147.8591278158</v>
      </c>
      <c r="P28" s="4">
        <f t="shared" si="1"/>
        <v>-113202.54267609306</v>
      </c>
      <c r="Q28" s="182">
        <f t="shared" si="2"/>
        <v>5.7746075687246726E-2</v>
      </c>
    </row>
    <row r="29" spans="1:22" x14ac:dyDescent="0.35">
      <c r="A29" s="1">
        <f>MonthlyData!A29</f>
        <v>42461</v>
      </c>
      <c r="B29" s="13">
        <f t="shared" si="3"/>
        <v>2016</v>
      </c>
      <c r="C29" s="13">
        <f t="shared" si="4"/>
        <v>4</v>
      </c>
      <c r="D29" s="4">
        <f>MonthlyData!I29</f>
        <v>1839148.3649771539</v>
      </c>
      <c r="E29">
        <f>MonthlyData!AF29</f>
        <v>361.875</v>
      </c>
      <c r="F29">
        <f>MonthlyData!BP29</f>
        <v>0</v>
      </c>
      <c r="G29" s="4">
        <f>MonthlyData!R29</f>
        <v>718</v>
      </c>
      <c r="H29">
        <f>MonthlyData!BN29</f>
        <v>0</v>
      </c>
      <c r="J29" s="4">
        <f t="shared" si="5"/>
        <v>231360.027765729</v>
      </c>
      <c r="K29" s="4">
        <f t="shared" si="6"/>
        <v>233886.15626864557</v>
      </c>
      <c r="L29" s="4">
        <f t="shared" si="7"/>
        <v>0</v>
      </c>
      <c r="M29" s="4">
        <f t="shared" si="8"/>
        <v>1270282.2832318556</v>
      </c>
      <c r="N29" s="4">
        <f t="shared" si="9"/>
        <v>0</v>
      </c>
      <c r="O29" s="4">
        <f t="shared" si="0"/>
        <v>1735528.4672662301</v>
      </c>
      <c r="P29" s="4">
        <f t="shared" si="1"/>
        <v>-103619.8977109238</v>
      </c>
      <c r="Q29" s="182">
        <f t="shared" si="2"/>
        <v>5.6341239067034692E-2</v>
      </c>
    </row>
    <row r="30" spans="1:22" x14ac:dyDescent="0.35">
      <c r="A30" s="1">
        <f>MonthlyData!A30</f>
        <v>42491</v>
      </c>
      <c r="B30" s="13">
        <f t="shared" si="3"/>
        <v>2016</v>
      </c>
      <c r="C30" s="13">
        <f t="shared" si="4"/>
        <v>5</v>
      </c>
      <c r="D30" s="4">
        <f>MonthlyData!I30</f>
        <v>1667164.9233758217</v>
      </c>
      <c r="E30">
        <f>MonthlyData!AF30</f>
        <v>72.507170139097227</v>
      </c>
      <c r="F30">
        <f>MonthlyData!BP30</f>
        <v>0</v>
      </c>
      <c r="G30" s="4">
        <f>MonthlyData!R30</f>
        <v>721</v>
      </c>
      <c r="H30">
        <f>MonthlyData!BN30</f>
        <v>0</v>
      </c>
      <c r="J30" s="4">
        <f t="shared" si="5"/>
        <v>231360.027765729</v>
      </c>
      <c r="K30" s="4">
        <f t="shared" si="6"/>
        <v>46862.655131606676</v>
      </c>
      <c r="L30" s="4">
        <f t="shared" si="7"/>
        <v>0</v>
      </c>
      <c r="M30" s="4">
        <f t="shared" si="8"/>
        <v>1275589.8693734929</v>
      </c>
      <c r="N30" s="4">
        <f t="shared" si="9"/>
        <v>0</v>
      </c>
      <c r="O30" s="4">
        <f t="shared" si="0"/>
        <v>1553812.5522708285</v>
      </c>
      <c r="P30" s="4">
        <f t="shared" si="1"/>
        <v>-113352.37110499316</v>
      </c>
      <c r="Q30" s="182">
        <f t="shared" si="2"/>
        <v>6.7991096451014185E-2</v>
      </c>
    </row>
    <row r="31" spans="1:22" x14ac:dyDescent="0.35">
      <c r="A31" s="1">
        <f>MonthlyData!A31</f>
        <v>42522</v>
      </c>
      <c r="B31" s="13">
        <f t="shared" si="3"/>
        <v>2016</v>
      </c>
      <c r="C31" s="13">
        <f t="shared" si="4"/>
        <v>6</v>
      </c>
      <c r="D31" s="4">
        <f>MonthlyData!I31</f>
        <v>1511413.4979751017</v>
      </c>
      <c r="E31">
        <f>MonthlyData!AF31</f>
        <v>10.937500000000002</v>
      </c>
      <c r="F31">
        <f>MonthlyData!BP31</f>
        <v>0</v>
      </c>
      <c r="G31" s="4">
        <f>MonthlyData!R31</f>
        <v>727</v>
      </c>
      <c r="H31">
        <f>MonthlyData!BN31</f>
        <v>0</v>
      </c>
      <c r="J31" s="4">
        <f t="shared" si="5"/>
        <v>231360.027765729</v>
      </c>
      <c r="K31" s="4">
        <f t="shared" si="6"/>
        <v>7069.0979873942979</v>
      </c>
      <c r="L31" s="4">
        <f t="shared" si="7"/>
        <v>0</v>
      </c>
      <c r="M31" s="4">
        <f t="shared" si="8"/>
        <v>1286205.0416567675</v>
      </c>
      <c r="N31" s="4">
        <f t="shared" si="9"/>
        <v>0</v>
      </c>
      <c r="O31" s="4">
        <f t="shared" si="0"/>
        <v>1524634.1674098908</v>
      </c>
      <c r="P31" s="4">
        <f t="shared" si="1"/>
        <v>13220.669434789103</v>
      </c>
      <c r="Q31" s="182">
        <f t="shared" si="2"/>
        <v>8.7472220226306949E-3</v>
      </c>
    </row>
    <row r="32" spans="1:22" x14ac:dyDescent="0.35">
      <c r="A32" s="1">
        <f>MonthlyData!A32</f>
        <v>42552</v>
      </c>
      <c r="B32" s="13">
        <f t="shared" si="3"/>
        <v>2016</v>
      </c>
      <c r="C32" s="13">
        <f t="shared" si="4"/>
        <v>7</v>
      </c>
      <c r="D32" s="4">
        <f>MonthlyData!I32</f>
        <v>1505259.8435043502</v>
      </c>
      <c r="E32">
        <f>MonthlyData!AF32</f>
        <v>0</v>
      </c>
      <c r="F32">
        <f>MonthlyData!BP32</f>
        <v>0</v>
      </c>
      <c r="G32" s="4">
        <f>MonthlyData!R32</f>
        <v>722</v>
      </c>
      <c r="H32">
        <f>MonthlyData!BN32</f>
        <v>0</v>
      </c>
      <c r="J32" s="4">
        <f t="shared" si="5"/>
        <v>231360.027765729</v>
      </c>
      <c r="K32" s="4">
        <f t="shared" si="6"/>
        <v>0</v>
      </c>
      <c r="L32" s="4">
        <f t="shared" si="7"/>
        <v>0</v>
      </c>
      <c r="M32" s="4">
        <f t="shared" si="8"/>
        <v>1277359.0647540386</v>
      </c>
      <c r="N32" s="4">
        <f t="shared" si="9"/>
        <v>0</v>
      </c>
      <c r="O32" s="4">
        <f t="shared" si="0"/>
        <v>1508719.0925197676</v>
      </c>
      <c r="P32" s="4">
        <f t="shared" si="1"/>
        <v>3459.2490154174156</v>
      </c>
      <c r="Q32" s="182">
        <f t="shared" si="2"/>
        <v>2.2981075528887038E-3</v>
      </c>
    </row>
    <row r="33" spans="1:17" x14ac:dyDescent="0.35">
      <c r="A33" s="1">
        <f>MonthlyData!A33</f>
        <v>42583</v>
      </c>
      <c r="B33" s="13">
        <f t="shared" si="3"/>
        <v>2016</v>
      </c>
      <c r="C33" s="13">
        <f t="shared" si="4"/>
        <v>8</v>
      </c>
      <c r="D33" s="4">
        <f>MonthlyData!I33</f>
        <v>1559834.2272254154</v>
      </c>
      <c r="E33">
        <f>MonthlyData!AF33</f>
        <v>0</v>
      </c>
      <c r="F33">
        <f>MonthlyData!BP33</f>
        <v>0</v>
      </c>
      <c r="G33" s="4">
        <f>MonthlyData!R33</f>
        <v>715</v>
      </c>
      <c r="H33">
        <f>MonthlyData!BN33</f>
        <v>0</v>
      </c>
      <c r="J33" s="4">
        <f t="shared" si="5"/>
        <v>231360.027765729</v>
      </c>
      <c r="K33" s="4">
        <f t="shared" si="6"/>
        <v>0</v>
      </c>
      <c r="L33" s="4">
        <f t="shared" si="7"/>
        <v>0</v>
      </c>
      <c r="M33" s="4">
        <f t="shared" si="8"/>
        <v>1264974.6970902183</v>
      </c>
      <c r="N33" s="4">
        <f t="shared" si="9"/>
        <v>0</v>
      </c>
      <c r="O33" s="4">
        <f t="shared" si="0"/>
        <v>1496334.7248559473</v>
      </c>
      <c r="P33" s="4">
        <f t="shared" si="1"/>
        <v>-63499.5023694681</v>
      </c>
      <c r="Q33" s="182">
        <f t="shared" si="2"/>
        <v>4.0709135151123746E-2</v>
      </c>
    </row>
    <row r="34" spans="1:17" x14ac:dyDescent="0.35">
      <c r="A34" s="1">
        <f>MonthlyData!A34</f>
        <v>42614</v>
      </c>
      <c r="B34" s="13">
        <f t="shared" si="3"/>
        <v>2016</v>
      </c>
      <c r="C34" s="13">
        <f t="shared" si="4"/>
        <v>9</v>
      </c>
      <c r="D34" s="4">
        <f>MonthlyData!I34</f>
        <v>1577634.3707311191</v>
      </c>
      <c r="E34">
        <f>MonthlyData!AF34</f>
        <v>7.7458333333333318</v>
      </c>
      <c r="F34">
        <f>MonthlyData!BP34</f>
        <v>0</v>
      </c>
      <c r="G34" s="4">
        <f>MonthlyData!R34</f>
        <v>716</v>
      </c>
      <c r="H34">
        <f>MonthlyData!BN34</f>
        <v>0</v>
      </c>
      <c r="J34" s="4">
        <f t="shared" si="5"/>
        <v>231360.027765729</v>
      </c>
      <c r="K34" s="4">
        <f t="shared" si="6"/>
        <v>5006.2678699299031</v>
      </c>
      <c r="L34" s="4">
        <f t="shared" si="7"/>
        <v>0</v>
      </c>
      <c r="M34" s="4">
        <f t="shared" si="8"/>
        <v>1266743.892470764</v>
      </c>
      <c r="N34" s="4">
        <f t="shared" si="9"/>
        <v>0</v>
      </c>
      <c r="O34" s="4">
        <f t="shared" ref="O34:O65" si="10">SUM(J34:N34)</f>
        <v>1503110.1881064228</v>
      </c>
      <c r="P34" s="4">
        <f t="shared" ref="P34:P65" si="11">O34-D34</f>
        <v>-74524.182624696288</v>
      </c>
      <c r="Q34" s="182">
        <f t="shared" ref="Q34:Q65" si="12">ABS(P34/D34)</f>
        <v>4.7237930414865223E-2</v>
      </c>
    </row>
    <row r="35" spans="1:17" x14ac:dyDescent="0.35">
      <c r="A35" s="1">
        <f>MonthlyData!A35</f>
        <v>42644</v>
      </c>
      <c r="B35" s="13">
        <f t="shared" si="3"/>
        <v>2016</v>
      </c>
      <c r="C35" s="13">
        <f t="shared" si="4"/>
        <v>10</v>
      </c>
      <c r="D35" s="4">
        <f>MonthlyData!I35</f>
        <v>1390360.00192424</v>
      </c>
      <c r="E35">
        <f>MonthlyData!AF35</f>
        <v>165.32732502849939</v>
      </c>
      <c r="F35">
        <f>MonthlyData!BP35</f>
        <v>1</v>
      </c>
      <c r="G35" s="4">
        <f>MonthlyData!R35</f>
        <v>741</v>
      </c>
      <c r="H35">
        <f>MonthlyData!BN35</f>
        <v>0</v>
      </c>
      <c r="J35" s="4">
        <f t="shared" si="5"/>
        <v>231360.027765729</v>
      </c>
      <c r="K35" s="4">
        <f t="shared" si="6"/>
        <v>106853.9483995655</v>
      </c>
      <c r="L35" s="4">
        <f t="shared" si="7"/>
        <v>-257897.88627322801</v>
      </c>
      <c r="M35" s="4">
        <f t="shared" si="8"/>
        <v>1310973.776984408</v>
      </c>
      <c r="N35" s="4">
        <f t="shared" si="9"/>
        <v>0</v>
      </c>
      <c r="O35" s="4">
        <f t="shared" si="10"/>
        <v>1391289.8668764746</v>
      </c>
      <c r="P35" s="4">
        <f t="shared" si="11"/>
        <v>929.86495223455131</v>
      </c>
      <c r="Q35" s="182">
        <f t="shared" si="12"/>
        <v>6.6879437767745789E-4</v>
      </c>
    </row>
    <row r="36" spans="1:17" x14ac:dyDescent="0.35">
      <c r="A36" s="1">
        <f>MonthlyData!A36</f>
        <v>42675</v>
      </c>
      <c r="B36" s="13">
        <f t="shared" si="3"/>
        <v>2016</v>
      </c>
      <c r="C36" s="13">
        <f t="shared" si="4"/>
        <v>11</v>
      </c>
      <c r="D36" s="4">
        <f>MonthlyData!I36</f>
        <v>1524165.7901686833</v>
      </c>
      <c r="E36">
        <f>MonthlyData!AF36</f>
        <v>267.69583333333338</v>
      </c>
      <c r="F36">
        <f>MonthlyData!BP36</f>
        <v>1</v>
      </c>
      <c r="G36" s="4">
        <f>MonthlyData!R36</f>
        <v>762</v>
      </c>
      <c r="H36">
        <f>MonthlyData!BN36</f>
        <v>0</v>
      </c>
      <c r="J36" s="4">
        <f t="shared" si="5"/>
        <v>231360.027765729</v>
      </c>
      <c r="K36" s="4">
        <f t="shared" si="6"/>
        <v>173016.50986518912</v>
      </c>
      <c r="L36" s="4">
        <f t="shared" si="7"/>
        <v>-257897.88627322801</v>
      </c>
      <c r="M36" s="4">
        <f t="shared" si="8"/>
        <v>1348126.8799758691</v>
      </c>
      <c r="N36" s="4">
        <f t="shared" si="9"/>
        <v>0</v>
      </c>
      <c r="O36" s="4">
        <f t="shared" si="10"/>
        <v>1494605.5313335592</v>
      </c>
      <c r="P36" s="4">
        <f t="shared" si="11"/>
        <v>-29560.258835124085</v>
      </c>
      <c r="Q36" s="182">
        <f t="shared" si="12"/>
        <v>1.9394385457144118E-2</v>
      </c>
    </row>
    <row r="37" spans="1:17" x14ac:dyDescent="0.35">
      <c r="A37" s="1">
        <f>MonthlyData!A37</f>
        <v>42705</v>
      </c>
      <c r="B37" s="13">
        <f t="shared" si="3"/>
        <v>2016</v>
      </c>
      <c r="C37" s="13">
        <f t="shared" si="4"/>
        <v>12</v>
      </c>
      <c r="D37" s="4">
        <f>MonthlyData!I37</f>
        <v>1639385.3234697548</v>
      </c>
      <c r="E37">
        <f>MonthlyData!AF37</f>
        <v>649.50833333333321</v>
      </c>
      <c r="F37">
        <f>MonthlyData!BP37</f>
        <v>0</v>
      </c>
      <c r="G37" s="4">
        <f>MonthlyData!R37</f>
        <v>747</v>
      </c>
      <c r="H37">
        <f>MonthlyData!BN37</f>
        <v>1</v>
      </c>
      <c r="J37" s="4">
        <f t="shared" si="5"/>
        <v>231360.027765729</v>
      </c>
      <c r="K37" s="4">
        <f t="shared" si="6"/>
        <v>419788.62189371337</v>
      </c>
      <c r="L37" s="4">
        <f t="shared" si="7"/>
        <v>0</v>
      </c>
      <c r="M37" s="4">
        <f t="shared" si="8"/>
        <v>1321588.9492676826</v>
      </c>
      <c r="N37" s="4">
        <f t="shared" si="9"/>
        <v>-216631.706472586</v>
      </c>
      <c r="O37" s="4">
        <f t="shared" si="10"/>
        <v>1756105.892454539</v>
      </c>
      <c r="P37" s="4">
        <f t="shared" si="11"/>
        <v>116720.56898478419</v>
      </c>
      <c r="Q37" s="182">
        <f t="shared" si="12"/>
        <v>7.1197763767791578E-2</v>
      </c>
    </row>
    <row r="38" spans="1:17" x14ac:dyDescent="0.35">
      <c r="A38" s="1">
        <f>MonthlyData!A38</f>
        <v>42736</v>
      </c>
      <c r="B38" s="13">
        <f t="shared" si="3"/>
        <v>2017</v>
      </c>
      <c r="C38" s="13">
        <f t="shared" si="4"/>
        <v>1</v>
      </c>
      <c r="D38" s="4">
        <f>MonthlyData!I38</f>
        <v>1925606.4923752525</v>
      </c>
      <c r="E38">
        <f>MonthlyData!AF38</f>
        <v>625.60416666666674</v>
      </c>
      <c r="F38">
        <f>MonthlyData!BP38</f>
        <v>0</v>
      </c>
      <c r="G38" s="4">
        <f>MonthlyData!R38</f>
        <v>754</v>
      </c>
      <c r="H38">
        <f>MonthlyData!BN38</f>
        <v>0</v>
      </c>
      <c r="J38" s="4">
        <f t="shared" si="5"/>
        <v>231360.027765729</v>
      </c>
      <c r="K38" s="4">
        <f t="shared" si="6"/>
        <v>404338.9399304064</v>
      </c>
      <c r="L38" s="4">
        <f t="shared" si="7"/>
        <v>0</v>
      </c>
      <c r="M38" s="4">
        <f t="shared" si="8"/>
        <v>1333973.3169315029</v>
      </c>
      <c r="N38" s="4">
        <f t="shared" si="9"/>
        <v>0</v>
      </c>
      <c r="O38" s="4">
        <f t="shared" si="10"/>
        <v>1969672.2846276383</v>
      </c>
      <c r="P38" s="4">
        <f t="shared" si="11"/>
        <v>44065.792252385756</v>
      </c>
      <c r="Q38" s="182">
        <f t="shared" si="12"/>
        <v>2.2884110760361124E-2</v>
      </c>
    </row>
    <row r="39" spans="1:17" x14ac:dyDescent="0.35">
      <c r="A39" s="1">
        <f>MonthlyData!A39</f>
        <v>42767</v>
      </c>
      <c r="B39" s="13">
        <f t="shared" si="3"/>
        <v>2017</v>
      </c>
      <c r="C39" s="13">
        <f t="shared" si="4"/>
        <v>2</v>
      </c>
      <c r="D39" s="4">
        <f>MonthlyData!I39</f>
        <v>1922002.2611059062</v>
      </c>
      <c r="E39">
        <f>MonthlyData!AF39</f>
        <v>608.23750000000007</v>
      </c>
      <c r="F39">
        <f>MonthlyData!BP39</f>
        <v>0</v>
      </c>
      <c r="G39" s="4">
        <f>MonthlyData!R39</f>
        <v>744</v>
      </c>
      <c r="H39">
        <f>MonthlyData!BN39</f>
        <v>0</v>
      </c>
      <c r="J39" s="4">
        <f t="shared" si="5"/>
        <v>231360.027765729</v>
      </c>
      <c r="K39" s="4">
        <f t="shared" si="6"/>
        <v>393114.55882127897</v>
      </c>
      <c r="L39" s="4">
        <f t="shared" si="7"/>
        <v>0</v>
      </c>
      <c r="M39" s="4">
        <f t="shared" si="8"/>
        <v>1316281.3631260453</v>
      </c>
      <c r="N39" s="4">
        <f t="shared" si="9"/>
        <v>0</v>
      </c>
      <c r="O39" s="4">
        <f t="shared" si="10"/>
        <v>1940755.9497130532</v>
      </c>
      <c r="P39" s="4">
        <f t="shared" si="11"/>
        <v>18753.688607146963</v>
      </c>
      <c r="Q39" s="182">
        <f t="shared" si="12"/>
        <v>9.757370730852432E-3</v>
      </c>
    </row>
    <row r="40" spans="1:17" x14ac:dyDescent="0.35">
      <c r="A40" s="1">
        <f>MonthlyData!A40</f>
        <v>42795</v>
      </c>
      <c r="B40" s="13">
        <f t="shared" si="3"/>
        <v>2017</v>
      </c>
      <c r="C40" s="13">
        <f t="shared" si="4"/>
        <v>3</v>
      </c>
      <c r="D40" s="4">
        <f>MonthlyData!I40</f>
        <v>1780750.6332760726</v>
      </c>
      <c r="E40">
        <f>MonthlyData!AF40</f>
        <v>573.71046635567325</v>
      </c>
      <c r="F40">
        <f>MonthlyData!BP40</f>
        <v>0</v>
      </c>
      <c r="G40" s="4">
        <f>MonthlyData!R40</f>
        <v>746</v>
      </c>
      <c r="H40">
        <f>MonthlyData!BN40</f>
        <v>0</v>
      </c>
      <c r="J40" s="4">
        <f t="shared" si="5"/>
        <v>231360.027765729</v>
      </c>
      <c r="K40" s="4">
        <f t="shared" si="6"/>
        <v>370799.13170851959</v>
      </c>
      <c r="L40" s="4">
        <f t="shared" si="7"/>
        <v>0</v>
      </c>
      <c r="M40" s="4">
        <f t="shared" si="8"/>
        <v>1319819.7538871369</v>
      </c>
      <c r="N40" s="4">
        <f t="shared" si="9"/>
        <v>0</v>
      </c>
      <c r="O40" s="4">
        <f t="shared" si="10"/>
        <v>1921978.9133613855</v>
      </c>
      <c r="P40" s="4">
        <f t="shared" si="11"/>
        <v>141228.2800853129</v>
      </c>
      <c r="Q40" s="182">
        <f t="shared" si="12"/>
        <v>7.9308285756716654E-2</v>
      </c>
    </row>
    <row r="41" spans="1:17" x14ac:dyDescent="0.35">
      <c r="A41" s="1">
        <f>MonthlyData!A41</f>
        <v>42826</v>
      </c>
      <c r="B41" s="13">
        <f t="shared" si="3"/>
        <v>2017</v>
      </c>
      <c r="C41" s="13">
        <f t="shared" si="4"/>
        <v>4</v>
      </c>
      <c r="D41" s="4">
        <f>MonthlyData!I41</f>
        <v>1910443.0282128362</v>
      </c>
      <c r="E41">
        <f>MonthlyData!AF41</f>
        <v>246.73333333333338</v>
      </c>
      <c r="F41">
        <f>MonthlyData!BP41</f>
        <v>0</v>
      </c>
      <c r="G41" s="4">
        <f>MonthlyData!R41</f>
        <v>741</v>
      </c>
      <c r="H41">
        <f>MonthlyData!BN41</f>
        <v>0</v>
      </c>
      <c r="J41" s="4">
        <f t="shared" si="5"/>
        <v>231360.027765729</v>
      </c>
      <c r="K41" s="4">
        <f t="shared" si="6"/>
        <v>159468.07863677741</v>
      </c>
      <c r="L41" s="4">
        <f t="shared" si="7"/>
        <v>0</v>
      </c>
      <c r="M41" s="4">
        <f t="shared" si="8"/>
        <v>1310973.776984408</v>
      </c>
      <c r="N41" s="4">
        <f t="shared" si="9"/>
        <v>0</v>
      </c>
      <c r="O41" s="4">
        <f t="shared" si="10"/>
        <v>1701801.8833869144</v>
      </c>
      <c r="P41" s="4">
        <f t="shared" si="11"/>
        <v>-208641.14482592186</v>
      </c>
      <c r="Q41" s="182">
        <f t="shared" si="12"/>
        <v>0.10921086980599445</v>
      </c>
    </row>
    <row r="42" spans="1:17" x14ac:dyDescent="0.35">
      <c r="A42" s="1">
        <f>MonthlyData!A42</f>
        <v>42856</v>
      </c>
      <c r="B42" s="13">
        <f t="shared" si="3"/>
        <v>2017</v>
      </c>
      <c r="C42" s="13">
        <f t="shared" si="4"/>
        <v>5</v>
      </c>
      <c r="D42" s="4">
        <f>MonthlyData!I42</f>
        <v>1534644.8688874149</v>
      </c>
      <c r="E42">
        <f>MonthlyData!AF42</f>
        <v>94.194629289914161</v>
      </c>
      <c r="F42">
        <f>MonthlyData!BP42</f>
        <v>0</v>
      </c>
      <c r="G42" s="4">
        <f>MonthlyData!R42</f>
        <v>740</v>
      </c>
      <c r="H42">
        <f>MonthlyData!BN42</f>
        <v>0</v>
      </c>
      <c r="J42" s="4">
        <f t="shared" si="5"/>
        <v>231360.027765729</v>
      </c>
      <c r="K42" s="4">
        <f t="shared" si="6"/>
        <v>60879.640167925398</v>
      </c>
      <c r="L42" s="4">
        <f t="shared" si="7"/>
        <v>0</v>
      </c>
      <c r="M42" s="4">
        <f t="shared" si="8"/>
        <v>1309204.5816038623</v>
      </c>
      <c r="N42" s="4">
        <f t="shared" si="9"/>
        <v>0</v>
      </c>
      <c r="O42" s="4">
        <f t="shared" si="10"/>
        <v>1601444.2495375169</v>
      </c>
      <c r="P42" s="4">
        <f t="shared" si="11"/>
        <v>66799.380650101928</v>
      </c>
      <c r="Q42" s="182">
        <f t="shared" si="12"/>
        <v>4.3527582181622296E-2</v>
      </c>
    </row>
    <row r="43" spans="1:17" x14ac:dyDescent="0.35">
      <c r="A43" s="1">
        <f>MonthlyData!A43</f>
        <v>42887</v>
      </c>
      <c r="B43" s="13">
        <f t="shared" si="3"/>
        <v>2017</v>
      </c>
      <c r="C43" s="13">
        <f t="shared" si="4"/>
        <v>6</v>
      </c>
      <c r="D43" s="4">
        <f>MonthlyData!I43</f>
        <v>1503992.0752508726</v>
      </c>
      <c r="E43">
        <f>MonthlyData!AF43</f>
        <v>4.8083333333333345</v>
      </c>
      <c r="F43">
        <f>MonthlyData!BP43</f>
        <v>0</v>
      </c>
      <c r="G43" s="4">
        <f>MonthlyData!R43</f>
        <v>748</v>
      </c>
      <c r="H43">
        <f>MonthlyData!BN43</f>
        <v>0</v>
      </c>
      <c r="J43" s="4">
        <f t="shared" si="5"/>
        <v>231360.027765729</v>
      </c>
      <c r="K43" s="4">
        <f t="shared" si="6"/>
        <v>3107.7101247440078</v>
      </c>
      <c r="L43" s="4">
        <f t="shared" si="7"/>
        <v>0</v>
      </c>
      <c r="M43" s="4">
        <f t="shared" si="8"/>
        <v>1323358.1446482283</v>
      </c>
      <c r="N43" s="4">
        <f t="shared" si="9"/>
        <v>0</v>
      </c>
      <c r="O43" s="4">
        <f t="shared" si="10"/>
        <v>1557825.8825387014</v>
      </c>
      <c r="P43" s="4">
        <f t="shared" si="11"/>
        <v>53833.807287828764</v>
      </c>
      <c r="Q43" s="182">
        <f t="shared" si="12"/>
        <v>3.5793943448039142E-2</v>
      </c>
    </row>
    <row r="44" spans="1:17" x14ac:dyDescent="0.35">
      <c r="A44" s="1">
        <f>MonthlyData!A44</f>
        <v>42917</v>
      </c>
      <c r="B44" s="13">
        <f t="shared" si="3"/>
        <v>2017</v>
      </c>
      <c r="C44" s="13">
        <f t="shared" si="4"/>
        <v>7</v>
      </c>
      <c r="D44" s="4">
        <f>MonthlyData!I44</f>
        <v>1446618.4343893542</v>
      </c>
      <c r="E44">
        <f>MonthlyData!AF44</f>
        <v>0</v>
      </c>
      <c r="F44">
        <f>MonthlyData!BP44</f>
        <v>0</v>
      </c>
      <c r="G44" s="4">
        <f>MonthlyData!R44</f>
        <v>752</v>
      </c>
      <c r="H44">
        <f>MonthlyData!BN44</f>
        <v>0</v>
      </c>
      <c r="J44" s="4">
        <f t="shared" si="5"/>
        <v>231360.027765729</v>
      </c>
      <c r="K44" s="4">
        <f t="shared" si="6"/>
        <v>0</v>
      </c>
      <c r="L44" s="4">
        <f t="shared" si="7"/>
        <v>0</v>
      </c>
      <c r="M44" s="4">
        <f t="shared" si="8"/>
        <v>1330434.9261704115</v>
      </c>
      <c r="N44" s="4">
        <f t="shared" si="9"/>
        <v>0</v>
      </c>
      <c r="O44" s="4">
        <f t="shared" si="10"/>
        <v>1561794.9539361405</v>
      </c>
      <c r="P44" s="4">
        <f t="shared" si="11"/>
        <v>115176.51954678632</v>
      </c>
      <c r="Q44" s="182">
        <f t="shared" si="12"/>
        <v>7.9617760156225695E-2</v>
      </c>
    </row>
    <row r="45" spans="1:17" x14ac:dyDescent="0.35">
      <c r="A45" s="1">
        <f>MonthlyData!A45</f>
        <v>42948</v>
      </c>
      <c r="B45" s="13">
        <f t="shared" si="3"/>
        <v>2017</v>
      </c>
      <c r="C45" s="13">
        <f t="shared" si="4"/>
        <v>8</v>
      </c>
      <c r="D45" s="4">
        <f>MonthlyData!I45</f>
        <v>1471064.0056149669</v>
      </c>
      <c r="E45">
        <f>MonthlyData!AF45</f>
        <v>2.2708333333333357</v>
      </c>
      <c r="F45">
        <f>MonthlyData!BP45</f>
        <v>0</v>
      </c>
      <c r="G45" s="4">
        <f>MonthlyData!R45</f>
        <v>742</v>
      </c>
      <c r="H45">
        <f>MonthlyData!BN45</f>
        <v>0</v>
      </c>
      <c r="J45" s="4">
        <f t="shared" si="5"/>
        <v>231360.027765729</v>
      </c>
      <c r="K45" s="4">
        <f t="shared" si="6"/>
        <v>1467.6793916685317</v>
      </c>
      <c r="L45" s="4">
        <f t="shared" si="7"/>
        <v>0</v>
      </c>
      <c r="M45" s="4">
        <f t="shared" si="8"/>
        <v>1312742.972364954</v>
      </c>
      <c r="N45" s="4">
        <f t="shared" si="9"/>
        <v>0</v>
      </c>
      <c r="O45" s="4">
        <f t="shared" si="10"/>
        <v>1545570.6795223514</v>
      </c>
      <c r="P45" s="4">
        <f t="shared" si="11"/>
        <v>74506.673907384509</v>
      </c>
      <c r="Q45" s="182">
        <f t="shared" si="12"/>
        <v>5.0648152373381994E-2</v>
      </c>
    </row>
    <row r="46" spans="1:17" x14ac:dyDescent="0.35">
      <c r="A46" s="1">
        <f>MonthlyData!A46</f>
        <v>42979</v>
      </c>
      <c r="B46" s="13">
        <f t="shared" si="3"/>
        <v>2017</v>
      </c>
      <c r="C46" s="13">
        <f t="shared" si="4"/>
        <v>9</v>
      </c>
      <c r="D46" s="4">
        <f>MonthlyData!I46</f>
        <v>1404887.2926662767</v>
      </c>
      <c r="E46">
        <f>MonthlyData!AF46</f>
        <v>19.666666666666668</v>
      </c>
      <c r="F46">
        <f>MonthlyData!BP46</f>
        <v>0</v>
      </c>
      <c r="G46" s="4">
        <f>MonthlyData!R46</f>
        <v>743</v>
      </c>
      <c r="H46">
        <f>MonthlyData!BN46</f>
        <v>0</v>
      </c>
      <c r="J46" s="4">
        <f t="shared" si="5"/>
        <v>231360.027765729</v>
      </c>
      <c r="K46" s="4">
        <f t="shared" si="6"/>
        <v>12710.911428762318</v>
      </c>
      <c r="L46" s="4">
        <f t="shared" si="7"/>
        <v>0</v>
      </c>
      <c r="M46" s="4">
        <f t="shared" si="8"/>
        <v>1314512.1677454996</v>
      </c>
      <c r="N46" s="4">
        <f t="shared" si="9"/>
        <v>0</v>
      </c>
      <c r="O46" s="4">
        <f t="shared" si="10"/>
        <v>1558583.106939991</v>
      </c>
      <c r="P46" s="4">
        <f t="shared" si="11"/>
        <v>153695.81427371432</v>
      </c>
      <c r="Q46" s="182">
        <f t="shared" si="12"/>
        <v>0.10940081462479562</v>
      </c>
    </row>
    <row r="47" spans="1:17" x14ac:dyDescent="0.35">
      <c r="A47" s="1">
        <f>MonthlyData!A47</f>
        <v>43009</v>
      </c>
      <c r="B47" s="13">
        <f t="shared" si="3"/>
        <v>2017</v>
      </c>
      <c r="C47" s="13">
        <f t="shared" si="4"/>
        <v>10</v>
      </c>
      <c r="D47" s="4">
        <f>MonthlyData!I47</f>
        <v>1380644.0442652954</v>
      </c>
      <c r="E47">
        <f>MonthlyData!AF47</f>
        <v>119.86995575588458</v>
      </c>
      <c r="F47">
        <f>MonthlyData!BP47</f>
        <v>1</v>
      </c>
      <c r="G47" s="4">
        <f>MonthlyData!R47</f>
        <v>758</v>
      </c>
      <c r="H47">
        <f>MonthlyData!BN47</f>
        <v>0</v>
      </c>
      <c r="J47" s="4">
        <f t="shared" si="5"/>
        <v>231360.027765729</v>
      </c>
      <c r="K47" s="4">
        <f t="shared" si="6"/>
        <v>77474.053758442707</v>
      </c>
      <c r="L47" s="4">
        <f t="shared" si="7"/>
        <v>-257897.88627322801</v>
      </c>
      <c r="M47" s="4">
        <f t="shared" si="8"/>
        <v>1341050.0984536861</v>
      </c>
      <c r="N47" s="4">
        <f t="shared" si="9"/>
        <v>0</v>
      </c>
      <c r="O47" s="4">
        <f t="shared" si="10"/>
        <v>1391986.2937046299</v>
      </c>
      <c r="P47" s="4">
        <f t="shared" si="11"/>
        <v>11342.249439334497</v>
      </c>
      <c r="Q47" s="182">
        <f t="shared" si="12"/>
        <v>8.21518731525781E-3</v>
      </c>
    </row>
    <row r="48" spans="1:17" x14ac:dyDescent="0.35">
      <c r="A48" s="1">
        <f>MonthlyData!A48</f>
        <v>43040</v>
      </c>
      <c r="B48" s="13">
        <f t="shared" si="3"/>
        <v>2017</v>
      </c>
      <c r="C48" s="13">
        <f t="shared" si="4"/>
        <v>11</v>
      </c>
      <c r="D48" s="4">
        <f>MonthlyData!I48</f>
        <v>1444507.9165851397</v>
      </c>
      <c r="E48">
        <f>MonthlyData!AF48</f>
        <v>468.65833333333336</v>
      </c>
      <c r="F48">
        <f>MonthlyData!BP48</f>
        <v>1</v>
      </c>
      <c r="G48" s="4">
        <f>MonthlyData!R48</f>
        <v>757</v>
      </c>
      <c r="H48">
        <f>MonthlyData!BN48</f>
        <v>0</v>
      </c>
      <c r="J48" s="4">
        <f t="shared" si="5"/>
        <v>231360.027765729</v>
      </c>
      <c r="K48" s="4">
        <f t="shared" si="6"/>
        <v>302902.09654328978</v>
      </c>
      <c r="L48" s="4">
        <f t="shared" si="7"/>
        <v>-257897.88627322801</v>
      </c>
      <c r="M48" s="4">
        <f t="shared" si="8"/>
        <v>1339280.9030731402</v>
      </c>
      <c r="N48" s="4">
        <f t="shared" si="9"/>
        <v>0</v>
      </c>
      <c r="O48" s="4">
        <f t="shared" si="10"/>
        <v>1615645.141108931</v>
      </c>
      <c r="P48" s="4">
        <f t="shared" si="11"/>
        <v>171137.22452379134</v>
      </c>
      <c r="Q48" s="182">
        <f t="shared" si="12"/>
        <v>0.11847441094567686</v>
      </c>
    </row>
    <row r="49" spans="1:17" x14ac:dyDescent="0.35">
      <c r="A49" s="1">
        <f>MonthlyData!A49</f>
        <v>43070</v>
      </c>
      <c r="B49" s="13">
        <f t="shared" si="3"/>
        <v>2017</v>
      </c>
      <c r="C49" s="13">
        <f t="shared" si="4"/>
        <v>12</v>
      </c>
      <c r="D49" s="4">
        <f>MonthlyData!I49</f>
        <v>1726218.9218037804</v>
      </c>
      <c r="E49">
        <f>MonthlyData!AF49</f>
        <v>807.0920673261536</v>
      </c>
      <c r="F49">
        <f>MonthlyData!BP49</f>
        <v>0</v>
      </c>
      <c r="G49" s="4">
        <f>MonthlyData!R49</f>
        <v>740</v>
      </c>
      <c r="H49">
        <f>MonthlyData!BN49</f>
        <v>1</v>
      </c>
      <c r="J49" s="4">
        <f t="shared" si="5"/>
        <v>231360.027765729</v>
      </c>
      <c r="K49" s="4">
        <f t="shared" si="6"/>
        <v>521637.75165963103</v>
      </c>
      <c r="L49" s="4">
        <f t="shared" si="7"/>
        <v>0</v>
      </c>
      <c r="M49" s="4">
        <f t="shared" si="8"/>
        <v>1309204.5816038623</v>
      </c>
      <c r="N49" s="4">
        <f t="shared" si="9"/>
        <v>-216631.706472586</v>
      </c>
      <c r="O49" s="4">
        <f t="shared" si="10"/>
        <v>1845570.6545566365</v>
      </c>
      <c r="P49" s="4">
        <f t="shared" si="11"/>
        <v>119351.7327528561</v>
      </c>
      <c r="Q49" s="182">
        <f t="shared" si="12"/>
        <v>6.9140554100833126E-2</v>
      </c>
    </row>
    <row r="50" spans="1:17" x14ac:dyDescent="0.35">
      <c r="A50" s="1">
        <f>MonthlyData!A50</f>
        <v>43101</v>
      </c>
      <c r="B50" s="13">
        <f t="shared" si="3"/>
        <v>2018</v>
      </c>
      <c r="C50" s="13">
        <f t="shared" si="4"/>
        <v>1</v>
      </c>
      <c r="D50" s="4">
        <f>MonthlyData!I50</f>
        <v>2039721.9078656486</v>
      </c>
      <c r="E50">
        <f>MonthlyData!AF50</f>
        <v>810.98333333333335</v>
      </c>
      <c r="F50">
        <f>MonthlyData!BP50</f>
        <v>0</v>
      </c>
      <c r="G50" s="4">
        <f>MonthlyData!R50</f>
        <v>734</v>
      </c>
      <c r="H50">
        <f>MonthlyData!BN50</f>
        <v>0</v>
      </c>
      <c r="J50" s="4">
        <f t="shared" si="5"/>
        <v>231360.027765729</v>
      </c>
      <c r="K50" s="4">
        <f t="shared" si="6"/>
        <v>524152.74509503861</v>
      </c>
      <c r="L50" s="4">
        <f t="shared" si="7"/>
        <v>0</v>
      </c>
      <c r="M50" s="4">
        <f t="shared" si="8"/>
        <v>1298589.4093205878</v>
      </c>
      <c r="N50" s="4">
        <f t="shared" si="9"/>
        <v>0</v>
      </c>
      <c r="O50" s="4">
        <f t="shared" si="10"/>
        <v>2054102.1821813553</v>
      </c>
      <c r="P50" s="4">
        <f t="shared" si="11"/>
        <v>14380.274315706687</v>
      </c>
      <c r="Q50" s="182">
        <f t="shared" si="12"/>
        <v>7.0501151457230318E-3</v>
      </c>
    </row>
    <row r="51" spans="1:17" x14ac:dyDescent="0.35">
      <c r="A51" s="1">
        <f>MonthlyData!A51</f>
        <v>43132</v>
      </c>
      <c r="B51" s="13">
        <f t="shared" si="3"/>
        <v>2018</v>
      </c>
      <c r="C51" s="13">
        <f t="shared" si="4"/>
        <v>2</v>
      </c>
      <c r="D51" s="4">
        <f>MonthlyData!I51</f>
        <v>2068451.9595124074</v>
      </c>
      <c r="E51">
        <f>MonthlyData!AF51</f>
        <v>705.50416666666672</v>
      </c>
      <c r="F51">
        <f>MonthlyData!BP51</f>
        <v>0</v>
      </c>
      <c r="G51" s="4">
        <f>MonthlyData!R51</f>
        <v>730</v>
      </c>
      <c r="H51">
        <f>MonthlyData!BN51</f>
        <v>0</v>
      </c>
      <c r="J51" s="4">
        <f t="shared" si="5"/>
        <v>231360.027765729</v>
      </c>
      <c r="K51" s="4">
        <f t="shared" si="6"/>
        <v>455979.71059946279</v>
      </c>
      <c r="L51" s="4">
        <f t="shared" si="7"/>
        <v>0</v>
      </c>
      <c r="M51" s="4">
        <f t="shared" si="8"/>
        <v>1291512.6277984048</v>
      </c>
      <c r="N51" s="4">
        <f t="shared" si="9"/>
        <v>0</v>
      </c>
      <c r="O51" s="4">
        <f t="shared" si="10"/>
        <v>1978852.3661635965</v>
      </c>
      <c r="P51" s="4">
        <f t="shared" si="11"/>
        <v>-89599.593348810915</v>
      </c>
      <c r="Q51" s="182">
        <f t="shared" si="12"/>
        <v>4.3317222300841868E-2</v>
      </c>
    </row>
    <row r="52" spans="1:17" x14ac:dyDescent="0.35">
      <c r="A52" s="1">
        <f>MonthlyData!A52</f>
        <v>43160</v>
      </c>
      <c r="B52" s="13">
        <f t="shared" si="3"/>
        <v>2018</v>
      </c>
      <c r="C52" s="13">
        <f t="shared" si="4"/>
        <v>3</v>
      </c>
      <c r="D52" s="4">
        <f>MonthlyData!I52</f>
        <v>1836052.8045858156</v>
      </c>
      <c r="E52">
        <f>MonthlyData!AF52</f>
        <v>624.80416666666656</v>
      </c>
      <c r="F52">
        <f>MonthlyData!BP52</f>
        <v>0</v>
      </c>
      <c r="G52" s="4">
        <f>MonthlyData!R52</f>
        <v>706</v>
      </c>
      <c r="H52">
        <f>MonthlyData!BN52</f>
        <v>0</v>
      </c>
      <c r="J52" s="4">
        <f t="shared" si="5"/>
        <v>231360.027765729</v>
      </c>
      <c r="K52" s="4">
        <f t="shared" si="6"/>
        <v>403821.88590618543</v>
      </c>
      <c r="L52" s="4">
        <f t="shared" si="7"/>
        <v>0</v>
      </c>
      <c r="M52" s="4">
        <f t="shared" si="8"/>
        <v>1249051.9386653064</v>
      </c>
      <c r="N52" s="4">
        <f t="shared" si="9"/>
        <v>0</v>
      </c>
      <c r="O52" s="4">
        <f t="shared" si="10"/>
        <v>1884233.8523372209</v>
      </c>
      <c r="P52" s="4">
        <f t="shared" si="11"/>
        <v>48181.047751405276</v>
      </c>
      <c r="Q52" s="182">
        <f t="shared" si="12"/>
        <v>2.6241646008799923E-2</v>
      </c>
    </row>
    <row r="53" spans="1:17" x14ac:dyDescent="0.35">
      <c r="A53" s="1">
        <f>MonthlyData!A53</f>
        <v>43191</v>
      </c>
      <c r="B53" s="13">
        <f t="shared" si="3"/>
        <v>2018</v>
      </c>
      <c r="C53" s="13">
        <f t="shared" si="4"/>
        <v>4</v>
      </c>
      <c r="D53" s="4">
        <f>MonthlyData!I53</f>
        <v>1852621.7019807273</v>
      </c>
      <c r="E53">
        <f>MonthlyData!AF53</f>
        <v>402.86250000000007</v>
      </c>
      <c r="F53">
        <f>MonthlyData!BP53</f>
        <v>0</v>
      </c>
      <c r="G53" s="4">
        <f>MonthlyData!R53</f>
        <v>703</v>
      </c>
      <c r="H53">
        <f>MonthlyData!BN53</f>
        <v>0</v>
      </c>
      <c r="J53" s="4">
        <f t="shared" si="5"/>
        <v>231360.027765729</v>
      </c>
      <c r="K53" s="4">
        <f t="shared" si="6"/>
        <v>260377.09604083523</v>
      </c>
      <c r="L53" s="4">
        <f t="shared" si="7"/>
        <v>0</v>
      </c>
      <c r="M53" s="4">
        <f t="shared" si="8"/>
        <v>1243744.3525236691</v>
      </c>
      <c r="N53" s="4">
        <f t="shared" si="9"/>
        <v>0</v>
      </c>
      <c r="O53" s="4">
        <f t="shared" si="10"/>
        <v>1735481.4763302333</v>
      </c>
      <c r="P53" s="4">
        <f t="shared" si="11"/>
        <v>-117140.22565049399</v>
      </c>
      <c r="Q53" s="182">
        <f t="shared" si="12"/>
        <v>6.3229436168891748E-2</v>
      </c>
    </row>
    <row r="54" spans="1:17" x14ac:dyDescent="0.35">
      <c r="A54" s="1">
        <f>MonthlyData!A54</f>
        <v>43221</v>
      </c>
      <c r="B54" s="13">
        <f t="shared" si="3"/>
        <v>2018</v>
      </c>
      <c r="C54" s="13">
        <f t="shared" si="4"/>
        <v>5</v>
      </c>
      <c r="D54" s="4">
        <f>MonthlyData!I54</f>
        <v>1636843.6491979214</v>
      </c>
      <c r="E54">
        <f>MonthlyData!AF54</f>
        <v>71.978468478130409</v>
      </c>
      <c r="F54">
        <f>MonthlyData!BP54</f>
        <v>0</v>
      </c>
      <c r="G54" s="4">
        <f>MonthlyData!R54</f>
        <v>700</v>
      </c>
      <c r="H54">
        <f>MonthlyData!BN54</f>
        <v>0</v>
      </c>
      <c r="J54" s="4">
        <f t="shared" si="5"/>
        <v>231360.027765729</v>
      </c>
      <c r="K54" s="4">
        <f t="shared" si="6"/>
        <v>46520.945979837757</v>
      </c>
      <c r="L54" s="4">
        <f t="shared" si="7"/>
        <v>0</v>
      </c>
      <c r="M54" s="4">
        <f t="shared" si="8"/>
        <v>1238436.7663820318</v>
      </c>
      <c r="N54" s="4">
        <f t="shared" si="9"/>
        <v>0</v>
      </c>
      <c r="O54" s="4">
        <f t="shared" si="10"/>
        <v>1516317.7401275986</v>
      </c>
      <c r="P54" s="4">
        <f t="shared" si="11"/>
        <v>-120525.90907032276</v>
      </c>
      <c r="Q54" s="182">
        <f t="shared" si="12"/>
        <v>7.3633122582833319E-2</v>
      </c>
    </row>
    <row r="55" spans="1:17" x14ac:dyDescent="0.35">
      <c r="A55" s="1">
        <f>MonthlyData!A55</f>
        <v>43252</v>
      </c>
      <c r="B55" s="13">
        <f t="shared" si="3"/>
        <v>2018</v>
      </c>
      <c r="C55" s="13">
        <f t="shared" si="4"/>
        <v>6</v>
      </c>
      <c r="D55" s="4">
        <f>MonthlyData!I55</f>
        <v>1513960.2225070726</v>
      </c>
      <c r="E55">
        <f>MonthlyData!AF55</f>
        <v>8.1458333333333357</v>
      </c>
      <c r="F55">
        <f>MonthlyData!BP55</f>
        <v>0</v>
      </c>
      <c r="G55" s="4">
        <f>MonthlyData!R55</f>
        <v>702</v>
      </c>
      <c r="H55">
        <f>MonthlyData!BN55</f>
        <v>0</v>
      </c>
      <c r="J55" s="4">
        <f t="shared" si="5"/>
        <v>231360.027765729</v>
      </c>
      <c r="K55" s="4">
        <f t="shared" si="6"/>
        <v>5264.7948820403253</v>
      </c>
      <c r="L55" s="4">
        <f t="shared" si="7"/>
        <v>0</v>
      </c>
      <c r="M55" s="4">
        <f t="shared" si="8"/>
        <v>1241975.1571431234</v>
      </c>
      <c r="N55" s="4">
        <f t="shared" si="9"/>
        <v>0</v>
      </c>
      <c r="O55" s="4">
        <f t="shared" si="10"/>
        <v>1478599.9797908927</v>
      </c>
      <c r="P55" s="4">
        <f t="shared" si="11"/>
        <v>-35360.242716179928</v>
      </c>
      <c r="Q55" s="182">
        <f t="shared" si="12"/>
        <v>2.3356124018651184E-2</v>
      </c>
    </row>
    <row r="56" spans="1:17" x14ac:dyDescent="0.35">
      <c r="A56" s="1">
        <f>MonthlyData!A56</f>
        <v>43282</v>
      </c>
      <c r="B56" s="13">
        <f t="shared" si="3"/>
        <v>2018</v>
      </c>
      <c r="C56" s="13">
        <f t="shared" si="4"/>
        <v>7</v>
      </c>
      <c r="D56" s="4">
        <f>MonthlyData!I56</f>
        <v>1444064.5407707687</v>
      </c>
      <c r="E56">
        <f>MonthlyData!AF56</f>
        <v>0</v>
      </c>
      <c r="F56">
        <f>MonthlyData!BP56</f>
        <v>0</v>
      </c>
      <c r="G56" s="4">
        <f>MonthlyData!R56</f>
        <v>706</v>
      </c>
      <c r="H56">
        <f>MonthlyData!BN56</f>
        <v>0</v>
      </c>
      <c r="J56" s="4">
        <f t="shared" si="5"/>
        <v>231360.027765729</v>
      </c>
      <c r="K56" s="4">
        <f t="shared" si="6"/>
        <v>0</v>
      </c>
      <c r="L56" s="4">
        <f t="shared" si="7"/>
        <v>0</v>
      </c>
      <c r="M56" s="4">
        <f t="shared" si="8"/>
        <v>1249051.9386653064</v>
      </c>
      <c r="N56" s="4">
        <f t="shared" si="9"/>
        <v>0</v>
      </c>
      <c r="O56" s="4">
        <f t="shared" si="10"/>
        <v>1480411.9664310354</v>
      </c>
      <c r="P56" s="4">
        <f t="shared" si="11"/>
        <v>36347.425660266774</v>
      </c>
      <c r="Q56" s="182">
        <f t="shared" si="12"/>
        <v>2.5170222406310425E-2</v>
      </c>
    </row>
    <row r="57" spans="1:17" x14ac:dyDescent="0.35">
      <c r="A57" s="1">
        <f>MonthlyData!A57</f>
        <v>43313</v>
      </c>
      <c r="B57" s="13">
        <f t="shared" si="3"/>
        <v>2018</v>
      </c>
      <c r="C57" s="13">
        <f t="shared" si="4"/>
        <v>8</v>
      </c>
      <c r="D57" s="4">
        <f>MonthlyData!I57</f>
        <v>1608578.9682369984</v>
      </c>
      <c r="E57">
        <f>MonthlyData!AF57</f>
        <v>0.77916666666666679</v>
      </c>
      <c r="F57">
        <f>MonthlyData!BP57</f>
        <v>0</v>
      </c>
      <c r="G57" s="4">
        <f>MonthlyData!R57</f>
        <v>712</v>
      </c>
      <c r="H57">
        <f>MonthlyData!BN57</f>
        <v>0</v>
      </c>
      <c r="J57" s="4">
        <f t="shared" si="5"/>
        <v>231360.027765729</v>
      </c>
      <c r="K57" s="4">
        <f t="shared" si="6"/>
        <v>503.58907567342237</v>
      </c>
      <c r="L57" s="4">
        <f t="shared" si="7"/>
        <v>0</v>
      </c>
      <c r="M57" s="4">
        <f t="shared" si="8"/>
        <v>1259667.110948581</v>
      </c>
      <c r="N57" s="4">
        <f t="shared" si="9"/>
        <v>0</v>
      </c>
      <c r="O57" s="4">
        <f t="shared" si="10"/>
        <v>1491530.7277899834</v>
      </c>
      <c r="P57" s="4">
        <f t="shared" si="11"/>
        <v>-117048.24044701504</v>
      </c>
      <c r="Q57" s="182">
        <f t="shared" si="12"/>
        <v>7.2764994916786604E-2</v>
      </c>
    </row>
    <row r="58" spans="1:17" x14ac:dyDescent="0.35">
      <c r="A58" s="1">
        <f>MonthlyData!A58</f>
        <v>43344</v>
      </c>
      <c r="B58" s="13">
        <f t="shared" si="3"/>
        <v>2018</v>
      </c>
      <c r="C58" s="13">
        <f t="shared" si="4"/>
        <v>9</v>
      </c>
      <c r="D58" s="4">
        <f>MonthlyData!I58</f>
        <v>1511644.4192810222</v>
      </c>
      <c r="E58">
        <f>MonthlyData!AF58</f>
        <v>55.145833333333329</v>
      </c>
      <c r="F58">
        <f>MonthlyData!BP58</f>
        <v>0</v>
      </c>
      <c r="G58" s="4">
        <f>MonthlyData!R58</f>
        <v>704</v>
      </c>
      <c r="H58">
        <f>MonthlyData!BN58</f>
        <v>0</v>
      </c>
      <c r="J58" s="4">
        <f t="shared" si="5"/>
        <v>231360.027765729</v>
      </c>
      <c r="K58" s="4">
        <f t="shared" si="6"/>
        <v>35641.718805014672</v>
      </c>
      <c r="L58" s="4">
        <f t="shared" si="7"/>
        <v>0</v>
      </c>
      <c r="M58" s="4">
        <f t="shared" si="8"/>
        <v>1245513.5479042151</v>
      </c>
      <c r="N58" s="4">
        <f t="shared" si="9"/>
        <v>0</v>
      </c>
      <c r="O58" s="4">
        <f t="shared" si="10"/>
        <v>1512515.2944749587</v>
      </c>
      <c r="P58" s="4">
        <f t="shared" si="11"/>
        <v>870.87519393651746</v>
      </c>
      <c r="Q58" s="182">
        <f t="shared" si="12"/>
        <v>5.7611114282466543E-4</v>
      </c>
    </row>
    <row r="59" spans="1:17" x14ac:dyDescent="0.35">
      <c r="A59" s="1">
        <f>MonthlyData!A59</f>
        <v>43374</v>
      </c>
      <c r="B59" s="13">
        <f t="shared" si="3"/>
        <v>2018</v>
      </c>
      <c r="C59" s="13">
        <f t="shared" si="4"/>
        <v>10</v>
      </c>
      <c r="D59" s="4">
        <f>MonthlyData!I59</f>
        <v>1388574.8726781455</v>
      </c>
      <c r="E59">
        <f>MonthlyData!AF59</f>
        <v>285.1166956035878</v>
      </c>
      <c r="F59">
        <f>MonthlyData!BP59</f>
        <v>1</v>
      </c>
      <c r="G59" s="4">
        <f>MonthlyData!R59</f>
        <v>712</v>
      </c>
      <c r="H59">
        <f>MonthlyData!BN59</f>
        <v>0</v>
      </c>
      <c r="J59" s="4">
        <f t="shared" si="5"/>
        <v>231360.027765729</v>
      </c>
      <c r="K59" s="4">
        <f t="shared" si="6"/>
        <v>184275.9185429792</v>
      </c>
      <c r="L59" s="4">
        <f t="shared" si="7"/>
        <v>-257897.88627322801</v>
      </c>
      <c r="M59" s="4">
        <f t="shared" si="8"/>
        <v>1259667.110948581</v>
      </c>
      <c r="N59" s="4">
        <f t="shared" si="9"/>
        <v>0</v>
      </c>
      <c r="O59" s="4">
        <f t="shared" si="10"/>
        <v>1417405.1709840612</v>
      </c>
      <c r="P59" s="4">
        <f t="shared" si="11"/>
        <v>28830.298305915669</v>
      </c>
      <c r="Q59" s="182">
        <f t="shared" si="12"/>
        <v>2.0762509010630911E-2</v>
      </c>
    </row>
    <row r="60" spans="1:17" x14ac:dyDescent="0.35">
      <c r="A60" s="1">
        <f>MonthlyData!A60</f>
        <v>43405</v>
      </c>
      <c r="B60" s="13">
        <f t="shared" si="3"/>
        <v>2018</v>
      </c>
      <c r="C60" s="13">
        <f t="shared" si="4"/>
        <v>11</v>
      </c>
      <c r="D60" s="4">
        <f>MonthlyData!I60</f>
        <v>1616445.3101982041</v>
      </c>
      <c r="E60">
        <f>MonthlyData!AF60</f>
        <v>510.11249999999995</v>
      </c>
      <c r="F60">
        <f>MonthlyData!BP60</f>
        <v>1</v>
      </c>
      <c r="G60" s="4">
        <f>MonthlyData!R60</f>
        <v>725</v>
      </c>
      <c r="H60">
        <f>MonthlyData!BN60</f>
        <v>0</v>
      </c>
      <c r="J60" s="4">
        <f t="shared" si="5"/>
        <v>231360.027765729</v>
      </c>
      <c r="K60" s="4">
        <f t="shared" si="6"/>
        <v>329694.65116294153</v>
      </c>
      <c r="L60" s="4">
        <f t="shared" si="7"/>
        <v>-257897.88627322801</v>
      </c>
      <c r="M60" s="4">
        <f t="shared" si="8"/>
        <v>1282666.6508956759</v>
      </c>
      <c r="N60" s="4">
        <f t="shared" si="9"/>
        <v>0</v>
      </c>
      <c r="O60" s="4">
        <f t="shared" si="10"/>
        <v>1585823.4435511185</v>
      </c>
      <c r="P60" s="4">
        <f t="shared" si="11"/>
        <v>-30621.866647085641</v>
      </c>
      <c r="Q60" s="182">
        <f t="shared" si="12"/>
        <v>1.8943954647825896E-2</v>
      </c>
    </row>
    <row r="61" spans="1:17" x14ac:dyDescent="0.35">
      <c r="A61" s="1">
        <f>MonthlyData!A61</f>
        <v>43435</v>
      </c>
      <c r="B61" s="13">
        <f t="shared" si="3"/>
        <v>2018</v>
      </c>
      <c r="C61" s="13">
        <f t="shared" si="4"/>
        <v>12</v>
      </c>
      <c r="D61" s="4">
        <f>MonthlyData!I61</f>
        <v>1796625.4902597803</v>
      </c>
      <c r="E61">
        <f>MonthlyData!AF61</f>
        <v>622.70000000000005</v>
      </c>
      <c r="F61">
        <f>MonthlyData!BP61</f>
        <v>0</v>
      </c>
      <c r="G61" s="4">
        <f>MonthlyData!R61</f>
        <v>724</v>
      </c>
      <c r="H61">
        <f>MonthlyData!BN61</f>
        <v>1</v>
      </c>
      <c r="J61" s="4">
        <f t="shared" si="5"/>
        <v>231360.027765729</v>
      </c>
      <c r="K61" s="4">
        <f t="shared" si="6"/>
        <v>402461.92610289634</v>
      </c>
      <c r="L61" s="4">
        <f t="shared" si="7"/>
        <v>0</v>
      </c>
      <c r="M61" s="4">
        <f t="shared" si="8"/>
        <v>1280897.4555151302</v>
      </c>
      <c r="N61" s="4">
        <f t="shared" si="9"/>
        <v>-216631.706472586</v>
      </c>
      <c r="O61" s="4">
        <f t="shared" si="10"/>
        <v>1698087.7029111697</v>
      </c>
      <c r="P61" s="4">
        <f t="shared" si="11"/>
        <v>-98537.787348610582</v>
      </c>
      <c r="Q61" s="182">
        <f t="shared" si="12"/>
        <v>5.4846036574023371E-2</v>
      </c>
    </row>
    <row r="62" spans="1:17" x14ac:dyDescent="0.35">
      <c r="A62" s="1">
        <f>MonthlyData!A62</f>
        <v>43466</v>
      </c>
      <c r="B62" s="13">
        <f t="shared" si="3"/>
        <v>2019</v>
      </c>
      <c r="C62" s="13">
        <f t="shared" si="4"/>
        <v>1</v>
      </c>
      <c r="D62" s="4">
        <f>MonthlyData!I62</f>
        <v>1907774.2240176995</v>
      </c>
      <c r="E62">
        <f>MonthlyData!AF62</f>
        <v>937.74938350982984</v>
      </c>
      <c r="F62">
        <f>MonthlyData!BP62</f>
        <v>0</v>
      </c>
      <c r="G62" s="4">
        <f>MonthlyData!R62</f>
        <v>750</v>
      </c>
      <c r="H62">
        <f>MonthlyData!BN62</f>
        <v>0</v>
      </c>
      <c r="J62" s="4">
        <f t="shared" si="5"/>
        <v>231360.027765729</v>
      </c>
      <c r="K62" s="4">
        <f t="shared" si="6"/>
        <v>606083.86556796171</v>
      </c>
      <c r="L62" s="4">
        <f t="shared" si="7"/>
        <v>0</v>
      </c>
      <c r="M62" s="4">
        <f t="shared" si="8"/>
        <v>1326896.5354093199</v>
      </c>
      <c r="N62" s="4">
        <f t="shared" si="9"/>
        <v>0</v>
      </c>
      <c r="O62" s="4">
        <f t="shared" si="10"/>
        <v>2164340.4287430104</v>
      </c>
      <c r="P62" s="4">
        <f t="shared" si="11"/>
        <v>256566.2047253109</v>
      </c>
      <c r="Q62" s="182">
        <f t="shared" si="12"/>
        <v>0.13448457448229503</v>
      </c>
    </row>
    <row r="63" spans="1:17" x14ac:dyDescent="0.35">
      <c r="A63" s="1">
        <f>MonthlyData!A63</f>
        <v>43497</v>
      </c>
      <c r="B63" s="13">
        <f t="shared" si="3"/>
        <v>2019</v>
      </c>
      <c r="C63" s="13">
        <f t="shared" si="4"/>
        <v>2</v>
      </c>
      <c r="D63" s="4">
        <f>MonthlyData!I63</f>
        <v>2169676.5254105679</v>
      </c>
      <c r="E63">
        <f>MonthlyData!AF63</f>
        <v>755.45416666666677</v>
      </c>
      <c r="F63">
        <f>MonthlyData!BP63</f>
        <v>0</v>
      </c>
      <c r="G63" s="4">
        <f>MonthlyData!R63</f>
        <v>734</v>
      </c>
      <c r="H63">
        <f>MonthlyData!BN63</f>
        <v>0</v>
      </c>
      <c r="J63" s="4">
        <f t="shared" si="5"/>
        <v>231360.027765729</v>
      </c>
      <c r="K63" s="4">
        <f t="shared" si="6"/>
        <v>488263.27123675152</v>
      </c>
      <c r="L63" s="4">
        <f t="shared" si="7"/>
        <v>0</v>
      </c>
      <c r="M63" s="4">
        <f t="shared" si="8"/>
        <v>1298589.4093205878</v>
      </c>
      <c r="N63" s="4">
        <f t="shared" si="9"/>
        <v>0</v>
      </c>
      <c r="O63" s="4">
        <f t="shared" si="10"/>
        <v>2018212.7083230682</v>
      </c>
      <c r="P63" s="4">
        <f t="shared" si="11"/>
        <v>-151463.81708749966</v>
      </c>
      <c r="Q63" s="182">
        <f t="shared" si="12"/>
        <v>6.980940030165933E-2</v>
      </c>
    </row>
    <row r="64" spans="1:17" x14ac:dyDescent="0.35">
      <c r="A64" s="1">
        <f>MonthlyData!A64</f>
        <v>43525</v>
      </c>
      <c r="B64" s="13">
        <f t="shared" si="3"/>
        <v>2019</v>
      </c>
      <c r="C64" s="13">
        <f t="shared" si="4"/>
        <v>3</v>
      </c>
      <c r="D64" s="4">
        <f>MonthlyData!I64</f>
        <v>1938783.6374502934</v>
      </c>
      <c r="E64">
        <f>MonthlyData!AF64</f>
        <v>574.84424598258033</v>
      </c>
      <c r="F64">
        <f>MonthlyData!BP64</f>
        <v>0</v>
      </c>
      <c r="G64" s="4">
        <f>MonthlyData!R64</f>
        <v>737</v>
      </c>
      <c r="H64">
        <f>MonthlyData!BN64</f>
        <v>0</v>
      </c>
      <c r="J64" s="4">
        <f t="shared" si="5"/>
        <v>231360.027765729</v>
      </c>
      <c r="K64" s="4">
        <f t="shared" si="6"/>
        <v>371531.91335685947</v>
      </c>
      <c r="L64" s="4">
        <f t="shared" si="7"/>
        <v>0</v>
      </c>
      <c r="M64" s="4">
        <f t="shared" si="8"/>
        <v>1303896.9954622251</v>
      </c>
      <c r="N64" s="4">
        <f t="shared" si="9"/>
        <v>0</v>
      </c>
      <c r="O64" s="4">
        <f t="shared" si="10"/>
        <v>1906788.9365848135</v>
      </c>
      <c r="P64" s="4">
        <f t="shared" si="11"/>
        <v>-31994.700865479885</v>
      </c>
      <c r="Q64" s="182">
        <f t="shared" si="12"/>
        <v>1.650246074263156E-2</v>
      </c>
    </row>
    <row r="65" spans="1:17" x14ac:dyDescent="0.35">
      <c r="A65" s="1">
        <f>MonthlyData!A65</f>
        <v>43556</v>
      </c>
      <c r="B65" s="13">
        <f t="shared" si="3"/>
        <v>2019</v>
      </c>
      <c r="C65" s="13">
        <f t="shared" si="4"/>
        <v>4</v>
      </c>
      <c r="D65" s="4">
        <f>MonthlyData!I65</f>
        <v>1907776.9398509474</v>
      </c>
      <c r="E65">
        <f>MonthlyData!AF65</f>
        <v>295.23333333333335</v>
      </c>
      <c r="F65">
        <f>MonthlyData!BP65</f>
        <v>0</v>
      </c>
      <c r="G65" s="4">
        <f>MonthlyData!R65</f>
        <v>744</v>
      </c>
      <c r="H65">
        <f>MonthlyData!BN65</f>
        <v>0</v>
      </c>
      <c r="J65" s="4">
        <f t="shared" si="5"/>
        <v>231360.027765729</v>
      </c>
      <c r="K65" s="4">
        <f t="shared" si="6"/>
        <v>190814.47885516583</v>
      </c>
      <c r="L65" s="4">
        <f t="shared" si="7"/>
        <v>0</v>
      </c>
      <c r="M65" s="4">
        <f t="shared" si="8"/>
        <v>1316281.3631260453</v>
      </c>
      <c r="N65" s="4">
        <f t="shared" si="9"/>
        <v>0</v>
      </c>
      <c r="O65" s="4">
        <f t="shared" si="10"/>
        <v>1738455.8697469402</v>
      </c>
      <c r="P65" s="4">
        <f t="shared" si="11"/>
        <v>-169321.07010400714</v>
      </c>
      <c r="Q65" s="182">
        <f t="shared" si="12"/>
        <v>8.8753075145795626E-2</v>
      </c>
    </row>
    <row r="66" spans="1:17" x14ac:dyDescent="0.35">
      <c r="A66" s="1">
        <f>MonthlyData!A66</f>
        <v>43586</v>
      </c>
      <c r="B66" s="13">
        <f t="shared" si="3"/>
        <v>2019</v>
      </c>
      <c r="C66" s="13">
        <f t="shared" si="4"/>
        <v>5</v>
      </c>
      <c r="D66" s="4">
        <f>MonthlyData!I66</f>
        <v>1627478.4999186685</v>
      </c>
      <c r="E66">
        <f>MonthlyData!AF66</f>
        <v>95.812499999999957</v>
      </c>
      <c r="F66">
        <f>MonthlyData!BP66</f>
        <v>0</v>
      </c>
      <c r="G66" s="4">
        <f>MonthlyData!R66</f>
        <v>744</v>
      </c>
      <c r="H66">
        <f>MonthlyData!BN66</f>
        <v>0</v>
      </c>
      <c r="J66" s="4">
        <f t="shared" si="5"/>
        <v>231360.027765729</v>
      </c>
      <c r="K66" s="4">
        <f t="shared" si="6"/>
        <v>61925.298369574011</v>
      </c>
      <c r="L66" s="4">
        <f t="shared" si="7"/>
        <v>0</v>
      </c>
      <c r="M66" s="4">
        <f t="shared" si="8"/>
        <v>1316281.3631260453</v>
      </c>
      <c r="N66" s="4">
        <f t="shared" si="9"/>
        <v>0</v>
      </c>
      <c r="O66" s="4">
        <f t="shared" ref="O66:O97" si="13">SUM(J66:N66)</f>
        <v>1609566.6892613485</v>
      </c>
      <c r="P66" s="4">
        <f t="shared" ref="P66:P97" si="14">O66-D66</f>
        <v>-17911.810657320078</v>
      </c>
      <c r="Q66" s="182">
        <f t="shared" ref="Q66:Q97" si="15">ABS(P66/D66)</f>
        <v>1.1005866226936455E-2</v>
      </c>
    </row>
    <row r="67" spans="1:17" x14ac:dyDescent="0.35">
      <c r="A67" s="1">
        <f>MonthlyData!A67</f>
        <v>43617</v>
      </c>
      <c r="B67" s="13">
        <f t="shared" ref="B67:B121" si="16">YEAR(A67)</f>
        <v>2019</v>
      </c>
      <c r="C67" s="13">
        <f t="shared" ref="C67:C121" si="17">MONTH(A67)</f>
        <v>6</v>
      </c>
      <c r="D67" s="4">
        <f>MonthlyData!I67</f>
        <v>1519946.5878462784</v>
      </c>
      <c r="E67">
        <f>MonthlyData!AF67</f>
        <v>10.320833333333335</v>
      </c>
      <c r="F67">
        <f>MonthlyData!BP67</f>
        <v>0</v>
      </c>
      <c r="G67" s="4">
        <f>MonthlyData!R67</f>
        <v>743</v>
      </c>
      <c r="H67">
        <f>MonthlyData!BN67</f>
        <v>0</v>
      </c>
      <c r="J67" s="4">
        <f t="shared" ref="J67:J130" si="18">$T$7</f>
        <v>231360.027765729</v>
      </c>
      <c r="K67" s="4">
        <f t="shared" ref="K67:K121" si="19">E67*$T$8</f>
        <v>6670.5355103907332</v>
      </c>
      <c r="L67" s="4">
        <f t="shared" ref="L67:L121" si="20">F67*$T$9</f>
        <v>0</v>
      </c>
      <c r="M67" s="4">
        <f t="shared" ref="M67:M121" si="21">G67*$T$10</f>
        <v>1314512.1677454996</v>
      </c>
      <c r="N67" s="4">
        <f t="shared" ref="N67:N121" si="22">H67*$T$11</f>
        <v>0</v>
      </c>
      <c r="O67" s="4">
        <f t="shared" si="13"/>
        <v>1552542.7310216194</v>
      </c>
      <c r="P67" s="4">
        <f t="shared" si="14"/>
        <v>32596.143175340956</v>
      </c>
      <c r="Q67" s="182">
        <f t="shared" si="15"/>
        <v>2.1445584625133948E-2</v>
      </c>
    </row>
    <row r="68" spans="1:17" x14ac:dyDescent="0.35">
      <c r="A68" s="1">
        <f>MonthlyData!A68</f>
        <v>43647</v>
      </c>
      <c r="B68" s="13">
        <f t="shared" si="16"/>
        <v>2019</v>
      </c>
      <c r="C68" s="13">
        <f t="shared" si="17"/>
        <v>7</v>
      </c>
      <c r="D68" s="4">
        <f>MonthlyData!I68</f>
        <v>1429592.0662636776</v>
      </c>
      <c r="E68">
        <f>MonthlyData!AF68</f>
        <v>0</v>
      </c>
      <c r="F68">
        <f>MonthlyData!BP68</f>
        <v>0</v>
      </c>
      <c r="G68" s="4">
        <f>MonthlyData!R68</f>
        <v>744</v>
      </c>
      <c r="H68">
        <f>MonthlyData!BN68</f>
        <v>0</v>
      </c>
      <c r="J68" s="4">
        <f t="shared" si="18"/>
        <v>231360.027765729</v>
      </c>
      <c r="K68" s="4">
        <f t="shared" si="19"/>
        <v>0</v>
      </c>
      <c r="L68" s="4">
        <f t="shared" si="20"/>
        <v>0</v>
      </c>
      <c r="M68" s="4">
        <f t="shared" si="21"/>
        <v>1316281.3631260453</v>
      </c>
      <c r="N68" s="4">
        <f t="shared" si="22"/>
        <v>0</v>
      </c>
      <c r="O68" s="4">
        <f t="shared" si="13"/>
        <v>1547641.3908917743</v>
      </c>
      <c r="P68" s="4">
        <f t="shared" si="14"/>
        <v>118049.32462809677</v>
      </c>
      <c r="Q68" s="182">
        <f t="shared" si="15"/>
        <v>8.2575531449769146E-2</v>
      </c>
    </row>
    <row r="69" spans="1:17" x14ac:dyDescent="0.35">
      <c r="A69" s="1">
        <f>MonthlyData!A69</f>
        <v>43678</v>
      </c>
      <c r="B69" s="13">
        <f t="shared" si="16"/>
        <v>2019</v>
      </c>
      <c r="C69" s="13">
        <f t="shared" si="17"/>
        <v>8</v>
      </c>
      <c r="D69" s="4">
        <f>MonthlyData!I69</f>
        <v>1561409.6245129688</v>
      </c>
      <c r="E69">
        <f>MonthlyData!AF69</f>
        <v>9.3492078733420492</v>
      </c>
      <c r="F69">
        <f>MonthlyData!BP69</f>
        <v>0</v>
      </c>
      <c r="G69" s="4">
        <f>MonthlyData!R69</f>
        <v>744</v>
      </c>
      <c r="H69">
        <f>MonthlyData!BN69</f>
        <v>0</v>
      </c>
      <c r="J69" s="4">
        <f t="shared" si="18"/>
        <v>231360.027765729</v>
      </c>
      <c r="K69" s="4">
        <f t="shared" si="19"/>
        <v>6042.556942735835</v>
      </c>
      <c r="L69" s="4">
        <f t="shared" si="20"/>
        <v>0</v>
      </c>
      <c r="M69" s="4">
        <f t="shared" si="21"/>
        <v>1316281.3631260453</v>
      </c>
      <c r="N69" s="4">
        <f t="shared" si="22"/>
        <v>0</v>
      </c>
      <c r="O69" s="4">
        <f t="shared" si="13"/>
        <v>1553683.9478345101</v>
      </c>
      <c r="P69" s="4">
        <f t="shared" si="14"/>
        <v>-7725.6766784586944</v>
      </c>
      <c r="Q69" s="182">
        <f t="shared" si="15"/>
        <v>4.9478859084581784E-3</v>
      </c>
    </row>
    <row r="70" spans="1:17" x14ac:dyDescent="0.35">
      <c r="A70" s="1">
        <f>MonthlyData!A70</f>
        <v>43709</v>
      </c>
      <c r="B70" s="13">
        <f t="shared" si="16"/>
        <v>2019</v>
      </c>
      <c r="C70" s="13">
        <f t="shared" si="17"/>
        <v>9</v>
      </c>
      <c r="D70" s="4">
        <f>MonthlyData!I70</f>
        <v>1441703.5427390249</v>
      </c>
      <c r="E70">
        <f>MonthlyData!AF70</f>
        <v>29.270833333333339</v>
      </c>
      <c r="F70">
        <f>MonthlyData!BP70</f>
        <v>0</v>
      </c>
      <c r="G70" s="4">
        <f>MonthlyData!R70</f>
        <v>743</v>
      </c>
      <c r="H70">
        <f>MonthlyData!BN70</f>
        <v>0</v>
      </c>
      <c r="J70" s="4">
        <f t="shared" si="18"/>
        <v>231360.027765729</v>
      </c>
      <c r="K70" s="4">
        <f t="shared" si="19"/>
        <v>18918.252709121884</v>
      </c>
      <c r="L70" s="4">
        <f t="shared" si="20"/>
        <v>0</v>
      </c>
      <c r="M70" s="4">
        <f t="shared" si="21"/>
        <v>1314512.1677454996</v>
      </c>
      <c r="N70" s="4">
        <f t="shared" si="22"/>
        <v>0</v>
      </c>
      <c r="O70" s="4">
        <f t="shared" si="13"/>
        <v>1564790.4482203505</v>
      </c>
      <c r="P70" s="4">
        <f t="shared" si="14"/>
        <v>123086.9054813257</v>
      </c>
      <c r="Q70" s="182">
        <f t="shared" si="15"/>
        <v>8.5376016519650544E-2</v>
      </c>
    </row>
    <row r="71" spans="1:17" x14ac:dyDescent="0.35">
      <c r="A71" s="1">
        <f>MonthlyData!A71</f>
        <v>43739</v>
      </c>
      <c r="B71" s="13">
        <f t="shared" si="16"/>
        <v>2019</v>
      </c>
      <c r="C71" s="13">
        <f t="shared" si="17"/>
        <v>10</v>
      </c>
      <c r="D71" s="4">
        <f>MonthlyData!I71</f>
        <v>1351790.1869173101</v>
      </c>
      <c r="E71">
        <f>MonthlyData!AF71</f>
        <v>151.38749999999999</v>
      </c>
      <c r="F71">
        <f>MonthlyData!BP71</f>
        <v>1</v>
      </c>
      <c r="G71" s="4">
        <f>MonthlyData!R71</f>
        <v>742</v>
      </c>
      <c r="H71">
        <f>MonthlyData!BN71</f>
        <v>0</v>
      </c>
      <c r="J71" s="4">
        <f t="shared" si="18"/>
        <v>231360.027765729</v>
      </c>
      <c r="K71" s="4">
        <f t="shared" si="19"/>
        <v>97844.395114665502</v>
      </c>
      <c r="L71" s="4">
        <f t="shared" si="20"/>
        <v>-257897.88627322801</v>
      </c>
      <c r="M71" s="4">
        <f t="shared" si="21"/>
        <v>1312742.972364954</v>
      </c>
      <c r="N71" s="4">
        <f t="shared" si="22"/>
        <v>0</v>
      </c>
      <c r="O71" s="4">
        <f t="shared" si="13"/>
        <v>1384049.5089721205</v>
      </c>
      <c r="P71" s="4">
        <f t="shared" si="14"/>
        <v>32259.322054810356</v>
      </c>
      <c r="Q71" s="182">
        <f t="shared" si="15"/>
        <v>2.3864148717025479E-2</v>
      </c>
    </row>
    <row r="72" spans="1:17" x14ac:dyDescent="0.35">
      <c r="A72" s="1">
        <f>MonthlyData!A72</f>
        <v>43770</v>
      </c>
      <c r="B72" s="13">
        <f t="shared" si="16"/>
        <v>2019</v>
      </c>
      <c r="C72" s="13">
        <f t="shared" si="17"/>
        <v>11</v>
      </c>
      <c r="D72" s="4">
        <f>MonthlyData!I72</f>
        <v>1513169.8617438227</v>
      </c>
      <c r="E72">
        <f>MonthlyData!AF72</f>
        <v>493.48750000000007</v>
      </c>
      <c r="F72">
        <f>MonthlyData!BP72</f>
        <v>1</v>
      </c>
      <c r="G72" s="4">
        <f>MonthlyData!R72</f>
        <v>743</v>
      </c>
      <c r="H72">
        <f>MonthlyData!BN72</f>
        <v>0</v>
      </c>
      <c r="J72" s="4">
        <f t="shared" si="18"/>
        <v>231360.027765729</v>
      </c>
      <c r="K72" s="4">
        <f t="shared" si="19"/>
        <v>318949.62222210225</v>
      </c>
      <c r="L72" s="4">
        <f t="shared" si="20"/>
        <v>-257897.88627322801</v>
      </c>
      <c r="M72" s="4">
        <f t="shared" si="21"/>
        <v>1314512.1677454996</v>
      </c>
      <c r="N72" s="4">
        <f t="shared" si="22"/>
        <v>0</v>
      </c>
      <c r="O72" s="4">
        <f t="shared" si="13"/>
        <v>1606923.931460103</v>
      </c>
      <c r="P72" s="4">
        <f t="shared" si="14"/>
        <v>93754.069716280326</v>
      </c>
      <c r="Q72" s="182">
        <f t="shared" si="15"/>
        <v>6.1958721282113896E-2</v>
      </c>
    </row>
    <row r="73" spans="1:17" x14ac:dyDescent="0.35">
      <c r="A73" s="1">
        <f>MonthlyData!A73</f>
        <v>43800</v>
      </c>
      <c r="B73" s="13">
        <f t="shared" si="16"/>
        <v>2019</v>
      </c>
      <c r="C73" s="13">
        <f t="shared" si="17"/>
        <v>12</v>
      </c>
      <c r="D73" s="4">
        <f>MonthlyData!I73</f>
        <v>1791034.3424851298</v>
      </c>
      <c r="E73">
        <f>MonthlyData!AF73</f>
        <v>702.36249999999995</v>
      </c>
      <c r="F73">
        <f>MonthlyData!BP73</f>
        <v>0</v>
      </c>
      <c r="G73" s="4">
        <f>MonthlyData!R73</f>
        <v>742</v>
      </c>
      <c r="H73">
        <f>MonthlyData!BN73</f>
        <v>1</v>
      </c>
      <c r="J73" s="4">
        <f t="shared" si="18"/>
        <v>231360.027765729</v>
      </c>
      <c r="K73" s="4">
        <f t="shared" si="19"/>
        <v>453949.1963585121</v>
      </c>
      <c r="L73" s="4">
        <f t="shared" si="20"/>
        <v>0</v>
      </c>
      <c r="M73" s="4">
        <f t="shared" si="21"/>
        <v>1312742.972364954</v>
      </c>
      <c r="N73" s="4">
        <f t="shared" si="22"/>
        <v>-216631.706472586</v>
      </c>
      <c r="O73" s="4">
        <f t="shared" si="13"/>
        <v>1781420.4900166092</v>
      </c>
      <c r="P73" s="4">
        <f t="shared" si="14"/>
        <v>-9613.8524685206357</v>
      </c>
      <c r="Q73" s="182">
        <f t="shared" si="15"/>
        <v>5.3677655645513987E-3</v>
      </c>
    </row>
    <row r="74" spans="1:17" x14ac:dyDescent="0.35">
      <c r="A74" s="1">
        <f>MonthlyData!A74</f>
        <v>43831</v>
      </c>
      <c r="B74" s="13">
        <f t="shared" si="16"/>
        <v>2020</v>
      </c>
      <c r="C74" s="13">
        <f t="shared" si="17"/>
        <v>1</v>
      </c>
      <c r="D74" s="4">
        <f>MonthlyData!I74</f>
        <v>1935550.3501778767</v>
      </c>
      <c r="E74">
        <f>MonthlyData!AF74</f>
        <v>692.15</v>
      </c>
      <c r="F74">
        <f>MonthlyData!BP74</f>
        <v>0</v>
      </c>
      <c r="G74" s="4">
        <f>MonthlyData!R74</f>
        <v>730</v>
      </c>
      <c r="H74">
        <f>MonthlyData!BN74</f>
        <v>0</v>
      </c>
      <c r="J74" s="4">
        <f t="shared" si="18"/>
        <v>231360.027765729</v>
      </c>
      <c r="K74" s="4">
        <f t="shared" si="19"/>
        <v>447348.678580568</v>
      </c>
      <c r="L74" s="4">
        <f t="shared" si="20"/>
        <v>0</v>
      </c>
      <c r="M74" s="4">
        <f t="shared" si="21"/>
        <v>1291512.6277984048</v>
      </c>
      <c r="N74" s="4">
        <f t="shared" si="22"/>
        <v>0</v>
      </c>
      <c r="O74" s="4">
        <f t="shared" si="13"/>
        <v>1970221.3341447017</v>
      </c>
      <c r="P74" s="4">
        <f t="shared" si="14"/>
        <v>34670.983966825064</v>
      </c>
      <c r="Q74" s="182">
        <f t="shared" si="15"/>
        <v>1.7912726457174729E-2</v>
      </c>
    </row>
    <row r="75" spans="1:17" x14ac:dyDescent="0.35">
      <c r="A75" s="1">
        <f>MonthlyData!A75</f>
        <v>43862</v>
      </c>
      <c r="B75" s="13">
        <f t="shared" si="16"/>
        <v>2020</v>
      </c>
      <c r="C75" s="13">
        <f t="shared" si="17"/>
        <v>2</v>
      </c>
      <c r="D75" s="4">
        <f>MonthlyData!I75</f>
        <v>1977817.5945423183</v>
      </c>
      <c r="E75">
        <f>MonthlyData!AF75</f>
        <v>654.39166666666677</v>
      </c>
      <c r="F75">
        <f>MonthlyData!BP75</f>
        <v>0</v>
      </c>
      <c r="G75" s="4">
        <f>MonthlyData!R75</f>
        <v>730</v>
      </c>
      <c r="H75">
        <f>MonthlyData!BN75</f>
        <v>0</v>
      </c>
      <c r="J75" s="4">
        <f t="shared" si="18"/>
        <v>231360.027765729</v>
      </c>
      <c r="K75" s="4">
        <f t="shared" si="19"/>
        <v>422944.80583322822</v>
      </c>
      <c r="L75" s="4">
        <f t="shared" si="20"/>
        <v>0</v>
      </c>
      <c r="M75" s="4">
        <f t="shared" si="21"/>
        <v>1291512.6277984048</v>
      </c>
      <c r="N75" s="4">
        <f t="shared" si="22"/>
        <v>0</v>
      </c>
      <c r="O75" s="4">
        <f t="shared" si="13"/>
        <v>1945817.4613973619</v>
      </c>
      <c r="P75" s="4">
        <f t="shared" si="14"/>
        <v>-32000.133144956315</v>
      </c>
      <c r="Q75" s="182">
        <f t="shared" si="15"/>
        <v>1.6179516874184438E-2</v>
      </c>
    </row>
    <row r="76" spans="1:17" x14ac:dyDescent="0.35">
      <c r="A76" s="1">
        <f>MonthlyData!A76</f>
        <v>43891</v>
      </c>
      <c r="B76" s="13">
        <f t="shared" si="16"/>
        <v>2020</v>
      </c>
      <c r="C76" s="13">
        <f t="shared" si="17"/>
        <v>3</v>
      </c>
      <c r="D76" s="4">
        <f>MonthlyData!I76</f>
        <v>1850467.8951052148</v>
      </c>
      <c r="E76">
        <f>MonthlyData!AF76</f>
        <v>514.9666666666667</v>
      </c>
      <c r="F76">
        <f>MonthlyData!BP76</f>
        <v>0</v>
      </c>
      <c r="G76" s="4">
        <f>MonthlyData!R76</f>
        <v>725</v>
      </c>
      <c r="H76">
        <f>MonthlyData!BN76</f>
        <v>0</v>
      </c>
      <c r="J76" s="4">
        <f t="shared" si="18"/>
        <v>231360.027765729</v>
      </c>
      <c r="K76" s="4">
        <f t="shared" si="19"/>
        <v>332831.98417448992</v>
      </c>
      <c r="L76" s="4">
        <f t="shared" si="20"/>
        <v>0</v>
      </c>
      <c r="M76" s="4">
        <f t="shared" si="21"/>
        <v>1282666.6508956759</v>
      </c>
      <c r="N76" s="4">
        <f t="shared" si="22"/>
        <v>0</v>
      </c>
      <c r="O76" s="4">
        <f t="shared" si="13"/>
        <v>1846858.6628358949</v>
      </c>
      <c r="P76" s="4">
        <f t="shared" si="14"/>
        <v>-3609.2322693199385</v>
      </c>
      <c r="Q76" s="182">
        <f t="shared" si="15"/>
        <v>1.9504430630041939E-3</v>
      </c>
    </row>
    <row r="77" spans="1:17" x14ac:dyDescent="0.35">
      <c r="A77" s="1">
        <f>MonthlyData!A77</f>
        <v>43922</v>
      </c>
      <c r="B77" s="13">
        <f t="shared" si="16"/>
        <v>2020</v>
      </c>
      <c r="C77" s="13">
        <f t="shared" si="17"/>
        <v>4</v>
      </c>
      <c r="D77" s="4">
        <f>MonthlyData!I77</f>
        <v>1756590.0618654145</v>
      </c>
      <c r="E77">
        <f>MonthlyData!AF77</f>
        <v>343.1875</v>
      </c>
      <c r="F77">
        <f>MonthlyData!BP77</f>
        <v>0</v>
      </c>
      <c r="G77" s="4">
        <f>MonthlyData!R77</f>
        <v>720</v>
      </c>
      <c r="H77">
        <f>MonthlyData!BN77</f>
        <v>0</v>
      </c>
      <c r="J77" s="4">
        <f t="shared" si="18"/>
        <v>231360.027765729</v>
      </c>
      <c r="K77" s="4">
        <f t="shared" si="19"/>
        <v>221808.09742161189</v>
      </c>
      <c r="L77" s="4">
        <f t="shared" si="20"/>
        <v>0</v>
      </c>
      <c r="M77" s="4">
        <f t="shared" si="21"/>
        <v>1273820.6739929472</v>
      </c>
      <c r="N77" s="4">
        <f t="shared" si="22"/>
        <v>0</v>
      </c>
      <c r="O77" s="4">
        <f t="shared" si="13"/>
        <v>1726988.7991802881</v>
      </c>
      <c r="P77" s="4">
        <f t="shared" si="14"/>
        <v>-29601.262685126392</v>
      </c>
      <c r="Q77" s="182">
        <f t="shared" si="15"/>
        <v>1.6851548535855469E-2</v>
      </c>
    </row>
    <row r="78" spans="1:17" x14ac:dyDescent="0.35">
      <c r="A78" s="1">
        <f>MonthlyData!A78</f>
        <v>43952</v>
      </c>
      <c r="B78" s="13">
        <f t="shared" si="16"/>
        <v>2020</v>
      </c>
      <c r="C78" s="13">
        <f t="shared" si="17"/>
        <v>5</v>
      </c>
      <c r="D78" s="4">
        <f>MonthlyData!I78</f>
        <v>1418935.7332032486</v>
      </c>
      <c r="E78">
        <f>MonthlyData!AF78</f>
        <v>153.04999999999995</v>
      </c>
      <c r="F78">
        <f>MonthlyData!BP78</f>
        <v>0</v>
      </c>
      <c r="G78" s="4">
        <f>MonthlyData!R78</f>
        <v>715</v>
      </c>
      <c r="H78">
        <f>MonthlyData!BN78</f>
        <v>0</v>
      </c>
      <c r="J78" s="4">
        <f t="shared" si="18"/>
        <v>231360.027765729</v>
      </c>
      <c r="K78" s="4">
        <f t="shared" si="19"/>
        <v>98918.898008749413</v>
      </c>
      <c r="L78" s="4">
        <f t="shared" si="20"/>
        <v>0</v>
      </c>
      <c r="M78" s="4">
        <f t="shared" si="21"/>
        <v>1264974.6970902183</v>
      </c>
      <c r="N78" s="4">
        <f t="shared" si="22"/>
        <v>0</v>
      </c>
      <c r="O78" s="4">
        <f t="shared" si="13"/>
        <v>1595253.6228646967</v>
      </c>
      <c r="P78" s="4">
        <f t="shared" si="14"/>
        <v>176317.88966144808</v>
      </c>
      <c r="Q78" s="182">
        <f t="shared" si="15"/>
        <v>0.12426065926425738</v>
      </c>
    </row>
    <row r="79" spans="1:17" x14ac:dyDescent="0.35">
      <c r="A79" s="1">
        <f>MonthlyData!A79</f>
        <v>43983</v>
      </c>
      <c r="B79" s="13">
        <f t="shared" si="16"/>
        <v>2020</v>
      </c>
      <c r="C79" s="13">
        <f t="shared" si="17"/>
        <v>6</v>
      </c>
      <c r="D79" s="4">
        <f>MonthlyData!I79</f>
        <v>1377562.0480620193</v>
      </c>
      <c r="E79">
        <f>MonthlyData!AF79</f>
        <v>10.508333333333333</v>
      </c>
      <c r="F79">
        <f>MonthlyData!BP79</f>
        <v>0</v>
      </c>
      <c r="G79" s="4">
        <f>MonthlyData!R79</f>
        <v>725</v>
      </c>
      <c r="H79">
        <f>MonthlyData!BN79</f>
        <v>0</v>
      </c>
      <c r="J79" s="4">
        <f t="shared" si="18"/>
        <v>231360.027765729</v>
      </c>
      <c r="K79" s="4">
        <f t="shared" si="19"/>
        <v>6791.7200473174917</v>
      </c>
      <c r="L79" s="4">
        <f t="shared" si="20"/>
        <v>0</v>
      </c>
      <c r="M79" s="4">
        <f t="shared" si="21"/>
        <v>1282666.6508956759</v>
      </c>
      <c r="N79" s="4">
        <f t="shared" si="22"/>
        <v>0</v>
      </c>
      <c r="O79" s="4">
        <f t="shared" si="13"/>
        <v>1520818.3987087223</v>
      </c>
      <c r="P79" s="4">
        <f t="shared" si="14"/>
        <v>143256.35064670304</v>
      </c>
      <c r="Q79" s="182">
        <f t="shared" si="15"/>
        <v>0.10399266649966063</v>
      </c>
    </row>
    <row r="80" spans="1:17" x14ac:dyDescent="0.35">
      <c r="A80" s="1">
        <f>MonthlyData!A80</f>
        <v>44013</v>
      </c>
      <c r="B80" s="13">
        <f t="shared" si="16"/>
        <v>2020</v>
      </c>
      <c r="C80" s="13">
        <f t="shared" si="17"/>
        <v>7</v>
      </c>
      <c r="D80" s="4">
        <f>MonthlyData!I80</f>
        <v>1378667.8360778366</v>
      </c>
      <c r="E80">
        <f>MonthlyData!AF80</f>
        <v>0</v>
      </c>
      <c r="F80">
        <f>MonthlyData!BP80</f>
        <v>0</v>
      </c>
      <c r="G80" s="4">
        <f>MonthlyData!R80</f>
        <v>718</v>
      </c>
      <c r="H80">
        <f>MonthlyData!BN80</f>
        <v>0</v>
      </c>
      <c r="J80" s="4">
        <f t="shared" si="18"/>
        <v>231360.027765729</v>
      </c>
      <c r="K80" s="4">
        <f t="shared" si="19"/>
        <v>0</v>
      </c>
      <c r="L80" s="4">
        <f t="shared" si="20"/>
        <v>0</v>
      </c>
      <c r="M80" s="4">
        <f t="shared" si="21"/>
        <v>1270282.2832318556</v>
      </c>
      <c r="N80" s="4">
        <f t="shared" si="22"/>
        <v>0</v>
      </c>
      <c r="O80" s="4">
        <f t="shared" si="13"/>
        <v>1501642.3109975846</v>
      </c>
      <c r="P80" s="4">
        <f t="shared" si="14"/>
        <v>122974.47491974803</v>
      </c>
      <c r="Q80" s="182">
        <f t="shared" si="15"/>
        <v>8.919804444673006E-2</v>
      </c>
    </row>
    <row r="81" spans="1:17" x14ac:dyDescent="0.35">
      <c r="A81" s="1">
        <f>MonthlyData!A81</f>
        <v>44044</v>
      </c>
      <c r="B81" s="13">
        <f t="shared" si="16"/>
        <v>2020</v>
      </c>
      <c r="C81" s="13">
        <f t="shared" si="17"/>
        <v>8</v>
      </c>
      <c r="D81" s="4">
        <f>MonthlyData!I81</f>
        <v>1513114.8121348398</v>
      </c>
      <c r="E81">
        <f>MonthlyData!AF81</f>
        <v>0</v>
      </c>
      <c r="F81">
        <f>MonthlyData!BP81</f>
        <v>0</v>
      </c>
      <c r="G81" s="4">
        <f>MonthlyData!R81</f>
        <v>711</v>
      </c>
      <c r="H81">
        <f>MonthlyData!BN81</f>
        <v>0</v>
      </c>
      <c r="J81" s="4">
        <f t="shared" si="18"/>
        <v>231360.027765729</v>
      </c>
      <c r="K81" s="4">
        <f t="shared" si="19"/>
        <v>0</v>
      </c>
      <c r="L81" s="4">
        <f t="shared" si="20"/>
        <v>0</v>
      </c>
      <c r="M81" s="4">
        <f t="shared" si="21"/>
        <v>1257897.9155680353</v>
      </c>
      <c r="N81" s="4">
        <f t="shared" si="22"/>
        <v>0</v>
      </c>
      <c r="O81" s="4">
        <f t="shared" si="13"/>
        <v>1489257.9433337643</v>
      </c>
      <c r="P81" s="4">
        <f t="shared" si="14"/>
        <v>-23856.8688010755</v>
      </c>
      <c r="Q81" s="182">
        <f t="shared" si="15"/>
        <v>1.5766727421970089E-2</v>
      </c>
    </row>
    <row r="82" spans="1:17" x14ac:dyDescent="0.35">
      <c r="A82" s="1">
        <f>MonthlyData!A82</f>
        <v>44075</v>
      </c>
      <c r="B82" s="13">
        <f t="shared" si="16"/>
        <v>2020</v>
      </c>
      <c r="C82" s="13">
        <f t="shared" si="17"/>
        <v>9</v>
      </c>
      <c r="D82" s="4">
        <f>MonthlyData!I82</f>
        <v>1397996.7457012909</v>
      </c>
      <c r="E82">
        <f>MonthlyData!AF82</f>
        <v>30.970833333333331</v>
      </c>
      <c r="F82">
        <f>MonthlyData!BP82</f>
        <v>0</v>
      </c>
      <c r="G82" s="4">
        <f>MonthlyData!R82</f>
        <v>713</v>
      </c>
      <c r="H82">
        <f>MonthlyData!BN82</f>
        <v>0</v>
      </c>
      <c r="J82" s="4">
        <f t="shared" si="18"/>
        <v>231360.027765729</v>
      </c>
      <c r="K82" s="4">
        <f t="shared" si="19"/>
        <v>20016.992510591164</v>
      </c>
      <c r="L82" s="4">
        <f t="shared" si="20"/>
        <v>0</v>
      </c>
      <c r="M82" s="4">
        <f t="shared" si="21"/>
        <v>1261436.3063291269</v>
      </c>
      <c r="N82" s="4">
        <f t="shared" si="22"/>
        <v>0</v>
      </c>
      <c r="O82" s="4">
        <f t="shared" si="13"/>
        <v>1512813.3266054471</v>
      </c>
      <c r="P82" s="4">
        <f t="shared" si="14"/>
        <v>114816.5809041562</v>
      </c>
      <c r="Q82" s="182">
        <f t="shared" si="15"/>
        <v>8.2129362072698983E-2</v>
      </c>
    </row>
    <row r="83" spans="1:17" x14ac:dyDescent="0.35">
      <c r="A83" s="1">
        <f>MonthlyData!A83</f>
        <v>44105</v>
      </c>
      <c r="B83" s="13">
        <f t="shared" si="16"/>
        <v>2020</v>
      </c>
      <c r="C83" s="13">
        <f t="shared" si="17"/>
        <v>10</v>
      </c>
      <c r="D83" s="4">
        <f>MonthlyData!I83</f>
        <v>1284992.2736673818</v>
      </c>
      <c r="E83">
        <f>MonthlyData!AF83</f>
        <v>265.67500000000001</v>
      </c>
      <c r="F83">
        <f>MonthlyData!BP83</f>
        <v>1</v>
      </c>
      <c r="G83" s="4">
        <f>MonthlyData!R83</f>
        <v>708</v>
      </c>
      <c r="H83">
        <f>MonthlyData!BN83</f>
        <v>0</v>
      </c>
      <c r="J83" s="4">
        <f t="shared" si="18"/>
        <v>231360.027765729</v>
      </c>
      <c r="K83" s="4">
        <f t="shared" si="19"/>
        <v>171710.40985608959</v>
      </c>
      <c r="L83" s="4">
        <f t="shared" si="20"/>
        <v>-257897.88627322801</v>
      </c>
      <c r="M83" s="4">
        <f t="shared" si="21"/>
        <v>1252590.329426398</v>
      </c>
      <c r="N83" s="4">
        <f t="shared" si="22"/>
        <v>0</v>
      </c>
      <c r="O83" s="4">
        <f t="shared" si="13"/>
        <v>1397762.8807749886</v>
      </c>
      <c r="P83" s="4">
        <f t="shared" si="14"/>
        <v>112770.60710760672</v>
      </c>
      <c r="Q83" s="182">
        <f t="shared" si="15"/>
        <v>8.7759754995069494E-2</v>
      </c>
    </row>
    <row r="84" spans="1:17" x14ac:dyDescent="0.35">
      <c r="A84" s="1">
        <f>MonthlyData!A84</f>
        <v>44136</v>
      </c>
      <c r="B84" s="13">
        <f t="shared" si="16"/>
        <v>2020</v>
      </c>
      <c r="C84" s="13">
        <f t="shared" si="17"/>
        <v>11</v>
      </c>
      <c r="D84" s="4">
        <f>MonthlyData!I84</f>
        <v>1464478.2777535517</v>
      </c>
      <c r="E84">
        <f>MonthlyData!AF84</f>
        <v>352.30416666666673</v>
      </c>
      <c r="F84">
        <f>MonthlyData!BP84</f>
        <v>1</v>
      </c>
      <c r="G84" s="4">
        <f>MonthlyData!R84</f>
        <v>707</v>
      </c>
      <c r="H84">
        <f>MonthlyData!BN84</f>
        <v>0</v>
      </c>
      <c r="J84" s="4">
        <f t="shared" si="18"/>
        <v>231360.027765729</v>
      </c>
      <c r="K84" s="4">
        <f t="shared" si="19"/>
        <v>227700.35890596194</v>
      </c>
      <c r="L84" s="4">
        <f t="shared" si="20"/>
        <v>-257897.88627322801</v>
      </c>
      <c r="M84" s="4">
        <f t="shared" si="21"/>
        <v>1250821.1340458523</v>
      </c>
      <c r="N84" s="4">
        <f t="shared" si="22"/>
        <v>0</v>
      </c>
      <c r="O84" s="4">
        <f t="shared" si="13"/>
        <v>1451983.6344443152</v>
      </c>
      <c r="P84" s="4">
        <f t="shared" si="14"/>
        <v>-12494.643309236504</v>
      </c>
      <c r="Q84" s="182">
        <f t="shared" si="15"/>
        <v>8.5318051479758121E-3</v>
      </c>
    </row>
    <row r="85" spans="1:17" x14ac:dyDescent="0.35">
      <c r="A85" s="1">
        <f>MonthlyData!A85</f>
        <v>44166</v>
      </c>
      <c r="B85" s="13">
        <f t="shared" si="16"/>
        <v>2020</v>
      </c>
      <c r="C85" s="13">
        <f t="shared" si="17"/>
        <v>12</v>
      </c>
      <c r="D85" s="4">
        <f>MonthlyData!I85</f>
        <v>1562307.8267750656</v>
      </c>
      <c r="E85">
        <f>MonthlyData!AF85</f>
        <v>617.46666666666681</v>
      </c>
      <c r="F85">
        <f>MonthlyData!BP85</f>
        <v>0</v>
      </c>
      <c r="G85" s="4">
        <f>MonthlyData!R85</f>
        <v>706</v>
      </c>
      <c r="H85">
        <f>MonthlyData!BN85</f>
        <v>1</v>
      </c>
      <c r="J85" s="4">
        <f t="shared" si="18"/>
        <v>231360.027765729</v>
      </c>
      <c r="K85" s="4">
        <f t="shared" si="19"/>
        <v>399079.53102778509</v>
      </c>
      <c r="L85" s="4">
        <f t="shared" si="20"/>
        <v>0</v>
      </c>
      <c r="M85" s="4">
        <f t="shared" si="21"/>
        <v>1249051.9386653064</v>
      </c>
      <c r="N85" s="4">
        <f t="shared" si="22"/>
        <v>-216631.706472586</v>
      </c>
      <c r="O85" s="4">
        <f t="shared" si="13"/>
        <v>1662859.7909862346</v>
      </c>
      <c r="P85" s="4">
        <f t="shared" si="14"/>
        <v>100551.96421116893</v>
      </c>
      <c r="Q85" s="182">
        <f t="shared" si="15"/>
        <v>6.4361172931412303E-2</v>
      </c>
    </row>
    <row r="86" spans="1:17" x14ac:dyDescent="0.35">
      <c r="A86" s="1">
        <f>MonthlyData!A86</f>
        <v>44197</v>
      </c>
      <c r="B86" s="13">
        <f t="shared" si="16"/>
        <v>2021</v>
      </c>
      <c r="C86" s="13">
        <f t="shared" si="17"/>
        <v>1</v>
      </c>
      <c r="D86" s="4">
        <f>MonthlyData!I86</f>
        <v>1834545.4505539462</v>
      </c>
      <c r="E86">
        <f>MonthlyData!AF86</f>
        <v>652.06666666666683</v>
      </c>
      <c r="F86">
        <f>MonthlyData!BP86</f>
        <v>0</v>
      </c>
      <c r="G86" s="4">
        <f>MonthlyData!R86</f>
        <v>702</v>
      </c>
      <c r="H86">
        <f>MonthlyData!BN86</f>
        <v>0</v>
      </c>
      <c r="J86" s="4">
        <f t="shared" si="18"/>
        <v>231360.027765729</v>
      </c>
      <c r="K86" s="4">
        <f t="shared" si="19"/>
        <v>421442.11757533642</v>
      </c>
      <c r="L86" s="4">
        <f t="shared" si="20"/>
        <v>0</v>
      </c>
      <c r="M86" s="4">
        <f t="shared" si="21"/>
        <v>1241975.1571431234</v>
      </c>
      <c r="N86" s="4">
        <f t="shared" si="22"/>
        <v>0</v>
      </c>
      <c r="O86" s="4">
        <f t="shared" si="13"/>
        <v>1894777.3024841889</v>
      </c>
      <c r="P86" s="4">
        <f t="shared" si="14"/>
        <v>60231.85193024273</v>
      </c>
      <c r="Q86" s="182">
        <f t="shared" si="15"/>
        <v>3.2832030360466433E-2</v>
      </c>
    </row>
    <row r="87" spans="1:17" x14ac:dyDescent="0.35">
      <c r="A87" s="1">
        <f>MonthlyData!A87</f>
        <v>44228</v>
      </c>
      <c r="B87" s="13">
        <f t="shared" si="16"/>
        <v>2021</v>
      </c>
      <c r="C87" s="13">
        <f t="shared" si="17"/>
        <v>2</v>
      </c>
      <c r="D87" s="4">
        <f>MonthlyData!I87</f>
        <v>1818925.427847272</v>
      </c>
      <c r="E87">
        <f>MonthlyData!AF87</f>
        <v>753.49583333333328</v>
      </c>
      <c r="F87">
        <f>MonthlyData!BP87</f>
        <v>0</v>
      </c>
      <c r="G87" s="4">
        <f>MonthlyData!R87</f>
        <v>700</v>
      </c>
      <c r="H87">
        <f>MonthlyData!BN87</f>
        <v>0</v>
      </c>
      <c r="J87" s="4">
        <f t="shared" si="18"/>
        <v>231360.027765729</v>
      </c>
      <c r="K87" s="4">
        <f t="shared" si="19"/>
        <v>486997.56607329415</v>
      </c>
      <c r="L87" s="4">
        <f t="shared" si="20"/>
        <v>0</v>
      </c>
      <c r="M87" s="4">
        <f t="shared" si="21"/>
        <v>1238436.7663820318</v>
      </c>
      <c r="N87" s="4">
        <f t="shared" si="22"/>
        <v>0</v>
      </c>
      <c r="O87" s="4">
        <f t="shared" si="13"/>
        <v>1956794.3602210549</v>
      </c>
      <c r="P87" s="4">
        <f t="shared" si="14"/>
        <v>137868.93237378285</v>
      </c>
      <c r="Q87" s="182">
        <f t="shared" si="15"/>
        <v>7.5796912981173165E-2</v>
      </c>
    </row>
    <row r="88" spans="1:17" x14ac:dyDescent="0.35">
      <c r="A88" s="1">
        <f>MonthlyData!A88</f>
        <v>44256</v>
      </c>
      <c r="B88" s="13">
        <f t="shared" si="16"/>
        <v>2021</v>
      </c>
      <c r="C88" s="13">
        <f t="shared" si="17"/>
        <v>3</v>
      </c>
      <c r="D88" s="4">
        <f>MonthlyData!I88</f>
        <v>1761238.2654504171</v>
      </c>
      <c r="E88">
        <f>MonthlyData!AF88</f>
        <v>492.00833333333338</v>
      </c>
      <c r="F88">
        <f>MonthlyData!BP88</f>
        <v>0</v>
      </c>
      <c r="G88" s="4">
        <f>MonthlyData!R88</f>
        <v>701</v>
      </c>
      <c r="H88">
        <f>MonthlyData!BN88</f>
        <v>0</v>
      </c>
      <c r="J88" s="4">
        <f t="shared" si="18"/>
        <v>231360.027765729</v>
      </c>
      <c r="K88" s="4">
        <f t="shared" si="19"/>
        <v>317993.61087523558</v>
      </c>
      <c r="L88" s="4">
        <f t="shared" si="20"/>
        <v>0</v>
      </c>
      <c r="M88" s="4">
        <f t="shared" si="21"/>
        <v>1240205.9617625778</v>
      </c>
      <c r="N88" s="4">
        <f t="shared" si="22"/>
        <v>0</v>
      </c>
      <c r="O88" s="4">
        <f t="shared" si="13"/>
        <v>1789559.6004035424</v>
      </c>
      <c r="P88" s="4">
        <f t="shared" si="14"/>
        <v>28321.334953125333</v>
      </c>
      <c r="Q88" s="182">
        <f t="shared" si="15"/>
        <v>1.6080354094443017E-2</v>
      </c>
    </row>
    <row r="89" spans="1:17" x14ac:dyDescent="0.35">
      <c r="A89" s="1">
        <f>MonthlyData!A89</f>
        <v>44287</v>
      </c>
      <c r="B89" s="13">
        <f t="shared" si="16"/>
        <v>2021</v>
      </c>
      <c r="C89" s="13">
        <f t="shared" si="17"/>
        <v>4</v>
      </c>
      <c r="D89" s="4">
        <f>MonthlyData!I89</f>
        <v>1831512.198590517</v>
      </c>
      <c r="E89">
        <f>MonthlyData!AF89</f>
        <v>213.375</v>
      </c>
      <c r="F89">
        <f>MonthlyData!BP89</f>
        <v>0</v>
      </c>
      <c r="G89" s="4">
        <f>MonthlyData!R89</f>
        <v>699</v>
      </c>
      <c r="H89">
        <f>MonthlyData!BN89</f>
        <v>0</v>
      </c>
      <c r="J89" s="4">
        <f t="shared" si="18"/>
        <v>231360.027765729</v>
      </c>
      <c r="K89" s="4">
        <f t="shared" si="19"/>
        <v>137908.00302265218</v>
      </c>
      <c r="L89" s="4">
        <f t="shared" si="20"/>
        <v>0</v>
      </c>
      <c r="M89" s="4">
        <f t="shared" si="21"/>
        <v>1236667.5710014862</v>
      </c>
      <c r="N89" s="4">
        <f t="shared" si="22"/>
        <v>0</v>
      </c>
      <c r="O89" s="4">
        <f t="shared" si="13"/>
        <v>1605935.6017898673</v>
      </c>
      <c r="P89" s="4">
        <f t="shared" si="14"/>
        <v>-225576.59680064977</v>
      </c>
      <c r="Q89" s="182">
        <f t="shared" si="15"/>
        <v>0.12316412469119643</v>
      </c>
    </row>
    <row r="90" spans="1:17" x14ac:dyDescent="0.35">
      <c r="A90" s="1">
        <f>MonthlyData!A90</f>
        <v>44317</v>
      </c>
      <c r="B90" s="13">
        <f t="shared" si="16"/>
        <v>2021</v>
      </c>
      <c r="C90" s="13">
        <f t="shared" si="17"/>
        <v>5</v>
      </c>
      <c r="D90" s="4">
        <f>MonthlyData!I90</f>
        <v>1511642.3028173393</v>
      </c>
      <c r="E90">
        <f>MonthlyData!AF90</f>
        <v>86.762499999999974</v>
      </c>
      <c r="F90">
        <f>MonthlyData!BP90</f>
        <v>0</v>
      </c>
      <c r="G90" s="4">
        <f>MonthlyData!R90</f>
        <v>718</v>
      </c>
      <c r="H90">
        <f>MonthlyData!BN90</f>
        <v>0</v>
      </c>
      <c r="J90" s="4">
        <f t="shared" si="18"/>
        <v>231360.027765729</v>
      </c>
      <c r="K90" s="4">
        <f t="shared" si="19"/>
        <v>56076.124720575768</v>
      </c>
      <c r="L90" s="4">
        <f t="shared" si="20"/>
        <v>0</v>
      </c>
      <c r="M90" s="4">
        <f t="shared" si="21"/>
        <v>1270282.2832318556</v>
      </c>
      <c r="N90" s="4">
        <f t="shared" si="22"/>
        <v>0</v>
      </c>
      <c r="O90" s="4">
        <f t="shared" si="13"/>
        <v>1557718.4357181604</v>
      </c>
      <c r="P90" s="4">
        <f t="shared" si="14"/>
        <v>46076.132900821045</v>
      </c>
      <c r="Q90" s="182">
        <f t="shared" si="15"/>
        <v>3.0480843791514809E-2</v>
      </c>
    </row>
    <row r="91" spans="1:17" x14ac:dyDescent="0.35">
      <c r="A91" s="1">
        <f>MonthlyData!A91</f>
        <v>44348</v>
      </c>
      <c r="B91" s="13">
        <f t="shared" si="16"/>
        <v>2021</v>
      </c>
      <c r="C91" s="13">
        <f t="shared" si="17"/>
        <v>6</v>
      </c>
      <c r="D91" s="4">
        <f>MonthlyData!I91</f>
        <v>1474746.1004095075</v>
      </c>
      <c r="E91">
        <f>MonthlyData!AF91</f>
        <v>2.9166666666666679</v>
      </c>
      <c r="F91">
        <f>MonthlyData!BP91</f>
        <v>0</v>
      </c>
      <c r="G91" s="4">
        <f>MonthlyData!R91</f>
        <v>708</v>
      </c>
      <c r="H91">
        <f>MonthlyData!BN91</f>
        <v>0</v>
      </c>
      <c r="J91" s="4">
        <f t="shared" si="18"/>
        <v>231360.027765729</v>
      </c>
      <c r="K91" s="4">
        <f t="shared" si="19"/>
        <v>1885.09279663848</v>
      </c>
      <c r="L91" s="4">
        <f t="shared" si="20"/>
        <v>0</v>
      </c>
      <c r="M91" s="4">
        <f t="shared" si="21"/>
        <v>1252590.329426398</v>
      </c>
      <c r="N91" s="4">
        <f t="shared" si="22"/>
        <v>0</v>
      </c>
      <c r="O91" s="4">
        <f t="shared" si="13"/>
        <v>1485835.4499887656</v>
      </c>
      <c r="P91" s="4">
        <f t="shared" si="14"/>
        <v>11089.349579258123</v>
      </c>
      <c r="Q91" s="182">
        <f t="shared" si="15"/>
        <v>7.519497475652814E-3</v>
      </c>
    </row>
    <row r="92" spans="1:17" x14ac:dyDescent="0.35">
      <c r="A92" s="1">
        <f>MonthlyData!A92</f>
        <v>44378</v>
      </c>
      <c r="B92" s="13">
        <f t="shared" si="16"/>
        <v>2021</v>
      </c>
      <c r="C92" s="13">
        <f t="shared" si="17"/>
        <v>7</v>
      </c>
      <c r="D92" s="4">
        <f>MonthlyData!I92</f>
        <v>1425605.6503695406</v>
      </c>
      <c r="E92">
        <f>MonthlyData!AF92</f>
        <v>2.104755252394658</v>
      </c>
      <c r="F92">
        <f>MonthlyData!BP92</f>
        <v>0</v>
      </c>
      <c r="G92" s="4">
        <f>MonthlyData!R92</f>
        <v>707</v>
      </c>
      <c r="H92">
        <f>MonthlyData!BN92</f>
        <v>0</v>
      </c>
      <c r="J92" s="4">
        <f t="shared" si="18"/>
        <v>231360.027765729</v>
      </c>
      <c r="K92" s="4">
        <f t="shared" si="19"/>
        <v>1360.3402165632597</v>
      </c>
      <c r="L92" s="4">
        <f t="shared" si="20"/>
        <v>0</v>
      </c>
      <c r="M92" s="4">
        <f t="shared" si="21"/>
        <v>1250821.1340458523</v>
      </c>
      <c r="N92" s="4">
        <f t="shared" si="22"/>
        <v>0</v>
      </c>
      <c r="O92" s="4">
        <f t="shared" si="13"/>
        <v>1483541.5020281447</v>
      </c>
      <c r="P92" s="4">
        <f t="shared" si="14"/>
        <v>57935.851658604108</v>
      </c>
      <c r="Q92" s="182">
        <f t="shared" si="15"/>
        <v>4.0639465509684378E-2</v>
      </c>
    </row>
    <row r="93" spans="1:17" x14ac:dyDescent="0.35">
      <c r="A93" s="1">
        <f>MonthlyData!A93</f>
        <v>44409</v>
      </c>
      <c r="B93" s="13">
        <f t="shared" si="16"/>
        <v>2021</v>
      </c>
      <c r="C93" s="13">
        <f t="shared" si="17"/>
        <v>8</v>
      </c>
      <c r="D93" s="4">
        <f>MonthlyData!I93</f>
        <v>1522148.8955182382</v>
      </c>
      <c r="E93">
        <f>MonthlyData!AF93</f>
        <v>0</v>
      </c>
      <c r="F93">
        <f>MonthlyData!BP93</f>
        <v>0</v>
      </c>
      <c r="G93" s="4">
        <f>MonthlyData!R93</f>
        <v>705</v>
      </c>
      <c r="H93">
        <f>MonthlyData!BN93</f>
        <v>0</v>
      </c>
      <c r="J93" s="4">
        <f t="shared" si="18"/>
        <v>231360.027765729</v>
      </c>
      <c r="K93" s="4">
        <f t="shared" si="19"/>
        <v>0</v>
      </c>
      <c r="L93" s="4">
        <f t="shared" si="20"/>
        <v>0</v>
      </c>
      <c r="M93" s="4">
        <f t="shared" si="21"/>
        <v>1247282.7432847607</v>
      </c>
      <c r="N93" s="4">
        <f t="shared" si="22"/>
        <v>0</v>
      </c>
      <c r="O93" s="4">
        <f t="shared" si="13"/>
        <v>1478642.7710504897</v>
      </c>
      <c r="P93" s="4">
        <f t="shared" si="14"/>
        <v>-43506.12446774845</v>
      </c>
      <c r="Q93" s="182">
        <f t="shared" si="15"/>
        <v>2.8582042529378272E-2</v>
      </c>
    </row>
    <row r="94" spans="1:17" x14ac:dyDescent="0.35">
      <c r="A94" s="1">
        <f>MonthlyData!A94</f>
        <v>44440</v>
      </c>
      <c r="B94" s="13">
        <f t="shared" si="16"/>
        <v>2021</v>
      </c>
      <c r="C94" s="13">
        <f t="shared" si="17"/>
        <v>9</v>
      </c>
      <c r="D94" s="4">
        <f>MonthlyData!I94</f>
        <v>1594979.7956060998</v>
      </c>
      <c r="E94">
        <f>MonthlyData!AF94</f>
        <v>22.32083333333334</v>
      </c>
      <c r="F94">
        <f>MonthlyData!BP94</f>
        <v>0</v>
      </c>
      <c r="G94" s="4">
        <f>MonthlyData!R94</f>
        <v>703</v>
      </c>
      <c r="H94">
        <f>MonthlyData!BN94</f>
        <v>0</v>
      </c>
      <c r="J94" s="4">
        <f t="shared" si="18"/>
        <v>231360.027765729</v>
      </c>
      <c r="K94" s="4">
        <f t="shared" si="19"/>
        <v>14426.345873703336</v>
      </c>
      <c r="L94" s="4">
        <f t="shared" si="20"/>
        <v>0</v>
      </c>
      <c r="M94" s="4">
        <f t="shared" si="21"/>
        <v>1243744.3525236691</v>
      </c>
      <c r="N94" s="4">
        <f t="shared" si="22"/>
        <v>0</v>
      </c>
      <c r="O94" s="4">
        <f t="shared" si="13"/>
        <v>1489530.7261631014</v>
      </c>
      <c r="P94" s="4">
        <f t="shared" si="14"/>
        <v>-105449.06944299839</v>
      </c>
      <c r="Q94" s="182">
        <f t="shared" si="15"/>
        <v>6.6113106719905029E-2</v>
      </c>
    </row>
    <row r="95" spans="1:17" x14ac:dyDescent="0.35">
      <c r="A95" s="1">
        <f>MonthlyData!A95</f>
        <v>44470</v>
      </c>
      <c r="B95" s="13">
        <f t="shared" si="16"/>
        <v>2021</v>
      </c>
      <c r="C95" s="13">
        <f t="shared" si="17"/>
        <v>10</v>
      </c>
      <c r="D95" s="4">
        <f>MonthlyData!I95</f>
        <v>1422657.9661976707</v>
      </c>
      <c r="E95">
        <f>MonthlyData!AF95</f>
        <v>99.116666666666674</v>
      </c>
      <c r="F95">
        <f>MonthlyData!BP95</f>
        <v>1</v>
      </c>
      <c r="G95" s="4">
        <f>MonthlyData!R95</f>
        <v>711</v>
      </c>
      <c r="H95">
        <f>MonthlyData!BN95</f>
        <v>0</v>
      </c>
      <c r="J95" s="4">
        <f t="shared" si="18"/>
        <v>231360.027765729</v>
      </c>
      <c r="K95" s="4">
        <f t="shared" si="19"/>
        <v>64060.839209194492</v>
      </c>
      <c r="L95" s="4">
        <f t="shared" si="20"/>
        <v>-257897.88627322801</v>
      </c>
      <c r="M95" s="4">
        <f t="shared" si="21"/>
        <v>1257897.9155680353</v>
      </c>
      <c r="N95" s="4">
        <f t="shared" si="22"/>
        <v>0</v>
      </c>
      <c r="O95" s="4">
        <f t="shared" si="13"/>
        <v>1295420.8962697308</v>
      </c>
      <c r="P95" s="4">
        <f t="shared" si="14"/>
        <v>-127237.06992793991</v>
      </c>
      <c r="Q95" s="182">
        <f t="shared" si="15"/>
        <v>8.9436163119379741E-2</v>
      </c>
    </row>
    <row r="96" spans="1:17" x14ac:dyDescent="0.35">
      <c r="A96" s="1">
        <f>MonthlyData!A96</f>
        <v>44501</v>
      </c>
      <c r="B96" s="13">
        <f t="shared" si="16"/>
        <v>2021</v>
      </c>
      <c r="C96" s="13">
        <f t="shared" si="17"/>
        <v>11</v>
      </c>
      <c r="D96" s="4">
        <f>MonthlyData!I96</f>
        <v>1410769.7058828673</v>
      </c>
      <c r="E96">
        <f>MonthlyData!AF96</f>
        <v>364.64166666666665</v>
      </c>
      <c r="F96">
        <f>MonthlyData!BP96</f>
        <v>1</v>
      </c>
      <c r="G96" s="4">
        <f>MonthlyData!R96</f>
        <v>707</v>
      </c>
      <c r="H96">
        <f>MonthlyData!BN96</f>
        <v>0</v>
      </c>
      <c r="J96" s="4">
        <f t="shared" si="18"/>
        <v>231360.027765729</v>
      </c>
      <c r="K96" s="4">
        <f t="shared" si="19"/>
        <v>235674.30143574264</v>
      </c>
      <c r="L96" s="4">
        <f t="shared" si="20"/>
        <v>-257897.88627322801</v>
      </c>
      <c r="M96" s="4">
        <f t="shared" si="21"/>
        <v>1250821.1340458523</v>
      </c>
      <c r="N96" s="4">
        <f t="shared" si="22"/>
        <v>0</v>
      </c>
      <c r="O96" s="4">
        <f t="shared" si="13"/>
        <v>1459957.576974096</v>
      </c>
      <c r="P96" s="4">
        <f t="shared" si="14"/>
        <v>49187.871091228677</v>
      </c>
      <c r="Q96" s="182">
        <f t="shared" si="15"/>
        <v>3.4865981943131279E-2</v>
      </c>
    </row>
    <row r="97" spans="1:17" x14ac:dyDescent="0.35">
      <c r="A97" s="1">
        <f>MonthlyData!A97</f>
        <v>44531</v>
      </c>
      <c r="B97" s="13">
        <f t="shared" si="16"/>
        <v>2021</v>
      </c>
      <c r="C97" s="13">
        <f t="shared" si="17"/>
        <v>12</v>
      </c>
      <c r="D97" s="4">
        <f>MonthlyData!I97</f>
        <v>1668067.6510135117</v>
      </c>
      <c r="E97">
        <f>MonthlyData!AF97</f>
        <v>683.00833333333321</v>
      </c>
      <c r="F97">
        <f>MonthlyData!BP97</f>
        <v>0</v>
      </c>
      <c r="G97" s="4">
        <f>MonthlyData!R97</f>
        <v>709</v>
      </c>
      <c r="H97">
        <f>MonthlyData!BN97</f>
        <v>1</v>
      </c>
      <c r="J97" s="4">
        <f t="shared" si="18"/>
        <v>231360.027765729</v>
      </c>
      <c r="K97" s="4">
        <f t="shared" si="19"/>
        <v>441440.259157961</v>
      </c>
      <c r="L97" s="4">
        <f t="shared" si="20"/>
        <v>0</v>
      </c>
      <c r="M97" s="4">
        <f t="shared" si="21"/>
        <v>1254359.5248069437</v>
      </c>
      <c r="N97" s="4">
        <f t="shared" si="22"/>
        <v>-216631.706472586</v>
      </c>
      <c r="O97" s="4">
        <f t="shared" si="13"/>
        <v>1710528.1052580478</v>
      </c>
      <c r="P97" s="4">
        <f t="shared" si="14"/>
        <v>42460.454244536115</v>
      </c>
      <c r="Q97" s="182">
        <f t="shared" si="15"/>
        <v>2.545487541751517E-2</v>
      </c>
    </row>
    <row r="98" spans="1:17" x14ac:dyDescent="0.35">
      <c r="A98" s="1">
        <f>MonthlyData!A98</f>
        <v>44562</v>
      </c>
      <c r="B98" s="13">
        <f t="shared" si="16"/>
        <v>2022</v>
      </c>
      <c r="C98" s="13">
        <f t="shared" si="17"/>
        <v>1</v>
      </c>
      <c r="D98" s="4">
        <f>MonthlyData!I98</f>
        <v>1926907.4134284349</v>
      </c>
      <c r="E98">
        <f>MonthlyData!AF98</f>
        <v>990.57499999999993</v>
      </c>
      <c r="F98">
        <f>MonthlyData!BP98</f>
        <v>0</v>
      </c>
      <c r="G98" s="4">
        <f>MonthlyData!R98</f>
        <v>709</v>
      </c>
      <c r="H98">
        <f>MonthlyData!BN98</f>
        <v>0</v>
      </c>
      <c r="J98" s="4">
        <f t="shared" si="18"/>
        <v>231360.027765729</v>
      </c>
      <c r="K98" s="4">
        <f t="shared" si="19"/>
        <v>640225.98755319812</v>
      </c>
      <c r="L98" s="4">
        <f t="shared" si="20"/>
        <v>0</v>
      </c>
      <c r="M98" s="4">
        <f t="shared" si="21"/>
        <v>1254359.5248069437</v>
      </c>
      <c r="N98" s="4">
        <f t="shared" si="22"/>
        <v>0</v>
      </c>
      <c r="O98" s="4">
        <f t="shared" ref="O98:O121" si="23">SUM(J98:N98)</f>
        <v>2125945.5401258711</v>
      </c>
      <c r="P98" s="4">
        <f t="shared" ref="P98:P121" si="24">O98-D98</f>
        <v>199038.12669743621</v>
      </c>
      <c r="Q98" s="182">
        <f t="shared" ref="Q98:Q121" si="25">ABS(P98/D98)</f>
        <v>0.10329407905660562</v>
      </c>
    </row>
    <row r="99" spans="1:17" x14ac:dyDescent="0.35">
      <c r="A99" s="1">
        <f>MonthlyData!A99</f>
        <v>44593</v>
      </c>
      <c r="B99" s="13">
        <f t="shared" si="16"/>
        <v>2022</v>
      </c>
      <c r="C99" s="13">
        <f t="shared" si="17"/>
        <v>2</v>
      </c>
      <c r="D99" s="4">
        <f>MonthlyData!I99</f>
        <v>2160827.4711737516</v>
      </c>
      <c r="E99">
        <f>MonthlyData!AF99</f>
        <v>803.72083333333319</v>
      </c>
      <c r="F99">
        <f>MonthlyData!BP99</f>
        <v>0</v>
      </c>
      <c r="G99" s="4">
        <f>MonthlyData!R99</f>
        <v>709</v>
      </c>
      <c r="H99">
        <f>MonthlyData!BN99</f>
        <v>0</v>
      </c>
      <c r="J99" s="4">
        <f t="shared" si="18"/>
        <v>231360.027765729</v>
      </c>
      <c r="K99" s="4">
        <f t="shared" si="19"/>
        <v>519458.86403140868</v>
      </c>
      <c r="L99" s="4">
        <f t="shared" si="20"/>
        <v>0</v>
      </c>
      <c r="M99" s="4">
        <f t="shared" si="21"/>
        <v>1254359.5248069437</v>
      </c>
      <c r="N99" s="4">
        <f t="shared" si="22"/>
        <v>0</v>
      </c>
      <c r="O99" s="4">
        <f t="shared" si="23"/>
        <v>2005178.4166040814</v>
      </c>
      <c r="P99" s="4">
        <f t="shared" si="24"/>
        <v>-155649.05456967023</v>
      </c>
      <c r="Q99" s="182">
        <f t="shared" si="25"/>
        <v>7.2032152796133411E-2</v>
      </c>
    </row>
    <row r="100" spans="1:17" x14ac:dyDescent="0.35">
      <c r="A100" s="1">
        <f>MonthlyData!A100</f>
        <v>44621</v>
      </c>
      <c r="B100" s="13">
        <f t="shared" si="16"/>
        <v>2022</v>
      </c>
      <c r="C100" s="13">
        <f t="shared" si="17"/>
        <v>3</v>
      </c>
      <c r="D100" s="4">
        <f>MonthlyData!I100</f>
        <v>1932746.0266007786</v>
      </c>
      <c r="E100">
        <f>MonthlyData!AF100</f>
        <v>555.07083333333333</v>
      </c>
      <c r="F100">
        <f>MonthlyData!BP100</f>
        <v>0</v>
      </c>
      <c r="G100" s="4">
        <f>MonthlyData!R100</f>
        <v>705</v>
      </c>
      <c r="H100">
        <f>MonthlyData!BN100</f>
        <v>0</v>
      </c>
      <c r="J100" s="4">
        <f t="shared" si="18"/>
        <v>231360.027765729</v>
      </c>
      <c r="K100" s="4">
        <f t="shared" si="19"/>
        <v>358752.01012826897</v>
      </c>
      <c r="L100" s="4">
        <f t="shared" si="20"/>
        <v>0</v>
      </c>
      <c r="M100" s="4">
        <f t="shared" si="21"/>
        <v>1247282.7432847607</v>
      </c>
      <c r="N100" s="4">
        <f t="shared" si="22"/>
        <v>0</v>
      </c>
      <c r="O100" s="4">
        <f t="shared" si="23"/>
        <v>1837394.7811787587</v>
      </c>
      <c r="P100" s="4">
        <f t="shared" si="24"/>
        <v>-95351.245422019856</v>
      </c>
      <c r="Q100" s="182">
        <f t="shared" si="25"/>
        <v>4.9334596532436846E-2</v>
      </c>
    </row>
    <row r="101" spans="1:17" x14ac:dyDescent="0.35">
      <c r="A101" s="1">
        <f>MonthlyData!A101</f>
        <v>44652</v>
      </c>
      <c r="B101" s="13">
        <f t="shared" si="16"/>
        <v>2022</v>
      </c>
      <c r="C101" s="13">
        <f t="shared" si="17"/>
        <v>4</v>
      </c>
      <c r="D101" s="4">
        <f>MonthlyData!I101</f>
        <v>1912363.8713649923</v>
      </c>
      <c r="E101">
        <f>MonthlyData!AF101</f>
        <v>269.69166666666661</v>
      </c>
      <c r="F101">
        <f>MonthlyData!BP101</f>
        <v>0</v>
      </c>
      <c r="G101" s="4">
        <f>MonthlyData!R101</f>
        <v>709</v>
      </c>
      <c r="H101">
        <f>MonthlyData!BN101</f>
        <v>0</v>
      </c>
      <c r="J101" s="4">
        <f t="shared" si="18"/>
        <v>231360.027765729</v>
      </c>
      <c r="K101" s="4">
        <f t="shared" si="19"/>
        <v>174306.45193603166</v>
      </c>
      <c r="L101" s="4">
        <f t="shared" si="20"/>
        <v>0</v>
      </c>
      <c r="M101" s="4">
        <f t="shared" si="21"/>
        <v>1254359.5248069437</v>
      </c>
      <c r="N101" s="4">
        <f t="shared" si="22"/>
        <v>0</v>
      </c>
      <c r="O101" s="4">
        <f t="shared" si="23"/>
        <v>1660026.0045087044</v>
      </c>
      <c r="P101" s="4">
        <f t="shared" si="24"/>
        <v>-252337.86685628793</v>
      </c>
      <c r="Q101" s="182">
        <f t="shared" si="25"/>
        <v>0.13195076033107453</v>
      </c>
    </row>
    <row r="102" spans="1:17" x14ac:dyDescent="0.35">
      <c r="A102" s="1">
        <f>MonthlyData!A102</f>
        <v>44682</v>
      </c>
      <c r="B102" s="13">
        <f t="shared" si="16"/>
        <v>2022</v>
      </c>
      <c r="C102" s="13">
        <f t="shared" si="17"/>
        <v>5</v>
      </c>
      <c r="D102" s="4">
        <f>MonthlyData!I102</f>
        <v>1582272.1607022141</v>
      </c>
      <c r="E102">
        <f>MonthlyData!AF102</f>
        <v>37.020833333333329</v>
      </c>
      <c r="F102">
        <f>MonthlyData!BP102</f>
        <v>0</v>
      </c>
      <c r="G102" s="4">
        <f>MonthlyData!R102</f>
        <v>712</v>
      </c>
      <c r="H102">
        <f>MonthlyData!BN102</f>
        <v>0</v>
      </c>
      <c r="J102" s="4">
        <f t="shared" si="18"/>
        <v>231360.027765729</v>
      </c>
      <c r="K102" s="4">
        <f t="shared" si="19"/>
        <v>23927.213568761264</v>
      </c>
      <c r="L102" s="4">
        <f t="shared" si="20"/>
        <v>0</v>
      </c>
      <c r="M102" s="4">
        <f t="shared" si="21"/>
        <v>1259667.110948581</v>
      </c>
      <c r="N102" s="4">
        <f t="shared" si="22"/>
        <v>0</v>
      </c>
      <c r="O102" s="4">
        <f t="shared" si="23"/>
        <v>1514954.3522830713</v>
      </c>
      <c r="P102" s="4">
        <f t="shared" si="24"/>
        <v>-67317.80841914285</v>
      </c>
      <c r="Q102" s="182">
        <f t="shared" si="25"/>
        <v>4.2545024864285755E-2</v>
      </c>
    </row>
    <row r="103" spans="1:17" x14ac:dyDescent="0.35">
      <c r="A103" s="1">
        <f>MonthlyData!A103</f>
        <v>44713</v>
      </c>
      <c r="B103" s="13">
        <f t="shared" si="16"/>
        <v>2022</v>
      </c>
      <c r="C103" s="13">
        <f t="shared" si="17"/>
        <v>6</v>
      </c>
      <c r="D103" s="4">
        <f>MonthlyData!I103</f>
        <v>1463034.5311222468</v>
      </c>
      <c r="E103">
        <f>MonthlyData!AF103</f>
        <v>0.58750000000000036</v>
      </c>
      <c r="F103">
        <f>MonthlyData!BP103</f>
        <v>0</v>
      </c>
      <c r="G103" s="4">
        <f>MonthlyData!R103</f>
        <v>715</v>
      </c>
      <c r="H103">
        <f>MonthlyData!BN103</f>
        <v>0</v>
      </c>
      <c r="J103" s="4">
        <f t="shared" si="18"/>
        <v>231360.027765729</v>
      </c>
      <c r="K103" s="4">
        <f t="shared" si="19"/>
        <v>379.71154903717957</v>
      </c>
      <c r="L103" s="4">
        <f t="shared" si="20"/>
        <v>0</v>
      </c>
      <c r="M103" s="4">
        <f t="shared" si="21"/>
        <v>1264974.6970902183</v>
      </c>
      <c r="N103" s="4">
        <f t="shared" si="22"/>
        <v>0</v>
      </c>
      <c r="O103" s="4">
        <f t="shared" si="23"/>
        <v>1496714.4364049844</v>
      </c>
      <c r="P103" s="4">
        <f t="shared" si="24"/>
        <v>33679.905282737687</v>
      </c>
      <c r="Q103" s="182">
        <f t="shared" si="25"/>
        <v>2.3020581241444051E-2</v>
      </c>
    </row>
    <row r="104" spans="1:17" x14ac:dyDescent="0.35">
      <c r="A104" s="1">
        <f>MonthlyData!A104</f>
        <v>44743</v>
      </c>
      <c r="B104" s="13">
        <f t="shared" si="16"/>
        <v>2022</v>
      </c>
      <c r="C104" s="13">
        <f t="shared" si="17"/>
        <v>7</v>
      </c>
      <c r="D104" s="4">
        <f>MonthlyData!I104</f>
        <v>1413022.3318274003</v>
      </c>
      <c r="E104">
        <f>MonthlyData!AF104</f>
        <v>0.76620813333721038</v>
      </c>
      <c r="F104">
        <f>MonthlyData!BP104</f>
        <v>0</v>
      </c>
      <c r="G104" s="4">
        <f>MonthlyData!R104</f>
        <v>715</v>
      </c>
      <c r="H104">
        <f>MonthlyData!BN104</f>
        <v>0</v>
      </c>
      <c r="J104" s="4">
        <f t="shared" si="18"/>
        <v>231360.027765729</v>
      </c>
      <c r="K104" s="4">
        <f t="shared" si="19"/>
        <v>495.21374841592819</v>
      </c>
      <c r="L104" s="4">
        <f t="shared" si="20"/>
        <v>0</v>
      </c>
      <c r="M104" s="4">
        <f t="shared" si="21"/>
        <v>1264974.6970902183</v>
      </c>
      <c r="N104" s="4">
        <f t="shared" si="22"/>
        <v>0</v>
      </c>
      <c r="O104" s="4">
        <f t="shared" si="23"/>
        <v>1496829.9386043632</v>
      </c>
      <c r="P104" s="4">
        <f t="shared" si="24"/>
        <v>83807.606776962988</v>
      </c>
      <c r="Q104" s="182">
        <f t="shared" si="25"/>
        <v>5.93108862395531E-2</v>
      </c>
    </row>
    <row r="105" spans="1:17" x14ac:dyDescent="0.35">
      <c r="A105" s="1">
        <f>MonthlyData!A105</f>
        <v>44774</v>
      </c>
      <c r="B105" s="13">
        <f t="shared" si="16"/>
        <v>2022</v>
      </c>
      <c r="C105" s="13">
        <f t="shared" si="17"/>
        <v>8</v>
      </c>
      <c r="D105" s="4">
        <f>MonthlyData!I105</f>
        <v>1444023.7846525921</v>
      </c>
      <c r="E105">
        <f>MonthlyData!AF105</f>
        <v>1.0791666666666657</v>
      </c>
      <c r="F105">
        <f>MonthlyData!BP105</f>
        <v>0</v>
      </c>
      <c r="G105" s="4">
        <f>MonthlyData!R105</f>
        <v>715</v>
      </c>
      <c r="H105">
        <f>MonthlyData!BN105</f>
        <v>0</v>
      </c>
      <c r="J105" s="4">
        <f t="shared" si="18"/>
        <v>231360.027765729</v>
      </c>
      <c r="K105" s="4">
        <f t="shared" si="19"/>
        <v>697.48433475623665</v>
      </c>
      <c r="L105" s="4">
        <f t="shared" si="20"/>
        <v>0</v>
      </c>
      <c r="M105" s="4">
        <f t="shared" si="21"/>
        <v>1264974.6970902183</v>
      </c>
      <c r="N105" s="4">
        <f t="shared" si="22"/>
        <v>0</v>
      </c>
      <c r="O105" s="4">
        <f t="shared" si="23"/>
        <v>1497032.2091907035</v>
      </c>
      <c r="P105" s="4">
        <f t="shared" si="24"/>
        <v>53008.424538111314</v>
      </c>
      <c r="Q105" s="182">
        <f t="shared" si="25"/>
        <v>3.6708830631113361E-2</v>
      </c>
    </row>
    <row r="106" spans="1:17" x14ac:dyDescent="0.35">
      <c r="A106" s="1">
        <f>MonthlyData!A106</f>
        <v>44805</v>
      </c>
      <c r="B106" s="13">
        <f t="shared" si="16"/>
        <v>2022</v>
      </c>
      <c r="C106" s="13">
        <f t="shared" si="17"/>
        <v>9</v>
      </c>
      <c r="D106" s="4">
        <f>MonthlyData!I106</f>
        <v>1459452.2654821102</v>
      </c>
      <c r="E106">
        <f>MonthlyData!AF106</f>
        <v>23.4375</v>
      </c>
      <c r="F106">
        <f>MonthlyData!BP106</f>
        <v>0</v>
      </c>
      <c r="G106" s="4">
        <f>MonthlyData!R106</f>
        <v>715</v>
      </c>
      <c r="H106">
        <f>MonthlyData!BN106</f>
        <v>0</v>
      </c>
      <c r="J106" s="4">
        <f t="shared" si="18"/>
        <v>231360.027765729</v>
      </c>
      <c r="K106" s="4">
        <f t="shared" si="19"/>
        <v>15148.067115844922</v>
      </c>
      <c r="L106" s="4">
        <f t="shared" si="20"/>
        <v>0</v>
      </c>
      <c r="M106" s="4">
        <f t="shared" si="21"/>
        <v>1264974.6970902183</v>
      </c>
      <c r="N106" s="4">
        <f t="shared" si="22"/>
        <v>0</v>
      </c>
      <c r="O106" s="4">
        <f t="shared" si="23"/>
        <v>1511482.7919717922</v>
      </c>
      <c r="P106" s="4">
        <f t="shared" si="24"/>
        <v>52030.52648968203</v>
      </c>
      <c r="Q106" s="182">
        <f t="shared" si="25"/>
        <v>3.5650721657891599E-2</v>
      </c>
    </row>
    <row r="107" spans="1:17" x14ac:dyDescent="0.35">
      <c r="A107" s="1">
        <f>MonthlyData!A107</f>
        <v>44835</v>
      </c>
      <c r="B107" s="13">
        <f t="shared" si="16"/>
        <v>2022</v>
      </c>
      <c r="C107" s="13">
        <f t="shared" si="17"/>
        <v>10</v>
      </c>
      <c r="D107" s="4">
        <f>MonthlyData!I107</f>
        <v>1385483.647600366</v>
      </c>
      <c r="E107">
        <f>MonthlyData!AF107</f>
        <v>133.35833333333338</v>
      </c>
      <c r="F107">
        <f>MonthlyData!BP107</f>
        <v>1</v>
      </c>
      <c r="G107" s="4">
        <f>MonthlyData!R107</f>
        <v>714</v>
      </c>
      <c r="H107">
        <f>MonthlyData!BN107</f>
        <v>0</v>
      </c>
      <c r="J107" s="4">
        <f t="shared" si="18"/>
        <v>231360.027765729</v>
      </c>
      <c r="K107" s="4">
        <f t="shared" si="19"/>
        <v>86191.828641730259</v>
      </c>
      <c r="L107" s="4">
        <f t="shared" si="20"/>
        <v>-257897.88627322801</v>
      </c>
      <c r="M107" s="4">
        <f t="shared" si="21"/>
        <v>1263205.5017096726</v>
      </c>
      <c r="N107" s="4">
        <f t="shared" si="22"/>
        <v>0</v>
      </c>
      <c r="O107" s="4">
        <f t="shared" si="23"/>
        <v>1322859.4718439039</v>
      </c>
      <c r="P107" s="4">
        <f t="shared" si="24"/>
        <v>-62624.175756462151</v>
      </c>
      <c r="Q107" s="182">
        <f t="shared" si="25"/>
        <v>4.5200227274371771E-2</v>
      </c>
    </row>
    <row r="108" spans="1:17" x14ac:dyDescent="0.35">
      <c r="A108" s="1">
        <f>MonthlyData!A108</f>
        <v>44866</v>
      </c>
      <c r="B108" s="13">
        <f t="shared" si="16"/>
        <v>2022</v>
      </c>
      <c r="C108" s="13">
        <f t="shared" si="17"/>
        <v>11</v>
      </c>
      <c r="D108" s="4">
        <f>MonthlyData!I108</f>
        <v>1494225.9685888838</v>
      </c>
      <c r="E108">
        <f>MonthlyData!AF108</f>
        <v>355.58750000000009</v>
      </c>
      <c r="F108">
        <f>MonthlyData!BP108</f>
        <v>1</v>
      </c>
      <c r="G108" s="4">
        <f>MonthlyData!R108</f>
        <v>713</v>
      </c>
      <c r="H108">
        <f>MonthlyData!BN108</f>
        <v>0</v>
      </c>
      <c r="J108" s="4">
        <f t="shared" si="18"/>
        <v>231360.027765729</v>
      </c>
      <c r="K108" s="4">
        <f t="shared" si="19"/>
        <v>229822.43479703498</v>
      </c>
      <c r="L108" s="4">
        <f t="shared" si="20"/>
        <v>-257897.88627322801</v>
      </c>
      <c r="M108" s="4">
        <f t="shared" si="21"/>
        <v>1261436.3063291269</v>
      </c>
      <c r="N108" s="4">
        <f t="shared" si="22"/>
        <v>0</v>
      </c>
      <c r="O108" s="4">
        <f t="shared" si="23"/>
        <v>1464720.8826186629</v>
      </c>
      <c r="P108" s="4">
        <f t="shared" si="24"/>
        <v>-29505.085970220855</v>
      </c>
      <c r="Q108" s="182">
        <f t="shared" si="25"/>
        <v>1.9746066920577517E-2</v>
      </c>
    </row>
    <row r="109" spans="1:17" x14ac:dyDescent="0.35">
      <c r="A109" s="1">
        <f>MonthlyData!A109</f>
        <v>44896</v>
      </c>
      <c r="B109" s="13">
        <f t="shared" si="16"/>
        <v>2022</v>
      </c>
      <c r="C109" s="13">
        <f t="shared" si="17"/>
        <v>12</v>
      </c>
      <c r="D109" s="4">
        <f>MonthlyData!I109</f>
        <v>1680449.1749027357</v>
      </c>
      <c r="E109">
        <f>MonthlyData!AF109</f>
        <v>628.47916666666674</v>
      </c>
      <c r="F109">
        <f>MonthlyData!BP109</f>
        <v>0</v>
      </c>
      <c r="G109" s="4">
        <f>MonthlyData!R109</f>
        <v>715</v>
      </c>
      <c r="H109">
        <f>MonthlyData!BN109</f>
        <v>1</v>
      </c>
      <c r="J109" s="4">
        <f t="shared" si="18"/>
        <v>231360.027765729</v>
      </c>
      <c r="K109" s="4">
        <f t="shared" si="19"/>
        <v>406197.10282995005</v>
      </c>
      <c r="L109" s="4">
        <f t="shared" si="20"/>
        <v>0</v>
      </c>
      <c r="M109" s="4">
        <f t="shared" si="21"/>
        <v>1264974.6970902183</v>
      </c>
      <c r="N109" s="4">
        <f t="shared" si="22"/>
        <v>-216631.706472586</v>
      </c>
      <c r="O109" s="4">
        <f t="shared" si="23"/>
        <v>1685900.1212133113</v>
      </c>
      <c r="P109" s="4">
        <f t="shared" si="24"/>
        <v>5450.9463105755858</v>
      </c>
      <c r="Q109" s="182">
        <f t="shared" si="25"/>
        <v>3.2437436323482297E-3</v>
      </c>
    </row>
    <row r="110" spans="1:17" x14ac:dyDescent="0.35">
      <c r="A110" s="1">
        <f>MonthlyData!A110</f>
        <v>44927</v>
      </c>
      <c r="B110" s="13">
        <f t="shared" si="16"/>
        <v>2023</v>
      </c>
      <c r="C110" s="13">
        <f t="shared" si="17"/>
        <v>1</v>
      </c>
      <c r="D110" s="4">
        <f>MonthlyData!I110</f>
        <v>1905264.2219758234</v>
      </c>
      <c r="E110">
        <f>MonthlyData!AF110</f>
        <v>694.54583333333335</v>
      </c>
      <c r="F110">
        <f>MonthlyData!BP110</f>
        <v>0</v>
      </c>
      <c r="G110" s="4">
        <f>MonthlyData!R110</f>
        <v>718</v>
      </c>
      <c r="H110">
        <f>MonthlyData!BN110</f>
        <v>0</v>
      </c>
      <c r="J110" s="4">
        <f t="shared" si="18"/>
        <v>231360.027765729</v>
      </c>
      <c r="K110" s="4">
        <f t="shared" si="19"/>
        <v>448897.14766352106</v>
      </c>
      <c r="L110" s="4">
        <f t="shared" si="20"/>
        <v>0</v>
      </c>
      <c r="M110" s="4">
        <f t="shared" si="21"/>
        <v>1270282.2832318556</v>
      </c>
      <c r="N110" s="4">
        <f t="shared" si="22"/>
        <v>0</v>
      </c>
      <c r="O110" s="4">
        <f t="shared" si="23"/>
        <v>1950539.4586611057</v>
      </c>
      <c r="P110" s="4">
        <f t="shared" si="24"/>
        <v>45275.236685282318</v>
      </c>
      <c r="Q110" s="182">
        <f t="shared" si="25"/>
        <v>2.3763232502382461E-2</v>
      </c>
    </row>
    <row r="111" spans="1:17" x14ac:dyDescent="0.35">
      <c r="A111" s="1">
        <f>MonthlyData!A111</f>
        <v>44958</v>
      </c>
      <c r="B111" s="13">
        <f t="shared" si="16"/>
        <v>2023</v>
      </c>
      <c r="C111" s="13">
        <f t="shared" si="17"/>
        <v>2</v>
      </c>
      <c r="D111" s="4">
        <f>MonthlyData!I111</f>
        <v>1974339.2236516613</v>
      </c>
      <c r="E111">
        <f>MonthlyData!AF111</f>
        <v>671.62500000000023</v>
      </c>
      <c r="F111">
        <f>MonthlyData!BP111</f>
        <v>0</v>
      </c>
      <c r="G111" s="4">
        <f>MonthlyData!R111</f>
        <v>716</v>
      </c>
      <c r="H111">
        <f>MonthlyData!BN111</f>
        <v>0</v>
      </c>
      <c r="J111" s="4">
        <f t="shared" si="18"/>
        <v>231360.027765729</v>
      </c>
      <c r="K111" s="4">
        <f t="shared" si="19"/>
        <v>434083.01127165224</v>
      </c>
      <c r="L111" s="4">
        <f t="shared" si="20"/>
        <v>0</v>
      </c>
      <c r="M111" s="4">
        <f t="shared" si="21"/>
        <v>1266743.892470764</v>
      </c>
      <c r="N111" s="4">
        <f t="shared" si="22"/>
        <v>0</v>
      </c>
      <c r="O111" s="4">
        <f t="shared" si="23"/>
        <v>1932186.9315081453</v>
      </c>
      <c r="P111" s="4">
        <f t="shared" si="24"/>
        <v>-42152.29214351601</v>
      </c>
      <c r="Q111" s="182">
        <f t="shared" si="25"/>
        <v>2.1350075832233511E-2</v>
      </c>
    </row>
    <row r="112" spans="1:17" x14ac:dyDescent="0.35">
      <c r="A112" s="1">
        <f>MonthlyData!A112</f>
        <v>44986</v>
      </c>
      <c r="B112" s="13">
        <f t="shared" si="16"/>
        <v>2023</v>
      </c>
      <c r="C112" s="13">
        <f t="shared" si="17"/>
        <v>3</v>
      </c>
      <c r="D112" s="4">
        <f>MonthlyData!I112</f>
        <v>1882647.2363357965</v>
      </c>
      <c r="E112">
        <f>MonthlyData!AF112</f>
        <v>598.18749999999989</v>
      </c>
      <c r="F112">
        <f>MonthlyData!BP112</f>
        <v>0</v>
      </c>
      <c r="G112" s="4">
        <f>MonthlyData!R112</f>
        <v>719</v>
      </c>
      <c r="H112">
        <f>MonthlyData!BN112</f>
        <v>0</v>
      </c>
      <c r="J112" s="4">
        <f t="shared" si="18"/>
        <v>231360.027765729</v>
      </c>
      <c r="K112" s="4">
        <f t="shared" si="19"/>
        <v>386619.06764200458</v>
      </c>
      <c r="L112" s="4">
        <f t="shared" si="20"/>
        <v>0</v>
      </c>
      <c r="M112" s="4">
        <f t="shared" si="21"/>
        <v>1272051.4786124013</v>
      </c>
      <c r="N112" s="4">
        <f t="shared" si="22"/>
        <v>0</v>
      </c>
      <c r="O112" s="4">
        <f t="shared" si="23"/>
        <v>1890030.5740201348</v>
      </c>
      <c r="P112" s="4">
        <f t="shared" si="24"/>
        <v>7383.3376843382139</v>
      </c>
      <c r="Q112" s="182">
        <f t="shared" si="25"/>
        <v>3.9217849960614141E-3</v>
      </c>
    </row>
    <row r="113" spans="1:17" x14ac:dyDescent="0.35">
      <c r="A113" s="1">
        <f>MonthlyData!A113</f>
        <v>45017</v>
      </c>
      <c r="B113" s="13">
        <f t="shared" si="16"/>
        <v>2023</v>
      </c>
      <c r="C113" s="13">
        <f t="shared" si="17"/>
        <v>4</v>
      </c>
      <c r="D113" s="4">
        <f>MonthlyData!I113</f>
        <v>1867618.501662056</v>
      </c>
      <c r="E113">
        <f>MonthlyData!AF113</f>
        <v>288.91250000000008</v>
      </c>
      <c r="F113">
        <f>MonthlyData!BP113</f>
        <v>0</v>
      </c>
      <c r="G113" s="4">
        <f>MonthlyData!R113</f>
        <v>714</v>
      </c>
      <c r="H113">
        <f>MonthlyData!BN113</f>
        <v>0</v>
      </c>
      <c r="J113" s="4">
        <f t="shared" si="18"/>
        <v>231360.027765729</v>
      </c>
      <c r="K113" s="4">
        <f t="shared" si="19"/>
        <v>186729.21346587935</v>
      </c>
      <c r="L113" s="4">
        <f t="shared" si="20"/>
        <v>0</v>
      </c>
      <c r="M113" s="4">
        <f t="shared" si="21"/>
        <v>1263205.5017096726</v>
      </c>
      <c r="N113" s="4">
        <f t="shared" si="22"/>
        <v>0</v>
      </c>
      <c r="O113" s="4">
        <f t="shared" si="23"/>
        <v>1681294.7429412808</v>
      </c>
      <c r="P113" s="4">
        <f t="shared" si="24"/>
        <v>-186323.75872077513</v>
      </c>
      <c r="Q113" s="182">
        <f t="shared" si="25"/>
        <v>9.9765427765338269E-2</v>
      </c>
    </row>
    <row r="114" spans="1:17" x14ac:dyDescent="0.35">
      <c r="A114" s="1">
        <f>MonthlyData!A114</f>
        <v>45047</v>
      </c>
      <c r="B114" s="13">
        <f t="shared" si="16"/>
        <v>2023</v>
      </c>
      <c r="C114" s="13">
        <f t="shared" si="17"/>
        <v>5</v>
      </c>
      <c r="D114" s="4">
        <f>MonthlyData!I114</f>
        <v>1578145.3866843837</v>
      </c>
      <c r="E114">
        <f>MonthlyData!AF114</f>
        <v>53.558333333333323</v>
      </c>
      <c r="F114">
        <f>MonthlyData!BP114</f>
        <v>0</v>
      </c>
      <c r="G114" s="4">
        <f>MonthlyData!R114</f>
        <v>714</v>
      </c>
      <c r="H114">
        <f>MonthlyData!BN114</f>
        <v>0</v>
      </c>
      <c r="J114" s="4">
        <f t="shared" si="18"/>
        <v>231360.027765729</v>
      </c>
      <c r="K114" s="4">
        <f t="shared" si="19"/>
        <v>34615.689725701435</v>
      </c>
      <c r="L114" s="4">
        <f t="shared" si="20"/>
        <v>0</v>
      </c>
      <c r="M114" s="4">
        <f t="shared" si="21"/>
        <v>1263205.5017096726</v>
      </c>
      <c r="N114" s="4">
        <f t="shared" si="22"/>
        <v>0</v>
      </c>
      <c r="O114" s="4">
        <f t="shared" si="23"/>
        <v>1529181.2192011031</v>
      </c>
      <c r="P114" s="4">
        <f t="shared" si="24"/>
        <v>-48964.167483280646</v>
      </c>
      <c r="Q114" s="182">
        <f t="shared" si="25"/>
        <v>3.1026398389157463E-2</v>
      </c>
    </row>
    <row r="115" spans="1:17" x14ac:dyDescent="0.35">
      <c r="A115" s="1">
        <f>MonthlyData!A115</f>
        <v>45078</v>
      </c>
      <c r="B115" s="13">
        <f t="shared" si="16"/>
        <v>2023</v>
      </c>
      <c r="C115" s="13">
        <f t="shared" si="17"/>
        <v>6</v>
      </c>
      <c r="D115" s="4">
        <f>MonthlyData!I115</f>
        <v>1492657.8417762832</v>
      </c>
      <c r="E115">
        <f>MonthlyData!AF115</f>
        <v>1.0041666666666664</v>
      </c>
      <c r="F115">
        <f>MonthlyData!BP115</f>
        <v>0</v>
      </c>
      <c r="G115" s="4">
        <f>MonthlyData!R115</f>
        <v>720</v>
      </c>
      <c r="H115">
        <f>MonthlyData!BN115</f>
        <v>0</v>
      </c>
      <c r="J115" s="4">
        <f t="shared" si="18"/>
        <v>231360.027765729</v>
      </c>
      <c r="K115" s="4">
        <f t="shared" si="19"/>
        <v>649.01051998553339</v>
      </c>
      <c r="L115" s="4">
        <f t="shared" si="20"/>
        <v>0</v>
      </c>
      <c r="M115" s="4">
        <f t="shared" si="21"/>
        <v>1273820.6739929472</v>
      </c>
      <c r="N115" s="4">
        <f t="shared" si="22"/>
        <v>0</v>
      </c>
      <c r="O115" s="4">
        <f t="shared" si="23"/>
        <v>1505829.7122786618</v>
      </c>
      <c r="P115" s="4">
        <f t="shared" si="24"/>
        <v>13171.870502378559</v>
      </c>
      <c r="Q115" s="182">
        <f t="shared" si="25"/>
        <v>8.8244406278024535E-3</v>
      </c>
    </row>
    <row r="116" spans="1:17" x14ac:dyDescent="0.35">
      <c r="A116" s="1">
        <f>MonthlyData!A116</f>
        <v>45108</v>
      </c>
      <c r="B116" s="13">
        <f t="shared" si="16"/>
        <v>2023</v>
      </c>
      <c r="C116" s="13">
        <f t="shared" si="17"/>
        <v>7</v>
      </c>
      <c r="D116" s="4">
        <f>MonthlyData!I116</f>
        <v>1469523.6742042131</v>
      </c>
      <c r="E116">
        <f>MonthlyData!AF116</f>
        <v>0</v>
      </c>
      <c r="F116">
        <f>MonthlyData!BP116</f>
        <v>0</v>
      </c>
      <c r="G116" s="4">
        <f>MonthlyData!R116</f>
        <v>720</v>
      </c>
      <c r="H116">
        <f>MonthlyData!BN116</f>
        <v>0</v>
      </c>
      <c r="J116" s="4">
        <f t="shared" si="18"/>
        <v>231360.027765729</v>
      </c>
      <c r="K116" s="4">
        <f t="shared" si="19"/>
        <v>0</v>
      </c>
      <c r="L116" s="4">
        <f t="shared" si="20"/>
        <v>0</v>
      </c>
      <c r="M116" s="4">
        <f t="shared" si="21"/>
        <v>1273820.6739929472</v>
      </c>
      <c r="N116" s="4">
        <f t="shared" si="22"/>
        <v>0</v>
      </c>
      <c r="O116" s="4">
        <f t="shared" si="23"/>
        <v>1505180.7017586762</v>
      </c>
      <c r="P116" s="4">
        <f t="shared" si="24"/>
        <v>35657.027554463129</v>
      </c>
      <c r="Q116" s="182">
        <f t="shared" si="25"/>
        <v>2.4264343732857775E-2</v>
      </c>
    </row>
    <row r="117" spans="1:17" x14ac:dyDescent="0.35">
      <c r="A117" s="1">
        <f>MonthlyData!A117</f>
        <v>45139</v>
      </c>
      <c r="B117" s="13">
        <f t="shared" si="16"/>
        <v>2023</v>
      </c>
      <c r="C117" s="13">
        <f t="shared" si="17"/>
        <v>8</v>
      </c>
      <c r="D117" s="4">
        <f>MonthlyData!I117</f>
        <v>1469068.243886916</v>
      </c>
      <c r="E117">
        <f>MonthlyData!AF117</f>
        <v>2.44166666666667</v>
      </c>
      <c r="F117">
        <f>MonthlyData!BP117</f>
        <v>0</v>
      </c>
      <c r="G117" s="4">
        <f>MonthlyData!R117</f>
        <v>714</v>
      </c>
      <c r="H117">
        <f>MonthlyData!BN117</f>
        <v>0</v>
      </c>
      <c r="J117" s="4">
        <f t="shared" si="18"/>
        <v>231360.027765729</v>
      </c>
      <c r="K117" s="4">
        <f t="shared" si="19"/>
        <v>1578.0919697573574</v>
      </c>
      <c r="L117" s="4">
        <f t="shared" si="20"/>
        <v>0</v>
      </c>
      <c r="M117" s="4">
        <f t="shared" si="21"/>
        <v>1263205.5017096726</v>
      </c>
      <c r="N117" s="4">
        <f t="shared" si="22"/>
        <v>0</v>
      </c>
      <c r="O117" s="4">
        <f t="shared" si="23"/>
        <v>1496143.621445159</v>
      </c>
      <c r="P117" s="4">
        <f t="shared" si="24"/>
        <v>27075.377558242995</v>
      </c>
      <c r="Q117" s="182">
        <f t="shared" si="25"/>
        <v>1.8430306196399661E-2</v>
      </c>
    </row>
    <row r="118" spans="1:17" x14ac:dyDescent="0.35">
      <c r="A118" s="1">
        <f>MonthlyData!A118</f>
        <v>45170</v>
      </c>
      <c r="B118" s="13">
        <f t="shared" si="16"/>
        <v>2023</v>
      </c>
      <c r="C118" s="13">
        <f t="shared" si="17"/>
        <v>9</v>
      </c>
      <c r="D118" s="4">
        <f>MonthlyData!I118</f>
        <v>1397330.2603077565</v>
      </c>
      <c r="E118">
        <f>MonthlyData!AF118</f>
        <v>13.108333333333334</v>
      </c>
      <c r="F118">
        <f>MonthlyData!BP118</f>
        <v>0</v>
      </c>
      <c r="G118" s="4">
        <f>MonthlyData!R118</f>
        <v>714</v>
      </c>
      <c r="H118">
        <f>MonthlyData!BN118</f>
        <v>0</v>
      </c>
      <c r="J118" s="4">
        <f t="shared" si="18"/>
        <v>231360.027765729</v>
      </c>
      <c r="K118" s="4">
        <f t="shared" si="19"/>
        <v>8472.1456260352224</v>
      </c>
      <c r="L118" s="4">
        <f t="shared" si="20"/>
        <v>0</v>
      </c>
      <c r="M118" s="4">
        <f t="shared" si="21"/>
        <v>1263205.5017096726</v>
      </c>
      <c r="N118" s="4">
        <f t="shared" si="22"/>
        <v>0</v>
      </c>
      <c r="O118" s="4">
        <f t="shared" si="23"/>
        <v>1503037.6751014369</v>
      </c>
      <c r="P118" s="4">
        <f t="shared" si="24"/>
        <v>105707.41479368042</v>
      </c>
      <c r="Q118" s="182">
        <f t="shared" si="25"/>
        <v>7.5649556727125325E-2</v>
      </c>
    </row>
    <row r="119" spans="1:17" x14ac:dyDescent="0.35">
      <c r="A119" s="1">
        <f>MonthlyData!A119</f>
        <v>45200</v>
      </c>
      <c r="B119" s="13">
        <f t="shared" si="16"/>
        <v>2023</v>
      </c>
      <c r="C119" s="13">
        <f t="shared" si="17"/>
        <v>10</v>
      </c>
      <c r="D119" s="4">
        <f>MonthlyData!I119</f>
        <v>1335558.5748998993</v>
      </c>
      <c r="E119">
        <f>MonthlyData!AF119</f>
        <v>167.78333333333333</v>
      </c>
      <c r="F119">
        <f>MonthlyData!BP119</f>
        <v>1</v>
      </c>
      <c r="G119" s="4">
        <f>MonthlyData!R119</f>
        <v>712</v>
      </c>
      <c r="H119">
        <f>MonthlyData!BN119</f>
        <v>0</v>
      </c>
      <c r="J119" s="4">
        <f t="shared" si="18"/>
        <v>231360.027765729</v>
      </c>
      <c r="K119" s="4">
        <f t="shared" si="19"/>
        <v>108441.30962148325</v>
      </c>
      <c r="L119" s="4">
        <f t="shared" si="20"/>
        <v>-257897.88627322801</v>
      </c>
      <c r="M119" s="4">
        <f t="shared" si="21"/>
        <v>1259667.110948581</v>
      </c>
      <c r="N119" s="4">
        <f t="shared" si="22"/>
        <v>0</v>
      </c>
      <c r="O119" s="4">
        <f t="shared" si="23"/>
        <v>1341570.5620625652</v>
      </c>
      <c r="P119" s="4">
        <f t="shared" si="24"/>
        <v>6011.9871626659296</v>
      </c>
      <c r="Q119" s="182">
        <f t="shared" si="25"/>
        <v>4.5014777155068103E-3</v>
      </c>
    </row>
    <row r="120" spans="1:17" x14ac:dyDescent="0.35">
      <c r="A120" s="1">
        <f>MonthlyData!A120</f>
        <v>45231</v>
      </c>
      <c r="B120" s="13">
        <f t="shared" si="16"/>
        <v>2023</v>
      </c>
      <c r="C120" s="13">
        <f t="shared" si="17"/>
        <v>11</v>
      </c>
      <c r="D120" s="4">
        <f>MonthlyData!I120</f>
        <v>1471313.5202568101</v>
      </c>
      <c r="E120">
        <f>MonthlyData!AF120</f>
        <v>406.07916666666671</v>
      </c>
      <c r="F120">
        <f>MonthlyData!BP120</f>
        <v>1</v>
      </c>
      <c r="G120" s="4">
        <f>MonthlyData!R120</f>
        <v>716</v>
      </c>
      <c r="H120">
        <f>MonthlyData!BN120</f>
        <v>0</v>
      </c>
      <c r="J120" s="4">
        <f t="shared" si="18"/>
        <v>231360.027765729</v>
      </c>
      <c r="K120" s="4">
        <f t="shared" si="19"/>
        <v>262456.08409655653</v>
      </c>
      <c r="L120" s="4">
        <f t="shared" si="20"/>
        <v>-257897.88627322801</v>
      </c>
      <c r="M120" s="4">
        <f t="shared" si="21"/>
        <v>1266743.892470764</v>
      </c>
      <c r="N120" s="4">
        <f t="shared" si="22"/>
        <v>0</v>
      </c>
      <c r="O120" s="4">
        <f t="shared" si="23"/>
        <v>1502662.1180598214</v>
      </c>
      <c r="P120" s="4">
        <f t="shared" si="24"/>
        <v>31348.597803011304</v>
      </c>
      <c r="Q120" s="182">
        <f t="shared" si="25"/>
        <v>2.1306538254021869E-2</v>
      </c>
    </row>
    <row r="121" spans="1:17" x14ac:dyDescent="0.35">
      <c r="A121" s="1">
        <f>MonthlyData!A121</f>
        <v>45261</v>
      </c>
      <c r="B121" s="13">
        <f t="shared" si="16"/>
        <v>2023</v>
      </c>
      <c r="C121" s="13">
        <f t="shared" si="17"/>
        <v>12</v>
      </c>
      <c r="D121" s="4">
        <f>MonthlyData!I121</f>
        <v>1677752.5646037958</v>
      </c>
      <c r="E121">
        <f>MonthlyData!AF121</f>
        <v>471.83333333333337</v>
      </c>
      <c r="F121">
        <f>MonthlyData!BP121</f>
        <v>0</v>
      </c>
      <c r="G121" s="4">
        <f>MonthlyData!R121</f>
        <v>714</v>
      </c>
      <c r="H121">
        <f>MonthlyData!BN121</f>
        <v>1</v>
      </c>
      <c r="J121" s="4">
        <f t="shared" si="18"/>
        <v>231360.027765729</v>
      </c>
      <c r="K121" s="4">
        <f t="shared" si="19"/>
        <v>304954.15470191627</v>
      </c>
      <c r="L121" s="4">
        <f t="shared" si="20"/>
        <v>0</v>
      </c>
      <c r="M121" s="4">
        <f t="shared" si="21"/>
        <v>1263205.5017096726</v>
      </c>
      <c r="N121" s="4">
        <f t="shared" si="22"/>
        <v>-216631.706472586</v>
      </c>
      <c r="O121" s="4">
        <f t="shared" si="23"/>
        <v>1582887.977704732</v>
      </c>
      <c r="P121" s="4">
        <f t="shared" si="24"/>
        <v>-94864.586899063783</v>
      </c>
      <c r="Q121" s="182">
        <f t="shared" si="25"/>
        <v>5.6542656468217781E-2</v>
      </c>
    </row>
    <row r="122" spans="1:17" x14ac:dyDescent="0.35">
      <c r="A122" s="1">
        <f>MonthlyData!A122</f>
        <v>45292</v>
      </c>
      <c r="B122" s="13">
        <f t="shared" ref="B122:B131" si="26">YEAR(A122)</f>
        <v>2024</v>
      </c>
      <c r="C122" s="13">
        <f t="shared" ref="C122:C131" si="27">MONTH(A122)</f>
        <v>1</v>
      </c>
      <c r="D122" s="4">
        <f>MonthlyData!I122</f>
        <v>1776466.2983720335</v>
      </c>
      <c r="E122">
        <f>MonthlyData!AF122</f>
        <v>684.4</v>
      </c>
      <c r="F122">
        <f>MonthlyData!BP122</f>
        <v>0</v>
      </c>
      <c r="G122" s="4">
        <f>MonthlyData!R122</f>
        <v>710</v>
      </c>
      <c r="H122">
        <f>MonthlyData!BN122</f>
        <v>0</v>
      </c>
      <c r="J122" s="4">
        <f t="shared" si="18"/>
        <v>231360.027765729</v>
      </c>
      <c r="K122" s="4">
        <f t="shared" ref="K122:K131" si="28">E122*$T$8</f>
        <v>442339.7177209286</v>
      </c>
      <c r="L122" s="4">
        <f t="shared" ref="L122:L131" si="29">F122*$T$9</f>
        <v>0</v>
      </c>
      <c r="M122" s="4">
        <f t="shared" ref="M122:M131" si="30">G122*$T$10</f>
        <v>1256128.7201874896</v>
      </c>
      <c r="N122" s="4">
        <f t="shared" ref="N122:N131" si="31">H122*$T$11</f>
        <v>0</v>
      </c>
      <c r="O122" s="4">
        <f t="shared" ref="O122:O131" si="32">SUM(J122:N122)</f>
        <v>1929828.4656741472</v>
      </c>
      <c r="P122" s="4">
        <f t="shared" ref="P122:P131" si="33">O122-D122</f>
        <v>153362.16730211372</v>
      </c>
      <c r="Q122" s="182">
        <f t="shared" ref="Q122:Q131" si="34">ABS(P122/D122)</f>
        <v>8.6329905297193602E-2</v>
      </c>
    </row>
    <row r="123" spans="1:17" x14ac:dyDescent="0.35">
      <c r="A123" s="1">
        <f>MonthlyData!A123</f>
        <v>45323</v>
      </c>
      <c r="B123" s="13">
        <f t="shared" si="26"/>
        <v>2024</v>
      </c>
      <c r="C123" s="13">
        <f t="shared" si="27"/>
        <v>2</v>
      </c>
      <c r="D123" s="4">
        <f>MonthlyData!I123</f>
        <v>1933374.5475966891</v>
      </c>
      <c r="E123">
        <f>MonthlyData!AF123</f>
        <v>592.89999999999986</v>
      </c>
      <c r="F123">
        <f>MonthlyData!BP123</f>
        <v>0</v>
      </c>
      <c r="G123" s="4">
        <f>MonthlyData!R123</f>
        <v>711</v>
      </c>
      <c r="H123">
        <f>MonthlyData!BN123</f>
        <v>0</v>
      </c>
      <c r="J123" s="4">
        <f t="shared" si="18"/>
        <v>231360.027765729</v>
      </c>
      <c r="K123" s="4">
        <f t="shared" si="28"/>
        <v>383201.66370066995</v>
      </c>
      <c r="L123" s="4">
        <f t="shared" si="29"/>
        <v>0</v>
      </c>
      <c r="M123" s="4">
        <f t="shared" si="30"/>
        <v>1257897.9155680353</v>
      </c>
      <c r="N123" s="4">
        <f t="shared" si="31"/>
        <v>0</v>
      </c>
      <c r="O123" s="4">
        <f t="shared" si="32"/>
        <v>1872459.6070344343</v>
      </c>
      <c r="P123" s="4">
        <f t="shared" si="33"/>
        <v>-60914.940562254749</v>
      </c>
      <c r="Q123" s="182">
        <f t="shared" si="34"/>
        <v>3.1507056218349414E-2</v>
      </c>
    </row>
    <row r="124" spans="1:17" x14ac:dyDescent="0.35">
      <c r="A124" s="1">
        <f>MonthlyData!A124</f>
        <v>45352</v>
      </c>
      <c r="B124" s="13">
        <f t="shared" si="26"/>
        <v>2024</v>
      </c>
      <c r="C124" s="13">
        <f t="shared" si="27"/>
        <v>3</v>
      </c>
      <c r="D124" s="4">
        <f>MonthlyData!I124</f>
        <v>1755628.7968213446</v>
      </c>
      <c r="E124">
        <f>MonthlyData!AF124</f>
        <v>461.4</v>
      </c>
      <c r="F124">
        <f>MonthlyData!BP124</f>
        <v>0</v>
      </c>
      <c r="G124" s="4">
        <f>MonthlyData!R124</f>
        <v>714</v>
      </c>
      <c r="H124">
        <f>MonthlyData!BN124</f>
        <v>0</v>
      </c>
      <c r="J124" s="4">
        <f t="shared" si="18"/>
        <v>231360.027765729</v>
      </c>
      <c r="K124" s="4">
        <f t="shared" si="28"/>
        <v>298210.90846936946</v>
      </c>
      <c r="L124" s="4">
        <f t="shared" si="29"/>
        <v>0</v>
      </c>
      <c r="M124" s="4">
        <f t="shared" si="30"/>
        <v>1263205.5017096726</v>
      </c>
      <c r="N124" s="4">
        <f t="shared" si="31"/>
        <v>0</v>
      </c>
      <c r="O124" s="4">
        <f t="shared" si="32"/>
        <v>1792776.437944771</v>
      </c>
      <c r="P124" s="4">
        <f t="shared" si="33"/>
        <v>37147.64112342638</v>
      </c>
      <c r="Q124" s="182">
        <f t="shared" si="34"/>
        <v>2.1159165986958106E-2</v>
      </c>
    </row>
    <row r="125" spans="1:17" x14ac:dyDescent="0.35">
      <c r="A125" s="1">
        <f>MonthlyData!A125</f>
        <v>45383</v>
      </c>
      <c r="B125" s="13">
        <f t="shared" si="26"/>
        <v>2024</v>
      </c>
      <c r="C125" s="13">
        <f t="shared" si="27"/>
        <v>4</v>
      </c>
      <c r="D125" s="4">
        <f>MonthlyData!I125</f>
        <v>1729157.0460460004</v>
      </c>
      <c r="E125">
        <f>MonthlyData!AF125</f>
        <v>221.40000000000003</v>
      </c>
      <c r="F125">
        <f>MonthlyData!BP125</f>
        <v>0</v>
      </c>
      <c r="G125" s="4">
        <f>MonthlyData!R125</f>
        <v>713</v>
      </c>
      <c r="H125">
        <f>MonthlyData!BN125</f>
        <v>0</v>
      </c>
      <c r="J125" s="4">
        <f t="shared" si="18"/>
        <v>231360.027765729</v>
      </c>
      <c r="K125" s="4">
        <f t="shared" si="28"/>
        <v>143094.7012031175</v>
      </c>
      <c r="L125" s="4">
        <f t="shared" si="29"/>
        <v>0</v>
      </c>
      <c r="M125" s="4">
        <f t="shared" si="30"/>
        <v>1261436.3063291269</v>
      </c>
      <c r="N125" s="4">
        <f t="shared" si="31"/>
        <v>0</v>
      </c>
      <c r="O125" s="4">
        <f t="shared" si="32"/>
        <v>1635891.0352979735</v>
      </c>
      <c r="P125" s="4">
        <f t="shared" si="33"/>
        <v>-93266.010748026893</v>
      </c>
      <c r="Q125" s="182">
        <f t="shared" si="34"/>
        <v>5.3937270163687469E-2</v>
      </c>
    </row>
    <row r="126" spans="1:17" x14ac:dyDescent="0.35">
      <c r="A126" s="1">
        <f>MonthlyData!A126</f>
        <v>45413</v>
      </c>
      <c r="B126" s="13">
        <f t="shared" si="26"/>
        <v>2024</v>
      </c>
      <c r="C126" s="13">
        <f t="shared" si="27"/>
        <v>5</v>
      </c>
      <c r="D126" s="4">
        <f>MonthlyData!I126</f>
        <v>1542403.295270656</v>
      </c>
      <c r="E126">
        <f>MonthlyData!AF126</f>
        <v>36.300000000000004</v>
      </c>
      <c r="F126">
        <f>MonthlyData!BP126</f>
        <v>0</v>
      </c>
      <c r="G126" s="4">
        <f>MonthlyData!R126</f>
        <v>717</v>
      </c>
      <c r="H126">
        <f>MonthlyData!BN126</f>
        <v>0</v>
      </c>
      <c r="J126" s="4">
        <f t="shared" si="18"/>
        <v>231360.027765729</v>
      </c>
      <c r="K126" s="4">
        <f t="shared" si="28"/>
        <v>23461.326349020615</v>
      </c>
      <c r="L126" s="4">
        <f t="shared" si="29"/>
        <v>0</v>
      </c>
      <c r="M126" s="4">
        <f t="shared" si="30"/>
        <v>1268513.0878513099</v>
      </c>
      <c r="N126" s="4">
        <f t="shared" si="31"/>
        <v>0</v>
      </c>
      <c r="O126" s="4">
        <f t="shared" si="32"/>
        <v>1523334.4419660596</v>
      </c>
      <c r="P126" s="4">
        <f t="shared" si="33"/>
        <v>-19068.853304596385</v>
      </c>
      <c r="Q126" s="182">
        <f t="shared" si="34"/>
        <v>1.2363078685753355E-2</v>
      </c>
    </row>
    <row r="127" spans="1:17" x14ac:dyDescent="0.35">
      <c r="A127" s="1">
        <f>MonthlyData!A127</f>
        <v>45444</v>
      </c>
      <c r="B127" s="13">
        <f t="shared" si="26"/>
        <v>2024</v>
      </c>
      <c r="C127" s="13">
        <f t="shared" si="27"/>
        <v>6</v>
      </c>
      <c r="D127" s="4">
        <f>MonthlyData!I127</f>
        <v>1408141.5444953116</v>
      </c>
      <c r="E127">
        <f>MonthlyData!AF127</f>
        <v>4</v>
      </c>
      <c r="F127">
        <f>MonthlyData!BP127</f>
        <v>0</v>
      </c>
      <c r="G127" s="4">
        <f>MonthlyData!R127</f>
        <v>718</v>
      </c>
      <c r="H127">
        <f>MonthlyData!BN127</f>
        <v>0</v>
      </c>
      <c r="J127" s="4">
        <f t="shared" si="18"/>
        <v>231360.027765729</v>
      </c>
      <c r="K127" s="4">
        <f t="shared" si="28"/>
        <v>2585.2701211041999</v>
      </c>
      <c r="L127" s="4">
        <f t="shared" si="29"/>
        <v>0</v>
      </c>
      <c r="M127" s="4">
        <f t="shared" si="30"/>
        <v>1270282.2832318556</v>
      </c>
      <c r="N127" s="4">
        <f t="shared" si="31"/>
        <v>0</v>
      </c>
      <c r="O127" s="4">
        <f t="shared" si="32"/>
        <v>1504227.5811186889</v>
      </c>
      <c r="P127" s="4">
        <f t="shared" si="33"/>
        <v>96086.036623377353</v>
      </c>
      <c r="Q127" s="182">
        <f t="shared" si="34"/>
        <v>6.8236064051228104E-2</v>
      </c>
    </row>
    <row r="128" spans="1:17" x14ac:dyDescent="0.35">
      <c r="A128" s="1">
        <f>MonthlyData!A128</f>
        <v>45474</v>
      </c>
      <c r="B128" s="13">
        <f t="shared" si="26"/>
        <v>2024</v>
      </c>
      <c r="C128" s="13">
        <f t="shared" si="27"/>
        <v>7</v>
      </c>
      <c r="D128" s="4">
        <f>MonthlyData!I128</f>
        <v>1393341.7937199674</v>
      </c>
      <c r="E128">
        <f>MonthlyData!AF128</f>
        <v>0</v>
      </c>
      <c r="F128">
        <f>MonthlyData!BP128</f>
        <v>0</v>
      </c>
      <c r="G128" s="4">
        <f>MonthlyData!R128</f>
        <v>716</v>
      </c>
      <c r="H128">
        <f>MonthlyData!BN128</f>
        <v>0</v>
      </c>
      <c r="J128" s="4">
        <f t="shared" si="18"/>
        <v>231360.027765729</v>
      </c>
      <c r="K128" s="4">
        <f t="shared" si="28"/>
        <v>0</v>
      </c>
      <c r="L128" s="4">
        <f t="shared" si="29"/>
        <v>0</v>
      </c>
      <c r="M128" s="4">
        <f t="shared" si="30"/>
        <v>1266743.892470764</v>
      </c>
      <c r="N128" s="4">
        <f t="shared" si="31"/>
        <v>0</v>
      </c>
      <c r="O128" s="4">
        <f t="shared" si="32"/>
        <v>1498103.920236493</v>
      </c>
      <c r="P128" s="4">
        <f t="shared" si="33"/>
        <v>104762.12651652563</v>
      </c>
      <c r="Q128" s="182">
        <f t="shared" si="34"/>
        <v>7.5187672535702771E-2</v>
      </c>
    </row>
    <row r="129" spans="1:24" x14ac:dyDescent="0.35">
      <c r="A129" s="1">
        <f>MonthlyData!A129</f>
        <v>45505</v>
      </c>
      <c r="B129" s="13">
        <f t="shared" si="26"/>
        <v>2024</v>
      </c>
      <c r="C129" s="13">
        <f t="shared" si="27"/>
        <v>8</v>
      </c>
      <c r="D129" s="4">
        <f>MonthlyData!I129</f>
        <v>1473943.0429446229</v>
      </c>
      <c r="E129">
        <f>MonthlyData!AF129</f>
        <v>0</v>
      </c>
      <c r="F129">
        <f>MonthlyData!BP129</f>
        <v>0</v>
      </c>
      <c r="G129" s="4">
        <f>MonthlyData!R129</f>
        <v>716</v>
      </c>
      <c r="H129">
        <f>MonthlyData!BN129</f>
        <v>0</v>
      </c>
      <c r="J129" s="4">
        <f t="shared" si="18"/>
        <v>231360.027765729</v>
      </c>
      <c r="K129" s="4">
        <f t="shared" si="28"/>
        <v>0</v>
      </c>
      <c r="L129" s="4">
        <f t="shared" si="29"/>
        <v>0</v>
      </c>
      <c r="M129" s="4">
        <f t="shared" si="30"/>
        <v>1266743.892470764</v>
      </c>
      <c r="N129" s="4">
        <f t="shared" si="31"/>
        <v>0</v>
      </c>
      <c r="O129" s="4">
        <f t="shared" si="32"/>
        <v>1498103.920236493</v>
      </c>
      <c r="P129" s="4">
        <f t="shared" si="33"/>
        <v>24160.877291870071</v>
      </c>
      <c r="Q129" s="182">
        <f t="shared" si="34"/>
        <v>1.6392001989169003E-2</v>
      </c>
    </row>
    <row r="130" spans="1:24" x14ac:dyDescent="0.35">
      <c r="A130" s="1">
        <f>MonthlyData!A130</f>
        <v>45536</v>
      </c>
      <c r="B130" s="13">
        <f t="shared" si="26"/>
        <v>2024</v>
      </c>
      <c r="C130" s="13">
        <f t="shared" si="27"/>
        <v>9</v>
      </c>
      <c r="D130" s="4">
        <f>MonthlyData!I130</f>
        <v>1425748.2921692787</v>
      </c>
      <c r="E130">
        <f>MonthlyData!AF130</f>
        <v>9.8999999999999986</v>
      </c>
      <c r="F130">
        <f>MonthlyData!BP130</f>
        <v>0</v>
      </c>
      <c r="G130" s="4">
        <f>MonthlyData!R130</f>
        <v>717</v>
      </c>
      <c r="H130">
        <f>MonthlyData!BN130</f>
        <v>0</v>
      </c>
      <c r="J130" s="4">
        <f t="shared" si="18"/>
        <v>231360.027765729</v>
      </c>
      <c r="K130" s="4">
        <f t="shared" si="28"/>
        <v>6398.5435497328936</v>
      </c>
      <c r="L130" s="4">
        <f t="shared" si="29"/>
        <v>0</v>
      </c>
      <c r="M130" s="4">
        <f t="shared" si="30"/>
        <v>1268513.0878513099</v>
      </c>
      <c r="N130" s="4">
        <f t="shared" si="31"/>
        <v>0</v>
      </c>
      <c r="O130" s="4">
        <f t="shared" si="32"/>
        <v>1506271.6591667719</v>
      </c>
      <c r="P130" s="4">
        <f t="shared" si="33"/>
        <v>80523.366997493198</v>
      </c>
      <c r="Q130" s="182">
        <f t="shared" si="34"/>
        <v>5.6477968404210217E-2</v>
      </c>
    </row>
    <row r="131" spans="1:24" x14ac:dyDescent="0.35">
      <c r="A131" s="1">
        <f>MonthlyData!A131</f>
        <v>45566</v>
      </c>
      <c r="B131" s="13">
        <f t="shared" si="26"/>
        <v>2024</v>
      </c>
      <c r="C131" s="13">
        <f t="shared" si="27"/>
        <v>10</v>
      </c>
      <c r="D131" s="4">
        <f>MonthlyData!I131</f>
        <v>1349574.5413939343</v>
      </c>
      <c r="E131">
        <f>MonthlyData!AF131</f>
        <v>132.70000000000005</v>
      </c>
      <c r="F131">
        <f>MonthlyData!BP131</f>
        <v>1</v>
      </c>
      <c r="G131" s="4">
        <f>MonthlyData!R131</f>
        <v>715</v>
      </c>
      <c r="H131">
        <f>MonthlyData!BN131</f>
        <v>0</v>
      </c>
      <c r="J131" s="4">
        <f t="shared" ref="J131" si="35">$T$7</f>
        <v>231360.027765729</v>
      </c>
      <c r="K131" s="4">
        <f t="shared" si="28"/>
        <v>85766.336267631865</v>
      </c>
      <c r="L131" s="4">
        <f t="shared" si="29"/>
        <v>-257897.88627322801</v>
      </c>
      <c r="M131" s="4">
        <f t="shared" si="30"/>
        <v>1264974.6970902183</v>
      </c>
      <c r="N131" s="4">
        <f t="shared" si="31"/>
        <v>0</v>
      </c>
      <c r="O131" s="4">
        <f t="shared" si="32"/>
        <v>1324203.1748503512</v>
      </c>
      <c r="P131" s="4">
        <f t="shared" si="33"/>
        <v>-25371.366543583106</v>
      </c>
      <c r="Q131" s="182">
        <f t="shared" si="34"/>
        <v>1.8799529603883751E-2</v>
      </c>
    </row>
    <row r="132" spans="1:24" x14ac:dyDescent="0.35">
      <c r="A132" s="1"/>
      <c r="B132" s="13"/>
      <c r="C132" s="13"/>
      <c r="E132" s="13"/>
      <c r="O132" s="4"/>
      <c r="Q132" s="182">
        <f>AVERAGE(Q2:Q131)</f>
        <v>4.5713242415222913E-2</v>
      </c>
    </row>
    <row r="133" spans="1:24" x14ac:dyDescent="0.35">
      <c r="A133" s="1"/>
      <c r="B133" s="13"/>
      <c r="C133" s="13"/>
      <c r="E133" s="13"/>
      <c r="O133" s="4"/>
    </row>
    <row r="134" spans="1:24" x14ac:dyDescent="0.35">
      <c r="A134" s="1"/>
      <c r="B134" s="13"/>
      <c r="C134" s="13"/>
      <c r="E134" s="13"/>
      <c r="U134" s="4"/>
      <c r="V134" s="4"/>
      <c r="W134" s="2"/>
      <c r="X134" s="182"/>
    </row>
    <row r="135" spans="1:24" x14ac:dyDescent="0.35">
      <c r="A135" s="1"/>
      <c r="B135" s="13"/>
      <c r="C135" s="13"/>
      <c r="E135" s="13"/>
      <c r="U135" s="4"/>
      <c r="V135" s="4"/>
      <c r="W135" s="2"/>
      <c r="X135" s="182"/>
    </row>
    <row r="136" spans="1:24" x14ac:dyDescent="0.35">
      <c r="A136" s="1"/>
      <c r="B136" s="13"/>
      <c r="C136" s="13"/>
      <c r="E136" s="13"/>
      <c r="U136" s="4"/>
      <c r="V136" s="4"/>
      <c r="W136" s="2"/>
      <c r="X136" s="182"/>
    </row>
    <row r="137" spans="1:24" x14ac:dyDescent="0.35">
      <c r="A137" s="1"/>
      <c r="B137" s="13"/>
      <c r="C137" s="13"/>
      <c r="E137" s="13"/>
      <c r="U137" s="4"/>
      <c r="V137" s="4"/>
      <c r="W137" s="2"/>
      <c r="X137" s="182"/>
    </row>
    <row r="138" spans="1:24" x14ac:dyDescent="0.35">
      <c r="A138" s="1"/>
      <c r="B138" s="13"/>
      <c r="C138" s="13"/>
      <c r="E138" s="13"/>
      <c r="U138" s="4"/>
      <c r="V138" s="4"/>
      <c r="W138" s="2"/>
      <c r="X138" s="182"/>
    </row>
    <row r="139" spans="1:24" x14ac:dyDescent="0.35">
      <c r="A139" s="1"/>
      <c r="B139" s="13"/>
      <c r="C139" s="13"/>
      <c r="E139" s="13"/>
      <c r="U139" s="4"/>
      <c r="V139" s="4"/>
      <c r="W139" s="2"/>
      <c r="X139" s="182"/>
    </row>
    <row r="140" spans="1:24" x14ac:dyDescent="0.35">
      <c r="A140" s="1"/>
      <c r="B140" s="13"/>
      <c r="C140" s="13"/>
      <c r="E140" s="13"/>
      <c r="U140" s="4"/>
      <c r="V140" s="4"/>
      <c r="W140" s="2"/>
      <c r="X140" s="182"/>
    </row>
    <row r="141" spans="1:24" x14ac:dyDescent="0.35">
      <c r="A141" s="1"/>
      <c r="B141" s="13"/>
      <c r="C141" s="13"/>
      <c r="E141" s="13"/>
      <c r="U141" s="4"/>
      <c r="V141" s="4"/>
      <c r="W141" s="2"/>
      <c r="X141" s="182"/>
    </row>
    <row r="142" spans="1:24" x14ac:dyDescent="0.35">
      <c r="A142" s="1"/>
      <c r="B142" s="13"/>
      <c r="C142" s="13"/>
      <c r="E142" s="13"/>
      <c r="U142" s="4"/>
      <c r="V142" s="4"/>
      <c r="W142" s="2"/>
      <c r="X142" s="182"/>
    </row>
    <row r="143" spans="1:24" x14ac:dyDescent="0.35">
      <c r="A143" s="1"/>
      <c r="B143" s="13"/>
      <c r="C143" s="13"/>
      <c r="E143" s="13"/>
      <c r="U143" s="4"/>
      <c r="V143" s="4"/>
      <c r="W143" s="2"/>
      <c r="X143" s="182"/>
    </row>
    <row r="144" spans="1:24" x14ac:dyDescent="0.35">
      <c r="A144" s="1"/>
      <c r="B144" s="13"/>
      <c r="C144" s="13"/>
      <c r="U144" s="4"/>
      <c r="V144" s="4"/>
      <c r="W144" s="2"/>
      <c r="X144" s="182"/>
    </row>
    <row r="145" spans="1:24" x14ac:dyDescent="0.35">
      <c r="A145" s="1"/>
      <c r="B145" s="13"/>
      <c r="C145" s="13"/>
      <c r="U145" s="4"/>
      <c r="V145" s="4"/>
      <c r="W145" s="2"/>
      <c r="X145" s="182"/>
    </row>
    <row r="146" spans="1:24" x14ac:dyDescent="0.35">
      <c r="A146" s="1"/>
      <c r="B146" s="13"/>
      <c r="C146" s="13"/>
    </row>
    <row r="147" spans="1:24" x14ac:dyDescent="0.35">
      <c r="A147" s="1"/>
      <c r="B147" s="13"/>
      <c r="C147" s="13"/>
      <c r="U147" s="4"/>
      <c r="V147" s="4"/>
      <c r="W147" s="2"/>
      <c r="X147" s="182"/>
    </row>
    <row r="148" spans="1:24" x14ac:dyDescent="0.35">
      <c r="A148" s="1"/>
      <c r="B148" s="13"/>
      <c r="C148" s="13"/>
      <c r="U148" s="4"/>
      <c r="V148" s="4"/>
      <c r="W148" s="2"/>
      <c r="X148" s="182"/>
    </row>
    <row r="149" spans="1:24" x14ac:dyDescent="0.35">
      <c r="A149" s="1"/>
      <c r="B149" s="13"/>
      <c r="C149" s="13"/>
      <c r="U149" s="4"/>
      <c r="V149" s="4"/>
      <c r="W149" s="2"/>
      <c r="X149" s="182"/>
    </row>
    <row r="150" spans="1:24" x14ac:dyDescent="0.35">
      <c r="A150" s="1"/>
      <c r="B150" s="13"/>
      <c r="C150" s="13"/>
      <c r="U150" s="4"/>
      <c r="V150" s="4"/>
      <c r="W150" s="2"/>
      <c r="X150" s="182"/>
    </row>
    <row r="151" spans="1:24" x14ac:dyDescent="0.35">
      <c r="A151" s="1"/>
      <c r="B151" s="13"/>
      <c r="C151" s="13"/>
      <c r="U151" s="4"/>
      <c r="V151" s="4"/>
      <c r="W151" s="2"/>
      <c r="X151" s="182"/>
    </row>
    <row r="152" spans="1:24" x14ac:dyDescent="0.35">
      <c r="A152" s="1"/>
      <c r="B152" s="13"/>
      <c r="C152" s="13"/>
      <c r="U152" s="4"/>
      <c r="V152" s="4"/>
      <c r="W152" s="2"/>
      <c r="X152" s="182"/>
    </row>
    <row r="153" spans="1:24" x14ac:dyDescent="0.35">
      <c r="A153" s="1"/>
      <c r="B153" s="13"/>
      <c r="C153" s="13"/>
      <c r="U153" s="4"/>
      <c r="V153" s="4"/>
      <c r="W153" s="2"/>
      <c r="X153" s="182"/>
    </row>
    <row r="154" spans="1:24" x14ac:dyDescent="0.35">
      <c r="A154" s="1"/>
      <c r="B154" s="13"/>
      <c r="C154" s="13"/>
      <c r="U154" s="4"/>
      <c r="V154" s="4"/>
      <c r="W154" s="2"/>
      <c r="X154" s="182"/>
    </row>
    <row r="155" spans="1:24" x14ac:dyDescent="0.35">
      <c r="A155" s="1"/>
      <c r="B155" s="13"/>
      <c r="C155" s="13"/>
      <c r="U155" s="4"/>
      <c r="V155" s="4"/>
      <c r="W155" s="2"/>
      <c r="X155" s="182"/>
    </row>
    <row r="156" spans="1:24" x14ac:dyDescent="0.35">
      <c r="U156" s="4"/>
      <c r="V156" s="4"/>
      <c r="W156" s="2"/>
      <c r="X156" s="18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BA2C-4822-442C-8795-5D9BEE0B0C2A}">
  <sheetPr codeName="Sheet7"/>
  <dimension ref="A1:X173"/>
  <sheetViews>
    <sheetView topLeftCell="E1" workbookViewId="0">
      <selection activeCell="O31" sqref="O31"/>
    </sheetView>
  </sheetViews>
  <sheetFormatPr defaultRowHeight="14.5" x14ac:dyDescent="0.35"/>
  <cols>
    <col min="1" max="1" width="11.36328125" customWidth="1"/>
    <col min="2" max="3" width="12.453125" customWidth="1"/>
    <col min="4" max="4" width="12.81640625" bestFit="1" customWidth="1"/>
    <col min="5" max="5" width="9.1796875" bestFit="1" customWidth="1"/>
    <col min="11" max="12" width="12.7265625" bestFit="1" customWidth="1"/>
    <col min="13" max="14" width="11.1796875" bestFit="1" customWidth="1"/>
    <col min="15" max="15" width="12.7265625" bestFit="1" customWidth="1"/>
    <col min="16" max="16" width="11.1796875" bestFit="1" customWidth="1"/>
    <col min="17" max="17" width="14.36328125" customWidth="1"/>
    <col min="21" max="22" width="11.1796875" bestFit="1" customWidth="1"/>
  </cols>
  <sheetData>
    <row r="1" spans="1:24" x14ac:dyDescent="0.35">
      <c r="A1" s="1" t="str">
        <f>MonthlyData!A1</f>
        <v>Date</v>
      </c>
      <c r="B1" s="1" t="s">
        <v>1</v>
      </c>
      <c r="C1" s="1" t="s">
        <v>2</v>
      </c>
      <c r="D1" s="4" t="str">
        <f>MonthlyData!L1</f>
        <v>GSgt50_NoCDM</v>
      </c>
      <c r="E1" t="str">
        <f>MonthlyData!AF1</f>
        <v>HDD10</v>
      </c>
      <c r="F1" t="str">
        <f>MonthlyData!BO1</f>
        <v>Spring</v>
      </c>
      <c r="G1" t="str">
        <f>MonthlyData!BP1</f>
        <v>Fall</v>
      </c>
      <c r="H1" t="str">
        <f>MonthlyData!BU1</f>
        <v>COVID_AM</v>
      </c>
      <c r="I1" t="str">
        <f>MonthlyData!BA1</f>
        <v>TrendLn</v>
      </c>
      <c r="L1" t="str">
        <f>E1</f>
        <v>HDD10</v>
      </c>
      <c r="M1" t="str">
        <f>F1</f>
        <v>Spring</v>
      </c>
      <c r="N1" t="str">
        <f>G1</f>
        <v>Fall</v>
      </c>
      <c r="O1" t="s">
        <v>243</v>
      </c>
    </row>
    <row r="2" spans="1:24" x14ac:dyDescent="0.35">
      <c r="A2" s="1">
        <f>MonthlyData!A2</f>
        <v>41640</v>
      </c>
      <c r="B2" s="13">
        <f>YEAR(A2)</f>
        <v>2014</v>
      </c>
      <c r="C2" s="13">
        <f>MONTH(A2)</f>
        <v>1</v>
      </c>
      <c r="D2" s="4">
        <f>MonthlyData!L2</f>
        <v>6117119.8411308117</v>
      </c>
      <c r="E2" s="4">
        <f>MonthlyData!AF2</f>
        <v>923.86930657636822</v>
      </c>
      <c r="F2">
        <f>MonthlyData!BO2</f>
        <v>0</v>
      </c>
      <c r="G2">
        <f>MonthlyData!BP2</f>
        <v>0</v>
      </c>
      <c r="H2">
        <f>MonthlyData!BU2</f>
        <v>0</v>
      </c>
      <c r="I2">
        <f>MonthlyData!BA2</f>
        <v>2.3025850929940459</v>
      </c>
      <c r="K2" s="4">
        <f>$U$8</f>
        <v>4628412.7605719203</v>
      </c>
      <c r="L2" s="4">
        <f t="shared" ref="L2:L33" si="0">E2*$U$9</f>
        <v>1236409.2735252406</v>
      </c>
      <c r="M2" s="4">
        <f t="shared" ref="M2:M33" si="1">F2*$U$10</f>
        <v>0</v>
      </c>
      <c r="N2" s="4">
        <f t="shared" ref="N2:N33" si="2">G2*$U$11</f>
        <v>0</v>
      </c>
      <c r="O2" s="4">
        <f t="shared" ref="O2:O33" si="3">SUM(K2:N2)</f>
        <v>5864822.0340971611</v>
      </c>
      <c r="P2" s="4">
        <f t="shared" ref="P2:P33" si="4">O2-D2</f>
        <v>-252297.80703365058</v>
      </c>
      <c r="Q2" s="182">
        <f t="shared" ref="Q2:Q33" si="5">ABS(P2/D2)</f>
        <v>4.1244542135210283E-2</v>
      </c>
    </row>
    <row r="3" spans="1:24" x14ac:dyDescent="0.35">
      <c r="A3" s="1">
        <f>MonthlyData!A3</f>
        <v>41671</v>
      </c>
      <c r="B3" s="13">
        <f t="shared" ref="B3:B66" si="6">YEAR(A3)</f>
        <v>2014</v>
      </c>
      <c r="C3" s="13">
        <f t="shared" ref="C3:C66" si="7">MONTH(A3)</f>
        <v>2</v>
      </c>
      <c r="D3" s="4">
        <f>MonthlyData!L3</f>
        <v>5492485.6816037511</v>
      </c>
      <c r="E3" s="4">
        <f>MonthlyData!AF3</f>
        <v>750.36010382542349</v>
      </c>
      <c r="F3">
        <f>MonthlyData!BO3</f>
        <v>0</v>
      </c>
      <c r="G3">
        <f>MonthlyData!BP3</f>
        <v>0</v>
      </c>
      <c r="H3">
        <f>MonthlyData!BU3</f>
        <v>0</v>
      </c>
      <c r="I3">
        <f>MonthlyData!BA3</f>
        <v>2.3978952727983707</v>
      </c>
      <c r="K3" s="4">
        <f t="shared" ref="K3:K66" si="8">$U$8</f>
        <v>4628412.7605719203</v>
      </c>
      <c r="L3" s="4">
        <f t="shared" si="0"/>
        <v>1004202.8501749199</v>
      </c>
      <c r="M3" s="4">
        <f t="shared" si="1"/>
        <v>0</v>
      </c>
      <c r="N3" s="4">
        <f t="shared" si="2"/>
        <v>0</v>
      </c>
      <c r="O3" s="4">
        <f t="shared" si="3"/>
        <v>5632615.61074684</v>
      </c>
      <c r="P3" s="4">
        <f t="shared" si="4"/>
        <v>140129.92914308887</v>
      </c>
      <c r="Q3" s="182">
        <f t="shared" si="5"/>
        <v>2.5513025844096933E-2</v>
      </c>
      <c r="T3" t="s">
        <v>494</v>
      </c>
    </row>
    <row r="4" spans="1:24" x14ac:dyDescent="0.35">
      <c r="A4" s="1">
        <f>MonthlyData!A4</f>
        <v>41699</v>
      </c>
      <c r="B4" s="13">
        <f t="shared" si="6"/>
        <v>2014</v>
      </c>
      <c r="C4" s="13">
        <f t="shared" si="7"/>
        <v>3</v>
      </c>
      <c r="D4" s="4">
        <f>MonthlyData!L4</f>
        <v>5205253.5514411805</v>
      </c>
      <c r="E4" s="4">
        <f>MonthlyData!AF4</f>
        <v>718.29098039039206</v>
      </c>
      <c r="F4">
        <f>MonthlyData!BO4</f>
        <v>1</v>
      </c>
      <c r="G4">
        <f>MonthlyData!BP4</f>
        <v>0</v>
      </c>
      <c r="H4">
        <f>MonthlyData!BU4</f>
        <v>0</v>
      </c>
      <c r="I4">
        <f>MonthlyData!BA4</f>
        <v>2.4849066497880004</v>
      </c>
      <c r="K4" s="4">
        <f t="shared" si="8"/>
        <v>4628412.7605719203</v>
      </c>
      <c r="L4" s="4">
        <f t="shared" si="0"/>
        <v>961284.9165162798</v>
      </c>
      <c r="M4" s="4">
        <f t="shared" si="1"/>
        <v>168249.31587912</v>
      </c>
      <c r="N4" s="4">
        <f t="shared" si="2"/>
        <v>0</v>
      </c>
      <c r="O4" s="4">
        <f t="shared" si="3"/>
        <v>5757946.9929673197</v>
      </c>
      <c r="P4" s="4">
        <f t="shared" si="4"/>
        <v>552693.44152613916</v>
      </c>
      <c r="Q4" s="182">
        <f t="shared" si="5"/>
        <v>0.10617992688811763</v>
      </c>
      <c r="T4" t="s">
        <v>463</v>
      </c>
    </row>
    <row r="5" spans="1:24" x14ac:dyDescent="0.35">
      <c r="A5" s="1">
        <f>MonthlyData!A5</f>
        <v>41730</v>
      </c>
      <c r="B5" s="13">
        <f t="shared" si="6"/>
        <v>2014</v>
      </c>
      <c r="C5" s="13">
        <f t="shared" si="7"/>
        <v>4</v>
      </c>
      <c r="D5" s="4">
        <f>MonthlyData!L5</f>
        <v>5094375.0479953764</v>
      </c>
      <c r="E5" s="4">
        <f>MonthlyData!AF5</f>
        <v>342.04088813973715</v>
      </c>
      <c r="F5">
        <f>MonthlyData!BO5</f>
        <v>1</v>
      </c>
      <c r="G5">
        <f>MonthlyData!BP5</f>
        <v>0</v>
      </c>
      <c r="H5">
        <f>MonthlyData!BU5</f>
        <v>0</v>
      </c>
      <c r="I5">
        <f>MonthlyData!BA5</f>
        <v>2.5649493574615367</v>
      </c>
      <c r="K5" s="4">
        <f t="shared" si="8"/>
        <v>4628412.7605719203</v>
      </c>
      <c r="L5" s="4">
        <f t="shared" si="0"/>
        <v>457751.46225817688</v>
      </c>
      <c r="M5" s="4">
        <f t="shared" si="1"/>
        <v>168249.31587912</v>
      </c>
      <c r="N5" s="4">
        <f t="shared" si="2"/>
        <v>0</v>
      </c>
      <c r="O5" s="4">
        <f t="shared" si="3"/>
        <v>5254413.5387092168</v>
      </c>
      <c r="P5" s="4">
        <f t="shared" si="4"/>
        <v>160038.49071384035</v>
      </c>
      <c r="Q5" s="182">
        <f t="shared" si="5"/>
        <v>3.1414744538059695E-2</v>
      </c>
      <c r="T5" t="s">
        <v>495</v>
      </c>
    </row>
    <row r="6" spans="1:24" x14ac:dyDescent="0.35">
      <c r="A6" s="1">
        <f>MonthlyData!A6</f>
        <v>41760</v>
      </c>
      <c r="B6" s="13">
        <f t="shared" si="6"/>
        <v>2014</v>
      </c>
      <c r="C6" s="13">
        <f t="shared" si="7"/>
        <v>5</v>
      </c>
      <c r="D6" s="4">
        <f>MonthlyData!L6</f>
        <v>4503046.7282855595</v>
      </c>
      <c r="E6" s="4">
        <f>MonthlyData!AF6</f>
        <v>76.76559436311274</v>
      </c>
      <c r="F6">
        <f>MonthlyData!BO6</f>
        <v>1</v>
      </c>
      <c r="G6">
        <f>MonthlyData!BP6</f>
        <v>0</v>
      </c>
      <c r="H6">
        <f>MonthlyData!BU6</f>
        <v>0</v>
      </c>
      <c r="I6">
        <f>MonthlyData!BA6</f>
        <v>2.6390573296152584</v>
      </c>
      <c r="K6" s="4">
        <f t="shared" si="8"/>
        <v>4628412.7605719203</v>
      </c>
      <c r="L6" s="4">
        <f t="shared" si="0"/>
        <v>102734.97786170238</v>
      </c>
      <c r="M6" s="4">
        <f t="shared" si="1"/>
        <v>168249.31587912</v>
      </c>
      <c r="N6" s="4">
        <f t="shared" si="2"/>
        <v>0</v>
      </c>
      <c r="O6" s="4">
        <f t="shared" si="3"/>
        <v>4899397.0543127423</v>
      </c>
      <c r="P6" s="4">
        <f t="shared" si="4"/>
        <v>396350.32602718286</v>
      </c>
      <c r="Q6" s="182">
        <f t="shared" si="5"/>
        <v>8.8018257402823999E-2</v>
      </c>
    </row>
    <row r="7" spans="1:24" x14ac:dyDescent="0.35">
      <c r="A7" s="1">
        <f>MonthlyData!A7</f>
        <v>41791</v>
      </c>
      <c r="B7" s="13">
        <f t="shared" si="6"/>
        <v>2014</v>
      </c>
      <c r="C7" s="13">
        <f t="shared" si="7"/>
        <v>6</v>
      </c>
      <c r="D7" s="4">
        <f>MonthlyData!L7</f>
        <v>4204386.9375196481</v>
      </c>
      <c r="E7" s="4">
        <f>MonthlyData!AF7</f>
        <v>0</v>
      </c>
      <c r="F7">
        <f>MonthlyData!BO7</f>
        <v>0</v>
      </c>
      <c r="G7">
        <f>MonthlyData!BP7</f>
        <v>0</v>
      </c>
      <c r="H7">
        <f>MonthlyData!BU7</f>
        <v>0</v>
      </c>
      <c r="I7">
        <f>MonthlyData!BA7</f>
        <v>2.7080502011022101</v>
      </c>
      <c r="K7" s="4">
        <f t="shared" si="8"/>
        <v>4628412.7605719203</v>
      </c>
      <c r="L7" s="4">
        <f t="shared" si="0"/>
        <v>0</v>
      </c>
      <c r="M7" s="4">
        <f t="shared" si="1"/>
        <v>0</v>
      </c>
      <c r="N7" s="4">
        <f t="shared" si="2"/>
        <v>0</v>
      </c>
      <c r="O7" s="4">
        <f t="shared" si="3"/>
        <v>4628412.7605719203</v>
      </c>
      <c r="P7" s="4">
        <f t="shared" si="4"/>
        <v>424025.8230522722</v>
      </c>
      <c r="Q7" s="182">
        <f t="shared" si="5"/>
        <v>0.1008531872431379</v>
      </c>
      <c r="U7" t="s">
        <v>84</v>
      </c>
      <c r="V7" t="s">
        <v>85</v>
      </c>
      <c r="W7" t="s">
        <v>86</v>
      </c>
      <c r="X7" t="s">
        <v>87</v>
      </c>
    </row>
    <row r="8" spans="1:24" x14ac:dyDescent="0.35">
      <c r="A8" s="1">
        <f>MonthlyData!A8</f>
        <v>41821</v>
      </c>
      <c r="B8" s="13">
        <f t="shared" si="6"/>
        <v>2014</v>
      </c>
      <c r="C8" s="13">
        <f t="shared" si="7"/>
        <v>7</v>
      </c>
      <c r="D8" s="4">
        <f>MonthlyData!L8</f>
        <v>3991626.629183203</v>
      </c>
      <c r="E8" s="4">
        <f>MonthlyData!AF8</f>
        <v>0</v>
      </c>
      <c r="F8">
        <f>MonthlyData!BO8</f>
        <v>0</v>
      </c>
      <c r="G8">
        <f>MonthlyData!BP8</f>
        <v>0</v>
      </c>
      <c r="H8">
        <f>MonthlyData!BU8</f>
        <v>0</v>
      </c>
      <c r="I8">
        <f>MonthlyData!BA8</f>
        <v>2.7725887222397811</v>
      </c>
      <c r="K8" s="4">
        <f t="shared" si="8"/>
        <v>4628412.7605719203</v>
      </c>
      <c r="L8" s="4">
        <f t="shared" si="0"/>
        <v>0</v>
      </c>
      <c r="M8" s="4">
        <f t="shared" si="1"/>
        <v>0</v>
      </c>
      <c r="N8" s="4">
        <f t="shared" si="2"/>
        <v>0</v>
      </c>
      <c r="O8" s="4">
        <f t="shared" si="3"/>
        <v>4628412.7605719203</v>
      </c>
      <c r="P8" s="4">
        <f t="shared" si="4"/>
        <v>636786.13138871733</v>
      </c>
      <c r="Q8" s="182">
        <f t="shared" si="5"/>
        <v>0.15953048482368234</v>
      </c>
      <c r="T8" t="s">
        <v>88</v>
      </c>
      <c r="U8" s="4">
        <v>4628412.7605719203</v>
      </c>
      <c r="V8" s="4">
        <v>62142.900317955697</v>
      </c>
      <c r="W8" s="214">
        <v>74.480153595833698</v>
      </c>
      <c r="X8" s="188">
        <v>4.86875215534634E-106</v>
      </c>
    </row>
    <row r="9" spans="1:24" x14ac:dyDescent="0.35">
      <c r="A9" s="1">
        <f>MonthlyData!A9</f>
        <v>41852</v>
      </c>
      <c r="B9" s="13">
        <f t="shared" si="6"/>
        <v>2014</v>
      </c>
      <c r="C9" s="13">
        <f t="shared" si="7"/>
        <v>8</v>
      </c>
      <c r="D9" s="4">
        <f>MonthlyData!L9</f>
        <v>4021137.5263351826</v>
      </c>
      <c r="E9" s="4">
        <f>MonthlyData!AF9</f>
        <v>0.84166666666666856</v>
      </c>
      <c r="F9">
        <f>MonthlyData!BO9</f>
        <v>0</v>
      </c>
      <c r="G9">
        <f>MonthlyData!BP9</f>
        <v>0</v>
      </c>
      <c r="H9">
        <f>MonthlyData!BU9</f>
        <v>0</v>
      </c>
      <c r="I9">
        <f>MonthlyData!BA9</f>
        <v>2.8332133440562162</v>
      </c>
      <c r="K9" s="4">
        <f t="shared" si="8"/>
        <v>4628412.7605719203</v>
      </c>
      <c r="L9" s="4">
        <f t="shared" si="0"/>
        <v>1126.3979271485034</v>
      </c>
      <c r="M9" s="4">
        <f t="shared" si="1"/>
        <v>0</v>
      </c>
      <c r="N9" s="4">
        <f t="shared" si="2"/>
        <v>0</v>
      </c>
      <c r="O9" s="4">
        <f t="shared" si="3"/>
        <v>4629539.1584990686</v>
      </c>
      <c r="P9" s="4">
        <f t="shared" si="4"/>
        <v>608401.63216388598</v>
      </c>
      <c r="Q9" s="182">
        <f t="shared" si="5"/>
        <v>0.15130087647571111</v>
      </c>
      <c r="T9" t="s">
        <v>13</v>
      </c>
      <c r="U9" s="4">
        <v>1338.29456690911</v>
      </c>
      <c r="V9" s="4">
        <v>124.727265477841</v>
      </c>
      <c r="W9" s="214">
        <v>10.729767559498599</v>
      </c>
      <c r="X9" s="188">
        <v>1.7764004394930999E-19</v>
      </c>
    </row>
    <row r="10" spans="1:24" x14ac:dyDescent="0.35">
      <c r="A10" s="1">
        <f>MonthlyData!A10</f>
        <v>41883</v>
      </c>
      <c r="B10" s="13">
        <f t="shared" si="6"/>
        <v>2014</v>
      </c>
      <c r="C10" s="13">
        <f t="shared" si="7"/>
        <v>9</v>
      </c>
      <c r="D10" s="4">
        <f>MonthlyData!L10</f>
        <v>3923176.9000426033</v>
      </c>
      <c r="E10" s="4">
        <f>MonthlyData!AF10</f>
        <v>63.679206155876841</v>
      </c>
      <c r="F10">
        <f>MonthlyData!BO10</f>
        <v>0</v>
      </c>
      <c r="G10">
        <f>MonthlyData!BP10</f>
        <v>0</v>
      </c>
      <c r="H10">
        <f>MonthlyData!BU10</f>
        <v>0</v>
      </c>
      <c r="I10">
        <f>MonthlyData!BA10</f>
        <v>2.8903717578961645</v>
      </c>
      <c r="K10" s="4">
        <f t="shared" si="8"/>
        <v>4628412.7605719203</v>
      </c>
      <c r="L10" s="4">
        <f t="shared" si="0"/>
        <v>85221.535623495132</v>
      </c>
      <c r="M10" s="4">
        <f t="shared" si="1"/>
        <v>0</v>
      </c>
      <c r="N10" s="4">
        <f t="shared" si="2"/>
        <v>0</v>
      </c>
      <c r="O10" s="4">
        <f t="shared" si="3"/>
        <v>4713634.2961954158</v>
      </c>
      <c r="P10" s="4">
        <f t="shared" si="4"/>
        <v>790457.39615281252</v>
      </c>
      <c r="Q10" s="182">
        <f t="shared" si="5"/>
        <v>0.20148400551201978</v>
      </c>
      <c r="T10" t="s">
        <v>61</v>
      </c>
      <c r="U10" s="4">
        <v>168249.31587912</v>
      </c>
      <c r="V10" s="4">
        <v>75878.637107740695</v>
      </c>
      <c r="W10" s="214">
        <v>2.21734762631834</v>
      </c>
      <c r="X10" s="188">
        <v>2.8392270456939699E-2</v>
      </c>
    </row>
    <row r="11" spans="1:24" x14ac:dyDescent="0.35">
      <c r="A11" s="1">
        <f>MonthlyData!A11</f>
        <v>41913</v>
      </c>
      <c r="B11" s="13">
        <f t="shared" si="6"/>
        <v>2014</v>
      </c>
      <c r="C11" s="13">
        <f t="shared" si="7"/>
        <v>10</v>
      </c>
      <c r="D11" s="4">
        <f>MonthlyData!L11</f>
        <v>3978006.4763625823</v>
      </c>
      <c r="E11" s="4">
        <f>MonthlyData!AF11</f>
        <v>180.10416666666666</v>
      </c>
      <c r="F11">
        <f>MonthlyData!BO11</f>
        <v>0</v>
      </c>
      <c r="G11">
        <f>MonthlyData!BP11</f>
        <v>1</v>
      </c>
      <c r="H11">
        <f>MonthlyData!BU11</f>
        <v>0</v>
      </c>
      <c r="I11">
        <f>MonthlyData!BA11</f>
        <v>2.9444389791664403</v>
      </c>
      <c r="K11" s="4">
        <f t="shared" si="8"/>
        <v>4628412.7605719203</v>
      </c>
      <c r="L11" s="4">
        <f t="shared" si="0"/>
        <v>241032.42772769282</v>
      </c>
      <c r="M11" s="4">
        <f t="shared" si="1"/>
        <v>0</v>
      </c>
      <c r="N11" s="4">
        <f t="shared" si="2"/>
        <v>-269170.44459088001</v>
      </c>
      <c r="O11" s="4">
        <f t="shared" si="3"/>
        <v>4600274.7437087335</v>
      </c>
      <c r="P11" s="4">
        <f t="shared" si="4"/>
        <v>622268.26734615117</v>
      </c>
      <c r="Q11" s="182">
        <f t="shared" si="5"/>
        <v>0.15642716296307846</v>
      </c>
      <c r="T11" t="s">
        <v>62</v>
      </c>
      <c r="U11" s="4">
        <v>-269170.44459088001</v>
      </c>
      <c r="V11" s="4">
        <v>84323.616923397596</v>
      </c>
      <c r="W11" s="214">
        <v>-3.1921121793839098</v>
      </c>
      <c r="X11" s="188">
        <v>1.7835380219746099E-3</v>
      </c>
    </row>
    <row r="12" spans="1:24" x14ac:dyDescent="0.35">
      <c r="A12" s="1">
        <f>MonthlyData!A12</f>
        <v>41944</v>
      </c>
      <c r="B12" s="13">
        <f t="shared" si="6"/>
        <v>2014</v>
      </c>
      <c r="C12" s="13">
        <f t="shared" si="7"/>
        <v>11</v>
      </c>
      <c r="D12" s="4">
        <f>MonthlyData!L12</f>
        <v>4529043.158707262</v>
      </c>
      <c r="E12" s="4">
        <f>MonthlyData!AF12</f>
        <v>525.22500000000002</v>
      </c>
      <c r="F12">
        <f>MonthlyData!BO12</f>
        <v>0</v>
      </c>
      <c r="G12">
        <f>MonthlyData!BP12</f>
        <v>1</v>
      </c>
      <c r="H12">
        <f>MonthlyData!BU12</f>
        <v>0</v>
      </c>
      <c r="I12">
        <f>MonthlyData!BA12</f>
        <v>2.9957322735539909</v>
      </c>
      <c r="K12" s="4">
        <f t="shared" si="8"/>
        <v>4628412.7605719203</v>
      </c>
      <c r="L12" s="4">
        <f t="shared" si="0"/>
        <v>702905.76390483731</v>
      </c>
      <c r="M12" s="4">
        <f t="shared" si="1"/>
        <v>0</v>
      </c>
      <c r="N12" s="4">
        <f t="shared" si="2"/>
        <v>-269170.44459088001</v>
      </c>
      <c r="O12" s="4">
        <f t="shared" si="3"/>
        <v>5062148.0798858777</v>
      </c>
      <c r="P12" s="4">
        <f t="shared" si="4"/>
        <v>533104.92117861565</v>
      </c>
      <c r="Q12" s="182">
        <f t="shared" si="5"/>
        <v>0.11770806823814445</v>
      </c>
      <c r="U12" s="4"/>
      <c r="V12" s="4"/>
      <c r="W12" s="214"/>
      <c r="X12" s="188"/>
    </row>
    <row r="13" spans="1:24" x14ac:dyDescent="0.35">
      <c r="A13" s="1">
        <f>MonthlyData!A13</f>
        <v>41974</v>
      </c>
      <c r="B13" s="13">
        <f t="shared" si="6"/>
        <v>2014</v>
      </c>
      <c r="C13" s="13">
        <f t="shared" si="7"/>
        <v>12</v>
      </c>
      <c r="D13" s="4">
        <f>MonthlyData!L13</f>
        <v>4865809.7045213087</v>
      </c>
      <c r="E13" s="4">
        <f>MonthlyData!AF13</f>
        <v>649.30879458660854</v>
      </c>
      <c r="F13">
        <f>MonthlyData!BO13</f>
        <v>0</v>
      </c>
      <c r="G13">
        <f>MonthlyData!BP13</f>
        <v>0</v>
      </c>
      <c r="H13">
        <f>MonthlyData!BU13</f>
        <v>0</v>
      </c>
      <c r="I13">
        <f>MonthlyData!BA13</f>
        <v>3.044522437723423</v>
      </c>
      <c r="K13" s="4">
        <f t="shared" si="8"/>
        <v>4628412.7605719203</v>
      </c>
      <c r="L13" s="4">
        <f t="shared" si="0"/>
        <v>868966.43204156158</v>
      </c>
      <c r="M13" s="4">
        <f t="shared" si="1"/>
        <v>0</v>
      </c>
      <c r="N13" s="4">
        <f t="shared" si="2"/>
        <v>0</v>
      </c>
      <c r="O13" s="4">
        <f t="shared" si="3"/>
        <v>5497379.1926134815</v>
      </c>
      <c r="P13" s="4">
        <f t="shared" si="4"/>
        <v>631569.48809217289</v>
      </c>
      <c r="Q13" s="182">
        <f t="shared" si="5"/>
        <v>0.12979740812825433</v>
      </c>
      <c r="T13" t="s">
        <v>89</v>
      </c>
    </row>
    <row r="14" spans="1:24" x14ac:dyDescent="0.35">
      <c r="A14" s="1">
        <f>MonthlyData!A14</f>
        <v>42005</v>
      </c>
      <c r="B14" s="13">
        <f t="shared" si="6"/>
        <v>2015</v>
      </c>
      <c r="C14" s="13">
        <f t="shared" si="7"/>
        <v>1</v>
      </c>
      <c r="D14" s="4">
        <f>MonthlyData!L14</f>
        <v>5797411.9584572725</v>
      </c>
      <c r="E14" s="4">
        <f>MonthlyData!AF14</f>
        <v>888.83475522239621</v>
      </c>
      <c r="F14">
        <f>MonthlyData!BO14</f>
        <v>0</v>
      </c>
      <c r="G14">
        <f>MonthlyData!BP14</f>
        <v>0</v>
      </c>
      <c r="H14">
        <f>MonthlyData!BU14</f>
        <v>0</v>
      </c>
      <c r="I14">
        <f>MonthlyData!BA14</f>
        <v>3.0910424533583161</v>
      </c>
      <c r="K14" s="4">
        <f t="shared" si="8"/>
        <v>4628412.7605719203</v>
      </c>
      <c r="L14" s="4">
        <f t="shared" si="0"/>
        <v>1189522.7237941215</v>
      </c>
      <c r="M14" s="4">
        <f t="shared" si="1"/>
        <v>0</v>
      </c>
      <c r="N14" s="4">
        <f t="shared" si="2"/>
        <v>0</v>
      </c>
      <c r="O14" s="4">
        <f t="shared" si="3"/>
        <v>5817935.4843660416</v>
      </c>
      <c r="P14" s="4">
        <f t="shared" si="4"/>
        <v>20523.525908769108</v>
      </c>
      <c r="Q14" s="182">
        <f t="shared" si="5"/>
        <v>3.5401186004781599E-3</v>
      </c>
      <c r="T14" t="s">
        <v>90</v>
      </c>
      <c r="U14" s="320">
        <v>13128559465496.801</v>
      </c>
      <c r="V14" t="s">
        <v>91</v>
      </c>
      <c r="W14" s="4">
        <v>322792.373504752</v>
      </c>
    </row>
    <row r="15" spans="1:24" x14ac:dyDescent="0.35">
      <c r="A15" s="1">
        <f>MonthlyData!A15</f>
        <v>42036</v>
      </c>
      <c r="B15" s="13">
        <f t="shared" si="6"/>
        <v>2015</v>
      </c>
      <c r="C15" s="13">
        <f t="shared" si="7"/>
        <v>2</v>
      </c>
      <c r="D15" s="4">
        <f>MonthlyData!L15</f>
        <v>5302857.4660439594</v>
      </c>
      <c r="E15" s="4">
        <f>MonthlyData!AF15</f>
        <v>925.79933618827647</v>
      </c>
      <c r="F15">
        <f>MonthlyData!BO15</f>
        <v>0</v>
      </c>
      <c r="G15">
        <f>MonthlyData!BP15</f>
        <v>0</v>
      </c>
      <c r="H15">
        <f>MonthlyData!BU15</f>
        <v>0</v>
      </c>
      <c r="I15">
        <f>MonthlyData!BA15</f>
        <v>3.1354942159291497</v>
      </c>
      <c r="K15" s="4">
        <f t="shared" si="8"/>
        <v>4628412.7605719203</v>
      </c>
      <c r="L15" s="4">
        <f t="shared" si="0"/>
        <v>1238992.2216688311</v>
      </c>
      <c r="M15" s="4">
        <f t="shared" si="1"/>
        <v>0</v>
      </c>
      <c r="N15" s="4">
        <f t="shared" si="2"/>
        <v>0</v>
      </c>
      <c r="O15" s="4">
        <f t="shared" si="3"/>
        <v>5867404.9822407514</v>
      </c>
      <c r="P15" s="4">
        <f t="shared" si="4"/>
        <v>564547.51619679201</v>
      </c>
      <c r="Q15" s="182">
        <f t="shared" si="5"/>
        <v>0.10646100141514006</v>
      </c>
      <c r="T15" t="s">
        <v>92</v>
      </c>
      <c r="U15" s="2">
        <v>0.69025631248081898</v>
      </c>
      <c r="V15" t="s">
        <v>93</v>
      </c>
      <c r="W15" s="321">
        <v>0.68288146277798101</v>
      </c>
    </row>
    <row r="16" spans="1:24" x14ac:dyDescent="0.35">
      <c r="A16" s="1">
        <f>MonthlyData!A16</f>
        <v>42064</v>
      </c>
      <c r="B16" s="13">
        <f t="shared" si="6"/>
        <v>2015</v>
      </c>
      <c r="C16" s="13">
        <f t="shared" si="7"/>
        <v>3</v>
      </c>
      <c r="D16" s="4">
        <f>MonthlyData!L16</f>
        <v>5678996.0917066708</v>
      </c>
      <c r="E16" s="4">
        <f>MonthlyData!AF16</f>
        <v>604.8724417886641</v>
      </c>
      <c r="F16">
        <f>MonthlyData!BO16</f>
        <v>1</v>
      </c>
      <c r="G16">
        <f>MonthlyData!BP16</f>
        <v>0</v>
      </c>
      <c r="H16">
        <f>MonthlyData!BU16</f>
        <v>0</v>
      </c>
      <c r="I16">
        <f>MonthlyData!BA16</f>
        <v>3.1780538303479458</v>
      </c>
      <c r="K16" s="4">
        <f t="shared" si="8"/>
        <v>4628412.7605719203</v>
      </c>
      <c r="L16" s="4">
        <f t="shared" si="0"/>
        <v>809497.50251881604</v>
      </c>
      <c r="M16" s="4">
        <f t="shared" si="1"/>
        <v>168249.31587912</v>
      </c>
      <c r="N16" s="4">
        <f t="shared" si="2"/>
        <v>0</v>
      </c>
      <c r="O16" s="4">
        <f t="shared" si="3"/>
        <v>5606159.5789698558</v>
      </c>
      <c r="P16" s="4">
        <f t="shared" si="4"/>
        <v>-72836.512736815028</v>
      </c>
      <c r="Q16" s="182">
        <f t="shared" si="5"/>
        <v>1.2825596559783149E-2</v>
      </c>
      <c r="T16" t="s">
        <v>490</v>
      </c>
      <c r="U16" s="2">
        <v>59.723873476026199</v>
      </c>
      <c r="V16" t="s">
        <v>94</v>
      </c>
      <c r="W16" s="18">
        <v>4.3500025320380703E-24</v>
      </c>
    </row>
    <row r="17" spans="1:23" x14ac:dyDescent="0.35">
      <c r="A17" s="1">
        <f>MonthlyData!A17</f>
        <v>42095</v>
      </c>
      <c r="B17" s="13">
        <f t="shared" si="6"/>
        <v>2015</v>
      </c>
      <c r="C17" s="13">
        <f t="shared" si="7"/>
        <v>4</v>
      </c>
      <c r="D17" s="4">
        <f>MonthlyData!L17</f>
        <v>5164191.0211993633</v>
      </c>
      <c r="E17" s="4">
        <f>MonthlyData!AF17</f>
        <v>309.39652575448434</v>
      </c>
      <c r="F17">
        <f>MonthlyData!BO17</f>
        <v>1</v>
      </c>
      <c r="G17">
        <f>MonthlyData!BP17</f>
        <v>0</v>
      </c>
      <c r="H17">
        <f>MonthlyData!BU17</f>
        <v>0</v>
      </c>
      <c r="I17">
        <f>MonthlyData!BA17</f>
        <v>3.2188758248682006</v>
      </c>
      <c r="K17" s="4">
        <f t="shared" si="8"/>
        <v>4628412.7605719203</v>
      </c>
      <c r="L17" s="4">
        <f t="shared" si="0"/>
        <v>414063.68943778094</v>
      </c>
      <c r="M17" s="4">
        <f t="shared" si="1"/>
        <v>168249.31587912</v>
      </c>
      <c r="N17" s="4">
        <f t="shared" si="2"/>
        <v>0</v>
      </c>
      <c r="O17" s="4">
        <f t="shared" si="3"/>
        <v>5210725.7658888204</v>
      </c>
      <c r="P17" s="4">
        <f t="shared" si="4"/>
        <v>46534.744689457119</v>
      </c>
      <c r="Q17" s="182">
        <f t="shared" si="5"/>
        <v>9.0110424843753371E-3</v>
      </c>
      <c r="T17" t="s">
        <v>95</v>
      </c>
      <c r="U17" s="2">
        <v>-0.10256059972904499</v>
      </c>
      <c r="V17" t="s">
        <v>96</v>
      </c>
      <c r="W17" s="322">
        <v>2.2005555350152899</v>
      </c>
    </row>
    <row r="18" spans="1:23" x14ac:dyDescent="0.35">
      <c r="A18" s="1">
        <f>MonthlyData!A18</f>
        <v>42125</v>
      </c>
      <c r="B18" s="13">
        <f t="shared" si="6"/>
        <v>2015</v>
      </c>
      <c r="C18" s="13">
        <f t="shared" si="7"/>
        <v>5</v>
      </c>
      <c r="D18" s="4">
        <f>MonthlyData!L18</f>
        <v>4691005.5488500902</v>
      </c>
      <c r="E18" s="4">
        <f>MonthlyData!AF18</f>
        <v>288.41468054388343</v>
      </c>
      <c r="F18">
        <f>MonthlyData!BO18</f>
        <v>1</v>
      </c>
      <c r="G18">
        <f>MonthlyData!BP18</f>
        <v>0</v>
      </c>
      <c r="H18">
        <f>MonthlyData!BU18</f>
        <v>0</v>
      </c>
      <c r="I18">
        <f>MonthlyData!BA18</f>
        <v>3.2580965380214821</v>
      </c>
      <c r="K18" s="4">
        <f t="shared" si="8"/>
        <v>4628412.7605719203</v>
      </c>
      <c r="L18" s="4">
        <f t="shared" si="0"/>
        <v>385983.79998870578</v>
      </c>
      <c r="M18" s="4">
        <f t="shared" si="1"/>
        <v>168249.31587912</v>
      </c>
      <c r="N18" s="4">
        <f t="shared" si="2"/>
        <v>0</v>
      </c>
      <c r="O18" s="4">
        <f t="shared" si="3"/>
        <v>5182645.8764397455</v>
      </c>
      <c r="P18" s="4">
        <f t="shared" si="4"/>
        <v>491640.3275896553</v>
      </c>
      <c r="Q18" s="182">
        <f t="shared" si="5"/>
        <v>0.1048048915035224</v>
      </c>
    </row>
    <row r="19" spans="1:23" x14ac:dyDescent="0.35">
      <c r="A19" s="1">
        <f>MonthlyData!A19</f>
        <v>42156</v>
      </c>
      <c r="B19" s="13">
        <f t="shared" si="6"/>
        <v>2015</v>
      </c>
      <c r="C19" s="13">
        <f t="shared" si="7"/>
        <v>6</v>
      </c>
      <c r="D19" s="4">
        <f>MonthlyData!L19</f>
        <v>4619803.2723334655</v>
      </c>
      <c r="E19" s="4">
        <f>MonthlyData!AF19</f>
        <v>6.6599390687185451</v>
      </c>
      <c r="F19">
        <f>MonthlyData!BO19</f>
        <v>0</v>
      </c>
      <c r="G19">
        <f>MonthlyData!BP19</f>
        <v>0</v>
      </c>
      <c r="H19">
        <f>MonthlyData!BU19</f>
        <v>0</v>
      </c>
      <c r="I19">
        <f>MonthlyData!BA19</f>
        <v>3.2958368660043291</v>
      </c>
      <c r="K19" s="4">
        <f t="shared" si="8"/>
        <v>4628412.7605719203</v>
      </c>
      <c r="L19" s="4">
        <f t="shared" si="0"/>
        <v>8912.9602716117461</v>
      </c>
      <c r="M19" s="4">
        <f t="shared" si="1"/>
        <v>0</v>
      </c>
      <c r="N19" s="4">
        <f t="shared" si="2"/>
        <v>0</v>
      </c>
      <c r="O19" s="4">
        <f t="shared" si="3"/>
        <v>4637325.7208435321</v>
      </c>
      <c r="P19" s="4">
        <f t="shared" si="4"/>
        <v>17522.448510066606</v>
      </c>
      <c r="Q19" s="182">
        <f t="shared" si="5"/>
        <v>3.7928992810154893E-3</v>
      </c>
      <c r="T19" t="s">
        <v>97</v>
      </c>
    </row>
    <row r="20" spans="1:23" x14ac:dyDescent="0.35">
      <c r="A20" s="1">
        <f>MonthlyData!A20</f>
        <v>42186</v>
      </c>
      <c r="B20" s="13">
        <f t="shared" si="6"/>
        <v>2015</v>
      </c>
      <c r="C20" s="13">
        <f t="shared" si="7"/>
        <v>7</v>
      </c>
      <c r="D20" s="4">
        <f>MonthlyData!L20</f>
        <v>4710061.3520165263</v>
      </c>
      <c r="E20" s="4">
        <f>MonthlyData!AF20</f>
        <v>0</v>
      </c>
      <c r="F20">
        <f>MonthlyData!BO20</f>
        <v>0</v>
      </c>
      <c r="G20">
        <f>MonthlyData!BP20</f>
        <v>0</v>
      </c>
      <c r="H20">
        <f>MonthlyData!BU20</f>
        <v>0</v>
      </c>
      <c r="I20">
        <f>MonthlyData!BA20</f>
        <v>3.3322045101752038</v>
      </c>
      <c r="K20" s="4">
        <f t="shared" si="8"/>
        <v>4628412.7605719203</v>
      </c>
      <c r="L20" s="4">
        <f t="shared" si="0"/>
        <v>0</v>
      </c>
      <c r="M20" s="4">
        <f t="shared" si="1"/>
        <v>0</v>
      </c>
      <c r="N20" s="4">
        <f t="shared" si="2"/>
        <v>0</v>
      </c>
      <c r="O20" s="4">
        <f t="shared" si="3"/>
        <v>4628412.7605719203</v>
      </c>
      <c r="P20" s="4">
        <f t="shared" si="4"/>
        <v>-81648.591444605961</v>
      </c>
      <c r="Q20" s="182">
        <f t="shared" si="5"/>
        <v>1.733493161604989E-2</v>
      </c>
      <c r="T20" t="s">
        <v>98</v>
      </c>
      <c r="U20">
        <v>5036988.5663118903</v>
      </c>
      <c r="V20" t="s">
        <v>99</v>
      </c>
      <c r="W20">
        <v>570902.30353270005</v>
      </c>
    </row>
    <row r="21" spans="1:23" x14ac:dyDescent="0.35">
      <c r="A21" s="1">
        <f>MonthlyData!A21</f>
        <v>42217</v>
      </c>
      <c r="B21" s="13">
        <f t="shared" si="6"/>
        <v>2015</v>
      </c>
      <c r="C21" s="13">
        <f t="shared" si="7"/>
        <v>8</v>
      </c>
      <c r="D21" s="4">
        <f>MonthlyData!L21</f>
        <v>4805688.3518873435</v>
      </c>
      <c r="E21" s="4">
        <f>MonthlyData!AF21</f>
        <v>0</v>
      </c>
      <c r="F21">
        <f>MonthlyData!BO21</f>
        <v>0</v>
      </c>
      <c r="G21">
        <f>MonthlyData!BP21</f>
        <v>0</v>
      </c>
      <c r="H21">
        <f>MonthlyData!BU21</f>
        <v>0</v>
      </c>
      <c r="I21">
        <f>MonthlyData!BA21</f>
        <v>3.3672958299864741</v>
      </c>
      <c r="K21" s="4">
        <f t="shared" si="8"/>
        <v>4628412.7605719203</v>
      </c>
      <c r="L21" s="4">
        <f t="shared" si="0"/>
        <v>0</v>
      </c>
      <c r="M21" s="4">
        <f t="shared" si="1"/>
        <v>0</v>
      </c>
      <c r="N21" s="4">
        <f t="shared" si="2"/>
        <v>0</v>
      </c>
      <c r="O21" s="4">
        <f t="shared" si="3"/>
        <v>4628412.7605719203</v>
      </c>
      <c r="P21" s="4">
        <f t="shared" si="4"/>
        <v>-177275.59131542314</v>
      </c>
      <c r="Q21" s="182">
        <f t="shared" si="5"/>
        <v>3.6888699044706361E-2</v>
      </c>
    </row>
    <row r="22" spans="1:23" x14ac:dyDescent="0.35">
      <c r="A22" s="1">
        <f>MonthlyData!A22</f>
        <v>42248</v>
      </c>
      <c r="B22" s="13">
        <f t="shared" si="6"/>
        <v>2015</v>
      </c>
      <c r="C22" s="13">
        <f t="shared" si="7"/>
        <v>9</v>
      </c>
      <c r="D22" s="4">
        <f>MonthlyData!L22</f>
        <v>4573653.7213467266</v>
      </c>
      <c r="E22" s="4">
        <f>MonthlyData!AF22</f>
        <v>16.877396174576482</v>
      </c>
      <c r="F22">
        <f>MonthlyData!BO22</f>
        <v>0</v>
      </c>
      <c r="G22">
        <f>MonthlyData!BP22</f>
        <v>0</v>
      </c>
      <c r="H22">
        <f>MonthlyData!BU22</f>
        <v>0</v>
      </c>
      <c r="I22">
        <f>MonthlyData!BA22</f>
        <v>3.4011973816621555</v>
      </c>
      <c r="K22" s="4">
        <f t="shared" si="8"/>
        <v>4628412.7605719203</v>
      </c>
      <c r="L22" s="4">
        <f t="shared" si="0"/>
        <v>22586.927604008302</v>
      </c>
      <c r="M22" s="4">
        <f t="shared" si="1"/>
        <v>0</v>
      </c>
      <c r="N22" s="4">
        <f t="shared" si="2"/>
        <v>0</v>
      </c>
      <c r="O22" s="4">
        <f t="shared" si="3"/>
        <v>4650999.6881759288</v>
      </c>
      <c r="P22" s="4">
        <f t="shared" si="4"/>
        <v>77345.966829202138</v>
      </c>
      <c r="Q22" s="182">
        <f t="shared" si="5"/>
        <v>1.6911198691803755E-2</v>
      </c>
    </row>
    <row r="23" spans="1:23" x14ac:dyDescent="0.35">
      <c r="A23" s="1">
        <f>MonthlyData!A23</f>
        <v>42278</v>
      </c>
      <c r="B23" s="13">
        <f t="shared" si="6"/>
        <v>2015</v>
      </c>
      <c r="C23" s="13">
        <f t="shared" si="7"/>
        <v>10</v>
      </c>
      <c r="D23" s="4">
        <f>MonthlyData!L23</f>
        <v>4637713.1451860107</v>
      </c>
      <c r="E23" s="4">
        <f>MonthlyData!AF23</f>
        <v>212.50558278834421</v>
      </c>
      <c r="F23">
        <f>MonthlyData!BO23</f>
        <v>0</v>
      </c>
      <c r="G23">
        <f>MonthlyData!BP23</f>
        <v>1</v>
      </c>
      <c r="H23">
        <f>MonthlyData!BU23</f>
        <v>0</v>
      </c>
      <c r="I23">
        <f>MonthlyData!BA23</f>
        <v>3.4339872044851463</v>
      </c>
      <c r="K23" s="4">
        <f t="shared" si="8"/>
        <v>4628412.7605719203</v>
      </c>
      <c r="L23" s="4">
        <f t="shared" si="0"/>
        <v>284395.06688349514</v>
      </c>
      <c r="M23" s="4">
        <f t="shared" si="1"/>
        <v>0</v>
      </c>
      <c r="N23" s="4">
        <f t="shared" si="2"/>
        <v>-269170.44459088001</v>
      </c>
      <c r="O23" s="4">
        <f t="shared" si="3"/>
        <v>4643637.3828645358</v>
      </c>
      <c r="P23" s="4">
        <f t="shared" si="4"/>
        <v>5924.2376785250381</v>
      </c>
      <c r="Q23" s="182">
        <f t="shared" si="5"/>
        <v>1.2774049392585765E-3</v>
      </c>
    </row>
    <row r="24" spans="1:23" x14ac:dyDescent="0.35">
      <c r="A24" s="1">
        <f>MonthlyData!A24</f>
        <v>42309</v>
      </c>
      <c r="B24" s="13">
        <f t="shared" si="6"/>
        <v>2015</v>
      </c>
      <c r="C24" s="13">
        <f t="shared" si="7"/>
        <v>11</v>
      </c>
      <c r="D24" s="4">
        <f>MonthlyData!L24</f>
        <v>5000806.2716847491</v>
      </c>
      <c r="E24" s="4">
        <f>MonthlyData!AF24</f>
        <v>296.19166666666666</v>
      </c>
      <c r="F24">
        <f>MonthlyData!BO24</f>
        <v>0</v>
      </c>
      <c r="G24">
        <f>MonthlyData!BP24</f>
        <v>1</v>
      </c>
      <c r="H24">
        <f>MonthlyData!BU24</f>
        <v>0</v>
      </c>
      <c r="I24">
        <f>MonthlyData!BA24</f>
        <v>3.4657359027997265</v>
      </c>
      <c r="K24" s="4">
        <f t="shared" si="8"/>
        <v>4628412.7605719203</v>
      </c>
      <c r="L24" s="4">
        <f t="shared" si="0"/>
        <v>396391.69826375414</v>
      </c>
      <c r="M24" s="4">
        <f t="shared" si="1"/>
        <v>0</v>
      </c>
      <c r="N24" s="4">
        <f t="shared" si="2"/>
        <v>-269170.44459088001</v>
      </c>
      <c r="O24" s="4">
        <f t="shared" si="3"/>
        <v>4755634.0142447948</v>
      </c>
      <c r="P24" s="4">
        <f t="shared" si="4"/>
        <v>-245172.25743995421</v>
      </c>
      <c r="Q24" s="182">
        <f t="shared" si="5"/>
        <v>4.9026545744863814E-2</v>
      </c>
    </row>
    <row r="25" spans="1:23" x14ac:dyDescent="0.35">
      <c r="A25" s="1">
        <f>MonthlyData!A25</f>
        <v>42339</v>
      </c>
      <c r="B25" s="13">
        <f t="shared" si="6"/>
        <v>2015</v>
      </c>
      <c r="C25" s="13">
        <f t="shared" si="7"/>
        <v>12</v>
      </c>
      <c r="D25" s="4">
        <f>MonthlyData!L25</f>
        <v>5163413.1924942695</v>
      </c>
      <c r="E25" s="4">
        <f>MonthlyData!AF25</f>
        <v>465.28749999999997</v>
      </c>
      <c r="F25">
        <f>MonthlyData!BO25</f>
        <v>0</v>
      </c>
      <c r="G25">
        <f>MonthlyData!BP25</f>
        <v>0</v>
      </c>
      <c r="H25">
        <f>MonthlyData!BU25</f>
        <v>0</v>
      </c>
      <c r="I25">
        <f>MonthlyData!BA25</f>
        <v>3.4965075614664802</v>
      </c>
      <c r="K25" s="4">
        <f t="shared" si="8"/>
        <v>4628412.7605719203</v>
      </c>
      <c r="L25" s="4">
        <f t="shared" si="0"/>
        <v>622691.73330072244</v>
      </c>
      <c r="M25" s="4">
        <f t="shared" si="1"/>
        <v>0</v>
      </c>
      <c r="N25" s="4">
        <f t="shared" si="2"/>
        <v>0</v>
      </c>
      <c r="O25" s="4">
        <f t="shared" si="3"/>
        <v>5251104.4938726425</v>
      </c>
      <c r="P25" s="4">
        <f t="shared" si="4"/>
        <v>87691.301378373057</v>
      </c>
      <c r="Q25" s="182">
        <f t="shared" si="5"/>
        <v>1.6983204347435221E-2</v>
      </c>
    </row>
    <row r="26" spans="1:23" x14ac:dyDescent="0.35">
      <c r="A26" s="1">
        <f>MonthlyData!A26</f>
        <v>42370</v>
      </c>
      <c r="B26" s="13">
        <f t="shared" si="6"/>
        <v>2016</v>
      </c>
      <c r="C26" s="13">
        <f t="shared" si="7"/>
        <v>1</v>
      </c>
      <c r="D26" s="4">
        <f>MonthlyData!L26</f>
        <v>5610843.9789451323</v>
      </c>
      <c r="E26" s="4">
        <f>MonthlyData!AF26</f>
        <v>718.46798406531877</v>
      </c>
      <c r="F26">
        <f>MonthlyData!BO26</f>
        <v>0</v>
      </c>
      <c r="G26">
        <f>MonthlyData!BP26</f>
        <v>0</v>
      </c>
      <c r="H26">
        <f>MonthlyData!BU26</f>
        <v>0</v>
      </c>
      <c r="I26">
        <f>MonthlyData!BA26</f>
        <v>3.5263605246161616</v>
      </c>
      <c r="K26" s="4">
        <f t="shared" si="8"/>
        <v>4628412.7605719203</v>
      </c>
      <c r="L26" s="4">
        <f t="shared" si="0"/>
        <v>961521.7995727571</v>
      </c>
      <c r="M26" s="4">
        <f t="shared" si="1"/>
        <v>0</v>
      </c>
      <c r="N26" s="4">
        <f t="shared" si="2"/>
        <v>0</v>
      </c>
      <c r="O26" s="4">
        <f t="shared" si="3"/>
        <v>5589934.5601446778</v>
      </c>
      <c r="P26" s="4">
        <f t="shared" si="4"/>
        <v>-20909.418800454587</v>
      </c>
      <c r="Q26" s="182">
        <f t="shared" si="5"/>
        <v>3.7266084886547969E-3</v>
      </c>
    </row>
    <row r="27" spans="1:23" x14ac:dyDescent="0.35">
      <c r="A27" s="1">
        <f>MonthlyData!A27</f>
        <v>42401</v>
      </c>
      <c r="B27" s="13">
        <f t="shared" si="6"/>
        <v>2016</v>
      </c>
      <c r="C27" s="13">
        <f t="shared" si="7"/>
        <v>2</v>
      </c>
      <c r="D27" s="4">
        <f>MonthlyData!L27</f>
        <v>5938550.2731708772</v>
      </c>
      <c r="E27" s="4">
        <f>MonthlyData!AF27</f>
        <v>732.41995472340568</v>
      </c>
      <c r="F27">
        <f>MonthlyData!BO27</f>
        <v>0</v>
      </c>
      <c r="G27">
        <f>MonthlyData!BP27</f>
        <v>0</v>
      </c>
      <c r="H27">
        <f>MonthlyData!BU27</f>
        <v>0</v>
      </c>
      <c r="I27">
        <f>MonthlyData!BA27</f>
        <v>3.5553480614894135</v>
      </c>
      <c r="K27" s="4">
        <f t="shared" si="8"/>
        <v>4628412.7605719203</v>
      </c>
      <c r="L27" s="4">
        <f t="shared" si="0"/>
        <v>980193.6461021502</v>
      </c>
      <c r="M27" s="4">
        <f t="shared" si="1"/>
        <v>0</v>
      </c>
      <c r="N27" s="4">
        <f t="shared" si="2"/>
        <v>0</v>
      </c>
      <c r="O27" s="4">
        <f t="shared" si="3"/>
        <v>5608606.4066740703</v>
      </c>
      <c r="P27" s="4">
        <f t="shared" si="4"/>
        <v>-329943.86649680696</v>
      </c>
      <c r="Q27" s="182">
        <f t="shared" si="5"/>
        <v>5.5559665460343757E-2</v>
      </c>
    </row>
    <row r="28" spans="1:23" x14ac:dyDescent="0.35">
      <c r="A28" s="1">
        <f>MonthlyData!A28</f>
        <v>42430</v>
      </c>
      <c r="B28" s="13">
        <f t="shared" si="6"/>
        <v>2016</v>
      </c>
      <c r="C28" s="13">
        <f t="shared" si="7"/>
        <v>3</v>
      </c>
      <c r="D28" s="4">
        <f>MonthlyData!L28</f>
        <v>5861937.9148002611</v>
      </c>
      <c r="E28" s="4">
        <f>MonthlyData!AF28</f>
        <v>515.41411900761977</v>
      </c>
      <c r="F28">
        <f>MonthlyData!BO28</f>
        <v>1</v>
      </c>
      <c r="G28">
        <f>MonthlyData!BP28</f>
        <v>0</v>
      </c>
      <c r="H28">
        <f>MonthlyData!BU28</f>
        <v>0</v>
      </c>
      <c r="I28">
        <f>MonthlyData!BA28</f>
        <v>3.5835189384561099</v>
      </c>
      <c r="K28" s="4">
        <f t="shared" si="8"/>
        <v>4628412.7605719203</v>
      </c>
      <c r="L28" s="4">
        <f t="shared" si="0"/>
        <v>689775.91517614294</v>
      </c>
      <c r="M28" s="4">
        <f t="shared" si="1"/>
        <v>168249.31587912</v>
      </c>
      <c r="N28" s="4">
        <f t="shared" si="2"/>
        <v>0</v>
      </c>
      <c r="O28" s="4">
        <f t="shared" si="3"/>
        <v>5486437.9916271828</v>
      </c>
      <c r="P28" s="4">
        <f t="shared" si="4"/>
        <v>-375499.92317307834</v>
      </c>
      <c r="Q28" s="182">
        <f t="shared" si="5"/>
        <v>6.4057301293658123E-2</v>
      </c>
    </row>
    <row r="29" spans="1:23" x14ac:dyDescent="0.35">
      <c r="A29" s="1">
        <f>MonthlyData!A29</f>
        <v>42461</v>
      </c>
      <c r="B29" s="13">
        <f t="shared" si="6"/>
        <v>2016</v>
      </c>
      <c r="C29" s="13">
        <f t="shared" si="7"/>
        <v>4</v>
      </c>
      <c r="D29" s="4">
        <f>MonthlyData!L29</f>
        <v>5803468.9371351451</v>
      </c>
      <c r="E29" s="4">
        <f>MonthlyData!AF29</f>
        <v>361.875</v>
      </c>
      <c r="F29">
        <f>MonthlyData!BO29</f>
        <v>1</v>
      </c>
      <c r="G29">
        <f>MonthlyData!BP29</f>
        <v>0</v>
      </c>
      <c r="H29">
        <f>MonthlyData!BU29</f>
        <v>0</v>
      </c>
      <c r="I29">
        <f>MonthlyData!BA29</f>
        <v>3.6109179126442243</v>
      </c>
      <c r="K29" s="4">
        <f t="shared" si="8"/>
        <v>4628412.7605719203</v>
      </c>
      <c r="L29" s="4">
        <f t="shared" si="0"/>
        <v>484295.34640023421</v>
      </c>
      <c r="M29" s="4">
        <f t="shared" si="1"/>
        <v>168249.31587912</v>
      </c>
      <c r="N29" s="4">
        <f t="shared" si="2"/>
        <v>0</v>
      </c>
      <c r="O29" s="4">
        <f t="shared" si="3"/>
        <v>5280957.4228512738</v>
      </c>
      <c r="P29" s="4">
        <f t="shared" si="4"/>
        <v>-522511.51428387128</v>
      </c>
      <c r="Q29" s="182">
        <f t="shared" si="5"/>
        <v>9.0034343242613543E-2</v>
      </c>
    </row>
    <row r="30" spans="1:23" x14ac:dyDescent="0.35">
      <c r="A30" s="1">
        <f>MonthlyData!A30</f>
        <v>42491</v>
      </c>
      <c r="B30" s="13">
        <f t="shared" si="6"/>
        <v>2016</v>
      </c>
      <c r="C30" s="13">
        <f t="shared" si="7"/>
        <v>5</v>
      </c>
      <c r="D30" s="4">
        <f>MonthlyData!L30</f>
        <v>4864263.5138979312</v>
      </c>
      <c r="E30" s="4">
        <f>MonthlyData!AF30</f>
        <v>72.507170139097227</v>
      </c>
      <c r="F30">
        <f>MonthlyData!BO30</f>
        <v>1</v>
      </c>
      <c r="G30">
        <f>MonthlyData!BP30</f>
        <v>0</v>
      </c>
      <c r="H30">
        <f>MonthlyData!BU30</f>
        <v>0</v>
      </c>
      <c r="I30">
        <f>MonthlyData!BA30</f>
        <v>3.6375861597263857</v>
      </c>
      <c r="K30" s="4">
        <f t="shared" si="8"/>
        <v>4628412.7605719203</v>
      </c>
      <c r="L30" s="4">
        <f t="shared" si="0"/>
        <v>97035.951859108274</v>
      </c>
      <c r="M30" s="4">
        <f t="shared" si="1"/>
        <v>168249.31587912</v>
      </c>
      <c r="N30" s="4">
        <f t="shared" si="2"/>
        <v>0</v>
      </c>
      <c r="O30" s="4">
        <f t="shared" si="3"/>
        <v>4893698.028310148</v>
      </c>
      <c r="P30" s="4">
        <f t="shared" si="4"/>
        <v>29434.514412216842</v>
      </c>
      <c r="Q30" s="182">
        <f t="shared" si="5"/>
        <v>6.0511759546163597E-3</v>
      </c>
    </row>
    <row r="31" spans="1:23" x14ac:dyDescent="0.35">
      <c r="A31" s="1">
        <f>MonthlyData!A31</f>
        <v>42522</v>
      </c>
      <c r="B31" s="13">
        <f t="shared" si="6"/>
        <v>2016</v>
      </c>
      <c r="C31" s="13">
        <f t="shared" si="7"/>
        <v>6</v>
      </c>
      <c r="D31" s="4">
        <f>MonthlyData!L31</f>
        <v>4805725.6259411508</v>
      </c>
      <c r="E31" s="4">
        <f>MonthlyData!AF31</f>
        <v>10.937500000000002</v>
      </c>
      <c r="F31">
        <f>MonthlyData!BO31</f>
        <v>0</v>
      </c>
      <c r="G31">
        <f>MonthlyData!BP31</f>
        <v>0</v>
      </c>
      <c r="H31">
        <f>MonthlyData!BU31</f>
        <v>0</v>
      </c>
      <c r="I31">
        <f>MonthlyData!BA31</f>
        <v>3.6635616461296463</v>
      </c>
      <c r="K31" s="4">
        <f t="shared" si="8"/>
        <v>4628412.7605719203</v>
      </c>
      <c r="L31" s="4">
        <f t="shared" si="0"/>
        <v>14637.596825568393</v>
      </c>
      <c r="M31" s="4">
        <f t="shared" si="1"/>
        <v>0</v>
      </c>
      <c r="N31" s="4">
        <f t="shared" si="2"/>
        <v>0</v>
      </c>
      <c r="O31" s="4">
        <f t="shared" si="3"/>
        <v>4643050.3573974883</v>
      </c>
      <c r="P31" s="4">
        <f t="shared" si="4"/>
        <v>-162675.2685436625</v>
      </c>
      <c r="Q31" s="182">
        <f t="shared" si="5"/>
        <v>3.3850302993901002E-2</v>
      </c>
    </row>
    <row r="32" spans="1:23" x14ac:dyDescent="0.35">
      <c r="A32" s="1">
        <f>MonthlyData!A32</f>
        <v>42552</v>
      </c>
      <c r="B32" s="13">
        <f t="shared" si="6"/>
        <v>2016</v>
      </c>
      <c r="C32" s="13">
        <f t="shared" si="7"/>
        <v>7</v>
      </c>
      <c r="D32" s="4">
        <f>MonthlyData!L32</f>
        <v>4625937.583049966</v>
      </c>
      <c r="E32" s="4">
        <f>MonthlyData!AF32</f>
        <v>0</v>
      </c>
      <c r="F32">
        <f>MonthlyData!BO32</f>
        <v>0</v>
      </c>
      <c r="G32">
        <f>MonthlyData!BP32</f>
        <v>0</v>
      </c>
      <c r="H32">
        <f>MonthlyData!BU32</f>
        <v>0</v>
      </c>
      <c r="I32">
        <f>MonthlyData!BA32</f>
        <v>3.6888794541139363</v>
      </c>
      <c r="K32" s="4">
        <f t="shared" si="8"/>
        <v>4628412.7605719203</v>
      </c>
      <c r="L32" s="4">
        <f t="shared" si="0"/>
        <v>0</v>
      </c>
      <c r="M32" s="4">
        <f t="shared" si="1"/>
        <v>0</v>
      </c>
      <c r="N32" s="4">
        <f t="shared" si="2"/>
        <v>0</v>
      </c>
      <c r="O32" s="4">
        <f t="shared" si="3"/>
        <v>4628412.7605719203</v>
      </c>
      <c r="P32" s="4">
        <f t="shared" si="4"/>
        <v>2475.1775219542906</v>
      </c>
      <c r="Q32" s="182">
        <f t="shared" si="5"/>
        <v>5.3506504952069856E-4</v>
      </c>
    </row>
    <row r="33" spans="1:17" x14ac:dyDescent="0.35">
      <c r="A33" s="1">
        <f>MonthlyData!A33</f>
        <v>42583</v>
      </c>
      <c r="B33" s="13">
        <f t="shared" si="6"/>
        <v>2016</v>
      </c>
      <c r="C33" s="13">
        <f t="shared" si="7"/>
        <v>8</v>
      </c>
      <c r="D33" s="4">
        <f>MonthlyData!L33</f>
        <v>4693525.5028378628</v>
      </c>
      <c r="E33" s="4">
        <f>MonthlyData!AF33</f>
        <v>0</v>
      </c>
      <c r="F33">
        <f>MonthlyData!BO33</f>
        <v>0</v>
      </c>
      <c r="G33">
        <f>MonthlyData!BP33</f>
        <v>0</v>
      </c>
      <c r="H33">
        <f>MonthlyData!BU33</f>
        <v>0</v>
      </c>
      <c r="I33">
        <f>MonthlyData!BA33</f>
        <v>3.713572066704308</v>
      </c>
      <c r="K33" s="4">
        <f t="shared" si="8"/>
        <v>4628412.7605719203</v>
      </c>
      <c r="L33" s="4">
        <f t="shared" si="0"/>
        <v>0</v>
      </c>
      <c r="M33" s="4">
        <f t="shared" si="1"/>
        <v>0</v>
      </c>
      <c r="N33" s="4">
        <f t="shared" si="2"/>
        <v>0</v>
      </c>
      <c r="O33" s="4">
        <f t="shared" si="3"/>
        <v>4628412.7605719203</v>
      </c>
      <c r="P33" s="4">
        <f t="shared" si="4"/>
        <v>-65112.742265942506</v>
      </c>
      <c r="Q33" s="182">
        <f t="shared" si="5"/>
        <v>1.3872885579629462E-2</v>
      </c>
    </row>
    <row r="34" spans="1:17" x14ac:dyDescent="0.35">
      <c r="A34" s="1">
        <f>MonthlyData!A34</f>
        <v>42614</v>
      </c>
      <c r="B34" s="13">
        <f t="shared" si="6"/>
        <v>2016</v>
      </c>
      <c r="C34" s="13">
        <f t="shared" si="7"/>
        <v>9</v>
      </c>
      <c r="D34" s="4">
        <f>MonthlyData!L34</f>
        <v>4875327.736911172</v>
      </c>
      <c r="E34" s="4">
        <f>MonthlyData!AF34</f>
        <v>7.7458333333333318</v>
      </c>
      <c r="F34">
        <f>MonthlyData!BO34</f>
        <v>0</v>
      </c>
      <c r="G34">
        <f>MonthlyData!BP34</f>
        <v>0</v>
      </c>
      <c r="H34">
        <f>MonthlyData!BU34</f>
        <v>0</v>
      </c>
      <c r="I34">
        <f>MonthlyData!BA34</f>
        <v>3.7376696182833684</v>
      </c>
      <c r="K34" s="4">
        <f t="shared" si="8"/>
        <v>4628412.7605719203</v>
      </c>
      <c r="L34" s="4">
        <f t="shared" ref="L34:L65" si="9">E34*$U$9</f>
        <v>10366.20666618348</v>
      </c>
      <c r="M34" s="4">
        <f t="shared" ref="M34:M65" si="10">F34*$U$10</f>
        <v>0</v>
      </c>
      <c r="N34" s="4">
        <f t="shared" ref="N34:N65" si="11">G34*$U$11</f>
        <v>0</v>
      </c>
      <c r="O34" s="4">
        <f t="shared" ref="O34:O65" si="12">SUM(K34:N34)</f>
        <v>4638778.967238104</v>
      </c>
      <c r="P34" s="4">
        <f t="shared" ref="P34:P65" si="13">O34-D34</f>
        <v>-236548.76967306808</v>
      </c>
      <c r="Q34" s="182">
        <f t="shared" ref="Q34:Q65" si="14">ABS(P34/D34)</f>
        <v>4.8519562671070118E-2</v>
      </c>
    </row>
    <row r="35" spans="1:17" x14ac:dyDescent="0.35">
      <c r="A35" s="1">
        <f>MonthlyData!A35</f>
        <v>42644</v>
      </c>
      <c r="B35" s="13">
        <f t="shared" si="6"/>
        <v>2016</v>
      </c>
      <c r="C35" s="13">
        <f t="shared" si="7"/>
        <v>10</v>
      </c>
      <c r="D35" s="4">
        <f>MonthlyData!L35</f>
        <v>4781382.9421369703</v>
      </c>
      <c r="E35" s="4">
        <f>MonthlyData!AF35</f>
        <v>165.32732502849939</v>
      </c>
      <c r="F35">
        <f>MonthlyData!BO35</f>
        <v>0</v>
      </c>
      <c r="G35">
        <f>MonthlyData!BP35</f>
        <v>1</v>
      </c>
      <c r="H35">
        <f>MonthlyData!BU35</f>
        <v>0</v>
      </c>
      <c r="I35">
        <f>MonthlyData!BA35</f>
        <v>3.7612001156935624</v>
      </c>
      <c r="K35" s="4">
        <f t="shared" si="8"/>
        <v>4628412.7605719203</v>
      </c>
      <c r="L35" s="4">
        <f t="shared" si="9"/>
        <v>221256.66084725724</v>
      </c>
      <c r="M35" s="4">
        <f t="shared" si="10"/>
        <v>0</v>
      </c>
      <c r="N35" s="4">
        <f t="shared" si="11"/>
        <v>-269170.44459088001</v>
      </c>
      <c r="O35" s="4">
        <f t="shared" si="12"/>
        <v>4580498.9768282976</v>
      </c>
      <c r="P35" s="4">
        <f t="shared" si="13"/>
        <v>-200883.96530867275</v>
      </c>
      <c r="Q35" s="182">
        <f t="shared" si="14"/>
        <v>4.2013778804106942E-2</v>
      </c>
    </row>
    <row r="36" spans="1:17" x14ac:dyDescent="0.35">
      <c r="A36" s="1">
        <f>MonthlyData!A36</f>
        <v>42675</v>
      </c>
      <c r="B36" s="13">
        <f t="shared" si="6"/>
        <v>2016</v>
      </c>
      <c r="C36" s="13">
        <f t="shared" si="7"/>
        <v>11</v>
      </c>
      <c r="D36" s="4">
        <f>MonthlyData!L36</f>
        <v>4951948.8038693545</v>
      </c>
      <c r="E36" s="4">
        <f>MonthlyData!AF36</f>
        <v>267.69583333333338</v>
      </c>
      <c r="F36">
        <f>MonthlyData!BO36</f>
        <v>0</v>
      </c>
      <c r="G36">
        <f>MonthlyData!BP36</f>
        <v>1</v>
      </c>
      <c r="H36">
        <f>MonthlyData!BU36</f>
        <v>0</v>
      </c>
      <c r="I36">
        <f>MonthlyData!BA36</f>
        <v>3.784189633918261</v>
      </c>
      <c r="K36" s="4">
        <f t="shared" si="8"/>
        <v>4628412.7605719203</v>
      </c>
      <c r="L36" s="4">
        <f t="shared" si="9"/>
        <v>358255.87933420669</v>
      </c>
      <c r="M36" s="4">
        <f t="shared" si="10"/>
        <v>0</v>
      </c>
      <c r="N36" s="4">
        <f t="shared" si="11"/>
        <v>-269170.44459088001</v>
      </c>
      <c r="O36" s="4">
        <f t="shared" si="12"/>
        <v>4717498.1953152474</v>
      </c>
      <c r="P36" s="4">
        <f t="shared" si="13"/>
        <v>-234450.60855410714</v>
      </c>
      <c r="Q36" s="182">
        <f t="shared" si="14"/>
        <v>4.7345119636720008E-2</v>
      </c>
    </row>
    <row r="37" spans="1:17" x14ac:dyDescent="0.35">
      <c r="A37" s="1">
        <f>MonthlyData!A37</f>
        <v>42705</v>
      </c>
      <c r="B37" s="13">
        <f t="shared" si="6"/>
        <v>2016</v>
      </c>
      <c r="C37" s="13">
        <f t="shared" si="7"/>
        <v>12</v>
      </c>
      <c r="D37" s="4">
        <f>MonthlyData!L37</f>
        <v>5310474.9763673358</v>
      </c>
      <c r="E37" s="4">
        <f>MonthlyData!AF37</f>
        <v>649.50833333333321</v>
      </c>
      <c r="F37">
        <f>MonthlyData!BO37</f>
        <v>0</v>
      </c>
      <c r="G37">
        <f>MonthlyData!BP37</f>
        <v>0</v>
      </c>
      <c r="H37">
        <f>MonthlyData!BU37</f>
        <v>0</v>
      </c>
      <c r="I37">
        <f>MonthlyData!BA37</f>
        <v>3.8066624897703196</v>
      </c>
      <c r="K37" s="4">
        <f t="shared" si="8"/>
        <v>4628412.7605719203</v>
      </c>
      <c r="L37" s="4">
        <f t="shared" si="9"/>
        <v>869233.47366219107</v>
      </c>
      <c r="M37" s="4">
        <f t="shared" si="10"/>
        <v>0</v>
      </c>
      <c r="N37" s="4">
        <f t="shared" si="11"/>
        <v>0</v>
      </c>
      <c r="O37" s="4">
        <f t="shared" si="12"/>
        <v>5497646.2342341114</v>
      </c>
      <c r="P37" s="4">
        <f t="shared" si="13"/>
        <v>187171.25786677562</v>
      </c>
      <c r="Q37" s="182">
        <f t="shared" si="14"/>
        <v>3.5245671752475012E-2</v>
      </c>
    </row>
    <row r="38" spans="1:17" x14ac:dyDescent="0.35">
      <c r="A38" s="1">
        <f>MonthlyData!A38</f>
        <v>42736</v>
      </c>
      <c r="B38" s="13">
        <f t="shared" si="6"/>
        <v>2017</v>
      </c>
      <c r="C38" s="13">
        <f t="shared" si="7"/>
        <v>1</v>
      </c>
      <c r="D38" s="4">
        <f>MonthlyData!L38</f>
        <v>5974612.5644854195</v>
      </c>
      <c r="E38" s="4">
        <f>MonthlyData!AF38</f>
        <v>625.60416666666674</v>
      </c>
      <c r="F38">
        <f>MonthlyData!BO38</f>
        <v>0</v>
      </c>
      <c r="G38">
        <f>MonthlyData!BP38</f>
        <v>0</v>
      </c>
      <c r="H38">
        <f>MonthlyData!BU38</f>
        <v>0</v>
      </c>
      <c r="I38">
        <f>MonthlyData!BA38</f>
        <v>3.8286413964890951</v>
      </c>
      <c r="K38" s="4">
        <f t="shared" si="8"/>
        <v>4628412.7605719203</v>
      </c>
      <c r="L38" s="4">
        <f t="shared" si="9"/>
        <v>837242.65728570148</v>
      </c>
      <c r="M38" s="4">
        <f t="shared" si="10"/>
        <v>0</v>
      </c>
      <c r="N38" s="4">
        <f t="shared" si="11"/>
        <v>0</v>
      </c>
      <c r="O38" s="4">
        <f t="shared" si="12"/>
        <v>5465655.4178576218</v>
      </c>
      <c r="P38" s="4">
        <f t="shared" si="13"/>
        <v>-508957.14662779775</v>
      </c>
      <c r="Q38" s="182">
        <f t="shared" si="14"/>
        <v>8.5186636143264813E-2</v>
      </c>
    </row>
    <row r="39" spans="1:17" x14ac:dyDescent="0.35">
      <c r="A39" s="1">
        <f>MonthlyData!A39</f>
        <v>42767</v>
      </c>
      <c r="B39" s="13">
        <f t="shared" si="6"/>
        <v>2017</v>
      </c>
      <c r="C39" s="13">
        <f t="shared" si="7"/>
        <v>2</v>
      </c>
      <c r="D39" s="4">
        <f>MonthlyData!L39</f>
        <v>5686591.1746847741</v>
      </c>
      <c r="E39" s="4">
        <f>MonthlyData!AF39</f>
        <v>608.23750000000007</v>
      </c>
      <c r="F39">
        <f>MonthlyData!BO39</f>
        <v>0</v>
      </c>
      <c r="G39">
        <f>MonthlyData!BP39</f>
        <v>0</v>
      </c>
      <c r="H39">
        <f>MonthlyData!BU39</f>
        <v>0</v>
      </c>
      <c r="I39">
        <f>MonthlyData!BA39</f>
        <v>3.8501476017100584</v>
      </c>
      <c r="K39" s="4">
        <f t="shared" si="8"/>
        <v>4628412.7605719203</v>
      </c>
      <c r="L39" s="4">
        <f t="shared" si="9"/>
        <v>814000.94164037984</v>
      </c>
      <c r="M39" s="4">
        <f t="shared" si="10"/>
        <v>0</v>
      </c>
      <c r="N39" s="4">
        <f t="shared" si="11"/>
        <v>0</v>
      </c>
      <c r="O39" s="4">
        <f t="shared" si="12"/>
        <v>5442413.7022123002</v>
      </c>
      <c r="P39" s="4">
        <f t="shared" si="13"/>
        <v>-244177.47247247398</v>
      </c>
      <c r="Q39" s="182">
        <f t="shared" si="14"/>
        <v>4.2939164250014775E-2</v>
      </c>
    </row>
    <row r="40" spans="1:17" x14ac:dyDescent="0.35">
      <c r="A40" s="1">
        <f>MonthlyData!A40</f>
        <v>42795</v>
      </c>
      <c r="B40" s="13">
        <f t="shared" si="6"/>
        <v>2017</v>
      </c>
      <c r="C40" s="13">
        <f t="shared" si="7"/>
        <v>3</v>
      </c>
      <c r="D40" s="4">
        <f>MonthlyData!L40</f>
        <v>5518508.6786422282</v>
      </c>
      <c r="E40" s="4">
        <f>MonthlyData!AF40</f>
        <v>573.71046635567325</v>
      </c>
      <c r="F40">
        <f>MonthlyData!BO40</f>
        <v>1</v>
      </c>
      <c r="G40">
        <f>MonthlyData!BP40</f>
        <v>0</v>
      </c>
      <c r="H40">
        <f>MonthlyData!BU40</f>
        <v>0</v>
      </c>
      <c r="I40">
        <f>MonthlyData!BA40</f>
        <v>3.8712010109078911</v>
      </c>
      <c r="K40" s="4">
        <f t="shared" si="8"/>
        <v>4628412.7605719203</v>
      </c>
      <c r="L40" s="4">
        <f t="shared" si="9"/>
        <v>767793.60010268923</v>
      </c>
      <c r="M40" s="4">
        <f t="shared" si="10"/>
        <v>168249.31587912</v>
      </c>
      <c r="N40" s="4">
        <f t="shared" si="11"/>
        <v>0</v>
      </c>
      <c r="O40" s="4">
        <f t="shared" si="12"/>
        <v>5564455.676553729</v>
      </c>
      <c r="P40" s="4">
        <f t="shared" si="13"/>
        <v>45946.997911500745</v>
      </c>
      <c r="Q40" s="182">
        <f t="shared" si="14"/>
        <v>8.3259809102638801E-3</v>
      </c>
    </row>
    <row r="41" spans="1:17" x14ac:dyDescent="0.35">
      <c r="A41" s="1">
        <f>MonthlyData!A41</f>
        <v>42826</v>
      </c>
      <c r="B41" s="13">
        <f t="shared" si="6"/>
        <v>2017</v>
      </c>
      <c r="C41" s="13">
        <f t="shared" si="7"/>
        <v>4</v>
      </c>
      <c r="D41" s="4">
        <f>MonthlyData!L41</f>
        <v>6035869.6654608296</v>
      </c>
      <c r="E41" s="4">
        <f>MonthlyData!AF41</f>
        <v>246.73333333333338</v>
      </c>
      <c r="F41">
        <f>MonthlyData!BO41</f>
        <v>1</v>
      </c>
      <c r="G41">
        <f>MonthlyData!BP41</f>
        <v>0</v>
      </c>
      <c r="H41">
        <f>MonthlyData!BU41</f>
        <v>0</v>
      </c>
      <c r="I41">
        <f>MonthlyData!BA41</f>
        <v>3.8918202981106265</v>
      </c>
      <c r="K41" s="4">
        <f t="shared" si="8"/>
        <v>4628412.7605719203</v>
      </c>
      <c r="L41" s="4">
        <f t="shared" si="9"/>
        <v>330201.87947537447</v>
      </c>
      <c r="M41" s="4">
        <f t="shared" si="10"/>
        <v>168249.31587912</v>
      </c>
      <c r="N41" s="4">
        <f t="shared" si="11"/>
        <v>0</v>
      </c>
      <c r="O41" s="4">
        <f t="shared" si="12"/>
        <v>5126863.9559264146</v>
      </c>
      <c r="P41" s="4">
        <f t="shared" si="13"/>
        <v>-909005.70953441504</v>
      </c>
      <c r="Q41" s="182">
        <f t="shared" si="14"/>
        <v>0.15060061928375218</v>
      </c>
    </row>
    <row r="42" spans="1:17" x14ac:dyDescent="0.35">
      <c r="A42" s="1">
        <f>MonthlyData!A42</f>
        <v>42856</v>
      </c>
      <c r="B42" s="13">
        <f t="shared" si="6"/>
        <v>2017</v>
      </c>
      <c r="C42" s="13">
        <f t="shared" si="7"/>
        <v>5</v>
      </c>
      <c r="D42" s="4">
        <f>MonthlyData!L42</f>
        <v>4816596.5794345047</v>
      </c>
      <c r="E42" s="4">
        <f>MonthlyData!AF42</f>
        <v>94.194629289914161</v>
      </c>
      <c r="F42">
        <f>MonthlyData!BO42</f>
        <v>1</v>
      </c>
      <c r="G42">
        <f>MonthlyData!BP42</f>
        <v>0</v>
      </c>
      <c r="H42">
        <f>MonthlyData!BU42</f>
        <v>0</v>
      </c>
      <c r="I42">
        <f>MonthlyData!BA42</f>
        <v>3.912023005428146</v>
      </c>
      <c r="K42" s="4">
        <f t="shared" si="8"/>
        <v>4628412.7605719203</v>
      </c>
      <c r="L42" s="4">
        <f t="shared" si="9"/>
        <v>126060.16061070983</v>
      </c>
      <c r="M42" s="4">
        <f t="shared" si="10"/>
        <v>168249.31587912</v>
      </c>
      <c r="N42" s="4">
        <f t="shared" si="11"/>
        <v>0</v>
      </c>
      <c r="O42" s="4">
        <f t="shared" si="12"/>
        <v>4922722.2370617501</v>
      </c>
      <c r="P42" s="4">
        <f t="shared" si="13"/>
        <v>106125.65762724541</v>
      </c>
      <c r="Q42" s="182">
        <f t="shared" si="14"/>
        <v>2.2033329110511712E-2</v>
      </c>
    </row>
    <row r="43" spans="1:17" x14ac:dyDescent="0.35">
      <c r="A43" s="1">
        <f>MonthlyData!A43</f>
        <v>42887</v>
      </c>
      <c r="B43" s="13">
        <f t="shared" si="6"/>
        <v>2017</v>
      </c>
      <c r="C43" s="13">
        <f t="shared" si="7"/>
        <v>6</v>
      </c>
      <c r="D43" s="4">
        <f>MonthlyData!L43</f>
        <v>4895140.6478665583</v>
      </c>
      <c r="E43" s="4">
        <f>MonthlyData!AF43</f>
        <v>4.8083333333333345</v>
      </c>
      <c r="F43">
        <f>MonthlyData!BO43</f>
        <v>0</v>
      </c>
      <c r="G43">
        <f>MonthlyData!BP43</f>
        <v>0</v>
      </c>
      <c r="H43">
        <f>MonthlyData!BU43</f>
        <v>0</v>
      </c>
      <c r="I43">
        <f>MonthlyData!BA43</f>
        <v>3.9318256327243257</v>
      </c>
      <c r="K43" s="4">
        <f t="shared" si="8"/>
        <v>4628412.7605719203</v>
      </c>
      <c r="L43" s="4">
        <f t="shared" si="9"/>
        <v>6434.9663758879724</v>
      </c>
      <c r="M43" s="4">
        <f t="shared" si="10"/>
        <v>0</v>
      </c>
      <c r="N43" s="4">
        <f t="shared" si="11"/>
        <v>0</v>
      </c>
      <c r="O43" s="4">
        <f t="shared" si="12"/>
        <v>4634847.7269478086</v>
      </c>
      <c r="P43" s="4">
        <f t="shared" si="13"/>
        <v>-260292.92091874965</v>
      </c>
      <c r="Q43" s="182">
        <f t="shared" si="14"/>
        <v>5.3173736904207791E-2</v>
      </c>
    </row>
    <row r="44" spans="1:17" x14ac:dyDescent="0.35">
      <c r="A44" s="1">
        <f>MonthlyData!A44</f>
        <v>42917</v>
      </c>
      <c r="B44" s="13">
        <f t="shared" si="6"/>
        <v>2017</v>
      </c>
      <c r="C44" s="13">
        <f t="shared" si="7"/>
        <v>7</v>
      </c>
      <c r="D44" s="4">
        <f>MonthlyData!L44</f>
        <v>4776705.6949543077</v>
      </c>
      <c r="E44" s="4">
        <f>MonthlyData!AF44</f>
        <v>0</v>
      </c>
      <c r="F44">
        <f>MonthlyData!BO44</f>
        <v>0</v>
      </c>
      <c r="G44">
        <f>MonthlyData!BP44</f>
        <v>0</v>
      </c>
      <c r="H44">
        <f>MonthlyData!BU44</f>
        <v>0</v>
      </c>
      <c r="I44">
        <f>MonthlyData!BA44</f>
        <v>3.9512437185814275</v>
      </c>
      <c r="K44" s="4">
        <f t="shared" si="8"/>
        <v>4628412.7605719203</v>
      </c>
      <c r="L44" s="4">
        <f t="shared" si="9"/>
        <v>0</v>
      </c>
      <c r="M44" s="4">
        <f t="shared" si="10"/>
        <v>0</v>
      </c>
      <c r="N44" s="4">
        <f t="shared" si="11"/>
        <v>0</v>
      </c>
      <c r="O44" s="4">
        <f t="shared" si="12"/>
        <v>4628412.7605719203</v>
      </c>
      <c r="P44" s="4">
        <f t="shared" si="13"/>
        <v>-148292.93438238744</v>
      </c>
      <c r="Q44" s="182">
        <f t="shared" si="14"/>
        <v>3.1045022208303741E-2</v>
      </c>
    </row>
    <row r="45" spans="1:17" x14ac:dyDescent="0.35">
      <c r="A45" s="1">
        <f>MonthlyData!A45</f>
        <v>42948</v>
      </c>
      <c r="B45" s="13">
        <f t="shared" si="6"/>
        <v>2017</v>
      </c>
      <c r="C45" s="13">
        <f t="shared" si="7"/>
        <v>8</v>
      </c>
      <c r="D45" s="4">
        <f>MonthlyData!L45</f>
        <v>4477006.0429346347</v>
      </c>
      <c r="E45" s="4">
        <f>MonthlyData!AF45</f>
        <v>2.2708333333333357</v>
      </c>
      <c r="F45">
        <f>MonthlyData!BO45</f>
        <v>0</v>
      </c>
      <c r="G45">
        <f>MonthlyData!BP45</f>
        <v>0</v>
      </c>
      <c r="H45">
        <f>MonthlyData!BU45</f>
        <v>0</v>
      </c>
      <c r="I45">
        <f>MonthlyData!BA45</f>
        <v>3.970291913552122</v>
      </c>
      <c r="K45" s="4">
        <f t="shared" si="8"/>
        <v>4628412.7605719203</v>
      </c>
      <c r="L45" s="4">
        <f t="shared" si="9"/>
        <v>3039.0439123561073</v>
      </c>
      <c r="M45" s="4">
        <f t="shared" si="10"/>
        <v>0</v>
      </c>
      <c r="N45" s="4">
        <f t="shared" si="11"/>
        <v>0</v>
      </c>
      <c r="O45" s="4">
        <f t="shared" si="12"/>
        <v>4631451.8044842761</v>
      </c>
      <c r="P45" s="4">
        <f t="shared" si="13"/>
        <v>154445.76154964138</v>
      </c>
      <c r="Q45" s="182">
        <f t="shared" si="14"/>
        <v>3.4497554854405255E-2</v>
      </c>
    </row>
    <row r="46" spans="1:17" x14ac:dyDescent="0.35">
      <c r="A46" s="1">
        <f>MonthlyData!A46</f>
        <v>42979</v>
      </c>
      <c r="B46" s="13">
        <f t="shared" si="6"/>
        <v>2017</v>
      </c>
      <c r="C46" s="13">
        <f t="shared" si="7"/>
        <v>9</v>
      </c>
      <c r="D46" s="4">
        <f>MonthlyData!L46</f>
        <v>4762597.822750194</v>
      </c>
      <c r="E46" s="4">
        <f>MonthlyData!AF46</f>
        <v>19.666666666666668</v>
      </c>
      <c r="F46">
        <f>MonthlyData!BO46</f>
        <v>0</v>
      </c>
      <c r="G46">
        <f>MonthlyData!BP46</f>
        <v>0</v>
      </c>
      <c r="H46">
        <f>MonthlyData!BU46</f>
        <v>0</v>
      </c>
      <c r="I46">
        <f>MonthlyData!BA46</f>
        <v>3.9889840465642745</v>
      </c>
      <c r="K46" s="4">
        <f t="shared" si="8"/>
        <v>4628412.7605719203</v>
      </c>
      <c r="L46" s="4">
        <f t="shared" si="9"/>
        <v>26319.793149212499</v>
      </c>
      <c r="M46" s="4">
        <f t="shared" si="10"/>
        <v>0</v>
      </c>
      <c r="N46" s="4">
        <f t="shared" si="11"/>
        <v>0</v>
      </c>
      <c r="O46" s="4">
        <f t="shared" si="12"/>
        <v>4654732.5537211327</v>
      </c>
      <c r="P46" s="4">
        <f t="shared" si="13"/>
        <v>-107865.26902906131</v>
      </c>
      <c r="Q46" s="182">
        <f t="shared" si="14"/>
        <v>2.2648410183577876E-2</v>
      </c>
    </row>
    <row r="47" spans="1:17" x14ac:dyDescent="0.35">
      <c r="A47" s="1">
        <f>MonthlyData!A47</f>
        <v>43009</v>
      </c>
      <c r="B47" s="13">
        <f t="shared" si="6"/>
        <v>2017</v>
      </c>
      <c r="C47" s="13">
        <f t="shared" si="7"/>
        <v>10</v>
      </c>
      <c r="D47" s="4">
        <f>MonthlyData!L47</f>
        <v>4648294.240414761</v>
      </c>
      <c r="E47" s="4">
        <f>MonthlyData!AF47</f>
        <v>119.86995575588458</v>
      </c>
      <c r="F47">
        <f>MonthlyData!BO47</f>
        <v>0</v>
      </c>
      <c r="G47">
        <f>MonthlyData!BP47</f>
        <v>1</v>
      </c>
      <c r="H47">
        <f>MonthlyData!BU47</f>
        <v>0</v>
      </c>
      <c r="I47">
        <f>MonthlyData!BA47</f>
        <v>4.0073331852324712</v>
      </c>
      <c r="K47" s="4">
        <f t="shared" si="8"/>
        <v>4628412.7605719203</v>
      </c>
      <c r="L47" s="4">
        <f t="shared" si="9"/>
        <v>160421.31052373574</v>
      </c>
      <c r="M47" s="4">
        <f t="shared" si="10"/>
        <v>0</v>
      </c>
      <c r="N47" s="4">
        <f t="shared" si="11"/>
        <v>-269170.44459088001</v>
      </c>
      <c r="O47" s="4">
        <f t="shared" si="12"/>
        <v>4519663.6265047761</v>
      </c>
      <c r="P47" s="4">
        <f t="shared" si="13"/>
        <v>-128630.61390998494</v>
      </c>
      <c r="Q47" s="182">
        <f t="shared" si="14"/>
        <v>2.7672648773307305E-2</v>
      </c>
    </row>
    <row r="48" spans="1:17" x14ac:dyDescent="0.35">
      <c r="A48" s="1">
        <f>MonthlyData!A48</f>
        <v>43040</v>
      </c>
      <c r="B48" s="13">
        <f t="shared" si="6"/>
        <v>2017</v>
      </c>
      <c r="C48" s="13">
        <f t="shared" si="7"/>
        <v>11</v>
      </c>
      <c r="D48" s="4">
        <f>MonthlyData!L48</f>
        <v>4858146.7025721744</v>
      </c>
      <c r="E48" s="4">
        <f>MonthlyData!AF48</f>
        <v>468.65833333333336</v>
      </c>
      <c r="F48">
        <f>MonthlyData!BO48</f>
        <v>0</v>
      </c>
      <c r="G48">
        <f>MonthlyData!BP48</f>
        <v>1</v>
      </c>
      <c r="H48">
        <f>MonthlyData!BU48</f>
        <v>0</v>
      </c>
      <c r="I48">
        <f>MonthlyData!BA48</f>
        <v>4.0253516907351496</v>
      </c>
      <c r="K48" s="4">
        <f t="shared" si="8"/>
        <v>4628412.7605719203</v>
      </c>
      <c r="L48" s="4">
        <f t="shared" si="9"/>
        <v>627202.90123667871</v>
      </c>
      <c r="M48" s="4">
        <f t="shared" si="10"/>
        <v>0</v>
      </c>
      <c r="N48" s="4">
        <f t="shared" si="11"/>
        <v>-269170.44459088001</v>
      </c>
      <c r="O48" s="4">
        <f t="shared" si="12"/>
        <v>4986445.2172177192</v>
      </c>
      <c r="P48" s="4">
        <f t="shared" si="13"/>
        <v>128298.51464554481</v>
      </c>
      <c r="Q48" s="182">
        <f t="shared" si="14"/>
        <v>2.640894203083995E-2</v>
      </c>
    </row>
    <row r="49" spans="1:17" x14ac:dyDescent="0.35">
      <c r="A49" s="1">
        <f>MonthlyData!A49</f>
        <v>43070</v>
      </c>
      <c r="B49" s="13">
        <f t="shared" si="6"/>
        <v>2017</v>
      </c>
      <c r="C49" s="13">
        <f t="shared" si="7"/>
        <v>12</v>
      </c>
      <c r="D49" s="4">
        <f>MonthlyData!L49</f>
        <v>5427676.7472727727</v>
      </c>
      <c r="E49" s="4">
        <f>MonthlyData!AF49</f>
        <v>807.0920673261536</v>
      </c>
      <c r="F49">
        <f>MonthlyData!BO49</f>
        <v>0</v>
      </c>
      <c r="G49">
        <f>MonthlyData!BP49</f>
        <v>0</v>
      </c>
      <c r="H49">
        <f>MonthlyData!BU49</f>
        <v>0</v>
      </c>
      <c r="I49">
        <f>MonthlyData!BA49</f>
        <v>4.0430512678345503</v>
      </c>
      <c r="K49" s="4">
        <f t="shared" si="8"/>
        <v>4628412.7605719203</v>
      </c>
      <c r="L49" s="4">
        <f t="shared" si="9"/>
        <v>1080126.9286980331</v>
      </c>
      <c r="M49" s="4">
        <f t="shared" si="10"/>
        <v>0</v>
      </c>
      <c r="N49" s="4">
        <f t="shared" si="11"/>
        <v>0</v>
      </c>
      <c r="O49" s="4">
        <f t="shared" si="12"/>
        <v>5708539.6892699534</v>
      </c>
      <c r="P49" s="4">
        <f t="shared" si="13"/>
        <v>280862.94199718069</v>
      </c>
      <c r="Q49" s="182">
        <f t="shared" si="14"/>
        <v>5.1746438683605282E-2</v>
      </c>
    </row>
    <row r="50" spans="1:17" x14ac:dyDescent="0.35">
      <c r="A50" s="1">
        <f>MonthlyData!A50</f>
        <v>43101</v>
      </c>
      <c r="B50" s="13">
        <f t="shared" si="6"/>
        <v>2018</v>
      </c>
      <c r="C50" s="13">
        <f t="shared" si="7"/>
        <v>1</v>
      </c>
      <c r="D50" s="4">
        <f>MonthlyData!L50</f>
        <v>6067922.0393510051</v>
      </c>
      <c r="E50" s="4">
        <f>MonthlyData!AF50</f>
        <v>810.98333333333335</v>
      </c>
      <c r="F50">
        <f>MonthlyData!BO50</f>
        <v>0</v>
      </c>
      <c r="G50">
        <f>MonthlyData!BP50</f>
        <v>0</v>
      </c>
      <c r="H50">
        <f>MonthlyData!BU50</f>
        <v>0</v>
      </c>
      <c r="I50">
        <f>MonthlyData!BA50</f>
        <v>4.0604430105464191</v>
      </c>
      <c r="K50" s="4">
        <f t="shared" si="8"/>
        <v>4628412.7605719203</v>
      </c>
      <c r="L50" s="4">
        <f t="shared" si="9"/>
        <v>1085334.5888538398</v>
      </c>
      <c r="M50" s="4">
        <f t="shared" si="10"/>
        <v>0</v>
      </c>
      <c r="N50" s="4">
        <f t="shared" si="11"/>
        <v>0</v>
      </c>
      <c r="O50" s="4">
        <f t="shared" si="12"/>
        <v>5713747.3494257601</v>
      </c>
      <c r="P50" s="4">
        <f t="shared" si="13"/>
        <v>-354174.68992524501</v>
      </c>
      <c r="Q50" s="182">
        <f t="shared" si="14"/>
        <v>5.8368365253935559E-2</v>
      </c>
    </row>
    <row r="51" spans="1:17" x14ac:dyDescent="0.35">
      <c r="A51" s="1">
        <f>MonthlyData!A51</f>
        <v>43132</v>
      </c>
      <c r="B51" s="13">
        <f t="shared" si="6"/>
        <v>2018</v>
      </c>
      <c r="C51" s="13">
        <f t="shared" si="7"/>
        <v>2</v>
      </c>
      <c r="D51" s="4">
        <f>MonthlyData!L51</f>
        <v>6054505.3920587143</v>
      </c>
      <c r="E51" s="4">
        <f>MonthlyData!AF51</f>
        <v>705.50416666666672</v>
      </c>
      <c r="F51">
        <f>MonthlyData!BO51</f>
        <v>0</v>
      </c>
      <c r="G51">
        <f>MonthlyData!BP51</f>
        <v>0</v>
      </c>
      <c r="H51">
        <f>MonthlyData!BU51</f>
        <v>0</v>
      </c>
      <c r="I51">
        <f>MonthlyData!BA51</f>
        <v>4.0775374439057197</v>
      </c>
      <c r="K51" s="4">
        <f t="shared" si="8"/>
        <v>4628412.7605719203</v>
      </c>
      <c r="L51" s="4">
        <f t="shared" si="9"/>
        <v>944172.39318173926</v>
      </c>
      <c r="M51" s="4">
        <f t="shared" si="10"/>
        <v>0</v>
      </c>
      <c r="N51" s="4">
        <f t="shared" si="11"/>
        <v>0</v>
      </c>
      <c r="O51" s="4">
        <f t="shared" si="12"/>
        <v>5572585.1537536597</v>
      </c>
      <c r="P51" s="4">
        <f t="shared" si="13"/>
        <v>-481920.23830505461</v>
      </c>
      <c r="Q51" s="182">
        <f t="shared" si="14"/>
        <v>7.9596962443399061E-2</v>
      </c>
    </row>
    <row r="52" spans="1:17" x14ac:dyDescent="0.35">
      <c r="A52" s="1">
        <f>MonthlyData!A52</f>
        <v>43160</v>
      </c>
      <c r="B52" s="13">
        <f t="shared" si="6"/>
        <v>2018</v>
      </c>
      <c r="C52" s="13">
        <f t="shared" si="7"/>
        <v>3</v>
      </c>
      <c r="D52" s="4">
        <f>MonthlyData!L52</f>
        <v>5678647.4308978431</v>
      </c>
      <c r="E52" s="4">
        <f>MonthlyData!AF52</f>
        <v>624.80416666666656</v>
      </c>
      <c r="F52">
        <f>MonthlyData!BO52</f>
        <v>1</v>
      </c>
      <c r="G52">
        <f>MonthlyData!BP52</f>
        <v>0</v>
      </c>
      <c r="H52">
        <f>MonthlyData!BU52</f>
        <v>0</v>
      </c>
      <c r="I52">
        <f>MonthlyData!BA52</f>
        <v>4.0943445622221004</v>
      </c>
      <c r="K52" s="4">
        <f t="shared" si="8"/>
        <v>4628412.7605719203</v>
      </c>
      <c r="L52" s="4">
        <f t="shared" si="9"/>
        <v>836172.02163217391</v>
      </c>
      <c r="M52" s="4">
        <f t="shared" si="10"/>
        <v>168249.31587912</v>
      </c>
      <c r="N52" s="4">
        <f t="shared" si="11"/>
        <v>0</v>
      </c>
      <c r="O52" s="4">
        <f t="shared" si="12"/>
        <v>5632834.0980832139</v>
      </c>
      <c r="P52" s="4">
        <f t="shared" si="13"/>
        <v>-45813.33281462919</v>
      </c>
      <c r="Q52" s="182">
        <f t="shared" si="14"/>
        <v>8.0676487441985294E-3</v>
      </c>
    </row>
    <row r="53" spans="1:17" x14ac:dyDescent="0.35">
      <c r="A53" s="1">
        <f>MonthlyData!A53</f>
        <v>43191</v>
      </c>
      <c r="B53" s="13">
        <f t="shared" si="6"/>
        <v>2018</v>
      </c>
      <c r="C53" s="13">
        <f t="shared" si="7"/>
        <v>4</v>
      </c>
      <c r="D53" s="4">
        <f>MonthlyData!L53</f>
        <v>5796086.4617697932</v>
      </c>
      <c r="E53" s="4">
        <f>MonthlyData!AF53</f>
        <v>402.86250000000007</v>
      </c>
      <c r="F53">
        <f>MonthlyData!BO53</f>
        <v>1</v>
      </c>
      <c r="G53">
        <f>MonthlyData!BP53</f>
        <v>0</v>
      </c>
      <c r="H53">
        <f>MonthlyData!BU53</f>
        <v>0</v>
      </c>
      <c r="I53">
        <f>MonthlyData!BA53</f>
        <v>4.1108738641733114</v>
      </c>
      <c r="K53" s="4">
        <f t="shared" si="8"/>
        <v>4628412.7605719203</v>
      </c>
      <c r="L53" s="4">
        <f t="shared" si="9"/>
        <v>539148.69496142142</v>
      </c>
      <c r="M53" s="4">
        <f t="shared" si="10"/>
        <v>168249.31587912</v>
      </c>
      <c r="N53" s="4">
        <f t="shared" si="11"/>
        <v>0</v>
      </c>
      <c r="O53" s="4">
        <f t="shared" si="12"/>
        <v>5335810.7714124611</v>
      </c>
      <c r="P53" s="4">
        <f t="shared" si="13"/>
        <v>-460275.69035733212</v>
      </c>
      <c r="Q53" s="182">
        <f t="shared" si="14"/>
        <v>7.9411460369552572E-2</v>
      </c>
    </row>
    <row r="54" spans="1:17" x14ac:dyDescent="0.35">
      <c r="A54" s="1">
        <f>MonthlyData!A54</f>
        <v>43221</v>
      </c>
      <c r="B54" s="13">
        <f t="shared" si="6"/>
        <v>2018</v>
      </c>
      <c r="C54" s="13">
        <f t="shared" si="7"/>
        <v>5</v>
      </c>
      <c r="D54" s="4">
        <f>MonthlyData!L54</f>
        <v>5107267.2261957312</v>
      </c>
      <c r="E54" s="4">
        <f>MonthlyData!AF54</f>
        <v>71.978468478130409</v>
      </c>
      <c r="F54">
        <f>MonthlyData!BO54</f>
        <v>1</v>
      </c>
      <c r="G54">
        <f>MonthlyData!BP54</f>
        <v>0</v>
      </c>
      <c r="H54">
        <f>MonthlyData!BU54</f>
        <v>0</v>
      </c>
      <c r="I54">
        <f>MonthlyData!BA54</f>
        <v>4.1271343850450917</v>
      </c>
      <c r="K54" s="4">
        <f t="shared" si="8"/>
        <v>4628412.7605719203</v>
      </c>
      <c r="L54" s="4">
        <f t="shared" si="9"/>
        <v>96328.393298720563</v>
      </c>
      <c r="M54" s="4">
        <f t="shared" si="10"/>
        <v>168249.31587912</v>
      </c>
      <c r="N54" s="4">
        <f t="shared" si="11"/>
        <v>0</v>
      </c>
      <c r="O54" s="4">
        <f t="shared" si="12"/>
        <v>4892990.4697497608</v>
      </c>
      <c r="P54" s="4">
        <f t="shared" si="13"/>
        <v>-214276.75644597039</v>
      </c>
      <c r="Q54" s="182">
        <f t="shared" si="14"/>
        <v>4.1955266281529485E-2</v>
      </c>
    </row>
    <row r="55" spans="1:17" x14ac:dyDescent="0.35">
      <c r="A55" s="1">
        <f>MonthlyData!A55</f>
        <v>43252</v>
      </c>
      <c r="B55" s="13">
        <f t="shared" si="6"/>
        <v>2018</v>
      </c>
      <c r="C55" s="13">
        <f t="shared" si="7"/>
        <v>6</v>
      </c>
      <c r="D55" s="4">
        <f>MonthlyData!L55</f>
        <v>4723774.9233967252</v>
      </c>
      <c r="E55" s="4">
        <f>MonthlyData!AF55</f>
        <v>8.1458333333333357</v>
      </c>
      <c r="F55">
        <f>MonthlyData!BO55</f>
        <v>0</v>
      </c>
      <c r="G55">
        <f>MonthlyData!BP55</f>
        <v>0</v>
      </c>
      <c r="H55">
        <f>MonthlyData!BU55</f>
        <v>0</v>
      </c>
      <c r="I55">
        <f>MonthlyData!BA55</f>
        <v>4.1431347263915326</v>
      </c>
      <c r="K55" s="4">
        <f t="shared" si="8"/>
        <v>4628412.7605719203</v>
      </c>
      <c r="L55" s="4">
        <f t="shared" si="9"/>
        <v>10901.524492947128</v>
      </c>
      <c r="M55" s="4">
        <f t="shared" si="10"/>
        <v>0</v>
      </c>
      <c r="N55" s="4">
        <f t="shared" si="11"/>
        <v>0</v>
      </c>
      <c r="O55" s="4">
        <f t="shared" si="12"/>
        <v>4639314.2850648677</v>
      </c>
      <c r="P55" s="4">
        <f t="shared" si="13"/>
        <v>-84460.63833185751</v>
      </c>
      <c r="Q55" s="182">
        <f t="shared" si="14"/>
        <v>1.7879903192153872E-2</v>
      </c>
    </row>
    <row r="56" spans="1:17" x14ac:dyDescent="0.35">
      <c r="A56" s="1">
        <f>MonthlyData!A56</f>
        <v>43282</v>
      </c>
      <c r="B56" s="13">
        <f t="shared" si="6"/>
        <v>2018</v>
      </c>
      <c r="C56" s="13">
        <f t="shared" si="7"/>
        <v>7</v>
      </c>
      <c r="D56" s="4">
        <f>MonthlyData!L56</f>
        <v>4384261.1215946823</v>
      </c>
      <c r="E56" s="4">
        <f>MonthlyData!AF56</f>
        <v>0</v>
      </c>
      <c r="F56">
        <f>MonthlyData!BO56</f>
        <v>0</v>
      </c>
      <c r="G56">
        <f>MonthlyData!BP56</f>
        <v>0</v>
      </c>
      <c r="H56">
        <f>MonthlyData!BU56</f>
        <v>0</v>
      </c>
      <c r="I56">
        <f>MonthlyData!BA56</f>
        <v>4.1588830833596715</v>
      </c>
      <c r="K56" s="4">
        <f t="shared" si="8"/>
        <v>4628412.7605719203</v>
      </c>
      <c r="L56" s="4">
        <f t="shared" si="9"/>
        <v>0</v>
      </c>
      <c r="M56" s="4">
        <f t="shared" si="10"/>
        <v>0</v>
      </c>
      <c r="N56" s="4">
        <f t="shared" si="11"/>
        <v>0</v>
      </c>
      <c r="O56" s="4">
        <f t="shared" si="12"/>
        <v>4628412.7605719203</v>
      </c>
      <c r="P56" s="4">
        <f t="shared" si="13"/>
        <v>244151.63897723798</v>
      </c>
      <c r="Q56" s="182">
        <f t="shared" si="14"/>
        <v>5.5688206565678501E-2</v>
      </c>
    </row>
    <row r="57" spans="1:17" x14ac:dyDescent="0.35">
      <c r="A57" s="1">
        <f>MonthlyData!A57</f>
        <v>43313</v>
      </c>
      <c r="B57" s="13">
        <f t="shared" si="6"/>
        <v>2018</v>
      </c>
      <c r="C57" s="13">
        <f t="shared" si="7"/>
        <v>8</v>
      </c>
      <c r="D57" s="4">
        <f>MonthlyData!L57</f>
        <v>4444081.6542579057</v>
      </c>
      <c r="E57" s="4">
        <f>MonthlyData!AF57</f>
        <v>0.77916666666666679</v>
      </c>
      <c r="F57">
        <f>MonthlyData!BO57</f>
        <v>0</v>
      </c>
      <c r="G57">
        <f>MonthlyData!BP57</f>
        <v>0</v>
      </c>
      <c r="H57">
        <f>MonthlyData!BU57</f>
        <v>0</v>
      </c>
      <c r="I57">
        <f>MonthlyData!BA57</f>
        <v>4.1743872698956368</v>
      </c>
      <c r="K57" s="4">
        <f t="shared" si="8"/>
        <v>4628412.7605719203</v>
      </c>
      <c r="L57" s="4">
        <f t="shared" si="9"/>
        <v>1042.7545167166818</v>
      </c>
      <c r="M57" s="4">
        <f t="shared" si="10"/>
        <v>0</v>
      </c>
      <c r="N57" s="4">
        <f t="shared" si="11"/>
        <v>0</v>
      </c>
      <c r="O57" s="4">
        <f t="shared" si="12"/>
        <v>4629455.5150886374</v>
      </c>
      <c r="P57" s="4">
        <f t="shared" si="13"/>
        <v>185373.86083073169</v>
      </c>
      <c r="Q57" s="182">
        <f t="shared" si="14"/>
        <v>4.1712523588112678E-2</v>
      </c>
    </row>
    <row r="58" spans="1:17" x14ac:dyDescent="0.35">
      <c r="A58" s="1">
        <f>MonthlyData!A58</f>
        <v>43344</v>
      </c>
      <c r="B58" s="13">
        <f t="shared" si="6"/>
        <v>2018</v>
      </c>
      <c r="C58" s="13">
        <f t="shared" si="7"/>
        <v>9</v>
      </c>
      <c r="D58" s="4">
        <f>MonthlyData!L58</f>
        <v>4714921.4352272935</v>
      </c>
      <c r="E58" s="4">
        <f>MonthlyData!AF58</f>
        <v>55.145833333333329</v>
      </c>
      <c r="F58">
        <f>MonthlyData!BO58</f>
        <v>0</v>
      </c>
      <c r="G58">
        <f>MonthlyData!BP58</f>
        <v>0</v>
      </c>
      <c r="H58">
        <f>MonthlyData!BU58</f>
        <v>0</v>
      </c>
      <c r="I58">
        <f>MonthlyData!BA58</f>
        <v>4.1896547420264252</v>
      </c>
      <c r="K58" s="4">
        <f t="shared" si="8"/>
        <v>4628412.7605719203</v>
      </c>
      <c r="L58" s="4">
        <f t="shared" si="9"/>
        <v>73801.369137675283</v>
      </c>
      <c r="M58" s="4">
        <f t="shared" si="10"/>
        <v>0</v>
      </c>
      <c r="N58" s="4">
        <f t="shared" si="11"/>
        <v>0</v>
      </c>
      <c r="O58" s="4">
        <f t="shared" si="12"/>
        <v>4702214.1297095958</v>
      </c>
      <c r="P58" s="4">
        <f t="shared" si="13"/>
        <v>-12707.305517697707</v>
      </c>
      <c r="Q58" s="182">
        <f t="shared" si="14"/>
        <v>2.6951256117982636E-3</v>
      </c>
    </row>
    <row r="59" spans="1:17" x14ac:dyDescent="0.35">
      <c r="A59" s="1">
        <f>MonthlyData!A59</f>
        <v>43374</v>
      </c>
      <c r="B59" s="13">
        <f t="shared" si="6"/>
        <v>2018</v>
      </c>
      <c r="C59" s="13">
        <f t="shared" si="7"/>
        <v>10</v>
      </c>
      <c r="D59" s="4">
        <f>MonthlyData!L59</f>
        <v>4166109.5423704027</v>
      </c>
      <c r="E59" s="4">
        <f>MonthlyData!AF59</f>
        <v>285.1166956035878</v>
      </c>
      <c r="F59">
        <f>MonthlyData!BO59</f>
        <v>0</v>
      </c>
      <c r="G59">
        <f>MonthlyData!BP59</f>
        <v>1</v>
      </c>
      <c r="H59">
        <f>MonthlyData!BU59</f>
        <v>0</v>
      </c>
      <c r="I59">
        <f>MonthlyData!BA59</f>
        <v>4.2046926193909657</v>
      </c>
      <c r="K59" s="4">
        <f t="shared" si="8"/>
        <v>4628412.7605719203</v>
      </c>
      <c r="L59" s="4">
        <f t="shared" si="9"/>
        <v>381570.12466136011</v>
      </c>
      <c r="M59" s="4">
        <f t="shared" si="10"/>
        <v>0</v>
      </c>
      <c r="N59" s="4">
        <f t="shared" si="11"/>
        <v>-269170.44459088001</v>
      </c>
      <c r="O59" s="4">
        <f t="shared" si="12"/>
        <v>4740812.4406424006</v>
      </c>
      <c r="P59" s="4">
        <f t="shared" si="13"/>
        <v>574702.89827199792</v>
      </c>
      <c r="Q59" s="182">
        <f t="shared" si="14"/>
        <v>0.13794714047413348</v>
      </c>
    </row>
    <row r="60" spans="1:17" x14ac:dyDescent="0.35">
      <c r="A60" s="1">
        <f>MonthlyData!A60</f>
        <v>43405</v>
      </c>
      <c r="B60" s="13">
        <f t="shared" si="6"/>
        <v>2018</v>
      </c>
      <c r="C60" s="13">
        <f t="shared" si="7"/>
        <v>11</v>
      </c>
      <c r="D60" s="4">
        <f>MonthlyData!L60</f>
        <v>4966852.9735843306</v>
      </c>
      <c r="E60" s="4">
        <f>MonthlyData!AF60</f>
        <v>510.11249999999995</v>
      </c>
      <c r="F60">
        <f>MonthlyData!BO60</f>
        <v>0</v>
      </c>
      <c r="G60">
        <f>MonthlyData!BP60</f>
        <v>1</v>
      </c>
      <c r="H60">
        <f>MonthlyData!BU60</f>
        <v>0</v>
      </c>
      <c r="I60">
        <f>MonthlyData!BA60</f>
        <v>4.219507705176107</v>
      </c>
      <c r="K60" s="4">
        <f t="shared" si="8"/>
        <v>4628412.7605719203</v>
      </c>
      <c r="L60" s="4">
        <f t="shared" si="9"/>
        <v>682680.78726242331</v>
      </c>
      <c r="M60" s="4">
        <f t="shared" si="10"/>
        <v>0</v>
      </c>
      <c r="N60" s="4">
        <f t="shared" si="11"/>
        <v>-269170.44459088001</v>
      </c>
      <c r="O60" s="4">
        <f t="shared" si="12"/>
        <v>5041923.1032434637</v>
      </c>
      <c r="P60" s="4">
        <f t="shared" si="13"/>
        <v>75070.129659133032</v>
      </c>
      <c r="Q60" s="182">
        <f t="shared" si="14"/>
        <v>1.5114224249919492E-2</v>
      </c>
    </row>
    <row r="61" spans="1:17" x14ac:dyDescent="0.35">
      <c r="A61" s="1">
        <f>MonthlyData!A61</f>
        <v>43435</v>
      </c>
      <c r="B61" s="13">
        <f t="shared" si="6"/>
        <v>2018</v>
      </c>
      <c r="C61" s="13">
        <f t="shared" si="7"/>
        <v>12</v>
      </c>
      <c r="D61" s="4">
        <f>MonthlyData!L61</f>
        <v>5752417.2097672923</v>
      </c>
      <c r="E61" s="4">
        <f>MonthlyData!AF61</f>
        <v>622.70000000000005</v>
      </c>
      <c r="F61">
        <f>MonthlyData!BO61</f>
        <v>0</v>
      </c>
      <c r="G61">
        <f>MonthlyData!BP61</f>
        <v>0</v>
      </c>
      <c r="H61">
        <f>MonthlyData!BU61</f>
        <v>0</v>
      </c>
      <c r="I61">
        <f>MonthlyData!BA61</f>
        <v>4.2341065045972597</v>
      </c>
      <c r="K61" s="4">
        <f t="shared" si="8"/>
        <v>4628412.7605719203</v>
      </c>
      <c r="L61" s="4">
        <f t="shared" si="9"/>
        <v>833356.0268143029</v>
      </c>
      <c r="M61" s="4">
        <f t="shared" si="10"/>
        <v>0</v>
      </c>
      <c r="N61" s="4">
        <f t="shared" si="11"/>
        <v>0</v>
      </c>
      <c r="O61" s="4">
        <f t="shared" si="12"/>
        <v>5461768.7873862237</v>
      </c>
      <c r="P61" s="4">
        <f t="shared" si="13"/>
        <v>-290648.42238106858</v>
      </c>
      <c r="Q61" s="182">
        <f t="shared" si="14"/>
        <v>5.0526311250088628E-2</v>
      </c>
    </row>
    <row r="62" spans="1:17" x14ac:dyDescent="0.35">
      <c r="A62" s="1">
        <f>MonthlyData!A62</f>
        <v>43466</v>
      </c>
      <c r="B62" s="13">
        <f t="shared" si="6"/>
        <v>2019</v>
      </c>
      <c r="C62" s="13">
        <f t="shared" si="7"/>
        <v>1</v>
      </c>
      <c r="D62" s="4">
        <f>MonthlyData!L62</f>
        <v>5619320.0183224855</v>
      </c>
      <c r="E62" s="4">
        <f>MonthlyData!AF62</f>
        <v>937.74938350982984</v>
      </c>
      <c r="F62">
        <f>MonthlyData!BO62</f>
        <v>0</v>
      </c>
      <c r="G62">
        <f>MonthlyData!BP62</f>
        <v>0</v>
      </c>
      <c r="H62">
        <f>MonthlyData!BU62</f>
        <v>0</v>
      </c>
      <c r="I62">
        <f>MonthlyData!BA62</f>
        <v>4.2484952420493594</v>
      </c>
      <c r="K62" s="4">
        <f t="shared" si="8"/>
        <v>4628412.7605719203</v>
      </c>
      <c r="L62" s="4">
        <f t="shared" si="9"/>
        <v>1254984.9050735726</v>
      </c>
      <c r="M62" s="4">
        <f t="shared" si="10"/>
        <v>0</v>
      </c>
      <c r="N62" s="4">
        <f t="shared" si="11"/>
        <v>0</v>
      </c>
      <c r="O62" s="4">
        <f t="shared" si="12"/>
        <v>5883397.6656454932</v>
      </c>
      <c r="P62" s="4">
        <f t="shared" si="13"/>
        <v>264077.6473230077</v>
      </c>
      <c r="Q62" s="182">
        <f t="shared" si="14"/>
        <v>4.6994591242703741E-2</v>
      </c>
    </row>
    <row r="63" spans="1:17" x14ac:dyDescent="0.35">
      <c r="A63" s="1">
        <f>MonthlyData!A63</f>
        <v>43497</v>
      </c>
      <c r="B63" s="13">
        <f t="shared" si="6"/>
        <v>2019</v>
      </c>
      <c r="C63" s="13">
        <f t="shared" si="7"/>
        <v>2</v>
      </c>
      <c r="D63" s="4">
        <f>MonthlyData!L63</f>
        <v>6293102.8291401565</v>
      </c>
      <c r="E63" s="4">
        <f>MonthlyData!AF63</f>
        <v>755.45416666666677</v>
      </c>
      <c r="F63">
        <f>MonthlyData!BO63</f>
        <v>0</v>
      </c>
      <c r="G63">
        <f>MonthlyData!BP63</f>
        <v>0</v>
      </c>
      <c r="H63">
        <f>MonthlyData!BU63</f>
        <v>0</v>
      </c>
      <c r="I63">
        <f>MonthlyData!BA63</f>
        <v>4.2626798770413155</v>
      </c>
      <c r="K63" s="4">
        <f t="shared" si="8"/>
        <v>4628412.7605719203</v>
      </c>
      <c r="L63" s="4">
        <f t="shared" si="9"/>
        <v>1011020.2067988494</v>
      </c>
      <c r="M63" s="4">
        <f t="shared" si="10"/>
        <v>0</v>
      </c>
      <c r="N63" s="4">
        <f t="shared" si="11"/>
        <v>0</v>
      </c>
      <c r="O63" s="4">
        <f t="shared" si="12"/>
        <v>5639432.9673707699</v>
      </c>
      <c r="P63" s="4">
        <f t="shared" si="13"/>
        <v>-653669.86176938657</v>
      </c>
      <c r="Q63" s="182">
        <f t="shared" si="14"/>
        <v>0.10387083756880217</v>
      </c>
    </row>
    <row r="64" spans="1:17" x14ac:dyDescent="0.35">
      <c r="A64" s="1">
        <f>MonthlyData!A64</f>
        <v>43525</v>
      </c>
      <c r="B64" s="13">
        <f t="shared" si="6"/>
        <v>2019</v>
      </c>
      <c r="C64" s="13">
        <f t="shared" si="7"/>
        <v>3</v>
      </c>
      <c r="D64" s="4">
        <f>MonthlyData!L64</f>
        <v>5737769.1887990432</v>
      </c>
      <c r="E64" s="4">
        <f>MonthlyData!AF64</f>
        <v>574.84424598258033</v>
      </c>
      <c r="F64">
        <f>MonthlyData!BO64</f>
        <v>1</v>
      </c>
      <c r="G64">
        <f>MonthlyData!BP64</f>
        <v>0</v>
      </c>
      <c r="H64">
        <f>MonthlyData!BU64</f>
        <v>0</v>
      </c>
      <c r="I64">
        <f>MonthlyData!BA64</f>
        <v>4.2766661190160553</v>
      </c>
      <c r="K64" s="4">
        <f t="shared" si="8"/>
        <v>4628412.7605719203</v>
      </c>
      <c r="L64" s="4">
        <f t="shared" si="9"/>
        <v>769310.93121745123</v>
      </c>
      <c r="M64" s="4">
        <f t="shared" si="10"/>
        <v>168249.31587912</v>
      </c>
      <c r="N64" s="4">
        <f t="shared" si="11"/>
        <v>0</v>
      </c>
      <c r="O64" s="4">
        <f t="shared" si="12"/>
        <v>5565973.0076684915</v>
      </c>
      <c r="P64" s="4">
        <f t="shared" si="13"/>
        <v>-171796.18113055173</v>
      </c>
      <c r="Q64" s="182">
        <f t="shared" si="14"/>
        <v>2.9941284753301468E-2</v>
      </c>
    </row>
    <row r="65" spans="1:17" x14ac:dyDescent="0.35">
      <c r="A65" s="1">
        <f>MonthlyData!A65</f>
        <v>43556</v>
      </c>
      <c r="B65" s="13">
        <f t="shared" si="6"/>
        <v>2019</v>
      </c>
      <c r="C65" s="13">
        <f t="shared" si="7"/>
        <v>4</v>
      </c>
      <c r="D65" s="4">
        <f>MonthlyData!L65</f>
        <v>5580365.3857868137</v>
      </c>
      <c r="E65" s="4">
        <f>MonthlyData!AF65</f>
        <v>295.23333333333335</v>
      </c>
      <c r="F65">
        <f>MonthlyData!BO65</f>
        <v>1</v>
      </c>
      <c r="G65">
        <f>MonthlyData!BP65</f>
        <v>0</v>
      </c>
      <c r="H65">
        <f>MonthlyData!BU65</f>
        <v>0</v>
      </c>
      <c r="I65">
        <f>MonthlyData!BA65</f>
        <v>4.290459441148391</v>
      </c>
      <c r="K65" s="4">
        <f t="shared" si="8"/>
        <v>4628412.7605719203</v>
      </c>
      <c r="L65" s="4">
        <f t="shared" si="9"/>
        <v>395109.16597046627</v>
      </c>
      <c r="M65" s="4">
        <f t="shared" si="10"/>
        <v>168249.31587912</v>
      </c>
      <c r="N65" s="4">
        <f t="shared" si="11"/>
        <v>0</v>
      </c>
      <c r="O65" s="4">
        <f t="shared" si="12"/>
        <v>5191771.242421506</v>
      </c>
      <c r="P65" s="4">
        <f t="shared" si="13"/>
        <v>-388594.14336530771</v>
      </c>
      <c r="Q65" s="182">
        <f t="shared" si="14"/>
        <v>6.9635967629477574E-2</v>
      </c>
    </row>
    <row r="66" spans="1:17" x14ac:dyDescent="0.35">
      <c r="A66" s="1">
        <f>MonthlyData!A66</f>
        <v>43586</v>
      </c>
      <c r="B66" s="13">
        <f t="shared" si="6"/>
        <v>2019</v>
      </c>
      <c r="C66" s="13">
        <f t="shared" si="7"/>
        <v>5</v>
      </c>
      <c r="D66" s="4">
        <f>MonthlyData!L66</f>
        <v>5019865.4864886878</v>
      </c>
      <c r="E66" s="4">
        <f>MonthlyData!AF66</f>
        <v>95.812499999999957</v>
      </c>
      <c r="F66">
        <f>MonthlyData!BO66</f>
        <v>1</v>
      </c>
      <c r="G66">
        <f>MonthlyData!BP66</f>
        <v>0</v>
      </c>
      <c r="H66">
        <f>MonthlyData!BU66</f>
        <v>0</v>
      </c>
      <c r="I66">
        <f>MonthlyData!BA66</f>
        <v>4.3040650932041702</v>
      </c>
      <c r="K66" s="4">
        <f t="shared" si="8"/>
        <v>4628412.7605719203</v>
      </c>
      <c r="L66" s="4">
        <f t="shared" ref="L66:L97" si="15">E66*$U$9</f>
        <v>128225.34819197905</v>
      </c>
      <c r="M66" s="4">
        <f t="shared" ref="M66:M97" si="16">F66*$U$10</f>
        <v>168249.31587912</v>
      </c>
      <c r="N66" s="4">
        <f t="shared" ref="N66:N97" si="17">G66*$U$11</f>
        <v>0</v>
      </c>
      <c r="O66" s="4">
        <f t="shared" ref="O66:O97" si="18">SUM(K66:N66)</f>
        <v>4924887.4246430192</v>
      </c>
      <c r="P66" s="4">
        <f t="shared" ref="P66:P97" si="19">O66-D66</f>
        <v>-94978.061845668592</v>
      </c>
      <c r="Q66" s="182">
        <f t="shared" ref="Q66:Q97" si="20">ABS(P66/D66)</f>
        <v>1.8920439621601129E-2</v>
      </c>
    </row>
    <row r="67" spans="1:17" x14ac:dyDescent="0.35">
      <c r="A67" s="1">
        <f>MonthlyData!A67</f>
        <v>43617</v>
      </c>
      <c r="B67" s="13">
        <f t="shared" ref="B67:B121" si="21">YEAR(A67)</f>
        <v>2019</v>
      </c>
      <c r="C67" s="13">
        <f t="shared" ref="C67:C121" si="22">MONTH(A67)</f>
        <v>6</v>
      </c>
      <c r="D67" s="4">
        <f>MonthlyData!L67</f>
        <v>5035624.0087944865</v>
      </c>
      <c r="E67" s="4">
        <f>MonthlyData!AF67</f>
        <v>10.320833333333335</v>
      </c>
      <c r="F67">
        <f>MonthlyData!BO67</f>
        <v>0</v>
      </c>
      <c r="G67">
        <f>MonthlyData!BP67</f>
        <v>0</v>
      </c>
      <c r="H67">
        <f>MonthlyData!BU67</f>
        <v>0</v>
      </c>
      <c r="I67">
        <f>MonthlyData!BA67</f>
        <v>4.3174881135363101</v>
      </c>
      <c r="K67" s="4">
        <f t="shared" ref="K67:K130" si="23">$U$8</f>
        <v>4628412.7605719203</v>
      </c>
      <c r="L67" s="4">
        <f t="shared" si="15"/>
        <v>13812.315175974441</v>
      </c>
      <c r="M67" s="4">
        <f t="shared" si="16"/>
        <v>0</v>
      </c>
      <c r="N67" s="4">
        <f t="shared" si="17"/>
        <v>0</v>
      </c>
      <c r="O67" s="4">
        <f t="shared" si="18"/>
        <v>4642225.0757478951</v>
      </c>
      <c r="P67" s="4">
        <f t="shared" si="19"/>
        <v>-393398.93304659147</v>
      </c>
      <c r="Q67" s="182">
        <f t="shared" si="20"/>
        <v>7.8123174478384058E-2</v>
      </c>
    </row>
    <row r="68" spans="1:17" x14ac:dyDescent="0.35">
      <c r="A68" s="1">
        <f>MonthlyData!A68</f>
        <v>43647</v>
      </c>
      <c r="B68" s="13">
        <f t="shared" si="21"/>
        <v>2019</v>
      </c>
      <c r="C68" s="13">
        <f t="shared" si="22"/>
        <v>7</v>
      </c>
      <c r="D68" s="4">
        <f>MonthlyData!L68</f>
        <v>4601912.966500056</v>
      </c>
      <c r="E68" s="4">
        <f>MonthlyData!AF68</f>
        <v>0</v>
      </c>
      <c r="F68">
        <f>MonthlyData!BO68</f>
        <v>0</v>
      </c>
      <c r="G68">
        <f>MonthlyData!BP68</f>
        <v>0</v>
      </c>
      <c r="H68">
        <f>MonthlyData!BU68</f>
        <v>0</v>
      </c>
      <c r="I68">
        <f>MonthlyData!BA68</f>
        <v>4.3307333402863311</v>
      </c>
      <c r="K68" s="4">
        <f t="shared" si="23"/>
        <v>4628412.7605719203</v>
      </c>
      <c r="L68" s="4">
        <f t="shared" si="15"/>
        <v>0</v>
      </c>
      <c r="M68" s="4">
        <f t="shared" si="16"/>
        <v>0</v>
      </c>
      <c r="N68" s="4">
        <f t="shared" si="17"/>
        <v>0</v>
      </c>
      <c r="O68" s="4">
        <f t="shared" si="18"/>
        <v>4628412.7605719203</v>
      </c>
      <c r="P68" s="4">
        <f t="shared" si="19"/>
        <v>26499.794071864337</v>
      </c>
      <c r="Q68" s="182">
        <f t="shared" si="20"/>
        <v>5.758430084352186E-3</v>
      </c>
    </row>
    <row r="69" spans="1:17" x14ac:dyDescent="0.35">
      <c r="A69" s="1">
        <f>MonthlyData!A69</f>
        <v>43678</v>
      </c>
      <c r="B69" s="13">
        <f t="shared" si="21"/>
        <v>2019</v>
      </c>
      <c r="C69" s="13">
        <f t="shared" si="22"/>
        <v>8</v>
      </c>
      <c r="D69" s="4">
        <f>MonthlyData!L69</f>
        <v>4567173.0698700938</v>
      </c>
      <c r="E69" s="4">
        <f>MonthlyData!AF69</f>
        <v>9.3492078733420492</v>
      </c>
      <c r="F69">
        <f>MonthlyData!BO69</f>
        <v>0</v>
      </c>
      <c r="G69">
        <f>MonthlyData!BP69</f>
        <v>0</v>
      </c>
      <c r="H69">
        <f>MonthlyData!BU69</f>
        <v>0</v>
      </c>
      <c r="I69">
        <f>MonthlyData!BA69</f>
        <v>4.3438054218536841</v>
      </c>
      <c r="K69" s="4">
        <f t="shared" si="23"/>
        <v>4628412.7605719203</v>
      </c>
      <c r="L69" s="4">
        <f t="shared" si="15"/>
        <v>12511.99410179754</v>
      </c>
      <c r="M69" s="4">
        <f t="shared" si="16"/>
        <v>0</v>
      </c>
      <c r="N69" s="4">
        <f t="shared" si="17"/>
        <v>0</v>
      </c>
      <c r="O69" s="4">
        <f t="shared" si="18"/>
        <v>4640924.7546737175</v>
      </c>
      <c r="P69" s="4">
        <f t="shared" si="19"/>
        <v>73751.684803623706</v>
      </c>
      <c r="Q69" s="182">
        <f t="shared" si="20"/>
        <v>1.6148213276647616E-2</v>
      </c>
    </row>
    <row r="70" spans="1:17" x14ac:dyDescent="0.35">
      <c r="A70" s="1">
        <f>MonthlyData!A70</f>
        <v>43709</v>
      </c>
      <c r="B70" s="13">
        <f t="shared" si="21"/>
        <v>2019</v>
      </c>
      <c r="C70" s="13">
        <f t="shared" si="22"/>
        <v>9</v>
      </c>
      <c r="D70" s="4">
        <f>MonthlyData!L70</f>
        <v>4770770.9067169838</v>
      </c>
      <c r="E70" s="4">
        <f>MonthlyData!AF70</f>
        <v>29.270833333333339</v>
      </c>
      <c r="F70">
        <f>MonthlyData!BO70</f>
        <v>0</v>
      </c>
      <c r="G70">
        <f>MonthlyData!BP70</f>
        <v>0</v>
      </c>
      <c r="H70">
        <f>MonthlyData!BU70</f>
        <v>0</v>
      </c>
      <c r="I70">
        <f>MonthlyData!BA70</f>
        <v>4.3567088266895917</v>
      </c>
      <c r="K70" s="4">
        <f t="shared" si="23"/>
        <v>4628412.7605719203</v>
      </c>
      <c r="L70" s="4">
        <f t="shared" si="15"/>
        <v>39172.997218902085</v>
      </c>
      <c r="M70" s="4">
        <f t="shared" si="16"/>
        <v>0</v>
      </c>
      <c r="N70" s="4">
        <f t="shared" si="17"/>
        <v>0</v>
      </c>
      <c r="O70" s="4">
        <f t="shared" si="18"/>
        <v>4667585.7577908225</v>
      </c>
      <c r="P70" s="4">
        <f t="shared" si="19"/>
        <v>-103185.14892616123</v>
      </c>
      <c r="Q70" s="182">
        <f t="shared" si="20"/>
        <v>2.1628611170761144E-2</v>
      </c>
    </row>
    <row r="71" spans="1:17" x14ac:dyDescent="0.35">
      <c r="A71" s="1">
        <f>MonthlyData!A71</f>
        <v>43739</v>
      </c>
      <c r="B71" s="13">
        <f t="shared" si="21"/>
        <v>2019</v>
      </c>
      <c r="C71" s="13">
        <f t="shared" si="22"/>
        <v>10</v>
      </c>
      <c r="D71" s="4">
        <f>MonthlyData!L71</f>
        <v>4752557.0164826857</v>
      </c>
      <c r="E71" s="4">
        <f>MonthlyData!AF71</f>
        <v>151.38749999999999</v>
      </c>
      <c r="F71">
        <f>MonthlyData!BO71</f>
        <v>0</v>
      </c>
      <c r="G71">
        <f>MonthlyData!BP71</f>
        <v>1</v>
      </c>
      <c r="H71">
        <f>MonthlyData!BU71</f>
        <v>0</v>
      </c>
      <c r="I71">
        <f>MonthlyData!BA71</f>
        <v>4.3694478524670215</v>
      </c>
      <c r="K71" s="4">
        <f t="shared" si="23"/>
        <v>4628412.7605719203</v>
      </c>
      <c r="L71" s="4">
        <f t="shared" si="15"/>
        <v>202601.06874795287</v>
      </c>
      <c r="M71" s="4">
        <f t="shared" si="16"/>
        <v>0</v>
      </c>
      <c r="N71" s="4">
        <f t="shared" si="17"/>
        <v>-269170.44459088001</v>
      </c>
      <c r="O71" s="4">
        <f t="shared" si="18"/>
        <v>4561843.3847289933</v>
      </c>
      <c r="P71" s="4">
        <f t="shared" si="19"/>
        <v>-190713.6317536924</v>
      </c>
      <c r="Q71" s="182">
        <f t="shared" si="20"/>
        <v>4.0128636246185935E-2</v>
      </c>
    </row>
    <row r="72" spans="1:17" x14ac:dyDescent="0.35">
      <c r="A72" s="1">
        <f>MonthlyData!A72</f>
        <v>43770</v>
      </c>
      <c r="B72" s="13">
        <f t="shared" si="21"/>
        <v>2019</v>
      </c>
      <c r="C72" s="13">
        <f t="shared" si="22"/>
        <v>11</v>
      </c>
      <c r="D72" s="4">
        <f>MonthlyData!L72</f>
        <v>5188220.5067362906</v>
      </c>
      <c r="E72" s="4">
        <f>MonthlyData!AF72</f>
        <v>493.48750000000007</v>
      </c>
      <c r="F72">
        <f>MonthlyData!BO72</f>
        <v>0</v>
      </c>
      <c r="G72">
        <f>MonthlyData!BP72</f>
        <v>1</v>
      </c>
      <c r="H72">
        <f>MonthlyData!BU72</f>
        <v>0</v>
      </c>
      <c r="I72">
        <f>MonthlyData!BA72</f>
        <v>4.3820266346738812</v>
      </c>
      <c r="K72" s="4">
        <f t="shared" si="23"/>
        <v>4628412.7605719203</v>
      </c>
      <c r="L72" s="4">
        <f t="shared" si="15"/>
        <v>660431.64008755947</v>
      </c>
      <c r="M72" s="4">
        <f t="shared" si="16"/>
        <v>0</v>
      </c>
      <c r="N72" s="4">
        <f t="shared" si="17"/>
        <v>-269170.44459088001</v>
      </c>
      <c r="O72" s="4">
        <f t="shared" si="18"/>
        <v>5019673.9560686005</v>
      </c>
      <c r="P72" s="4">
        <f t="shared" si="19"/>
        <v>-168546.55066769011</v>
      </c>
      <c r="Q72" s="182">
        <f t="shared" si="20"/>
        <v>3.2486389205865933E-2</v>
      </c>
    </row>
    <row r="73" spans="1:17" x14ac:dyDescent="0.35">
      <c r="A73" s="1">
        <f>MonthlyData!A73</f>
        <v>43800</v>
      </c>
      <c r="B73" s="13">
        <f t="shared" si="21"/>
        <v>2019</v>
      </c>
      <c r="C73" s="13">
        <f t="shared" si="22"/>
        <v>12</v>
      </c>
      <c r="D73" s="4">
        <f>MonthlyData!L73</f>
        <v>5666153.8645248832</v>
      </c>
      <c r="E73" s="4">
        <f>MonthlyData!AF73</f>
        <v>702.36249999999995</v>
      </c>
      <c r="F73">
        <f>MonthlyData!BO73</f>
        <v>0</v>
      </c>
      <c r="G73">
        <f>MonthlyData!BP73</f>
        <v>0</v>
      </c>
      <c r="H73">
        <f>MonthlyData!BU73</f>
        <v>0</v>
      </c>
      <c r="I73">
        <f>MonthlyData!BA73</f>
        <v>4.3944491546724391</v>
      </c>
      <c r="K73" s="4">
        <f t="shared" si="23"/>
        <v>4628412.7605719203</v>
      </c>
      <c r="L73" s="4">
        <f t="shared" si="15"/>
        <v>939967.91775069968</v>
      </c>
      <c r="M73" s="4">
        <f t="shared" si="16"/>
        <v>0</v>
      </c>
      <c r="N73" s="4">
        <f t="shared" si="17"/>
        <v>0</v>
      </c>
      <c r="O73" s="4">
        <f t="shared" si="18"/>
        <v>5568380.6783226198</v>
      </c>
      <c r="P73" s="4">
        <f t="shared" si="19"/>
        <v>-97773.18620226346</v>
      </c>
      <c r="Q73" s="182">
        <f t="shared" si="20"/>
        <v>1.7255653224387317E-2</v>
      </c>
    </row>
    <row r="74" spans="1:17" x14ac:dyDescent="0.35">
      <c r="A74" s="1">
        <f>MonthlyData!A74</f>
        <v>43831</v>
      </c>
      <c r="B74" s="13">
        <f t="shared" si="21"/>
        <v>2020</v>
      </c>
      <c r="C74" s="13">
        <f t="shared" si="22"/>
        <v>1</v>
      </c>
      <c r="D74" s="4">
        <f>MonthlyData!L74</f>
        <v>5783244.659481544</v>
      </c>
      <c r="E74" s="4">
        <f>MonthlyData!AF74</f>
        <v>692.15</v>
      </c>
      <c r="F74">
        <f>MonthlyData!BO74</f>
        <v>0</v>
      </c>
      <c r="G74">
        <f>MonthlyData!BP74</f>
        <v>0</v>
      </c>
      <c r="H74">
        <f>MonthlyData!BU74</f>
        <v>0</v>
      </c>
      <c r="I74">
        <f>MonthlyData!BA74</f>
        <v>4.4067192472642533</v>
      </c>
      <c r="K74" s="4">
        <f t="shared" si="23"/>
        <v>4628412.7605719203</v>
      </c>
      <c r="L74" s="4">
        <f t="shared" si="15"/>
        <v>926300.58448614052</v>
      </c>
      <c r="M74" s="4">
        <f t="shared" si="16"/>
        <v>0</v>
      </c>
      <c r="N74" s="4">
        <f t="shared" si="17"/>
        <v>0</v>
      </c>
      <c r="O74" s="4">
        <f t="shared" si="18"/>
        <v>5554713.3450580612</v>
      </c>
      <c r="P74" s="4">
        <f t="shared" si="19"/>
        <v>-228531.31442348287</v>
      </c>
      <c r="Q74" s="182">
        <f t="shared" si="20"/>
        <v>3.9516106939866215E-2</v>
      </c>
    </row>
    <row r="75" spans="1:17" x14ac:dyDescent="0.35">
      <c r="A75" s="1">
        <f>MonthlyData!A75</f>
        <v>43862</v>
      </c>
      <c r="B75" s="13">
        <f t="shared" si="21"/>
        <v>2020</v>
      </c>
      <c r="C75" s="13">
        <f t="shared" si="22"/>
        <v>2</v>
      </c>
      <c r="D75" s="4">
        <f>MonthlyData!L75</f>
        <v>6074809.6295420974</v>
      </c>
      <c r="E75" s="4">
        <f>MonthlyData!AF75</f>
        <v>654.39166666666677</v>
      </c>
      <c r="F75">
        <f>MonthlyData!BO75</f>
        <v>0</v>
      </c>
      <c r="G75">
        <f>MonthlyData!BP75</f>
        <v>0</v>
      </c>
      <c r="H75">
        <f>MonthlyData!BU75</f>
        <v>0</v>
      </c>
      <c r="I75">
        <f>MonthlyData!BA75</f>
        <v>4.4188406077965983</v>
      </c>
      <c r="K75" s="4">
        <f t="shared" si="23"/>
        <v>4628412.7605719203</v>
      </c>
      <c r="L75" s="4">
        <f t="shared" si="15"/>
        <v>875768.81213059754</v>
      </c>
      <c r="M75" s="4">
        <f t="shared" si="16"/>
        <v>0</v>
      </c>
      <c r="N75" s="4">
        <f t="shared" si="17"/>
        <v>0</v>
      </c>
      <c r="O75" s="4">
        <f t="shared" si="18"/>
        <v>5504181.5727025177</v>
      </c>
      <c r="P75" s="4">
        <f t="shared" si="19"/>
        <v>-570628.05683957972</v>
      </c>
      <c r="Q75" s="182">
        <f t="shared" si="20"/>
        <v>9.3933487901347146E-2</v>
      </c>
    </row>
    <row r="76" spans="1:17" x14ac:dyDescent="0.35">
      <c r="A76" s="1">
        <f>MonthlyData!A76</f>
        <v>43891</v>
      </c>
      <c r="B76" s="13">
        <f t="shared" si="21"/>
        <v>2020</v>
      </c>
      <c r="C76" s="13">
        <f t="shared" si="22"/>
        <v>3</v>
      </c>
      <c r="D76" s="4">
        <f>MonthlyData!L76</f>
        <v>5595180.8261402976</v>
      </c>
      <c r="E76" s="4">
        <f>MonthlyData!AF76</f>
        <v>514.9666666666667</v>
      </c>
      <c r="F76">
        <f>MonthlyData!BO76</f>
        <v>1</v>
      </c>
      <c r="G76">
        <f>MonthlyData!BP76</f>
        <v>0</v>
      </c>
      <c r="H76">
        <f>MonthlyData!BU76</f>
        <v>0.5</v>
      </c>
      <c r="I76">
        <f>MonthlyData!BA76</f>
        <v>4.4308167988433134</v>
      </c>
      <c r="K76" s="4">
        <f t="shared" si="23"/>
        <v>4628412.7605719203</v>
      </c>
      <c r="L76" s="4">
        <f t="shared" si="15"/>
        <v>689177.09213929472</v>
      </c>
      <c r="M76" s="4">
        <f t="shared" si="16"/>
        <v>168249.31587912</v>
      </c>
      <c r="N76" s="4">
        <f t="shared" si="17"/>
        <v>0</v>
      </c>
      <c r="O76" s="4">
        <f t="shared" si="18"/>
        <v>5485839.1685903342</v>
      </c>
      <c r="P76" s="4">
        <f t="shared" si="19"/>
        <v>-109341.65754996333</v>
      </c>
      <c r="Q76" s="182">
        <f t="shared" si="20"/>
        <v>1.9542113284190331E-2</v>
      </c>
    </row>
    <row r="77" spans="1:17" x14ac:dyDescent="0.35">
      <c r="A77" s="1">
        <f>MonthlyData!A77</f>
        <v>43922</v>
      </c>
      <c r="B77" s="13">
        <f t="shared" si="21"/>
        <v>2020</v>
      </c>
      <c r="C77" s="13">
        <f t="shared" si="22"/>
        <v>4</v>
      </c>
      <c r="D77" s="4">
        <f>MonthlyData!L77</f>
        <v>5479916.7884697942</v>
      </c>
      <c r="E77" s="4">
        <f>MonthlyData!AF77</f>
        <v>343.1875</v>
      </c>
      <c r="F77">
        <f>MonthlyData!BO77</f>
        <v>1</v>
      </c>
      <c r="G77">
        <f>MonthlyData!BP77</f>
        <v>0</v>
      </c>
      <c r="H77">
        <f>MonthlyData!BU77</f>
        <v>1</v>
      </c>
      <c r="I77">
        <f>MonthlyData!BA77</f>
        <v>4.4426512564903167</v>
      </c>
      <c r="K77" s="4">
        <f t="shared" si="23"/>
        <v>4628412.7605719203</v>
      </c>
      <c r="L77" s="4">
        <f t="shared" si="15"/>
        <v>459285.96668112022</v>
      </c>
      <c r="M77" s="4">
        <f t="shared" si="16"/>
        <v>168249.31587912</v>
      </c>
      <c r="N77" s="4">
        <f t="shared" si="17"/>
        <v>0</v>
      </c>
      <c r="O77" s="4">
        <f t="shared" si="18"/>
        <v>5255948.0431321599</v>
      </c>
      <c r="P77" s="4">
        <f t="shared" si="19"/>
        <v>-223968.74533763435</v>
      </c>
      <c r="Q77" s="182">
        <f t="shared" si="20"/>
        <v>4.0870829609837039E-2</v>
      </c>
    </row>
    <row r="78" spans="1:17" x14ac:dyDescent="0.35">
      <c r="A78" s="1">
        <f>MonthlyData!A78</f>
        <v>43952</v>
      </c>
      <c r="B78" s="13">
        <f t="shared" si="21"/>
        <v>2020</v>
      </c>
      <c r="C78" s="13">
        <f t="shared" si="22"/>
        <v>5</v>
      </c>
      <c r="D78" s="4">
        <f>MonthlyData!L78</f>
        <v>3953654.2126647015</v>
      </c>
      <c r="E78" s="4">
        <f>MonthlyData!AF78</f>
        <v>153.04999999999995</v>
      </c>
      <c r="F78">
        <f>MonthlyData!BO78</f>
        <v>1</v>
      </c>
      <c r="G78">
        <f>MonthlyData!BP78</f>
        <v>0</v>
      </c>
      <c r="H78">
        <f>MonthlyData!BU78</f>
        <v>1</v>
      </c>
      <c r="I78">
        <f>MonthlyData!BA78</f>
        <v>4.4543472962535073</v>
      </c>
      <c r="K78" s="4">
        <f t="shared" si="23"/>
        <v>4628412.7605719203</v>
      </c>
      <c r="L78" s="4">
        <f t="shared" si="15"/>
        <v>204825.98346543923</v>
      </c>
      <c r="M78" s="4">
        <f t="shared" si="16"/>
        <v>168249.31587912</v>
      </c>
      <c r="N78" s="4">
        <f t="shared" si="17"/>
        <v>0</v>
      </c>
      <c r="O78" s="4">
        <f t="shared" si="18"/>
        <v>5001488.0599164795</v>
      </c>
      <c r="P78" s="4">
        <f t="shared" si="19"/>
        <v>1047833.847251778</v>
      </c>
      <c r="Q78" s="182">
        <f t="shared" si="20"/>
        <v>0.26502920864835933</v>
      </c>
    </row>
    <row r="79" spans="1:17" x14ac:dyDescent="0.35">
      <c r="A79" s="1">
        <f>MonthlyData!A79</f>
        <v>43983</v>
      </c>
      <c r="B79" s="13">
        <f t="shared" si="21"/>
        <v>2020</v>
      </c>
      <c r="C79" s="13">
        <f t="shared" si="22"/>
        <v>6</v>
      </c>
      <c r="D79" s="4">
        <f>MonthlyData!L79</f>
        <v>4582175.1819470329</v>
      </c>
      <c r="E79" s="4">
        <f>MonthlyData!AF79</f>
        <v>10.508333333333333</v>
      </c>
      <c r="F79">
        <f>MonthlyData!BO79</f>
        <v>0</v>
      </c>
      <c r="G79">
        <f>MonthlyData!BP79</f>
        <v>0</v>
      </c>
      <c r="H79">
        <f>MonthlyData!BU79</f>
        <v>0.5</v>
      </c>
      <c r="I79">
        <f>MonthlyData!BA79</f>
        <v>4.4659081186545837</v>
      </c>
      <c r="K79" s="4">
        <f t="shared" si="23"/>
        <v>4628412.7605719203</v>
      </c>
      <c r="L79" s="4">
        <f t="shared" si="15"/>
        <v>14063.245407269897</v>
      </c>
      <c r="M79" s="4">
        <f t="shared" si="16"/>
        <v>0</v>
      </c>
      <c r="N79" s="4">
        <f t="shared" si="17"/>
        <v>0</v>
      </c>
      <c r="O79" s="4">
        <f t="shared" si="18"/>
        <v>4642476.0059791906</v>
      </c>
      <c r="P79" s="4">
        <f t="shared" si="19"/>
        <v>60300.82403215766</v>
      </c>
      <c r="Q79" s="182">
        <f t="shared" si="20"/>
        <v>1.3159868760524988E-2</v>
      </c>
    </row>
    <row r="80" spans="1:17" x14ac:dyDescent="0.35">
      <c r="A80" s="1">
        <f>MonthlyData!A80</f>
        <v>44013</v>
      </c>
      <c r="B80" s="13">
        <f t="shared" si="21"/>
        <v>2020</v>
      </c>
      <c r="C80" s="13">
        <f t="shared" si="22"/>
        <v>7</v>
      </c>
      <c r="D80" s="4">
        <f>MonthlyData!L80</f>
        <v>4424200.142252977</v>
      </c>
      <c r="E80" s="4">
        <f>MonthlyData!AF80</f>
        <v>0</v>
      </c>
      <c r="F80">
        <f>MonthlyData!BO80</f>
        <v>0</v>
      </c>
      <c r="G80">
        <f>MonthlyData!BP80</f>
        <v>0</v>
      </c>
      <c r="H80">
        <f>MonthlyData!BU80</f>
        <v>0.5</v>
      </c>
      <c r="I80">
        <f>MonthlyData!BA80</f>
        <v>4.4773368144782069</v>
      </c>
      <c r="K80" s="4">
        <f t="shared" si="23"/>
        <v>4628412.7605719203</v>
      </c>
      <c r="L80" s="4">
        <f t="shared" si="15"/>
        <v>0</v>
      </c>
      <c r="M80" s="4">
        <f t="shared" si="16"/>
        <v>0</v>
      </c>
      <c r="N80" s="4">
        <f t="shared" si="17"/>
        <v>0</v>
      </c>
      <c r="O80" s="4">
        <f t="shared" si="18"/>
        <v>4628412.7605719203</v>
      </c>
      <c r="P80" s="4">
        <f t="shared" si="19"/>
        <v>204212.61831894331</v>
      </c>
      <c r="Q80" s="182">
        <f t="shared" si="20"/>
        <v>4.6158087734012455E-2</v>
      </c>
    </row>
    <row r="81" spans="1:17" x14ac:dyDescent="0.35">
      <c r="A81" s="1">
        <f>MonthlyData!A81</f>
        <v>44044</v>
      </c>
      <c r="B81" s="13">
        <f t="shared" si="21"/>
        <v>2020</v>
      </c>
      <c r="C81" s="13">
        <f t="shared" si="22"/>
        <v>8</v>
      </c>
      <c r="D81" s="4">
        <f>MonthlyData!L81</f>
        <v>4632337.9153375532</v>
      </c>
      <c r="E81" s="4">
        <f>MonthlyData!AF81</f>
        <v>0</v>
      </c>
      <c r="F81">
        <f>MonthlyData!BO81</f>
        <v>0</v>
      </c>
      <c r="G81">
        <f>MonthlyData!BP81</f>
        <v>0</v>
      </c>
      <c r="H81">
        <f>MonthlyData!BU81</f>
        <v>0.5</v>
      </c>
      <c r="I81">
        <f>MonthlyData!BA81</f>
        <v>4.4886363697321396</v>
      </c>
      <c r="K81" s="4">
        <f t="shared" si="23"/>
        <v>4628412.7605719203</v>
      </c>
      <c r="L81" s="4">
        <f t="shared" si="15"/>
        <v>0</v>
      </c>
      <c r="M81" s="4">
        <f t="shared" si="16"/>
        <v>0</v>
      </c>
      <c r="N81" s="4">
        <f t="shared" si="17"/>
        <v>0</v>
      </c>
      <c r="O81" s="4">
        <f t="shared" si="18"/>
        <v>4628412.7605719203</v>
      </c>
      <c r="P81" s="4">
        <f t="shared" si="19"/>
        <v>-3925.1547656329349</v>
      </c>
      <c r="Q81" s="182">
        <f t="shared" si="20"/>
        <v>8.4733774551222767E-4</v>
      </c>
    </row>
    <row r="82" spans="1:17" x14ac:dyDescent="0.35">
      <c r="A82" s="1">
        <f>MonthlyData!A82</f>
        <v>44075</v>
      </c>
      <c r="B82" s="13">
        <f t="shared" si="21"/>
        <v>2020</v>
      </c>
      <c r="C82" s="13">
        <f t="shared" si="22"/>
        <v>9</v>
      </c>
      <c r="D82" s="4">
        <f>MonthlyData!L82</f>
        <v>4495832.7199474238</v>
      </c>
      <c r="E82" s="4">
        <f>MonthlyData!AF82</f>
        <v>30.970833333333331</v>
      </c>
      <c r="F82">
        <f>MonthlyData!BO82</f>
        <v>0</v>
      </c>
      <c r="G82">
        <f>MonthlyData!BP82</f>
        <v>0</v>
      </c>
      <c r="H82">
        <f>MonthlyData!BU82</f>
        <v>0.5</v>
      </c>
      <c r="I82">
        <f>MonthlyData!BA82</f>
        <v>4.499809670330265</v>
      </c>
      <c r="K82" s="4">
        <f t="shared" si="23"/>
        <v>4628412.7605719203</v>
      </c>
      <c r="L82" s="4">
        <f t="shared" si="15"/>
        <v>41448.09798264756</v>
      </c>
      <c r="M82" s="4">
        <f t="shared" si="16"/>
        <v>0</v>
      </c>
      <c r="N82" s="4">
        <f t="shared" si="17"/>
        <v>0</v>
      </c>
      <c r="O82" s="4">
        <f t="shared" si="18"/>
        <v>4669860.8585545681</v>
      </c>
      <c r="P82" s="4">
        <f t="shared" si="19"/>
        <v>174028.13860714436</v>
      </c>
      <c r="Q82" s="182">
        <f t="shared" si="20"/>
        <v>3.8708766417176556E-2</v>
      </c>
    </row>
    <row r="83" spans="1:17" x14ac:dyDescent="0.35">
      <c r="A83" s="1">
        <f>MonthlyData!A83</f>
        <v>44105</v>
      </c>
      <c r="B83" s="13">
        <f t="shared" si="21"/>
        <v>2020</v>
      </c>
      <c r="C83" s="13">
        <f t="shared" si="22"/>
        <v>10</v>
      </c>
      <c r="D83" s="4">
        <f>MonthlyData!L83</f>
        <v>4685720.8249840857</v>
      </c>
      <c r="E83" s="4">
        <f>MonthlyData!AF83</f>
        <v>265.67500000000001</v>
      </c>
      <c r="F83">
        <f>MonthlyData!BO83</f>
        <v>0</v>
      </c>
      <c r="G83">
        <f>MonthlyData!BP83</f>
        <v>1</v>
      </c>
      <c r="H83">
        <f>MonthlyData!BU83</f>
        <v>0.5</v>
      </c>
      <c r="I83">
        <f>MonthlyData!BA83</f>
        <v>4.5108595065168497</v>
      </c>
      <c r="K83" s="4">
        <f t="shared" si="23"/>
        <v>4628412.7605719203</v>
      </c>
      <c r="L83" s="4">
        <f t="shared" si="15"/>
        <v>355551.40906357783</v>
      </c>
      <c r="M83" s="4">
        <f t="shared" si="16"/>
        <v>0</v>
      </c>
      <c r="N83" s="4">
        <f t="shared" si="17"/>
        <v>-269170.44459088001</v>
      </c>
      <c r="O83" s="4">
        <f t="shared" si="18"/>
        <v>4714793.7250446184</v>
      </c>
      <c r="P83" s="4">
        <f t="shared" si="19"/>
        <v>29072.900060532615</v>
      </c>
      <c r="Q83" s="182">
        <f t="shared" si="20"/>
        <v>6.2045736710384051E-3</v>
      </c>
    </row>
    <row r="84" spans="1:17" x14ac:dyDescent="0.35">
      <c r="A84" s="1">
        <f>MonthlyData!A84</f>
        <v>44136</v>
      </c>
      <c r="B84" s="13">
        <f t="shared" si="21"/>
        <v>2020</v>
      </c>
      <c r="C84" s="13">
        <f t="shared" si="22"/>
        <v>11</v>
      </c>
      <c r="D84" s="4">
        <f>MonthlyData!L84</f>
        <v>5123217.0537212081</v>
      </c>
      <c r="E84" s="4">
        <f>MonthlyData!AF84</f>
        <v>352.30416666666673</v>
      </c>
      <c r="F84">
        <f>MonthlyData!BO84</f>
        <v>0</v>
      </c>
      <c r="G84">
        <f>MonthlyData!BP84</f>
        <v>1</v>
      </c>
      <c r="H84">
        <f>MonthlyData!BU84</f>
        <v>0.5</v>
      </c>
      <c r="I84">
        <f>MonthlyData!BA84</f>
        <v>4.5217885770490405</v>
      </c>
      <c r="K84" s="4">
        <f t="shared" si="23"/>
        <v>4628412.7605719203</v>
      </c>
      <c r="L84" s="4">
        <f t="shared" si="15"/>
        <v>471486.75214944169</v>
      </c>
      <c r="M84" s="4">
        <f t="shared" si="16"/>
        <v>0</v>
      </c>
      <c r="N84" s="4">
        <f t="shared" si="17"/>
        <v>-269170.44459088001</v>
      </c>
      <c r="O84" s="4">
        <f t="shared" si="18"/>
        <v>4830729.068130482</v>
      </c>
      <c r="P84" s="4">
        <f t="shared" si="19"/>
        <v>-292487.98559072614</v>
      </c>
      <c r="Q84" s="182">
        <f t="shared" si="20"/>
        <v>5.7090687847839633E-2</v>
      </c>
    </row>
    <row r="85" spans="1:17" x14ac:dyDescent="0.35">
      <c r="A85" s="1">
        <f>MonthlyData!A85</f>
        <v>44166</v>
      </c>
      <c r="B85" s="13">
        <f t="shared" si="21"/>
        <v>2020</v>
      </c>
      <c r="C85" s="13">
        <f t="shared" si="22"/>
        <v>12</v>
      </c>
      <c r="D85" s="4">
        <f>MonthlyData!L85</f>
        <v>5344161.435734394</v>
      </c>
      <c r="E85" s="4">
        <f>MonthlyData!AF85</f>
        <v>617.46666666666681</v>
      </c>
      <c r="F85">
        <f>MonthlyData!BO85</f>
        <v>0</v>
      </c>
      <c r="G85">
        <f>MonthlyData!BP85</f>
        <v>0</v>
      </c>
      <c r="H85">
        <f>MonthlyData!BU85</f>
        <v>0.5</v>
      </c>
      <c r="I85">
        <f>MonthlyData!BA85</f>
        <v>4.5325994931532563</v>
      </c>
      <c r="K85" s="4">
        <f t="shared" si="23"/>
        <v>4628412.7605719203</v>
      </c>
      <c r="L85" s="4">
        <f t="shared" si="15"/>
        <v>826352.28524747863</v>
      </c>
      <c r="M85" s="4">
        <f t="shared" si="16"/>
        <v>0</v>
      </c>
      <c r="N85" s="4">
        <f t="shared" si="17"/>
        <v>0</v>
      </c>
      <c r="O85" s="4">
        <f t="shared" si="18"/>
        <v>5454765.0458193989</v>
      </c>
      <c r="P85" s="4">
        <f t="shared" si="19"/>
        <v>110603.61008500494</v>
      </c>
      <c r="Q85" s="182">
        <f t="shared" si="20"/>
        <v>2.0696158118547893E-2</v>
      </c>
    </row>
    <row r="86" spans="1:17" x14ac:dyDescent="0.35">
      <c r="A86" s="1">
        <f>MonthlyData!A86</f>
        <v>44197</v>
      </c>
      <c r="B86" s="13">
        <f t="shared" si="21"/>
        <v>2021</v>
      </c>
      <c r="C86" s="13">
        <f t="shared" si="22"/>
        <v>1</v>
      </c>
      <c r="D86" s="4">
        <f>MonthlyData!L86</f>
        <v>5631606.8919931315</v>
      </c>
      <c r="E86" s="4">
        <f>MonthlyData!AF86</f>
        <v>652.06666666666683</v>
      </c>
      <c r="F86">
        <f>MonthlyData!BO86</f>
        <v>0</v>
      </c>
      <c r="G86">
        <f>MonthlyData!BP86</f>
        <v>0</v>
      </c>
      <c r="H86">
        <f>MonthlyData!BU86</f>
        <v>0.5</v>
      </c>
      <c r="I86">
        <f>MonthlyData!BA86</f>
        <v>4.5432947822700038</v>
      </c>
      <c r="K86" s="4">
        <f t="shared" si="23"/>
        <v>4628412.7605719203</v>
      </c>
      <c r="L86" s="4">
        <f t="shared" si="15"/>
        <v>872657.2772625339</v>
      </c>
      <c r="M86" s="4">
        <f t="shared" si="16"/>
        <v>0</v>
      </c>
      <c r="N86" s="4">
        <f t="shared" si="17"/>
        <v>0</v>
      </c>
      <c r="O86" s="4">
        <f t="shared" si="18"/>
        <v>5501070.0378344543</v>
      </c>
      <c r="P86" s="4">
        <f t="shared" si="19"/>
        <v>-130536.85415867716</v>
      </c>
      <c r="Q86" s="182">
        <f t="shared" si="20"/>
        <v>2.3179326373840296E-2</v>
      </c>
    </row>
    <row r="87" spans="1:17" x14ac:dyDescent="0.35">
      <c r="A87" s="1">
        <f>MonthlyData!A87</f>
        <v>44228</v>
      </c>
      <c r="B87" s="13">
        <f t="shared" si="21"/>
        <v>2021</v>
      </c>
      <c r="C87" s="13">
        <f t="shared" si="22"/>
        <v>2</v>
      </c>
      <c r="D87" s="4">
        <f>MonthlyData!L87</f>
        <v>5903126.1220111931</v>
      </c>
      <c r="E87" s="4">
        <f>MonthlyData!AF87</f>
        <v>753.49583333333328</v>
      </c>
      <c r="F87">
        <f>MonthlyData!BO87</f>
        <v>0</v>
      </c>
      <c r="G87">
        <f>MonthlyData!BP87</f>
        <v>0</v>
      </c>
      <c r="H87">
        <f>MonthlyData!BU87</f>
        <v>0.5</v>
      </c>
      <c r="I87">
        <f>MonthlyData!BA87</f>
        <v>4.5538768916005408</v>
      </c>
      <c r="K87" s="4">
        <f t="shared" si="23"/>
        <v>4628412.7605719203</v>
      </c>
      <c r="L87" s="4">
        <f t="shared" si="15"/>
        <v>1008399.3799386522</v>
      </c>
      <c r="M87" s="4">
        <f t="shared" si="16"/>
        <v>0</v>
      </c>
      <c r="N87" s="4">
        <f t="shared" si="17"/>
        <v>0</v>
      </c>
      <c r="O87" s="4">
        <f t="shared" si="18"/>
        <v>5636812.1405105721</v>
      </c>
      <c r="P87" s="4">
        <f t="shared" si="19"/>
        <v>-266313.98150062095</v>
      </c>
      <c r="Q87" s="182">
        <f t="shared" si="20"/>
        <v>4.5114059228314074E-2</v>
      </c>
    </row>
    <row r="88" spans="1:17" x14ac:dyDescent="0.35">
      <c r="A88" s="1">
        <f>MonthlyData!A88</f>
        <v>44256</v>
      </c>
      <c r="B88" s="13">
        <f t="shared" si="21"/>
        <v>2021</v>
      </c>
      <c r="C88" s="13">
        <f t="shared" si="22"/>
        <v>3</v>
      </c>
      <c r="D88" s="4">
        <f>MonthlyData!L88</f>
        <v>5657786.5802215142</v>
      </c>
      <c r="E88" s="4">
        <f>MonthlyData!AF88</f>
        <v>492.00833333333338</v>
      </c>
      <c r="F88">
        <f>MonthlyData!BO88</f>
        <v>1</v>
      </c>
      <c r="G88">
        <f>MonthlyData!BP88</f>
        <v>0</v>
      </c>
      <c r="H88">
        <f>MonthlyData!BU88</f>
        <v>0.5</v>
      </c>
      <c r="I88">
        <f>MonthlyData!BA88</f>
        <v>4.5643481914678361</v>
      </c>
      <c r="K88" s="4">
        <f t="shared" si="23"/>
        <v>4628412.7605719203</v>
      </c>
      <c r="L88" s="4">
        <f t="shared" si="15"/>
        <v>658452.07937400648</v>
      </c>
      <c r="M88" s="4">
        <f t="shared" si="16"/>
        <v>168249.31587912</v>
      </c>
      <c r="N88" s="4">
        <f t="shared" si="17"/>
        <v>0</v>
      </c>
      <c r="O88" s="4">
        <f t="shared" si="18"/>
        <v>5455114.1558250468</v>
      </c>
      <c r="P88" s="4">
        <f t="shared" si="19"/>
        <v>-202672.4243964674</v>
      </c>
      <c r="Q88" s="182">
        <f t="shared" si="20"/>
        <v>3.5821857456583728E-2</v>
      </c>
    </row>
    <row r="89" spans="1:17" x14ac:dyDescent="0.35">
      <c r="A89" s="1">
        <f>MonthlyData!A89</f>
        <v>44287</v>
      </c>
      <c r="B89" s="13">
        <f t="shared" si="21"/>
        <v>2021</v>
      </c>
      <c r="C89" s="13">
        <f t="shared" si="22"/>
        <v>4</v>
      </c>
      <c r="D89" s="4">
        <f>MonthlyData!L89</f>
        <v>5843753.9774524868</v>
      </c>
      <c r="E89" s="4">
        <f>MonthlyData!AF89</f>
        <v>213.375</v>
      </c>
      <c r="F89">
        <f>MonthlyData!BO89</f>
        <v>1</v>
      </c>
      <c r="G89">
        <f>MonthlyData!BP89</f>
        <v>0</v>
      </c>
      <c r="H89">
        <f>MonthlyData!BU89</f>
        <v>0.5</v>
      </c>
      <c r="I89">
        <f>MonthlyData!BA89</f>
        <v>4.5747109785033828</v>
      </c>
      <c r="K89" s="4">
        <f t="shared" si="23"/>
        <v>4628412.7605719203</v>
      </c>
      <c r="L89" s="4">
        <f t="shared" si="15"/>
        <v>285558.60321423138</v>
      </c>
      <c r="M89" s="4">
        <f t="shared" si="16"/>
        <v>168249.31587912</v>
      </c>
      <c r="N89" s="4">
        <f t="shared" si="17"/>
        <v>0</v>
      </c>
      <c r="O89" s="4">
        <f t="shared" si="18"/>
        <v>5082220.6796652712</v>
      </c>
      <c r="P89" s="4">
        <f t="shared" si="19"/>
        <v>-761533.29778721556</v>
      </c>
      <c r="Q89" s="182">
        <f t="shared" si="20"/>
        <v>0.13031576974758213</v>
      </c>
    </row>
    <row r="90" spans="1:17" x14ac:dyDescent="0.35">
      <c r="A90" s="1">
        <f>MonthlyData!A90</f>
        <v>44317</v>
      </c>
      <c r="B90" s="13">
        <f t="shared" si="21"/>
        <v>2021</v>
      </c>
      <c r="C90" s="13">
        <f t="shared" si="22"/>
        <v>5</v>
      </c>
      <c r="D90" s="4">
        <f>MonthlyData!L90</f>
        <v>4706391.2374353502</v>
      </c>
      <c r="E90" s="4">
        <f>MonthlyData!AF90</f>
        <v>86.762499999999974</v>
      </c>
      <c r="F90">
        <f>MonthlyData!BO90</f>
        <v>1</v>
      </c>
      <c r="G90">
        <f>MonthlyData!BP90</f>
        <v>0</v>
      </c>
      <c r="H90">
        <f>MonthlyData!BU90</f>
        <v>0.5</v>
      </c>
      <c r="I90">
        <f>MonthlyData!BA90</f>
        <v>4.5849674786705723</v>
      </c>
      <c r="K90" s="4">
        <f t="shared" si="23"/>
        <v>4628412.7605719203</v>
      </c>
      <c r="L90" s="4">
        <f t="shared" si="15"/>
        <v>116113.78236145162</v>
      </c>
      <c r="M90" s="4">
        <f t="shared" si="16"/>
        <v>168249.31587912</v>
      </c>
      <c r="N90" s="4">
        <f t="shared" si="17"/>
        <v>0</v>
      </c>
      <c r="O90" s="4">
        <f t="shared" si="18"/>
        <v>4912775.8588124914</v>
      </c>
      <c r="P90" s="4">
        <f t="shared" si="19"/>
        <v>206384.62137714121</v>
      </c>
      <c r="Q90" s="182">
        <f t="shared" si="20"/>
        <v>4.385198997812307E-2</v>
      </c>
    </row>
    <row r="91" spans="1:17" x14ac:dyDescent="0.35">
      <c r="A91" s="1">
        <f>MonthlyData!A91</f>
        <v>44348</v>
      </c>
      <c r="B91" s="13">
        <f t="shared" si="21"/>
        <v>2021</v>
      </c>
      <c r="C91" s="13">
        <f t="shared" si="22"/>
        <v>6</v>
      </c>
      <c r="D91" s="4">
        <f>MonthlyData!L91</f>
        <v>4371857.8014126103</v>
      </c>
      <c r="E91" s="4">
        <f>MonthlyData!AF91</f>
        <v>2.9166666666666679</v>
      </c>
      <c r="F91">
        <f>MonthlyData!BO91</f>
        <v>0</v>
      </c>
      <c r="G91">
        <f>MonthlyData!BP91</f>
        <v>0</v>
      </c>
      <c r="H91">
        <f>MonthlyData!BU91</f>
        <v>0.5</v>
      </c>
      <c r="I91">
        <f>MonthlyData!BA91</f>
        <v>4.5951198501345898</v>
      </c>
      <c r="K91" s="4">
        <f t="shared" si="23"/>
        <v>4628412.7605719203</v>
      </c>
      <c r="L91" s="4">
        <f t="shared" si="15"/>
        <v>3903.3591534849056</v>
      </c>
      <c r="M91" s="4">
        <f t="shared" si="16"/>
        <v>0</v>
      </c>
      <c r="N91" s="4">
        <f t="shared" si="17"/>
        <v>0</v>
      </c>
      <c r="O91" s="4">
        <f t="shared" si="18"/>
        <v>4632316.1197254052</v>
      </c>
      <c r="P91" s="4">
        <f t="shared" si="19"/>
        <v>260458.3183127949</v>
      </c>
      <c r="Q91" s="182">
        <f t="shared" si="20"/>
        <v>5.9576118470421671E-2</v>
      </c>
    </row>
    <row r="92" spans="1:17" x14ac:dyDescent="0.35">
      <c r="A92" s="1">
        <f>MonthlyData!A92</f>
        <v>44378</v>
      </c>
      <c r="B92" s="13">
        <f t="shared" si="21"/>
        <v>2021</v>
      </c>
      <c r="C92" s="13">
        <f t="shared" si="22"/>
        <v>7</v>
      </c>
      <c r="D92" s="4">
        <f>MonthlyData!L92</f>
        <v>4404224.692593568</v>
      </c>
      <c r="E92" s="4">
        <f>MonthlyData!AF92</f>
        <v>2.104755252394658</v>
      </c>
      <c r="F92">
        <f>MonthlyData!BO92</f>
        <v>0</v>
      </c>
      <c r="G92">
        <f>MonthlyData!BP92</f>
        <v>0</v>
      </c>
      <c r="H92">
        <f>MonthlyData!BU92</f>
        <v>0.5</v>
      </c>
      <c r="I92">
        <f>MonthlyData!BA92</f>
        <v>4.6051701859880918</v>
      </c>
      <c r="K92" s="4">
        <f t="shared" si="23"/>
        <v>4628412.7605719203</v>
      </c>
      <c r="L92" s="4">
        <f t="shared" si="15"/>
        <v>2816.7825189531832</v>
      </c>
      <c r="M92" s="4">
        <f t="shared" si="16"/>
        <v>0</v>
      </c>
      <c r="N92" s="4">
        <f t="shared" si="17"/>
        <v>0</v>
      </c>
      <c r="O92" s="4">
        <f t="shared" si="18"/>
        <v>4631229.5430908734</v>
      </c>
      <c r="P92" s="4">
        <f t="shared" si="19"/>
        <v>227004.85049730539</v>
      </c>
      <c r="Q92" s="182">
        <f t="shared" si="20"/>
        <v>5.1542522541833884E-2</v>
      </c>
    </row>
    <row r="93" spans="1:17" x14ac:dyDescent="0.35">
      <c r="A93" s="1">
        <f>MonthlyData!A93</f>
        <v>44409</v>
      </c>
      <c r="B93" s="13">
        <f t="shared" si="21"/>
        <v>2021</v>
      </c>
      <c r="C93" s="13">
        <f t="shared" si="22"/>
        <v>8</v>
      </c>
      <c r="D93" s="4">
        <f>MonthlyData!L93</f>
        <v>4384173.3824236318</v>
      </c>
      <c r="E93" s="4">
        <f>MonthlyData!AF93</f>
        <v>0</v>
      </c>
      <c r="F93">
        <f>MonthlyData!BO93</f>
        <v>0</v>
      </c>
      <c r="G93">
        <f>MonthlyData!BP93</f>
        <v>0</v>
      </c>
      <c r="H93">
        <f>MonthlyData!BU93</f>
        <v>0.5</v>
      </c>
      <c r="I93">
        <f>MonthlyData!BA93</f>
        <v>4.6151205168412597</v>
      </c>
      <c r="K93" s="4">
        <f t="shared" si="23"/>
        <v>4628412.7605719203</v>
      </c>
      <c r="L93" s="4">
        <f t="shared" si="15"/>
        <v>0</v>
      </c>
      <c r="M93" s="4">
        <f t="shared" si="16"/>
        <v>0</v>
      </c>
      <c r="N93" s="4">
        <f t="shared" si="17"/>
        <v>0</v>
      </c>
      <c r="O93" s="4">
        <f t="shared" si="18"/>
        <v>4628412.7605719203</v>
      </c>
      <c r="P93" s="4">
        <f t="shared" si="19"/>
        <v>244239.37814828847</v>
      </c>
      <c r="Q93" s="182">
        <f t="shared" si="20"/>
        <v>5.5709333742925457E-2</v>
      </c>
    </row>
    <row r="94" spans="1:17" x14ac:dyDescent="0.35">
      <c r="A94" s="1">
        <f>MonthlyData!A94</f>
        <v>44440</v>
      </c>
      <c r="B94" s="13">
        <f t="shared" si="21"/>
        <v>2021</v>
      </c>
      <c r="C94" s="13">
        <f t="shared" si="22"/>
        <v>9</v>
      </c>
      <c r="D94" s="4">
        <f>MonthlyData!L94</f>
        <v>4556985.8262357311</v>
      </c>
      <c r="E94" s="4">
        <f>MonthlyData!AF94</f>
        <v>22.32083333333334</v>
      </c>
      <c r="F94">
        <f>MonthlyData!BO94</f>
        <v>0</v>
      </c>
      <c r="G94">
        <f>MonthlyData!BP94</f>
        <v>0</v>
      </c>
      <c r="H94">
        <f>MonthlyData!BU94</f>
        <v>0.5</v>
      </c>
      <c r="I94">
        <f>MonthlyData!BA94</f>
        <v>4.6249728132842707</v>
      </c>
      <c r="K94" s="4">
        <f t="shared" si="23"/>
        <v>4628412.7605719203</v>
      </c>
      <c r="L94" s="4">
        <f t="shared" si="15"/>
        <v>29871.849978883769</v>
      </c>
      <c r="M94" s="4">
        <f t="shared" si="16"/>
        <v>0</v>
      </c>
      <c r="N94" s="4">
        <f t="shared" si="17"/>
        <v>0</v>
      </c>
      <c r="O94" s="4">
        <f t="shared" si="18"/>
        <v>4658284.6105508041</v>
      </c>
      <c r="P94" s="4">
        <f t="shared" si="19"/>
        <v>101298.78431507293</v>
      </c>
      <c r="Q94" s="182">
        <f t="shared" si="20"/>
        <v>2.2229339343534923E-2</v>
      </c>
    </row>
    <row r="95" spans="1:17" x14ac:dyDescent="0.35">
      <c r="A95" s="1">
        <f>MonthlyData!A95</f>
        <v>44470</v>
      </c>
      <c r="B95" s="13">
        <f t="shared" si="21"/>
        <v>2021</v>
      </c>
      <c r="C95" s="13">
        <f t="shared" si="22"/>
        <v>10</v>
      </c>
      <c r="D95" s="4">
        <f>MonthlyData!L95</f>
        <v>4517829.4914550968</v>
      </c>
      <c r="E95" s="4">
        <f>MonthlyData!AF95</f>
        <v>99.116666666666674</v>
      </c>
      <c r="F95">
        <f>MonthlyData!BO95</f>
        <v>0</v>
      </c>
      <c r="G95">
        <f>MonthlyData!BP95</f>
        <v>1</v>
      </c>
      <c r="H95">
        <f>MonthlyData!BU95</f>
        <v>0.5</v>
      </c>
      <c r="I95">
        <f>MonthlyData!BA95</f>
        <v>4.6347289882296359</v>
      </c>
      <c r="K95" s="4">
        <f t="shared" si="23"/>
        <v>4628412.7605719203</v>
      </c>
      <c r="L95" s="4">
        <f t="shared" si="15"/>
        <v>132647.29649014131</v>
      </c>
      <c r="M95" s="4">
        <f t="shared" si="16"/>
        <v>0</v>
      </c>
      <c r="N95" s="4">
        <f t="shared" si="17"/>
        <v>-269170.44459088001</v>
      </c>
      <c r="O95" s="4">
        <f t="shared" si="18"/>
        <v>4491889.6124711819</v>
      </c>
      <c r="P95" s="4">
        <f t="shared" si="19"/>
        <v>-25939.878983914852</v>
      </c>
      <c r="Q95" s="182">
        <f t="shared" si="20"/>
        <v>5.7416684345827692E-3</v>
      </c>
    </row>
    <row r="96" spans="1:17" x14ac:dyDescent="0.35">
      <c r="A96" s="1">
        <f>MonthlyData!A96</f>
        <v>44501</v>
      </c>
      <c r="B96" s="13">
        <f t="shared" si="21"/>
        <v>2021</v>
      </c>
      <c r="C96" s="13">
        <f t="shared" si="22"/>
        <v>11</v>
      </c>
      <c r="D96" s="4">
        <f>MonthlyData!L96</f>
        <v>4808667.3949651532</v>
      </c>
      <c r="E96" s="4">
        <f>MonthlyData!AF96</f>
        <v>364.64166666666665</v>
      </c>
      <c r="F96">
        <f>MonthlyData!BO96</f>
        <v>0</v>
      </c>
      <c r="G96">
        <f>MonthlyData!BP96</f>
        <v>1</v>
      </c>
      <c r="H96">
        <f>MonthlyData!BU96</f>
        <v>0.5</v>
      </c>
      <c r="I96">
        <f>MonthlyData!BA96</f>
        <v>4.6443908991413725</v>
      </c>
      <c r="K96" s="4">
        <f t="shared" si="23"/>
        <v>4628412.7605719203</v>
      </c>
      <c r="L96" s="4">
        <f t="shared" si="15"/>
        <v>487997.96136868268</v>
      </c>
      <c r="M96" s="4">
        <f t="shared" si="16"/>
        <v>0</v>
      </c>
      <c r="N96" s="4">
        <f t="shared" si="17"/>
        <v>-269170.44459088001</v>
      </c>
      <c r="O96" s="4">
        <f t="shared" si="18"/>
        <v>4847240.2773497235</v>
      </c>
      <c r="P96" s="4">
        <f t="shared" si="19"/>
        <v>38572.882384570315</v>
      </c>
      <c r="Q96" s="182">
        <f t="shared" si="20"/>
        <v>8.0215326235616759E-3</v>
      </c>
    </row>
    <row r="97" spans="1:17" x14ac:dyDescent="0.35">
      <c r="A97" s="1">
        <f>MonthlyData!A97</f>
        <v>44531</v>
      </c>
      <c r="B97" s="13">
        <f t="shared" si="21"/>
        <v>2021</v>
      </c>
      <c r="C97" s="13">
        <f t="shared" si="22"/>
        <v>12</v>
      </c>
      <c r="D97" s="4">
        <f>MonthlyData!L97</f>
        <v>5207208.4077626746</v>
      </c>
      <c r="E97" s="4">
        <f>MonthlyData!AF97</f>
        <v>683.00833333333321</v>
      </c>
      <c r="F97">
        <f>MonthlyData!BO97</f>
        <v>0</v>
      </c>
      <c r="G97">
        <f>MonthlyData!BP97</f>
        <v>0</v>
      </c>
      <c r="H97">
        <f>MonthlyData!BU97</f>
        <v>0.5</v>
      </c>
      <c r="I97">
        <f>MonthlyData!BA97</f>
        <v>4.6539603501575231</v>
      </c>
      <c r="K97" s="4">
        <f t="shared" si="23"/>
        <v>4628412.7605719203</v>
      </c>
      <c r="L97" s="4">
        <f t="shared" si="15"/>
        <v>914066.3416536462</v>
      </c>
      <c r="M97" s="4">
        <f t="shared" si="16"/>
        <v>0</v>
      </c>
      <c r="N97" s="4">
        <f t="shared" si="17"/>
        <v>0</v>
      </c>
      <c r="O97" s="4">
        <f t="shared" si="18"/>
        <v>5542479.1022255663</v>
      </c>
      <c r="P97" s="4">
        <f t="shared" si="19"/>
        <v>335270.69446289167</v>
      </c>
      <c r="Q97" s="182">
        <f t="shared" si="20"/>
        <v>6.4385879766802698E-2</v>
      </c>
    </row>
    <row r="98" spans="1:17" x14ac:dyDescent="0.35">
      <c r="A98" s="1">
        <f>MonthlyData!A98</f>
        <v>44562</v>
      </c>
      <c r="B98" s="13">
        <f t="shared" si="21"/>
        <v>2022</v>
      </c>
      <c r="C98" s="13">
        <f t="shared" si="22"/>
        <v>1</v>
      </c>
      <c r="D98" s="4">
        <f>MonthlyData!L98</f>
        <v>5515070.7865821905</v>
      </c>
      <c r="E98" s="4">
        <f>MonthlyData!AF98</f>
        <v>990.57499999999993</v>
      </c>
      <c r="F98">
        <f>MonthlyData!BO98</f>
        <v>0</v>
      </c>
      <c r="G98">
        <f>MonthlyData!BP98</f>
        <v>0</v>
      </c>
      <c r="H98">
        <f>MonthlyData!BU98</f>
        <v>0.25</v>
      </c>
      <c r="I98">
        <f>MonthlyData!BA98</f>
        <v>4.6634390941120669</v>
      </c>
      <c r="K98" s="4">
        <f t="shared" si="23"/>
        <v>4628412.7605719203</v>
      </c>
      <c r="L98" s="4">
        <f t="shared" ref="L98:L121" si="24">E98*$U$9</f>
        <v>1325681.1406159915</v>
      </c>
      <c r="M98" s="4">
        <f t="shared" ref="M98:M121" si="25">F98*$U$10</f>
        <v>0</v>
      </c>
      <c r="N98" s="4">
        <f t="shared" ref="N98:N121" si="26">G98*$U$11</f>
        <v>0</v>
      </c>
      <c r="O98" s="4">
        <f t="shared" ref="O98:O121" si="27">SUM(K98:N98)</f>
        <v>5954093.9011879116</v>
      </c>
      <c r="P98" s="4">
        <f t="shared" ref="P98:P121" si="28">O98-D98</f>
        <v>439023.11460572109</v>
      </c>
      <c r="Q98" s="182">
        <f t="shared" ref="Q98:Q121" si="29">ABS(P98/D98)</f>
        <v>7.960425742382779E-2</v>
      </c>
    </row>
    <row r="99" spans="1:17" x14ac:dyDescent="0.35">
      <c r="A99" s="1">
        <f>MonthlyData!A99</f>
        <v>44593</v>
      </c>
      <c r="B99" s="13">
        <f t="shared" si="21"/>
        <v>2022</v>
      </c>
      <c r="C99" s="13">
        <f t="shared" si="22"/>
        <v>2</v>
      </c>
      <c r="D99" s="4">
        <f>MonthlyData!L99</f>
        <v>5999044.6652609417</v>
      </c>
      <c r="E99" s="4">
        <f>MonthlyData!AF99</f>
        <v>803.72083333333319</v>
      </c>
      <c r="F99">
        <f>MonthlyData!BO99</f>
        <v>0</v>
      </c>
      <c r="G99">
        <f>MonthlyData!BP99</f>
        <v>0</v>
      </c>
      <c r="H99">
        <f>MonthlyData!BU99</f>
        <v>0.25</v>
      </c>
      <c r="I99">
        <f>MonthlyData!BA99</f>
        <v>4.6728288344619058</v>
      </c>
      <c r="K99" s="4">
        <f t="shared" si="23"/>
        <v>4628412.7605719203</v>
      </c>
      <c r="L99" s="4">
        <f t="shared" si="24"/>
        <v>1075615.2245616622</v>
      </c>
      <c r="M99" s="4">
        <f t="shared" si="25"/>
        <v>0</v>
      </c>
      <c r="N99" s="4">
        <f t="shared" si="26"/>
        <v>0</v>
      </c>
      <c r="O99" s="4">
        <f t="shared" si="27"/>
        <v>5704027.9851335827</v>
      </c>
      <c r="P99" s="4">
        <f t="shared" si="28"/>
        <v>-295016.680127359</v>
      </c>
      <c r="Q99" s="182">
        <f t="shared" si="29"/>
        <v>4.9177276814712061E-2</v>
      </c>
    </row>
    <row r="100" spans="1:17" x14ac:dyDescent="0.35">
      <c r="A100" s="1">
        <f>MonthlyData!A100</f>
        <v>44621</v>
      </c>
      <c r="B100" s="13">
        <f t="shared" si="21"/>
        <v>2022</v>
      </c>
      <c r="C100" s="13">
        <f t="shared" si="22"/>
        <v>3</v>
      </c>
      <c r="D100" s="4">
        <f>MonthlyData!L100</f>
        <v>5477369.7664209213</v>
      </c>
      <c r="E100" s="4">
        <f>MonthlyData!AF100</f>
        <v>555.07083333333333</v>
      </c>
      <c r="F100">
        <f>MonthlyData!BO100</f>
        <v>1</v>
      </c>
      <c r="G100">
        <f>MonthlyData!BP100</f>
        <v>0</v>
      </c>
      <c r="H100">
        <f>MonthlyData!BU100</f>
        <v>0.25</v>
      </c>
      <c r="I100">
        <f>MonthlyData!BA100</f>
        <v>4.6821312271242199</v>
      </c>
      <c r="K100" s="4">
        <f t="shared" si="23"/>
        <v>4628412.7605719203</v>
      </c>
      <c r="L100" s="4">
        <f t="shared" si="24"/>
        <v>742848.2804997121</v>
      </c>
      <c r="M100" s="4">
        <f t="shared" si="25"/>
        <v>168249.31587912</v>
      </c>
      <c r="N100" s="4">
        <f t="shared" si="26"/>
        <v>0</v>
      </c>
      <c r="O100" s="4">
        <f t="shared" si="27"/>
        <v>5539510.3569507524</v>
      </c>
      <c r="P100" s="4">
        <f t="shared" si="28"/>
        <v>62140.590529831126</v>
      </c>
      <c r="Q100" s="182">
        <f t="shared" si="29"/>
        <v>1.1344969059928132E-2</v>
      </c>
    </row>
    <row r="101" spans="1:17" x14ac:dyDescent="0.35">
      <c r="A101" s="1">
        <f>MonthlyData!A101</f>
        <v>44652</v>
      </c>
      <c r="B101" s="13">
        <f t="shared" si="21"/>
        <v>2022</v>
      </c>
      <c r="C101" s="13">
        <f t="shared" si="22"/>
        <v>4</v>
      </c>
      <c r="D101" s="4">
        <f>MonthlyData!L101</f>
        <v>5659412.8678707657</v>
      </c>
      <c r="E101" s="4">
        <f>MonthlyData!AF101</f>
        <v>269.69166666666661</v>
      </c>
      <c r="F101">
        <f>MonthlyData!BO101</f>
        <v>1</v>
      </c>
      <c r="G101">
        <f>MonthlyData!BP101</f>
        <v>0</v>
      </c>
      <c r="H101">
        <f>MonthlyData!BU101</f>
        <v>0.25</v>
      </c>
      <c r="I101">
        <f>MonthlyData!BA101</f>
        <v>4.6913478822291435</v>
      </c>
      <c r="K101" s="4">
        <f t="shared" si="23"/>
        <v>4628412.7605719203</v>
      </c>
      <c r="L101" s="4">
        <f t="shared" si="24"/>
        <v>360926.89224066265</v>
      </c>
      <c r="M101" s="4">
        <f t="shared" si="25"/>
        <v>168249.31587912</v>
      </c>
      <c r="N101" s="4">
        <f t="shared" si="26"/>
        <v>0</v>
      </c>
      <c r="O101" s="4">
        <f t="shared" si="27"/>
        <v>5157588.9686917029</v>
      </c>
      <c r="P101" s="4">
        <f t="shared" si="28"/>
        <v>-501823.89917906281</v>
      </c>
      <c r="Q101" s="182">
        <f t="shared" si="29"/>
        <v>8.8670664412554764E-2</v>
      </c>
    </row>
    <row r="102" spans="1:17" x14ac:dyDescent="0.35">
      <c r="A102" s="1">
        <f>MonthlyData!A102</f>
        <v>44682</v>
      </c>
      <c r="B102" s="13">
        <f t="shared" si="21"/>
        <v>2022</v>
      </c>
      <c r="C102" s="13">
        <f t="shared" si="22"/>
        <v>5</v>
      </c>
      <c r="D102" s="4">
        <f>MonthlyData!L102</f>
        <v>4902437.2248681234</v>
      </c>
      <c r="E102" s="4">
        <f>MonthlyData!AF102</f>
        <v>37.020833333333329</v>
      </c>
      <c r="F102">
        <f>MonthlyData!BO102</f>
        <v>1</v>
      </c>
      <c r="G102">
        <f>MonthlyData!BP102</f>
        <v>0</v>
      </c>
      <c r="H102">
        <f>MonthlyData!BU102</f>
        <v>0.25</v>
      </c>
      <c r="I102">
        <f>MonthlyData!BA102</f>
        <v>4.7004803657924166</v>
      </c>
      <c r="K102" s="4">
        <f t="shared" si="23"/>
        <v>4628412.7605719203</v>
      </c>
      <c r="L102" s="4">
        <f t="shared" si="24"/>
        <v>49544.780112447668</v>
      </c>
      <c r="M102" s="4">
        <f t="shared" si="25"/>
        <v>168249.31587912</v>
      </c>
      <c r="N102" s="4">
        <f t="shared" si="26"/>
        <v>0</v>
      </c>
      <c r="O102" s="4">
        <f t="shared" si="27"/>
        <v>4846206.8565634871</v>
      </c>
      <c r="P102" s="4">
        <f t="shared" si="28"/>
        <v>-56230.368304636329</v>
      </c>
      <c r="Q102" s="182">
        <f t="shared" si="29"/>
        <v>1.1469880332052379E-2</v>
      </c>
    </row>
    <row r="103" spans="1:17" x14ac:dyDescent="0.35">
      <c r="A103" s="1">
        <f>MonthlyData!A103</f>
        <v>44713</v>
      </c>
      <c r="B103" s="13">
        <f t="shared" si="21"/>
        <v>2022</v>
      </c>
      <c r="C103" s="13">
        <f t="shared" si="22"/>
        <v>6</v>
      </c>
      <c r="D103" s="4">
        <f>MonthlyData!L103</f>
        <v>4899970.4473683499</v>
      </c>
      <c r="E103" s="4">
        <f>MonthlyData!AF103</f>
        <v>0.58750000000000036</v>
      </c>
      <c r="F103">
        <f>MonthlyData!BO103</f>
        <v>0</v>
      </c>
      <c r="G103">
        <f>MonthlyData!BP103</f>
        <v>0</v>
      </c>
      <c r="H103">
        <f>MonthlyData!BU103</f>
        <v>0.25</v>
      </c>
      <c r="I103">
        <f>MonthlyData!BA103</f>
        <v>4.7095302013123339</v>
      </c>
      <c r="K103" s="4">
        <f t="shared" si="23"/>
        <v>4628412.7605719203</v>
      </c>
      <c r="L103" s="4">
        <f t="shared" si="24"/>
        <v>786.24805805910262</v>
      </c>
      <c r="M103" s="4">
        <f t="shared" si="25"/>
        <v>0</v>
      </c>
      <c r="N103" s="4">
        <f t="shared" si="26"/>
        <v>0</v>
      </c>
      <c r="O103" s="4">
        <f t="shared" si="27"/>
        <v>4629199.0086299796</v>
      </c>
      <c r="P103" s="4">
        <f t="shared" si="28"/>
        <v>-270771.43873837031</v>
      </c>
      <c r="Q103" s="182">
        <f t="shared" si="29"/>
        <v>5.5259810573713729E-2</v>
      </c>
    </row>
    <row r="104" spans="1:17" x14ac:dyDescent="0.35">
      <c r="A104" s="1">
        <f>MonthlyData!A104</f>
        <v>44743</v>
      </c>
      <c r="B104" s="13">
        <f t="shared" si="21"/>
        <v>2022</v>
      </c>
      <c r="C104" s="13">
        <f t="shared" si="22"/>
        <v>7</v>
      </c>
      <c r="D104" s="4">
        <f>MonthlyData!L104</f>
        <v>4582845.8076719521</v>
      </c>
      <c r="E104" s="4">
        <f>MonthlyData!AF104</f>
        <v>0.76620813333721038</v>
      </c>
      <c r="F104">
        <f>MonthlyData!BO104</f>
        <v>0</v>
      </c>
      <c r="G104">
        <f>MonthlyData!BP104</f>
        <v>0</v>
      </c>
      <c r="H104">
        <f>MonthlyData!BU104</f>
        <v>0.25</v>
      </c>
      <c r="I104">
        <f>MonthlyData!BA104</f>
        <v>4.7184988712950942</v>
      </c>
      <c r="K104" s="4">
        <f t="shared" si="23"/>
        <v>4628412.7605719203</v>
      </c>
      <c r="L104" s="4">
        <f t="shared" si="24"/>
        <v>1025.4121819667596</v>
      </c>
      <c r="M104" s="4">
        <f t="shared" si="25"/>
        <v>0</v>
      </c>
      <c r="N104" s="4">
        <f t="shared" si="26"/>
        <v>0</v>
      </c>
      <c r="O104" s="4">
        <f t="shared" si="27"/>
        <v>4629438.1727538873</v>
      </c>
      <c r="P104" s="4">
        <f t="shared" si="28"/>
        <v>46592.36508193519</v>
      </c>
      <c r="Q104" s="182">
        <f t="shared" si="29"/>
        <v>1.0166688349832073E-2</v>
      </c>
    </row>
    <row r="105" spans="1:17" x14ac:dyDescent="0.35">
      <c r="A105" s="1">
        <f>MonthlyData!A105</f>
        <v>44774</v>
      </c>
      <c r="B105" s="13">
        <f t="shared" si="21"/>
        <v>2022</v>
      </c>
      <c r="C105" s="13">
        <f t="shared" si="22"/>
        <v>8</v>
      </c>
      <c r="D105" s="4">
        <f>MonthlyData!L105</f>
        <v>4383637.8491329644</v>
      </c>
      <c r="E105" s="4">
        <f>MonthlyData!AF105</f>
        <v>1.0791666666666657</v>
      </c>
      <c r="F105">
        <f>MonthlyData!BO105</f>
        <v>0</v>
      </c>
      <c r="G105">
        <f>MonthlyData!BP105</f>
        <v>0</v>
      </c>
      <c r="H105">
        <f>MonthlyData!BU105</f>
        <v>0.25</v>
      </c>
      <c r="I105">
        <f>MonthlyData!BA105</f>
        <v>4.7273878187123408</v>
      </c>
      <c r="K105" s="4">
        <f t="shared" si="23"/>
        <v>4628412.7605719203</v>
      </c>
      <c r="L105" s="4">
        <f t="shared" si="24"/>
        <v>1444.2428867894132</v>
      </c>
      <c r="M105" s="4">
        <f t="shared" si="25"/>
        <v>0</v>
      </c>
      <c r="N105" s="4">
        <f t="shared" si="26"/>
        <v>0</v>
      </c>
      <c r="O105" s="4">
        <f t="shared" si="27"/>
        <v>4629857.0034587095</v>
      </c>
      <c r="P105" s="4">
        <f t="shared" si="28"/>
        <v>246219.15432574507</v>
      </c>
      <c r="Q105" s="182">
        <f t="shared" si="29"/>
        <v>5.6167768141349661E-2</v>
      </c>
    </row>
    <row r="106" spans="1:17" x14ac:dyDescent="0.35">
      <c r="A106" s="1">
        <f>MonthlyData!A106</f>
        <v>44805</v>
      </c>
      <c r="B106" s="13">
        <f t="shared" si="21"/>
        <v>2022</v>
      </c>
      <c r="C106" s="13">
        <f t="shared" si="22"/>
        <v>9</v>
      </c>
      <c r="D106" s="4">
        <f>MonthlyData!L106</f>
        <v>4398549.3566141417</v>
      </c>
      <c r="E106" s="4">
        <f>MonthlyData!AF106</f>
        <v>23.4375</v>
      </c>
      <c r="F106">
        <f>MonthlyData!BO106</f>
        <v>0</v>
      </c>
      <c r="G106">
        <f>MonthlyData!BP106</f>
        <v>0</v>
      </c>
      <c r="H106">
        <f>MonthlyData!BU106</f>
        <v>0.25</v>
      </c>
      <c r="I106">
        <f>MonthlyData!BA106</f>
        <v>4.7361984483944957</v>
      </c>
      <c r="K106" s="4">
        <f t="shared" si="23"/>
        <v>4628412.7605719203</v>
      </c>
      <c r="L106" s="4">
        <f t="shared" si="24"/>
        <v>31366.278911932266</v>
      </c>
      <c r="M106" s="4">
        <f t="shared" si="25"/>
        <v>0</v>
      </c>
      <c r="N106" s="4">
        <f t="shared" si="26"/>
        <v>0</v>
      </c>
      <c r="O106" s="4">
        <f t="shared" si="27"/>
        <v>4659779.0394838527</v>
      </c>
      <c r="P106" s="4">
        <f t="shared" si="28"/>
        <v>261229.68286971096</v>
      </c>
      <c r="Q106" s="182">
        <f t="shared" si="29"/>
        <v>5.9389962846932098E-2</v>
      </c>
    </row>
    <row r="107" spans="1:17" x14ac:dyDescent="0.35">
      <c r="A107" s="1">
        <f>MonthlyData!A107</f>
        <v>44835</v>
      </c>
      <c r="B107" s="13">
        <f t="shared" si="21"/>
        <v>2022</v>
      </c>
      <c r="C107" s="13">
        <f t="shared" si="22"/>
        <v>10</v>
      </c>
      <c r="D107" s="4">
        <f>MonthlyData!L107</f>
        <v>4372734.9886369808</v>
      </c>
      <c r="E107" s="4">
        <f>MonthlyData!AF107</f>
        <v>133.35833333333338</v>
      </c>
      <c r="F107">
        <f>MonthlyData!BO107</f>
        <v>0</v>
      </c>
      <c r="G107">
        <f>MonthlyData!BP107</f>
        <v>1</v>
      </c>
      <c r="H107">
        <f>MonthlyData!BU107</f>
        <v>0.25</v>
      </c>
      <c r="I107">
        <f>MonthlyData!BA107</f>
        <v>4.7449321283632502</v>
      </c>
      <c r="K107" s="4">
        <f t="shared" si="23"/>
        <v>4628412.7605719203</v>
      </c>
      <c r="L107" s="4">
        <f t="shared" si="24"/>
        <v>178472.73295205412</v>
      </c>
      <c r="M107" s="4">
        <f t="shared" si="25"/>
        <v>0</v>
      </c>
      <c r="N107" s="4">
        <f t="shared" si="26"/>
        <v>-269170.44459088001</v>
      </c>
      <c r="O107" s="4">
        <f t="shared" si="27"/>
        <v>4537715.0489330944</v>
      </c>
      <c r="P107" s="4">
        <f t="shared" si="28"/>
        <v>164980.0602961136</v>
      </c>
      <c r="Q107" s="182">
        <f t="shared" si="29"/>
        <v>3.7729261143159123E-2</v>
      </c>
    </row>
    <row r="108" spans="1:17" x14ac:dyDescent="0.35">
      <c r="A108" s="1">
        <f>MonthlyData!A108</f>
        <v>44866</v>
      </c>
      <c r="B108" s="13">
        <f t="shared" si="21"/>
        <v>2022</v>
      </c>
      <c r="C108" s="13">
        <f t="shared" si="22"/>
        <v>11</v>
      </c>
      <c r="D108" s="4">
        <f>MonthlyData!L108</f>
        <v>4649123.1824785406</v>
      </c>
      <c r="E108" s="4">
        <f>MonthlyData!AF108</f>
        <v>355.58750000000009</v>
      </c>
      <c r="F108">
        <f>MonthlyData!BO108</f>
        <v>0</v>
      </c>
      <c r="G108">
        <f>MonthlyData!BP108</f>
        <v>1</v>
      </c>
      <c r="H108">
        <f>MonthlyData!BU108</f>
        <v>0.25</v>
      </c>
      <c r="I108">
        <f>MonthlyData!BA108</f>
        <v>4.7535901911063645</v>
      </c>
      <c r="K108" s="4">
        <f t="shared" si="23"/>
        <v>4628412.7605719203</v>
      </c>
      <c r="L108" s="4">
        <f t="shared" si="24"/>
        <v>475880.8193107933</v>
      </c>
      <c r="M108" s="4">
        <f t="shared" si="25"/>
        <v>0</v>
      </c>
      <c r="N108" s="4">
        <f t="shared" si="26"/>
        <v>-269170.44459088001</v>
      </c>
      <c r="O108" s="4">
        <f t="shared" si="27"/>
        <v>4835123.1352918344</v>
      </c>
      <c r="P108" s="4">
        <f t="shared" si="28"/>
        <v>185999.95281329378</v>
      </c>
      <c r="Q108" s="182">
        <f t="shared" si="29"/>
        <v>4.0007533789228077E-2</v>
      </c>
    </row>
    <row r="109" spans="1:17" x14ac:dyDescent="0.35">
      <c r="A109" s="1">
        <f>MonthlyData!A109</f>
        <v>44896</v>
      </c>
      <c r="B109" s="13">
        <f t="shared" si="21"/>
        <v>2022</v>
      </c>
      <c r="C109" s="13">
        <f t="shared" si="22"/>
        <v>12</v>
      </c>
      <c r="D109" s="4">
        <f>MonthlyData!L109</f>
        <v>4821079.3921188647</v>
      </c>
      <c r="E109" s="4">
        <f>MonthlyData!AF109</f>
        <v>628.47916666666674</v>
      </c>
      <c r="F109">
        <f>MonthlyData!BO109</f>
        <v>0</v>
      </c>
      <c r="G109">
        <f>MonthlyData!BP109</f>
        <v>0</v>
      </c>
      <c r="H109">
        <f>MonthlyData!BU109</f>
        <v>0.25</v>
      </c>
      <c r="I109">
        <f>MonthlyData!BA109</f>
        <v>4.7621739347977563</v>
      </c>
      <c r="K109" s="4">
        <f t="shared" si="23"/>
        <v>4628412.7605719203</v>
      </c>
      <c r="L109" s="4">
        <f t="shared" si="24"/>
        <v>841090.25416556513</v>
      </c>
      <c r="M109" s="4">
        <f t="shared" si="25"/>
        <v>0</v>
      </c>
      <c r="N109" s="4">
        <f t="shared" si="26"/>
        <v>0</v>
      </c>
      <c r="O109" s="4">
        <f t="shared" si="27"/>
        <v>5469503.014737485</v>
      </c>
      <c r="P109" s="4">
        <f t="shared" si="28"/>
        <v>648423.62261862028</v>
      </c>
      <c r="Q109" s="182">
        <f t="shared" si="29"/>
        <v>0.13449760310494246</v>
      </c>
    </row>
    <row r="110" spans="1:17" x14ac:dyDescent="0.35">
      <c r="A110" s="1">
        <f>MonthlyData!A110</f>
        <v>44927</v>
      </c>
      <c r="B110" s="13">
        <f t="shared" si="21"/>
        <v>2023</v>
      </c>
      <c r="C110" s="13">
        <f t="shared" si="22"/>
        <v>1</v>
      </c>
      <c r="D110" s="4">
        <f>MonthlyData!L110</f>
        <v>5083404.0129136732</v>
      </c>
      <c r="E110" s="4">
        <f>MonthlyData!AF110</f>
        <v>694.54583333333335</v>
      </c>
      <c r="F110">
        <f>MonthlyData!BO110</f>
        <v>0</v>
      </c>
      <c r="G110">
        <f>MonthlyData!BP110</f>
        <v>0</v>
      </c>
      <c r="H110">
        <f>MonthlyData!BU110</f>
        <v>0</v>
      </c>
      <c r="I110">
        <f>MonthlyData!BA110</f>
        <v>4.7706846244656651</v>
      </c>
      <c r="K110" s="4">
        <f t="shared" si="23"/>
        <v>4628412.7605719203</v>
      </c>
      <c r="L110" s="4">
        <f t="shared" si="24"/>
        <v>929506.91521936026</v>
      </c>
      <c r="M110" s="4">
        <f t="shared" si="25"/>
        <v>0</v>
      </c>
      <c r="N110" s="4">
        <f t="shared" si="26"/>
        <v>0</v>
      </c>
      <c r="O110" s="4">
        <f t="shared" si="27"/>
        <v>5557919.6757912803</v>
      </c>
      <c r="P110" s="4">
        <f t="shared" si="28"/>
        <v>474515.66287760716</v>
      </c>
      <c r="Q110" s="182">
        <f t="shared" si="29"/>
        <v>9.3346045616710144E-2</v>
      </c>
    </row>
    <row r="111" spans="1:17" x14ac:dyDescent="0.35">
      <c r="A111" s="1">
        <f>MonthlyData!A111</f>
        <v>44958</v>
      </c>
      <c r="B111" s="13">
        <f t="shared" si="21"/>
        <v>2023</v>
      </c>
      <c r="C111" s="13">
        <f t="shared" si="22"/>
        <v>2</v>
      </c>
      <c r="D111" s="4">
        <f>MonthlyData!L111</f>
        <v>5802911.0811732169</v>
      </c>
      <c r="E111" s="4">
        <f>MonthlyData!AF111</f>
        <v>671.62500000000023</v>
      </c>
      <c r="F111">
        <f>MonthlyData!BO111</f>
        <v>0</v>
      </c>
      <c r="G111">
        <f>MonthlyData!BP111</f>
        <v>0</v>
      </c>
      <c r="H111">
        <f>MonthlyData!BU111</f>
        <v>0</v>
      </c>
      <c r="I111">
        <f>MonthlyData!BA111</f>
        <v>4.7791234931115296</v>
      </c>
      <c r="K111" s="4">
        <f t="shared" si="23"/>
        <v>4628412.7605719203</v>
      </c>
      <c r="L111" s="4">
        <f t="shared" si="24"/>
        <v>898832.08850033127</v>
      </c>
      <c r="M111" s="4">
        <f t="shared" si="25"/>
        <v>0</v>
      </c>
      <c r="N111" s="4">
        <f t="shared" si="26"/>
        <v>0</v>
      </c>
      <c r="O111" s="4">
        <f t="shared" si="27"/>
        <v>5527244.8490722515</v>
      </c>
      <c r="P111" s="4">
        <f t="shared" si="28"/>
        <v>-275666.23210096546</v>
      </c>
      <c r="Q111" s="182">
        <f t="shared" si="29"/>
        <v>4.7504817538102276E-2</v>
      </c>
    </row>
    <row r="112" spans="1:17" x14ac:dyDescent="0.35">
      <c r="A112" s="1">
        <f>MonthlyData!A112</f>
        <v>44986</v>
      </c>
      <c r="B112" s="13">
        <f t="shared" si="21"/>
        <v>2023</v>
      </c>
      <c r="C112" s="13">
        <f t="shared" si="22"/>
        <v>3</v>
      </c>
      <c r="D112" s="4">
        <f>MonthlyData!L112</f>
        <v>5162215.5231142556</v>
      </c>
      <c r="E112" s="4">
        <f>MonthlyData!AF112</f>
        <v>598.18749999999989</v>
      </c>
      <c r="F112">
        <f>MonthlyData!BO112</f>
        <v>1</v>
      </c>
      <c r="G112">
        <f>MonthlyData!BP112</f>
        <v>0</v>
      </c>
      <c r="H112">
        <f>MonthlyData!BU112</f>
        <v>0</v>
      </c>
      <c r="I112">
        <f>MonthlyData!BA112</f>
        <v>4.7874917427820458</v>
      </c>
      <c r="K112" s="4">
        <f t="shared" si="23"/>
        <v>4628412.7605719203</v>
      </c>
      <c r="L112" s="4">
        <f t="shared" si="24"/>
        <v>800551.08124294307</v>
      </c>
      <c r="M112" s="4">
        <f t="shared" si="25"/>
        <v>168249.31587912</v>
      </c>
      <c r="N112" s="4">
        <f t="shared" si="26"/>
        <v>0</v>
      </c>
      <c r="O112" s="4">
        <f t="shared" si="27"/>
        <v>5597213.1576939831</v>
      </c>
      <c r="P112" s="4">
        <f t="shared" si="28"/>
        <v>434997.63457972743</v>
      </c>
      <c r="Q112" s="182">
        <f t="shared" si="29"/>
        <v>8.4265686434824114E-2</v>
      </c>
    </row>
    <row r="113" spans="1:17" x14ac:dyDescent="0.35">
      <c r="A113" s="1">
        <f>MonthlyData!A113</f>
        <v>45017</v>
      </c>
      <c r="B113" s="13">
        <f t="shared" si="21"/>
        <v>2023</v>
      </c>
      <c r="C113" s="13">
        <f t="shared" si="22"/>
        <v>4</v>
      </c>
      <c r="D113" s="4">
        <f>MonthlyData!L113</f>
        <v>5591662.3006220125</v>
      </c>
      <c r="E113" s="4">
        <f>MonthlyData!AF113</f>
        <v>288.91250000000008</v>
      </c>
      <c r="F113">
        <f>MonthlyData!BO113</f>
        <v>1</v>
      </c>
      <c r="G113">
        <f>MonthlyData!BP113</f>
        <v>0</v>
      </c>
      <c r="H113">
        <f>MonthlyData!BU113</f>
        <v>0</v>
      </c>
      <c r="I113">
        <f>MonthlyData!BA113</f>
        <v>4.7957905455967413</v>
      </c>
      <c r="K113" s="4">
        <f t="shared" si="23"/>
        <v>4628412.7605719203</v>
      </c>
      <c r="L113" s="4">
        <f t="shared" si="24"/>
        <v>386650.02906212833</v>
      </c>
      <c r="M113" s="4">
        <f t="shared" si="25"/>
        <v>168249.31587912</v>
      </c>
      <c r="N113" s="4">
        <f t="shared" si="26"/>
        <v>0</v>
      </c>
      <c r="O113" s="4">
        <f t="shared" si="27"/>
        <v>5183312.1055131685</v>
      </c>
      <c r="P113" s="4">
        <f t="shared" si="28"/>
        <v>-408350.19510884397</v>
      </c>
      <c r="Q113" s="182">
        <f t="shared" si="29"/>
        <v>7.3028407860649847E-2</v>
      </c>
    </row>
    <row r="114" spans="1:17" x14ac:dyDescent="0.35">
      <c r="A114" s="1">
        <f>MonthlyData!A114</f>
        <v>45047</v>
      </c>
      <c r="B114" s="13">
        <f t="shared" si="21"/>
        <v>2023</v>
      </c>
      <c r="C114" s="13">
        <f t="shared" si="22"/>
        <v>5</v>
      </c>
      <c r="D114" s="4">
        <f>MonthlyData!L114</f>
        <v>4784228.5932504898</v>
      </c>
      <c r="E114" s="4">
        <f>MonthlyData!AF114</f>
        <v>53.558333333333323</v>
      </c>
      <c r="F114">
        <f>MonthlyData!BO114</f>
        <v>1</v>
      </c>
      <c r="G114">
        <f>MonthlyData!BP114</f>
        <v>0</v>
      </c>
      <c r="H114">
        <f>MonthlyData!BU114</f>
        <v>0</v>
      </c>
      <c r="I114">
        <f>MonthlyData!BA114</f>
        <v>4.8040210447332568</v>
      </c>
      <c r="K114" s="4">
        <f t="shared" si="23"/>
        <v>4628412.7605719203</v>
      </c>
      <c r="L114" s="4">
        <f t="shared" si="24"/>
        <v>71676.826512707077</v>
      </c>
      <c r="M114" s="4">
        <f t="shared" si="25"/>
        <v>168249.31587912</v>
      </c>
      <c r="N114" s="4">
        <f t="shared" si="26"/>
        <v>0</v>
      </c>
      <c r="O114" s="4">
        <f t="shared" si="27"/>
        <v>4868338.9029637473</v>
      </c>
      <c r="P114" s="4">
        <f t="shared" si="28"/>
        <v>84110.309713257477</v>
      </c>
      <c r="Q114" s="182">
        <f t="shared" si="29"/>
        <v>1.7580746420001524E-2</v>
      </c>
    </row>
    <row r="115" spans="1:17" x14ac:dyDescent="0.35">
      <c r="A115" s="1">
        <f>MonthlyData!A115</f>
        <v>45078</v>
      </c>
      <c r="B115" s="13">
        <f t="shared" si="21"/>
        <v>2023</v>
      </c>
      <c r="C115" s="13">
        <f t="shared" si="22"/>
        <v>6</v>
      </c>
      <c r="D115" s="4">
        <f>MonthlyData!L115</f>
        <v>4836719.6993777948</v>
      </c>
      <c r="E115" s="4">
        <f>MonthlyData!AF115</f>
        <v>1.0041666666666664</v>
      </c>
      <c r="F115">
        <f>MonthlyData!BO115</f>
        <v>0</v>
      </c>
      <c r="G115">
        <f>MonthlyData!BP115</f>
        <v>0</v>
      </c>
      <c r="H115">
        <f>MonthlyData!BU115</f>
        <v>0</v>
      </c>
      <c r="I115">
        <f>MonthlyData!BA115</f>
        <v>4.8121843553724171</v>
      </c>
      <c r="K115" s="4">
        <f t="shared" si="23"/>
        <v>4628412.7605719203</v>
      </c>
      <c r="L115" s="4">
        <f t="shared" si="24"/>
        <v>1343.870794271231</v>
      </c>
      <c r="M115" s="4">
        <f t="shared" si="25"/>
        <v>0</v>
      </c>
      <c r="N115" s="4">
        <f t="shared" si="26"/>
        <v>0</v>
      </c>
      <c r="O115" s="4">
        <f t="shared" si="27"/>
        <v>4629756.6313661914</v>
      </c>
      <c r="P115" s="4">
        <f t="shared" si="28"/>
        <v>-206963.06801160332</v>
      </c>
      <c r="Q115" s="182">
        <f t="shared" si="29"/>
        <v>4.2789965281268515E-2</v>
      </c>
    </row>
    <row r="116" spans="1:17" x14ac:dyDescent="0.35">
      <c r="A116" s="1">
        <f>MonthlyData!A116</f>
        <v>45108</v>
      </c>
      <c r="B116" s="13">
        <f t="shared" si="21"/>
        <v>2023</v>
      </c>
      <c r="C116" s="13">
        <f t="shared" si="22"/>
        <v>7</v>
      </c>
      <c r="D116" s="4">
        <f>MonthlyData!L116</f>
        <v>4482605.3983117854</v>
      </c>
      <c r="E116" s="4">
        <f>MonthlyData!AF116</f>
        <v>0</v>
      </c>
      <c r="F116">
        <f>MonthlyData!BO116</f>
        <v>0</v>
      </c>
      <c r="G116">
        <f>MonthlyData!BP116</f>
        <v>0</v>
      </c>
      <c r="H116">
        <f>MonthlyData!BU116</f>
        <v>0</v>
      </c>
      <c r="I116">
        <f>MonthlyData!BA116</f>
        <v>4.8202815656050371</v>
      </c>
      <c r="K116" s="4">
        <f t="shared" si="23"/>
        <v>4628412.7605719203</v>
      </c>
      <c r="L116" s="4">
        <f t="shared" si="24"/>
        <v>0</v>
      </c>
      <c r="M116" s="4">
        <f t="shared" si="25"/>
        <v>0</v>
      </c>
      <c r="N116" s="4">
        <f t="shared" si="26"/>
        <v>0</v>
      </c>
      <c r="O116" s="4">
        <f t="shared" si="27"/>
        <v>4628412.7605719203</v>
      </c>
      <c r="P116" s="4">
        <f t="shared" si="28"/>
        <v>145807.36226013489</v>
      </c>
      <c r="Q116" s="182">
        <f t="shared" si="29"/>
        <v>3.252736953269366E-2</v>
      </c>
    </row>
    <row r="117" spans="1:17" x14ac:dyDescent="0.35">
      <c r="A117" s="1">
        <f>MonthlyData!A117</f>
        <v>45139</v>
      </c>
      <c r="B117" s="13">
        <f t="shared" si="21"/>
        <v>2023</v>
      </c>
      <c r="C117" s="13">
        <f t="shared" si="22"/>
        <v>8</v>
      </c>
      <c r="D117" s="4">
        <f>MonthlyData!L117</f>
        <v>4212166.9383942354</v>
      </c>
      <c r="E117" s="4">
        <f>MonthlyData!AF117</f>
        <v>2.44166666666667</v>
      </c>
      <c r="F117">
        <f>MonthlyData!BO117</f>
        <v>0</v>
      </c>
      <c r="G117">
        <f>MonthlyData!BP117</f>
        <v>0</v>
      </c>
      <c r="H117">
        <f>MonthlyData!BU117</f>
        <v>0</v>
      </c>
      <c r="I117">
        <f>MonthlyData!BA117</f>
        <v>4.8283137373023015</v>
      </c>
      <c r="K117" s="4">
        <f t="shared" si="23"/>
        <v>4628412.7605719203</v>
      </c>
      <c r="L117" s="4">
        <f t="shared" si="24"/>
        <v>3267.6692342030815</v>
      </c>
      <c r="M117" s="4">
        <f t="shared" si="25"/>
        <v>0</v>
      </c>
      <c r="N117" s="4">
        <f t="shared" si="26"/>
        <v>0</v>
      </c>
      <c r="O117" s="4">
        <f t="shared" si="27"/>
        <v>4631680.4298061235</v>
      </c>
      <c r="P117" s="4">
        <f t="shared" si="28"/>
        <v>419513.49141188804</v>
      </c>
      <c r="Q117" s="182">
        <f t="shared" si="29"/>
        <v>9.9595646978753227E-2</v>
      </c>
    </row>
    <row r="118" spans="1:17" x14ac:dyDescent="0.35">
      <c r="A118" s="1">
        <f>MonthlyData!A118</f>
        <v>45170</v>
      </c>
      <c r="B118" s="13">
        <f t="shared" si="21"/>
        <v>2023</v>
      </c>
      <c r="C118" s="13">
        <f t="shared" si="22"/>
        <v>9</v>
      </c>
      <c r="D118" s="4">
        <f>MonthlyData!L118</f>
        <v>4586011.5348508442</v>
      </c>
      <c r="E118" s="4">
        <f>MonthlyData!AF118</f>
        <v>13.108333333333334</v>
      </c>
      <c r="F118">
        <f>MonthlyData!BO118</f>
        <v>0</v>
      </c>
      <c r="G118">
        <f>MonthlyData!BP118</f>
        <v>0</v>
      </c>
      <c r="H118">
        <f>MonthlyData!BU118</f>
        <v>0</v>
      </c>
      <c r="I118">
        <f>MonthlyData!BA118</f>
        <v>4.836281906951478</v>
      </c>
      <c r="K118" s="4">
        <f t="shared" si="23"/>
        <v>4628412.7605719203</v>
      </c>
      <c r="L118" s="4">
        <f t="shared" si="24"/>
        <v>17542.811281233586</v>
      </c>
      <c r="M118" s="4">
        <f t="shared" si="25"/>
        <v>0</v>
      </c>
      <c r="N118" s="4">
        <f t="shared" si="26"/>
        <v>0</v>
      </c>
      <c r="O118" s="4">
        <f t="shared" si="27"/>
        <v>4645955.5718531543</v>
      </c>
      <c r="P118" s="4">
        <f t="shared" si="28"/>
        <v>59944.037002310157</v>
      </c>
      <c r="Q118" s="182">
        <f t="shared" si="29"/>
        <v>1.3071061105444816E-2</v>
      </c>
    </row>
    <row r="119" spans="1:17" x14ac:dyDescent="0.35">
      <c r="A119" s="1">
        <f>MonthlyData!A119</f>
        <v>45200</v>
      </c>
      <c r="B119" s="13">
        <f t="shared" si="21"/>
        <v>2023</v>
      </c>
      <c r="C119" s="13">
        <f t="shared" si="22"/>
        <v>10</v>
      </c>
      <c r="D119" s="4">
        <f>MonthlyData!L119</f>
        <v>4443897.0188826909</v>
      </c>
      <c r="E119" s="4">
        <f>MonthlyData!AF119</f>
        <v>167.78333333333333</v>
      </c>
      <c r="F119">
        <f>MonthlyData!BO119</f>
        <v>0</v>
      </c>
      <c r="G119">
        <f>MonthlyData!BP119</f>
        <v>1</v>
      </c>
      <c r="H119">
        <f>MonthlyData!BU119</f>
        <v>0</v>
      </c>
      <c r="I119">
        <f>MonthlyData!BA119</f>
        <v>4.8441870864585912</v>
      </c>
      <c r="K119" s="4">
        <f t="shared" si="23"/>
        <v>4628412.7605719203</v>
      </c>
      <c r="L119" s="4">
        <f t="shared" si="24"/>
        <v>224543.52341790017</v>
      </c>
      <c r="M119" s="4">
        <f t="shared" si="25"/>
        <v>0</v>
      </c>
      <c r="N119" s="4">
        <f t="shared" si="26"/>
        <v>-269170.44459088001</v>
      </c>
      <c r="O119" s="4">
        <f t="shared" si="27"/>
        <v>4583785.839398941</v>
      </c>
      <c r="P119" s="4">
        <f t="shared" si="28"/>
        <v>139888.8205162501</v>
      </c>
      <c r="Q119" s="182">
        <f t="shared" si="29"/>
        <v>3.1478861891228456E-2</v>
      </c>
    </row>
    <row r="120" spans="1:17" x14ac:dyDescent="0.35">
      <c r="A120" s="1">
        <f>MonthlyData!A120</f>
        <v>45231</v>
      </c>
      <c r="B120" s="13">
        <f t="shared" si="21"/>
        <v>2023</v>
      </c>
      <c r="C120" s="13">
        <f t="shared" si="22"/>
        <v>11</v>
      </c>
      <c r="D120" s="4">
        <f>MonthlyData!L120</f>
        <v>4840223.0731529696</v>
      </c>
      <c r="E120" s="4">
        <f>MonthlyData!AF120</f>
        <v>406.07916666666671</v>
      </c>
      <c r="F120">
        <f>MonthlyData!BO120</f>
        <v>0</v>
      </c>
      <c r="G120">
        <f>MonthlyData!BP120</f>
        <v>1</v>
      </c>
      <c r="H120">
        <f>MonthlyData!BU120</f>
        <v>0</v>
      </c>
      <c r="I120">
        <f>MonthlyData!BA120</f>
        <v>4.8520302639196169</v>
      </c>
      <c r="K120" s="4">
        <f t="shared" si="23"/>
        <v>4628412.7605719203</v>
      </c>
      <c r="L120" s="4">
        <f t="shared" si="24"/>
        <v>543453.54248497903</v>
      </c>
      <c r="M120" s="4">
        <f t="shared" si="25"/>
        <v>0</v>
      </c>
      <c r="N120" s="4">
        <f t="shared" si="26"/>
        <v>-269170.44459088001</v>
      </c>
      <c r="O120" s="4">
        <f t="shared" si="27"/>
        <v>4902695.8584660199</v>
      </c>
      <c r="P120" s="4">
        <f t="shared" si="28"/>
        <v>62472.785313050263</v>
      </c>
      <c r="Q120" s="182">
        <f t="shared" si="29"/>
        <v>1.2907005393938355E-2</v>
      </c>
    </row>
    <row r="121" spans="1:17" x14ac:dyDescent="0.35">
      <c r="A121" s="1">
        <f>MonthlyData!A121</f>
        <v>45261</v>
      </c>
      <c r="B121" s="13">
        <f t="shared" si="21"/>
        <v>2023</v>
      </c>
      <c r="C121" s="13">
        <f t="shared" si="22"/>
        <v>12</v>
      </c>
      <c r="D121" s="4">
        <f>MonthlyData!L121</f>
        <v>5321691.4129834976</v>
      </c>
      <c r="E121" s="4">
        <f>MonthlyData!AF121</f>
        <v>471.83333333333337</v>
      </c>
      <c r="F121">
        <f>MonthlyData!BO121</f>
        <v>0</v>
      </c>
      <c r="G121">
        <f>MonthlyData!BP121</f>
        <v>0</v>
      </c>
      <c r="H121">
        <f>MonthlyData!BU121</f>
        <v>0</v>
      </c>
      <c r="I121">
        <f>MonthlyData!BA121</f>
        <v>4.8598124043616719</v>
      </c>
      <c r="K121" s="4">
        <f t="shared" si="23"/>
        <v>4628412.7605719203</v>
      </c>
      <c r="L121" s="4">
        <f t="shared" si="24"/>
        <v>631451.98648661515</v>
      </c>
      <c r="M121" s="4">
        <f t="shared" si="25"/>
        <v>0</v>
      </c>
      <c r="N121" s="4">
        <f t="shared" si="26"/>
        <v>0</v>
      </c>
      <c r="O121" s="4">
        <f t="shared" si="27"/>
        <v>5259864.747058535</v>
      </c>
      <c r="P121" s="4">
        <f t="shared" si="28"/>
        <v>-61826.66592496261</v>
      </c>
      <c r="Q121" s="182">
        <f t="shared" si="29"/>
        <v>1.1617860023623722E-2</v>
      </c>
    </row>
    <row r="122" spans="1:17" x14ac:dyDescent="0.35">
      <c r="A122" s="1">
        <f>MonthlyData!A122</f>
        <v>45292</v>
      </c>
      <c r="B122" s="13">
        <f t="shared" ref="B122:B131" si="30">YEAR(A122)</f>
        <v>2024</v>
      </c>
      <c r="C122" s="13">
        <f t="shared" ref="C122:C131" si="31">MONTH(A122)</f>
        <v>1</v>
      </c>
      <c r="D122" s="4">
        <f>MonthlyData!L122</f>
        <v>5191252.9068947835</v>
      </c>
      <c r="E122" s="4">
        <f>MonthlyData!AF122</f>
        <v>684.4</v>
      </c>
      <c r="F122">
        <f>MonthlyData!BO122</f>
        <v>0</v>
      </c>
      <c r="G122">
        <f>MonthlyData!BP122</f>
        <v>0</v>
      </c>
      <c r="H122">
        <f>MonthlyData!BU122</f>
        <v>0</v>
      </c>
      <c r="I122">
        <f>MonthlyData!BA122</f>
        <v>4.8675344504555822</v>
      </c>
      <c r="K122" s="4">
        <f t="shared" si="23"/>
        <v>4628412.7605719203</v>
      </c>
      <c r="L122" s="4">
        <f t="shared" ref="L122:L131" si="32">E122*$U$9</f>
        <v>915928.80159259483</v>
      </c>
      <c r="M122" s="4">
        <f t="shared" ref="M122:M131" si="33">F122*$U$10</f>
        <v>0</v>
      </c>
      <c r="N122" s="4">
        <f t="shared" ref="N122:N131" si="34">G122*$U$11</f>
        <v>0</v>
      </c>
      <c r="O122" s="4">
        <f t="shared" ref="O122:O131" si="35">SUM(K122:N122)</f>
        <v>5544341.5621645153</v>
      </c>
      <c r="P122" s="4">
        <f t="shared" ref="P122:P131" si="36">O122-D122</f>
        <v>353088.65526973177</v>
      </c>
      <c r="Q122" s="182">
        <f t="shared" ref="Q122:Q131" si="37">ABS(P122/D122)</f>
        <v>6.801607658158508E-2</v>
      </c>
    </row>
    <row r="123" spans="1:17" x14ac:dyDescent="0.35">
      <c r="A123" s="1">
        <f>MonthlyData!A123</f>
        <v>45323</v>
      </c>
      <c r="B123" s="13">
        <f t="shared" si="30"/>
        <v>2024</v>
      </c>
      <c r="C123" s="13">
        <f t="shared" si="31"/>
        <v>2</v>
      </c>
      <c r="D123" s="4">
        <f>MonthlyData!L123</f>
        <v>5721499.9924026718</v>
      </c>
      <c r="E123" s="4">
        <f>MonthlyData!AF123</f>
        <v>592.89999999999986</v>
      </c>
      <c r="F123">
        <f>MonthlyData!BO123</f>
        <v>0</v>
      </c>
      <c r="G123">
        <f>MonthlyData!BP123</f>
        <v>0</v>
      </c>
      <c r="H123">
        <f>MonthlyData!BU123</f>
        <v>0</v>
      </c>
      <c r="I123">
        <f>MonthlyData!BA123</f>
        <v>4.8751973232011512</v>
      </c>
      <c r="K123" s="4">
        <f t="shared" si="23"/>
        <v>4628412.7605719203</v>
      </c>
      <c r="L123" s="4">
        <f t="shared" si="32"/>
        <v>793474.84872041119</v>
      </c>
      <c r="M123" s="4">
        <f t="shared" si="33"/>
        <v>0</v>
      </c>
      <c r="N123" s="4">
        <f t="shared" si="34"/>
        <v>0</v>
      </c>
      <c r="O123" s="4">
        <f t="shared" si="35"/>
        <v>5421887.6092923312</v>
      </c>
      <c r="P123" s="4">
        <f t="shared" si="36"/>
        <v>-299612.38311034068</v>
      </c>
      <c r="Q123" s="182">
        <f t="shared" si="37"/>
        <v>5.2366054969532956E-2</v>
      </c>
    </row>
    <row r="124" spans="1:17" x14ac:dyDescent="0.35">
      <c r="A124" s="1">
        <f>MonthlyData!A124</f>
        <v>45352</v>
      </c>
      <c r="B124" s="13">
        <f t="shared" si="30"/>
        <v>2024</v>
      </c>
      <c r="C124" s="13">
        <f t="shared" si="31"/>
        <v>3</v>
      </c>
      <c r="D124" s="4">
        <f>MonthlyData!L124</f>
        <v>5706334.0779105602</v>
      </c>
      <c r="E124" s="4">
        <f>MonthlyData!AF124</f>
        <v>461.4</v>
      </c>
      <c r="F124">
        <f>MonthlyData!BO124</f>
        <v>1</v>
      </c>
      <c r="G124">
        <f>MonthlyData!BP124</f>
        <v>0</v>
      </c>
      <c r="H124">
        <f>MonthlyData!BU124</f>
        <v>0</v>
      </c>
      <c r="I124">
        <f>MonthlyData!BA124</f>
        <v>4.8828019225863706</v>
      </c>
      <c r="K124" s="4">
        <f t="shared" si="23"/>
        <v>4628412.7605719203</v>
      </c>
      <c r="L124" s="4">
        <f t="shared" si="32"/>
        <v>617489.11317186337</v>
      </c>
      <c r="M124" s="4">
        <f t="shared" si="33"/>
        <v>168249.31587912</v>
      </c>
      <c r="N124" s="4">
        <f t="shared" si="34"/>
        <v>0</v>
      </c>
      <c r="O124" s="4">
        <f t="shared" si="35"/>
        <v>5414151.1896229032</v>
      </c>
      <c r="P124" s="4">
        <f t="shared" si="36"/>
        <v>-292182.88828765694</v>
      </c>
      <c r="Q124" s="182">
        <f t="shared" si="37"/>
        <v>5.1203256643999905E-2</v>
      </c>
    </row>
    <row r="125" spans="1:17" x14ac:dyDescent="0.35">
      <c r="A125" s="1">
        <f>MonthlyData!A125</f>
        <v>45383</v>
      </c>
      <c r="B125" s="13">
        <f t="shared" si="30"/>
        <v>2024</v>
      </c>
      <c r="C125" s="13">
        <f t="shared" si="31"/>
        <v>4</v>
      </c>
      <c r="D125" s="4">
        <f>MonthlyData!L125</f>
        <v>5709519.1634184485</v>
      </c>
      <c r="E125" s="4">
        <f>MonthlyData!AF125</f>
        <v>221.40000000000003</v>
      </c>
      <c r="F125">
        <f>MonthlyData!BO125</f>
        <v>1</v>
      </c>
      <c r="G125">
        <f>MonthlyData!BP125</f>
        <v>0</v>
      </c>
      <c r="H125">
        <f>MonthlyData!BU125</f>
        <v>0</v>
      </c>
      <c r="I125">
        <f>MonthlyData!BA125</f>
        <v>4.8903491282217537</v>
      </c>
      <c r="K125" s="4">
        <f t="shared" si="23"/>
        <v>4628412.7605719203</v>
      </c>
      <c r="L125" s="4">
        <f t="shared" si="32"/>
        <v>296298.41711367702</v>
      </c>
      <c r="M125" s="4">
        <f t="shared" si="33"/>
        <v>168249.31587912</v>
      </c>
      <c r="N125" s="4">
        <f t="shared" si="34"/>
        <v>0</v>
      </c>
      <c r="O125" s="4">
        <f t="shared" si="35"/>
        <v>5092960.4935647165</v>
      </c>
      <c r="P125" s="4">
        <f t="shared" si="36"/>
        <v>-616558.66985373199</v>
      </c>
      <c r="Q125" s="182">
        <f t="shared" si="37"/>
        <v>0.10798784489665871</v>
      </c>
    </row>
    <row r="126" spans="1:17" x14ac:dyDescent="0.35">
      <c r="A126" s="1">
        <f>MonthlyData!A126</f>
        <v>45413</v>
      </c>
      <c r="B126" s="13">
        <f t="shared" si="30"/>
        <v>2024</v>
      </c>
      <c r="C126" s="13">
        <f t="shared" si="31"/>
        <v>5</v>
      </c>
      <c r="D126" s="4">
        <f>MonthlyData!L126</f>
        <v>5430698.2489263369</v>
      </c>
      <c r="E126" s="4">
        <f>MonthlyData!AF126</f>
        <v>36.300000000000004</v>
      </c>
      <c r="F126">
        <f>MonthlyData!BO126</f>
        <v>1</v>
      </c>
      <c r="G126">
        <f>MonthlyData!BP126</f>
        <v>0</v>
      </c>
      <c r="H126">
        <f>MonthlyData!BU126</f>
        <v>0</v>
      </c>
      <c r="I126">
        <f>MonthlyData!BA126</f>
        <v>4.8978397999509111</v>
      </c>
      <c r="K126" s="4">
        <f t="shared" si="23"/>
        <v>4628412.7605719203</v>
      </c>
      <c r="L126" s="4">
        <f t="shared" si="32"/>
        <v>48580.092778800703</v>
      </c>
      <c r="M126" s="4">
        <f t="shared" si="33"/>
        <v>168249.31587912</v>
      </c>
      <c r="N126" s="4">
        <f t="shared" si="34"/>
        <v>0</v>
      </c>
      <c r="O126" s="4">
        <f t="shared" si="35"/>
        <v>4845242.1692298409</v>
      </c>
      <c r="P126" s="4">
        <f t="shared" si="36"/>
        <v>-585456.07969649602</v>
      </c>
      <c r="Q126" s="182">
        <f t="shared" si="37"/>
        <v>0.10780493646691605</v>
      </c>
    </row>
    <row r="127" spans="1:17" x14ac:dyDescent="0.35">
      <c r="A127" s="1">
        <f>MonthlyData!A127</f>
        <v>45444</v>
      </c>
      <c r="B127" s="13">
        <f t="shared" si="30"/>
        <v>2024</v>
      </c>
      <c r="C127" s="13">
        <f t="shared" si="31"/>
        <v>6</v>
      </c>
      <c r="D127" s="4">
        <f>MonthlyData!L127</f>
        <v>5108824.3344342252</v>
      </c>
      <c r="E127" s="4">
        <f>MonthlyData!AF127</f>
        <v>4</v>
      </c>
      <c r="F127">
        <f>MonthlyData!BO127</f>
        <v>0</v>
      </c>
      <c r="G127">
        <f>MonthlyData!BP127</f>
        <v>0</v>
      </c>
      <c r="H127">
        <f>MonthlyData!BU127</f>
        <v>0</v>
      </c>
      <c r="I127">
        <f>MonthlyData!BA127</f>
        <v>4.9052747784384296</v>
      </c>
      <c r="K127" s="4">
        <f t="shared" si="23"/>
        <v>4628412.7605719203</v>
      </c>
      <c r="L127" s="4">
        <f t="shared" si="32"/>
        <v>5353.1782676364401</v>
      </c>
      <c r="M127" s="4">
        <f t="shared" si="33"/>
        <v>0</v>
      </c>
      <c r="N127" s="4">
        <f t="shared" si="34"/>
        <v>0</v>
      </c>
      <c r="O127" s="4">
        <f t="shared" si="35"/>
        <v>4633765.9388395566</v>
      </c>
      <c r="P127" s="4">
        <f t="shared" si="36"/>
        <v>-475058.39559466857</v>
      </c>
      <c r="Q127" s="182">
        <f t="shared" si="37"/>
        <v>9.2987811773582688E-2</v>
      </c>
    </row>
    <row r="128" spans="1:17" x14ac:dyDescent="0.35">
      <c r="A128" s="1">
        <f>MonthlyData!A128</f>
        <v>45474</v>
      </c>
      <c r="B128" s="13">
        <f t="shared" si="30"/>
        <v>2024</v>
      </c>
      <c r="C128" s="13">
        <f t="shared" si="31"/>
        <v>7</v>
      </c>
      <c r="D128" s="4">
        <f>MonthlyData!L128</f>
        <v>4751604.4199421136</v>
      </c>
      <c r="E128" s="4">
        <f>MonthlyData!AF128</f>
        <v>0</v>
      </c>
      <c r="F128">
        <f>MonthlyData!BO128</f>
        <v>0</v>
      </c>
      <c r="G128">
        <f>MonthlyData!BP128</f>
        <v>0</v>
      </c>
      <c r="H128">
        <f>MonthlyData!BU128</f>
        <v>0</v>
      </c>
      <c r="I128">
        <f>MonthlyData!BA128</f>
        <v>4.9126548857360524</v>
      </c>
      <c r="K128" s="4">
        <f t="shared" si="23"/>
        <v>4628412.7605719203</v>
      </c>
      <c r="L128" s="4">
        <f t="shared" si="32"/>
        <v>0</v>
      </c>
      <c r="M128" s="4">
        <f t="shared" si="33"/>
        <v>0</v>
      </c>
      <c r="N128" s="4">
        <f t="shared" si="34"/>
        <v>0</v>
      </c>
      <c r="O128" s="4">
        <f t="shared" si="35"/>
        <v>4628412.7605719203</v>
      </c>
      <c r="P128" s="4">
        <f t="shared" si="36"/>
        <v>-123191.65937019326</v>
      </c>
      <c r="Q128" s="182">
        <f t="shared" si="37"/>
        <v>2.5926328979148067E-2</v>
      </c>
    </row>
    <row r="129" spans="1:24" x14ac:dyDescent="0.35">
      <c r="A129" s="1">
        <f>MonthlyData!A129</f>
        <v>45505</v>
      </c>
      <c r="B129" s="13">
        <f t="shared" si="30"/>
        <v>2024</v>
      </c>
      <c r="C129" s="13">
        <f t="shared" si="31"/>
        <v>8</v>
      </c>
      <c r="D129" s="4">
        <f>MonthlyData!L129</f>
        <v>4863179.505450001</v>
      </c>
      <c r="E129" s="4">
        <f>MonthlyData!AF129</f>
        <v>0</v>
      </c>
      <c r="F129">
        <f>MonthlyData!BO129</f>
        <v>0</v>
      </c>
      <c r="G129">
        <f>MonthlyData!BP129</f>
        <v>0</v>
      </c>
      <c r="H129">
        <f>MonthlyData!BU129</f>
        <v>0</v>
      </c>
      <c r="I129">
        <f>MonthlyData!BA129</f>
        <v>4.9199809258281251</v>
      </c>
      <c r="K129" s="4">
        <f t="shared" si="23"/>
        <v>4628412.7605719203</v>
      </c>
      <c r="L129" s="4">
        <f t="shared" si="32"/>
        <v>0</v>
      </c>
      <c r="M129" s="4">
        <f t="shared" si="33"/>
        <v>0</v>
      </c>
      <c r="N129" s="4">
        <f t="shared" si="34"/>
        <v>0</v>
      </c>
      <c r="O129" s="4">
        <f t="shared" si="35"/>
        <v>4628412.7605719203</v>
      </c>
      <c r="P129" s="4">
        <f t="shared" si="36"/>
        <v>-234766.74487808067</v>
      </c>
      <c r="Q129" s="182">
        <f t="shared" si="37"/>
        <v>4.8274332587350623E-2</v>
      </c>
    </row>
    <row r="130" spans="1:24" x14ac:dyDescent="0.35">
      <c r="A130" s="1">
        <f>MonthlyData!A130</f>
        <v>45536</v>
      </c>
      <c r="B130" s="13">
        <f t="shared" si="30"/>
        <v>2024</v>
      </c>
      <c r="C130" s="13">
        <f t="shared" si="31"/>
        <v>9</v>
      </c>
      <c r="D130" s="4">
        <f>MonthlyData!L130</f>
        <v>4225940.5909578893</v>
      </c>
      <c r="E130" s="4">
        <f>MonthlyData!AF130</f>
        <v>9.8999999999999986</v>
      </c>
      <c r="F130">
        <f>MonthlyData!BO130</f>
        <v>0</v>
      </c>
      <c r="G130">
        <f>MonthlyData!BP130</f>
        <v>0</v>
      </c>
      <c r="H130">
        <f>MonthlyData!BU130</f>
        <v>0</v>
      </c>
      <c r="I130">
        <f>MonthlyData!BA130</f>
        <v>4.9272536851572051</v>
      </c>
      <c r="K130" s="4">
        <f t="shared" si="23"/>
        <v>4628412.7605719203</v>
      </c>
      <c r="L130" s="4">
        <f t="shared" si="32"/>
        <v>13249.116212400188</v>
      </c>
      <c r="M130" s="4">
        <f t="shared" si="33"/>
        <v>0</v>
      </c>
      <c r="N130" s="4">
        <f t="shared" si="34"/>
        <v>0</v>
      </c>
      <c r="O130" s="4">
        <f t="shared" si="35"/>
        <v>4641661.8767843209</v>
      </c>
      <c r="P130" s="4">
        <f t="shared" si="36"/>
        <v>415721.28582643159</v>
      </c>
      <c r="Q130" s="182">
        <f t="shared" si="37"/>
        <v>9.8373670163735188E-2</v>
      </c>
    </row>
    <row r="131" spans="1:24" x14ac:dyDescent="0.35">
      <c r="A131" s="1">
        <f>MonthlyData!A131</f>
        <v>45566</v>
      </c>
      <c r="B131" s="13">
        <f t="shared" si="30"/>
        <v>2024</v>
      </c>
      <c r="C131" s="13">
        <f t="shared" si="31"/>
        <v>10</v>
      </c>
      <c r="D131" s="4">
        <f>MonthlyData!L131</f>
        <v>4360697.6764657777</v>
      </c>
      <c r="E131" s="4">
        <f>MonthlyData!AF131</f>
        <v>132.70000000000005</v>
      </c>
      <c r="F131">
        <f>MonthlyData!BO131</f>
        <v>0</v>
      </c>
      <c r="G131">
        <f>MonthlyData!BP131</f>
        <v>1</v>
      </c>
      <c r="H131">
        <f>MonthlyData!BU131</f>
        <v>0</v>
      </c>
      <c r="I131">
        <f>MonthlyData!BA131</f>
        <v>4.9344739331306915</v>
      </c>
      <c r="K131" s="4">
        <f t="shared" ref="K131" si="38">$U$8</f>
        <v>4628412.7605719203</v>
      </c>
      <c r="L131" s="4">
        <f t="shared" si="32"/>
        <v>177591.68902883897</v>
      </c>
      <c r="M131" s="4">
        <f t="shared" si="33"/>
        <v>0</v>
      </c>
      <c r="N131" s="4">
        <f t="shared" si="34"/>
        <v>-269170.44459088001</v>
      </c>
      <c r="O131" s="4">
        <f t="shared" si="35"/>
        <v>4536834.0050098794</v>
      </c>
      <c r="P131" s="4">
        <f t="shared" si="36"/>
        <v>176136.32854410168</v>
      </c>
      <c r="Q131" s="182">
        <f t="shared" si="37"/>
        <v>4.0391777099038705E-2</v>
      </c>
    </row>
    <row r="132" spans="1:24" x14ac:dyDescent="0.35">
      <c r="A132" s="1"/>
      <c r="B132" s="13"/>
      <c r="C132" s="13"/>
      <c r="D132" s="4"/>
      <c r="E132" s="13"/>
      <c r="Q132" s="182">
        <f>AVERAGE(Q2:Q131)</f>
        <v>5.2531172460219079E-2</v>
      </c>
    </row>
    <row r="133" spans="1:24" x14ac:dyDescent="0.35">
      <c r="A133" s="1"/>
      <c r="B133" s="13"/>
      <c r="C133" s="13"/>
      <c r="D133" s="4"/>
      <c r="E133" s="13"/>
    </row>
    <row r="134" spans="1:24" x14ac:dyDescent="0.35">
      <c r="A134" s="1"/>
      <c r="B134" s="13"/>
      <c r="C134" s="13"/>
      <c r="D134" s="4"/>
      <c r="E134" s="13"/>
      <c r="U134" s="4"/>
      <c r="V134" s="4"/>
      <c r="W134" s="2"/>
      <c r="X134" s="182"/>
    </row>
    <row r="135" spans="1:24" x14ac:dyDescent="0.35">
      <c r="A135" s="1"/>
      <c r="B135" s="13"/>
      <c r="C135" s="13"/>
      <c r="D135" s="4"/>
      <c r="E135" s="13"/>
      <c r="U135" s="4"/>
      <c r="V135" s="4"/>
      <c r="W135" s="2"/>
      <c r="X135" s="182"/>
    </row>
    <row r="136" spans="1:24" x14ac:dyDescent="0.35">
      <c r="A136" s="1"/>
      <c r="B136" s="13"/>
      <c r="C136" s="13"/>
      <c r="D136" s="4"/>
      <c r="E136" s="13"/>
      <c r="U136" s="4"/>
      <c r="V136" s="4"/>
      <c r="W136" s="2"/>
      <c r="X136" s="182"/>
    </row>
    <row r="137" spans="1:24" x14ac:dyDescent="0.35">
      <c r="A137" s="1"/>
      <c r="B137" s="13"/>
      <c r="C137" s="13"/>
      <c r="D137" s="4"/>
      <c r="E137" s="13"/>
      <c r="U137" s="4"/>
      <c r="V137" s="4"/>
      <c r="W137" s="2"/>
      <c r="X137" s="182"/>
    </row>
    <row r="138" spans="1:24" x14ac:dyDescent="0.35">
      <c r="A138" s="1"/>
      <c r="B138" s="13"/>
      <c r="C138" s="13"/>
      <c r="D138" s="4"/>
      <c r="E138" s="13"/>
      <c r="U138" s="4"/>
      <c r="V138" s="4"/>
      <c r="W138" s="2"/>
      <c r="X138" s="182"/>
    </row>
    <row r="139" spans="1:24" x14ac:dyDescent="0.35">
      <c r="A139" s="1"/>
      <c r="B139" s="13"/>
      <c r="C139" s="13"/>
      <c r="D139" s="4"/>
      <c r="E139" s="13"/>
      <c r="U139" s="4"/>
      <c r="V139" s="4"/>
      <c r="W139" s="2"/>
      <c r="X139" s="182"/>
    </row>
    <row r="140" spans="1:24" x14ac:dyDescent="0.35">
      <c r="A140" s="1"/>
      <c r="B140" s="13"/>
      <c r="C140" s="13"/>
      <c r="D140" s="4"/>
      <c r="E140" s="13"/>
      <c r="U140" s="4"/>
      <c r="V140" s="4"/>
      <c r="W140" s="2"/>
      <c r="X140" s="182"/>
    </row>
    <row r="141" spans="1:24" x14ac:dyDescent="0.35">
      <c r="A141" s="1"/>
      <c r="B141" s="13"/>
      <c r="C141" s="13"/>
      <c r="D141" s="4"/>
      <c r="E141" s="13"/>
      <c r="U141" s="4"/>
      <c r="V141" s="4"/>
      <c r="W141" s="2"/>
      <c r="X141" s="182"/>
    </row>
    <row r="142" spans="1:24" x14ac:dyDescent="0.35">
      <c r="A142" s="1"/>
      <c r="B142" s="13"/>
      <c r="C142" s="13"/>
      <c r="D142" s="4"/>
      <c r="E142" s="13"/>
      <c r="U142" s="4"/>
      <c r="V142" s="4"/>
      <c r="W142" s="2"/>
      <c r="X142" s="182"/>
    </row>
    <row r="143" spans="1:24" x14ac:dyDescent="0.35">
      <c r="A143" s="1"/>
      <c r="B143" s="13"/>
      <c r="C143" s="13"/>
      <c r="D143" s="4"/>
      <c r="E143" s="13"/>
      <c r="U143" s="4"/>
      <c r="V143" s="4"/>
      <c r="W143" s="2"/>
      <c r="X143" s="182"/>
    </row>
    <row r="144" spans="1:24" x14ac:dyDescent="0.35">
      <c r="A144" s="1"/>
      <c r="B144" s="13"/>
      <c r="C144" s="13"/>
      <c r="D144" s="4"/>
      <c r="U144" s="4"/>
      <c r="V144" s="4"/>
      <c r="W144" s="2"/>
      <c r="X144" s="182"/>
    </row>
    <row r="145" spans="1:24" x14ac:dyDescent="0.35">
      <c r="A145" s="1"/>
      <c r="B145" s="13"/>
      <c r="C145" s="13"/>
      <c r="D145" s="4"/>
      <c r="U145" s="4"/>
      <c r="V145" s="4"/>
      <c r="W145" s="2"/>
      <c r="X145" s="182"/>
    </row>
    <row r="146" spans="1:24" x14ac:dyDescent="0.35">
      <c r="A146" s="1"/>
      <c r="B146" s="13"/>
      <c r="C146" s="13"/>
      <c r="D146" s="4"/>
    </row>
    <row r="147" spans="1:24" x14ac:dyDescent="0.35">
      <c r="A147" s="1"/>
      <c r="B147" s="13"/>
      <c r="C147" s="13"/>
      <c r="D147" s="4"/>
      <c r="U147" s="4"/>
      <c r="V147" s="4"/>
      <c r="W147" s="2"/>
      <c r="X147" s="182"/>
    </row>
    <row r="148" spans="1:24" x14ac:dyDescent="0.35">
      <c r="A148" s="1"/>
      <c r="B148" s="13"/>
      <c r="C148" s="13"/>
      <c r="D148" s="4"/>
      <c r="U148" s="4"/>
      <c r="V148" s="4"/>
      <c r="W148" s="2"/>
      <c r="X148" s="182"/>
    </row>
    <row r="149" spans="1:24" x14ac:dyDescent="0.35">
      <c r="A149" s="1"/>
      <c r="B149" s="13"/>
      <c r="C149" s="13"/>
      <c r="D149" s="4"/>
      <c r="U149" s="4"/>
      <c r="V149" s="4"/>
      <c r="W149" s="2"/>
      <c r="X149" s="182"/>
    </row>
    <row r="150" spans="1:24" x14ac:dyDescent="0.35">
      <c r="A150" s="1"/>
      <c r="B150" s="13"/>
      <c r="C150" s="13"/>
      <c r="D150" s="4"/>
      <c r="U150" s="4"/>
      <c r="V150" s="4"/>
      <c r="W150" s="2"/>
      <c r="X150" s="182"/>
    </row>
    <row r="151" spans="1:24" x14ac:dyDescent="0.35">
      <c r="A151" s="1"/>
      <c r="B151" s="13"/>
      <c r="C151" s="13"/>
      <c r="D151" s="4"/>
      <c r="U151" s="4"/>
      <c r="V151" s="4"/>
      <c r="W151" s="2"/>
      <c r="X151" s="182"/>
    </row>
    <row r="152" spans="1:24" x14ac:dyDescent="0.35">
      <c r="A152" s="1"/>
      <c r="B152" s="13"/>
      <c r="C152" s="13"/>
      <c r="D152" s="4"/>
      <c r="U152" s="4"/>
      <c r="V152" s="4"/>
      <c r="W152" s="2"/>
      <c r="X152" s="182"/>
    </row>
    <row r="153" spans="1:24" x14ac:dyDescent="0.35">
      <c r="A153" s="1"/>
      <c r="B153" s="13"/>
      <c r="C153" s="13"/>
      <c r="D153" s="4"/>
      <c r="U153" s="4"/>
      <c r="V153" s="4"/>
      <c r="W153" s="2"/>
      <c r="X153" s="182"/>
    </row>
    <row r="154" spans="1:24" x14ac:dyDescent="0.35">
      <c r="A154" s="1"/>
      <c r="B154" s="13"/>
      <c r="C154" s="13"/>
      <c r="D154" s="4"/>
      <c r="U154" s="4"/>
      <c r="V154" s="4"/>
      <c r="W154" s="2"/>
      <c r="X154" s="182"/>
    </row>
    <row r="155" spans="1:24" x14ac:dyDescent="0.35">
      <c r="A155" s="1"/>
      <c r="B155" s="13"/>
      <c r="C155" s="13"/>
      <c r="D155" s="4"/>
      <c r="Q155" s="2"/>
      <c r="U155" s="4"/>
      <c r="V155" s="4"/>
      <c r="W155" s="2"/>
      <c r="X155" s="182"/>
    </row>
    <row r="156" spans="1:24" x14ac:dyDescent="0.35">
      <c r="A156" s="1"/>
      <c r="D156" s="4"/>
      <c r="U156" s="4"/>
      <c r="V156" s="4"/>
      <c r="W156" s="2"/>
      <c r="X156" s="182"/>
    </row>
    <row r="157" spans="1:24" x14ac:dyDescent="0.35">
      <c r="A157" s="1"/>
      <c r="D157" s="4"/>
    </row>
    <row r="158" spans="1:24" x14ac:dyDescent="0.35">
      <c r="A158" s="1"/>
      <c r="D158" s="4"/>
    </row>
    <row r="159" spans="1:24" x14ac:dyDescent="0.35">
      <c r="A159" s="1"/>
      <c r="D159" s="4"/>
    </row>
    <row r="160" spans="1:24" x14ac:dyDescent="0.35">
      <c r="A160" s="1"/>
      <c r="D160" s="4"/>
    </row>
    <row r="161" spans="1:4" x14ac:dyDescent="0.35">
      <c r="A161" s="1"/>
      <c r="D161" s="4"/>
    </row>
    <row r="162" spans="1:4" x14ac:dyDescent="0.35">
      <c r="A162" s="1"/>
      <c r="D162" s="4"/>
    </row>
    <row r="163" spans="1:4" x14ac:dyDescent="0.35">
      <c r="A163" s="1"/>
      <c r="D163" s="4"/>
    </row>
    <row r="164" spans="1:4" x14ac:dyDescent="0.35">
      <c r="A164" s="1"/>
      <c r="D164" s="4"/>
    </row>
    <row r="165" spans="1:4" x14ac:dyDescent="0.35">
      <c r="A165" s="1"/>
      <c r="D165" s="4"/>
    </row>
    <row r="166" spans="1:4" x14ac:dyDescent="0.35">
      <c r="A166" s="1"/>
      <c r="D166" s="4"/>
    </row>
    <row r="167" spans="1:4" x14ac:dyDescent="0.35">
      <c r="A167" s="1"/>
      <c r="D167" s="4"/>
    </row>
    <row r="168" spans="1:4" x14ac:dyDescent="0.35">
      <c r="A168" s="1"/>
      <c r="D168" s="4"/>
    </row>
    <row r="169" spans="1:4" x14ac:dyDescent="0.35">
      <c r="A169" s="1"/>
      <c r="D169" s="4"/>
    </row>
    <row r="170" spans="1:4" x14ac:dyDescent="0.35">
      <c r="A170" s="1"/>
      <c r="D170" s="4"/>
    </row>
    <row r="171" spans="1:4" x14ac:dyDescent="0.35">
      <c r="A171" s="1"/>
      <c r="D171" s="4"/>
    </row>
    <row r="172" spans="1:4" x14ac:dyDescent="0.35">
      <c r="A172" s="1"/>
      <c r="D172" s="4"/>
    </row>
    <row r="173" spans="1:4" x14ac:dyDescent="0.35">
      <c r="A173" s="1"/>
      <c r="D173" s="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F112-45AD-4DA2-82BC-0ED9F63A4F0B}">
  <sheetPr codeName="Sheet8">
    <tabColor theme="3" tint="0.749992370372631"/>
  </sheetPr>
  <dimension ref="B1:AT89"/>
  <sheetViews>
    <sheetView workbookViewId="0">
      <selection activeCell="I26" sqref="I26"/>
    </sheetView>
  </sheetViews>
  <sheetFormatPr defaultRowHeight="14.5" x14ac:dyDescent="0.35"/>
  <cols>
    <col min="2" max="3" width="11.7265625" customWidth="1"/>
    <col min="4" max="4" width="7.7265625" bestFit="1" customWidth="1"/>
    <col min="5" max="6" width="11.453125" customWidth="1"/>
    <col min="7" max="7" width="12.7265625" customWidth="1"/>
    <col min="8" max="8" width="11.453125" customWidth="1"/>
    <col min="11" max="11" width="10.54296875" bestFit="1" customWidth="1"/>
    <col min="14" max="14" width="10.26953125" customWidth="1"/>
    <col min="15" max="15" width="11.81640625" customWidth="1"/>
    <col min="16" max="16" width="13.54296875" customWidth="1"/>
    <col min="17" max="17" width="12.81640625" customWidth="1"/>
    <col min="18" max="18" width="8.7265625" customWidth="1"/>
    <col min="20" max="20" width="11.81640625" customWidth="1"/>
    <col min="21" max="21" width="13.1796875" customWidth="1"/>
    <col min="22" max="22" width="11.7265625" customWidth="1"/>
    <col min="27" max="27" width="13.7265625" customWidth="1"/>
    <col min="28" max="28" width="10.54296875" bestFit="1" customWidth="1"/>
    <col min="30" max="30" width="12.7265625" customWidth="1"/>
    <col min="31" max="31" width="13.54296875" customWidth="1"/>
    <col min="32" max="32" width="13.81640625" bestFit="1" customWidth="1"/>
    <col min="33" max="33" width="17.1796875" customWidth="1"/>
    <col min="34" max="34" width="9.26953125" customWidth="1"/>
  </cols>
  <sheetData>
    <row r="1" spans="2:46" x14ac:dyDescent="0.35">
      <c r="B1" s="216" t="s">
        <v>262</v>
      </c>
      <c r="C1" s="217"/>
      <c r="D1" s="217"/>
      <c r="E1" s="217"/>
      <c r="F1" s="217"/>
      <c r="G1" s="217"/>
      <c r="J1" s="216"/>
      <c r="K1" s="217"/>
      <c r="L1" s="218"/>
      <c r="M1" s="441" t="s">
        <v>263</v>
      </c>
      <c r="N1" s="442"/>
      <c r="O1" s="442"/>
      <c r="P1" s="442"/>
      <c r="Q1" s="443"/>
      <c r="R1" s="441" t="s">
        <v>264</v>
      </c>
      <c r="S1" s="442"/>
      <c r="T1" s="442"/>
      <c r="U1" s="442"/>
      <c r="V1" s="443"/>
      <c r="Y1" t="s">
        <v>265</v>
      </c>
    </row>
    <row r="2" spans="2:46" s="142" customFormat="1" ht="29" x14ac:dyDescent="0.35">
      <c r="B2" s="222" t="s">
        <v>266</v>
      </c>
      <c r="C2" s="223"/>
      <c r="D2" s="224" t="s">
        <v>196</v>
      </c>
      <c r="E2" s="217" t="s">
        <v>423</v>
      </c>
      <c r="F2" s="217" t="s">
        <v>179</v>
      </c>
      <c r="G2" s="217" t="s">
        <v>180</v>
      </c>
      <c r="H2" s="225" t="s">
        <v>424</v>
      </c>
      <c r="J2" s="222"/>
      <c r="K2" s="223"/>
      <c r="L2" s="314"/>
      <c r="M2" s="226" t="s">
        <v>196</v>
      </c>
      <c r="N2" s="217" t="s">
        <v>423</v>
      </c>
      <c r="O2" s="217" t="s">
        <v>179</v>
      </c>
      <c r="P2" s="217" t="s">
        <v>180</v>
      </c>
      <c r="Q2" s="225" t="str">
        <f>H2</f>
        <v>NOWI Total (Calc)</v>
      </c>
      <c r="R2" s="222" t="str">
        <f>M2</f>
        <v>Ontario</v>
      </c>
      <c r="S2" s="223" t="str">
        <f>N2</f>
        <v>Iroquois Falls</v>
      </c>
      <c r="T2" s="223" t="str">
        <f>O2</f>
        <v>Cochrane</v>
      </c>
      <c r="U2" s="223" t="str">
        <f>P2</f>
        <v>Kapuskasing</v>
      </c>
      <c r="V2" s="314" t="str">
        <f>Q2</f>
        <v>NOWI Total (Calc)</v>
      </c>
      <c r="X2"/>
      <c r="Y2" t="s">
        <v>267</v>
      </c>
      <c r="Z2"/>
      <c r="AA2" s="437" t="s">
        <v>268</v>
      </c>
      <c r="AB2" s="437"/>
      <c r="AC2" s="437"/>
      <c r="AD2" s="437"/>
      <c r="AE2" s="437"/>
      <c r="AF2" s="437" t="s">
        <v>269</v>
      </c>
      <c r="AG2" s="437"/>
      <c r="AH2" s="437"/>
      <c r="AI2" s="437"/>
      <c r="AJ2" s="437"/>
      <c r="AK2" s="437" t="s">
        <v>270</v>
      </c>
      <c r="AL2" s="437"/>
      <c r="AM2" s="437"/>
      <c r="AN2" s="437"/>
      <c r="AO2" s="437"/>
      <c r="AP2" s="437" t="s">
        <v>271</v>
      </c>
      <c r="AQ2" s="437"/>
      <c r="AR2" s="437"/>
      <c r="AS2" s="437"/>
      <c r="AT2" s="437"/>
    </row>
    <row r="3" spans="2:46" x14ac:dyDescent="0.35">
      <c r="B3" s="227" t="s">
        <v>272</v>
      </c>
      <c r="C3">
        <f>VALUE(RIGHT(B3,4))</f>
        <v>2017</v>
      </c>
      <c r="D3" s="37">
        <v>1319</v>
      </c>
      <c r="E3">
        <v>0</v>
      </c>
      <c r="F3">
        <v>0</v>
      </c>
      <c r="G3">
        <v>0</v>
      </c>
      <c r="H3" s="228">
        <f>E3+F3+G3</f>
        <v>0</v>
      </c>
      <c r="J3" s="229">
        <v>42736</v>
      </c>
      <c r="K3" s="13">
        <v>2017</v>
      </c>
      <c r="L3" s="230" t="s">
        <v>272</v>
      </c>
      <c r="M3" s="227">
        <f t="shared" ref="M3:M34" si="0">SUMIFS(D:D,B:B,L3)</f>
        <v>1319</v>
      </c>
      <c r="N3">
        <f t="shared" ref="N3:N34" si="1">SUMIFS(E:E,B:B,L3)</f>
        <v>0</v>
      </c>
      <c r="O3">
        <f t="shared" ref="O3:O34" si="2">SUMIFS(F:F,B:B,L3)</f>
        <v>0</v>
      </c>
      <c r="P3">
        <f t="shared" ref="P3:P34" si="3">SUMIFS(G:G,B:B,L3)</f>
        <v>0</v>
      </c>
      <c r="Q3" s="228">
        <f>N3+O3+P3</f>
        <v>0</v>
      </c>
      <c r="R3" s="231">
        <f>M3/3</f>
        <v>439.66666666666669</v>
      </c>
      <c r="S3" s="232">
        <f>N3/3</f>
        <v>0</v>
      </c>
      <c r="T3" s="232">
        <f>O3/3</f>
        <v>0</v>
      </c>
      <c r="U3" s="232">
        <f>P3/3</f>
        <v>0</v>
      </c>
      <c r="V3" s="233">
        <f>Q3/3</f>
        <v>0</v>
      </c>
      <c r="Y3" t="s">
        <v>273</v>
      </c>
      <c r="AA3" t="s">
        <v>274</v>
      </c>
      <c r="AB3" t="s">
        <v>275</v>
      </c>
      <c r="AC3" t="s">
        <v>276</v>
      </c>
      <c r="AD3" t="s">
        <v>277</v>
      </c>
      <c r="AE3" t="s">
        <v>278</v>
      </c>
      <c r="AF3" t="s">
        <v>274</v>
      </c>
      <c r="AG3" t="s">
        <v>275</v>
      </c>
      <c r="AH3" t="s">
        <v>276</v>
      </c>
      <c r="AI3" t="s">
        <v>277</v>
      </c>
      <c r="AJ3" t="s">
        <v>278</v>
      </c>
      <c r="AK3" t="s">
        <v>274</v>
      </c>
      <c r="AL3" t="s">
        <v>275</v>
      </c>
      <c r="AM3" t="s">
        <v>276</v>
      </c>
      <c r="AN3" t="s">
        <v>277</v>
      </c>
      <c r="AO3" t="s">
        <v>278</v>
      </c>
      <c r="AP3" t="s">
        <v>274</v>
      </c>
      <c r="AQ3" t="s">
        <v>275</v>
      </c>
      <c r="AR3" t="s">
        <v>276</v>
      </c>
      <c r="AS3" t="s">
        <v>277</v>
      </c>
      <c r="AT3" t="s">
        <v>278</v>
      </c>
    </row>
    <row r="4" spans="2:46" x14ac:dyDescent="0.35">
      <c r="B4" s="227" t="s">
        <v>279</v>
      </c>
      <c r="C4">
        <f t="shared" ref="C4:C31" si="4">VALUE(RIGHT(B4,4))</f>
        <v>2017</v>
      </c>
      <c r="D4" s="37">
        <v>2089</v>
      </c>
      <c r="E4">
        <v>0</v>
      </c>
      <c r="F4">
        <v>0</v>
      </c>
      <c r="G4">
        <v>0</v>
      </c>
      <c r="H4" s="228">
        <f t="shared" ref="H4:H31" si="5">E4+F4+G4</f>
        <v>0</v>
      </c>
      <c r="J4" s="229">
        <v>42767</v>
      </c>
      <c r="K4" s="13">
        <v>2017</v>
      </c>
      <c r="L4" s="230" t="s">
        <v>272</v>
      </c>
      <c r="M4" s="227">
        <f t="shared" si="0"/>
        <v>1319</v>
      </c>
      <c r="N4">
        <f t="shared" si="1"/>
        <v>0</v>
      </c>
      <c r="O4">
        <f t="shared" si="2"/>
        <v>0</v>
      </c>
      <c r="P4">
        <f t="shared" si="3"/>
        <v>0</v>
      </c>
      <c r="Q4" s="228">
        <f t="shared" ref="Q4:Q67" si="6">N4+O4+P4</f>
        <v>0</v>
      </c>
      <c r="R4" s="231">
        <f t="shared" ref="R4:R35" si="7">M4/3+R3</f>
        <v>879.33333333333337</v>
      </c>
      <c r="S4" s="232">
        <f t="shared" ref="S4:S35" si="8">N4/3+S3</f>
        <v>0</v>
      </c>
      <c r="T4" s="232">
        <f t="shared" ref="T4:T35" si="9">O4/3+T3</f>
        <v>0</v>
      </c>
      <c r="U4" s="232">
        <f t="shared" ref="U4:U35" si="10">P4/3+U3</f>
        <v>0</v>
      </c>
      <c r="V4" s="233">
        <f t="shared" ref="V4:V35" si="11">Q4/3+V3</f>
        <v>0</v>
      </c>
      <c r="X4" t="s">
        <v>266</v>
      </c>
      <c r="Y4" t="s">
        <v>280</v>
      </c>
    </row>
    <row r="5" spans="2:46" x14ac:dyDescent="0.35">
      <c r="B5" s="227" t="s">
        <v>281</v>
      </c>
      <c r="C5">
        <f t="shared" si="4"/>
        <v>2017</v>
      </c>
      <c r="D5" s="37">
        <v>2130</v>
      </c>
      <c r="E5">
        <v>0</v>
      </c>
      <c r="F5">
        <v>0</v>
      </c>
      <c r="G5">
        <v>1</v>
      </c>
      <c r="H5" s="228">
        <f t="shared" si="5"/>
        <v>1</v>
      </c>
      <c r="J5" s="229">
        <v>42795</v>
      </c>
      <c r="K5" s="13">
        <v>2017</v>
      </c>
      <c r="L5" s="230" t="s">
        <v>272</v>
      </c>
      <c r="M5" s="227">
        <f t="shared" si="0"/>
        <v>1319</v>
      </c>
      <c r="N5">
        <f t="shared" si="1"/>
        <v>0</v>
      </c>
      <c r="O5">
        <f t="shared" si="2"/>
        <v>0</v>
      </c>
      <c r="P5">
        <f t="shared" si="3"/>
        <v>0</v>
      </c>
      <c r="Q5" s="228">
        <f t="shared" si="6"/>
        <v>0</v>
      </c>
      <c r="R5" s="231">
        <f t="shared" si="7"/>
        <v>1319</v>
      </c>
      <c r="S5" s="232">
        <f t="shared" si="8"/>
        <v>0</v>
      </c>
      <c r="T5" s="232">
        <f t="shared" si="9"/>
        <v>0</v>
      </c>
      <c r="U5" s="232">
        <f t="shared" si="10"/>
        <v>0</v>
      </c>
      <c r="V5" s="233">
        <f t="shared" si="11"/>
        <v>0</v>
      </c>
      <c r="AA5" t="s">
        <v>282</v>
      </c>
    </row>
    <row r="6" spans="2:46" x14ac:dyDescent="0.35">
      <c r="B6" s="227" t="s">
        <v>283</v>
      </c>
      <c r="C6">
        <f t="shared" si="4"/>
        <v>2017</v>
      </c>
      <c r="D6" s="37">
        <v>2642</v>
      </c>
      <c r="E6">
        <v>0</v>
      </c>
      <c r="F6">
        <v>0</v>
      </c>
      <c r="G6">
        <v>2</v>
      </c>
      <c r="H6" s="228">
        <f t="shared" si="5"/>
        <v>2</v>
      </c>
      <c r="J6" s="229">
        <v>42826</v>
      </c>
      <c r="K6" s="13">
        <v>2017</v>
      </c>
      <c r="L6" s="230" t="s">
        <v>279</v>
      </c>
      <c r="M6" s="227">
        <f t="shared" si="0"/>
        <v>2089</v>
      </c>
      <c r="N6">
        <f t="shared" si="1"/>
        <v>0</v>
      </c>
      <c r="O6">
        <f t="shared" si="2"/>
        <v>0</v>
      </c>
      <c r="P6">
        <f t="shared" si="3"/>
        <v>0</v>
      </c>
      <c r="Q6" s="228">
        <f t="shared" si="6"/>
        <v>0</v>
      </c>
      <c r="R6" s="231">
        <f t="shared" si="7"/>
        <v>2015.3333333333335</v>
      </c>
      <c r="S6" s="232">
        <f t="shared" si="8"/>
        <v>0</v>
      </c>
      <c r="T6" s="232">
        <f t="shared" si="9"/>
        <v>0</v>
      </c>
      <c r="U6" s="232">
        <f t="shared" si="10"/>
        <v>0</v>
      </c>
      <c r="V6" s="233">
        <f t="shared" si="11"/>
        <v>0</v>
      </c>
      <c r="X6" t="s">
        <v>196</v>
      </c>
      <c r="Y6" t="s">
        <v>272</v>
      </c>
      <c r="Z6">
        <f>VALUE(RIGHT(Y6,4))</f>
        <v>2017</v>
      </c>
      <c r="AA6" s="37">
        <v>168231</v>
      </c>
      <c r="AB6" s="37">
        <v>53466</v>
      </c>
      <c r="AC6" s="37">
        <v>31137</v>
      </c>
      <c r="AD6" s="37">
        <v>70807</v>
      </c>
      <c r="AE6" s="37">
        <v>12821</v>
      </c>
      <c r="AF6">
        <v>595</v>
      </c>
      <c r="AG6">
        <v>414</v>
      </c>
      <c r="AH6">
        <v>0</v>
      </c>
      <c r="AI6">
        <v>181</v>
      </c>
      <c r="AJ6">
        <v>0</v>
      </c>
      <c r="AK6" s="37">
        <v>1633</v>
      </c>
      <c r="AL6">
        <v>918</v>
      </c>
      <c r="AM6">
        <v>0</v>
      </c>
      <c r="AN6">
        <v>715</v>
      </c>
      <c r="AO6">
        <v>0</v>
      </c>
      <c r="AP6">
        <v>724</v>
      </c>
      <c r="AQ6">
        <v>627</v>
      </c>
      <c r="AR6">
        <v>0</v>
      </c>
      <c r="AS6">
        <v>88</v>
      </c>
      <c r="AT6">
        <v>9</v>
      </c>
    </row>
    <row r="7" spans="2:46" x14ac:dyDescent="0.35">
      <c r="B7" s="227" t="s">
        <v>284</v>
      </c>
      <c r="C7">
        <f t="shared" si="4"/>
        <v>2018</v>
      </c>
      <c r="D7" s="37">
        <v>2748</v>
      </c>
      <c r="E7">
        <v>0</v>
      </c>
      <c r="F7">
        <v>0</v>
      </c>
      <c r="G7">
        <v>1</v>
      </c>
      <c r="H7" s="228">
        <f t="shared" si="5"/>
        <v>1</v>
      </c>
      <c r="J7" s="229">
        <v>42856</v>
      </c>
      <c r="K7" s="13">
        <v>2017</v>
      </c>
      <c r="L7" s="230" t="s">
        <v>279</v>
      </c>
      <c r="M7" s="227">
        <f t="shared" si="0"/>
        <v>2089</v>
      </c>
      <c r="N7">
        <f t="shared" si="1"/>
        <v>0</v>
      </c>
      <c r="O7">
        <f t="shared" si="2"/>
        <v>0</v>
      </c>
      <c r="P7">
        <f t="shared" si="3"/>
        <v>0</v>
      </c>
      <c r="Q7" s="228">
        <f t="shared" si="6"/>
        <v>0</v>
      </c>
      <c r="R7" s="231">
        <f t="shared" si="7"/>
        <v>2711.666666666667</v>
      </c>
      <c r="S7" s="232">
        <f t="shared" si="8"/>
        <v>0</v>
      </c>
      <c r="T7" s="232">
        <f t="shared" si="9"/>
        <v>0</v>
      </c>
      <c r="U7" s="232">
        <f t="shared" si="10"/>
        <v>0</v>
      </c>
      <c r="V7" s="233">
        <f t="shared" si="11"/>
        <v>0</v>
      </c>
      <c r="Y7" t="s">
        <v>279</v>
      </c>
      <c r="Z7">
        <f t="shared" ref="Z7:Z34" si="12">VALUE(RIGHT(Y7,4))</f>
        <v>2017</v>
      </c>
      <c r="AA7" s="37">
        <v>234023</v>
      </c>
      <c r="AB7" s="37">
        <v>78186</v>
      </c>
      <c r="AC7" s="37">
        <v>43864</v>
      </c>
      <c r="AD7" s="37">
        <v>94987</v>
      </c>
      <c r="AE7" s="37">
        <v>16986</v>
      </c>
      <c r="AF7">
        <v>831</v>
      </c>
      <c r="AG7">
        <v>604</v>
      </c>
      <c r="AH7">
        <v>0</v>
      </c>
      <c r="AI7">
        <v>227</v>
      </c>
      <c r="AJ7">
        <v>0</v>
      </c>
      <c r="AK7" s="37">
        <v>2412</v>
      </c>
      <c r="AL7" s="37">
        <v>1385</v>
      </c>
      <c r="AM7">
        <v>0</v>
      </c>
      <c r="AN7" s="37">
        <v>1027</v>
      </c>
      <c r="AO7">
        <v>0</v>
      </c>
      <c r="AP7" s="37">
        <v>1258</v>
      </c>
      <c r="AQ7">
        <v>938</v>
      </c>
      <c r="AR7">
        <v>0</v>
      </c>
      <c r="AS7">
        <v>153</v>
      </c>
      <c r="AT7">
        <v>167</v>
      </c>
    </row>
    <row r="8" spans="2:46" x14ac:dyDescent="0.35">
      <c r="B8" s="227" t="s">
        <v>285</v>
      </c>
      <c r="C8">
        <f t="shared" si="4"/>
        <v>2018</v>
      </c>
      <c r="D8" s="37">
        <v>6946</v>
      </c>
      <c r="E8">
        <v>0</v>
      </c>
      <c r="F8">
        <v>0</v>
      </c>
      <c r="G8">
        <v>1</v>
      </c>
      <c r="H8" s="228">
        <f t="shared" si="5"/>
        <v>1</v>
      </c>
      <c r="J8" s="229">
        <v>42887</v>
      </c>
      <c r="K8" s="13">
        <v>2017</v>
      </c>
      <c r="L8" s="230" t="s">
        <v>279</v>
      </c>
      <c r="M8" s="227">
        <f t="shared" si="0"/>
        <v>2089</v>
      </c>
      <c r="N8">
        <f t="shared" si="1"/>
        <v>0</v>
      </c>
      <c r="O8">
        <f t="shared" si="2"/>
        <v>0</v>
      </c>
      <c r="P8">
        <f t="shared" si="3"/>
        <v>0</v>
      </c>
      <c r="Q8" s="228">
        <f t="shared" si="6"/>
        <v>0</v>
      </c>
      <c r="R8" s="231">
        <f t="shared" si="7"/>
        <v>3408.0000000000005</v>
      </c>
      <c r="S8" s="232">
        <f t="shared" si="8"/>
        <v>0</v>
      </c>
      <c r="T8" s="232">
        <f t="shared" si="9"/>
        <v>0</v>
      </c>
      <c r="U8" s="232">
        <f t="shared" si="10"/>
        <v>0</v>
      </c>
      <c r="V8" s="233">
        <f t="shared" si="11"/>
        <v>0</v>
      </c>
      <c r="Y8" t="s">
        <v>281</v>
      </c>
      <c r="Z8">
        <f t="shared" si="12"/>
        <v>2017</v>
      </c>
      <c r="AA8" s="37">
        <v>219646</v>
      </c>
      <c r="AB8" s="37">
        <v>70145</v>
      </c>
      <c r="AC8" s="37">
        <v>38983</v>
      </c>
      <c r="AD8" s="37">
        <v>94541</v>
      </c>
      <c r="AE8" s="37">
        <v>15977</v>
      </c>
      <c r="AF8">
        <v>950</v>
      </c>
      <c r="AG8">
        <v>685</v>
      </c>
      <c r="AH8">
        <v>0</v>
      </c>
      <c r="AI8">
        <v>265</v>
      </c>
      <c r="AJ8">
        <v>0</v>
      </c>
      <c r="AK8" s="37">
        <v>2540</v>
      </c>
      <c r="AL8" s="37">
        <v>1504</v>
      </c>
      <c r="AM8">
        <v>0</v>
      </c>
      <c r="AN8" s="37">
        <v>1036</v>
      </c>
      <c r="AO8">
        <v>0</v>
      </c>
      <c r="AP8" s="37">
        <v>1180</v>
      </c>
      <c r="AQ8">
        <v>985</v>
      </c>
      <c r="AR8">
        <v>0</v>
      </c>
      <c r="AS8">
        <v>98</v>
      </c>
      <c r="AT8">
        <v>97</v>
      </c>
    </row>
    <row r="9" spans="2:46" x14ac:dyDescent="0.35">
      <c r="B9" s="227" t="s">
        <v>286</v>
      </c>
      <c r="C9">
        <f t="shared" si="4"/>
        <v>2018</v>
      </c>
      <c r="D9" s="37">
        <v>5258</v>
      </c>
      <c r="E9">
        <v>0</v>
      </c>
      <c r="F9">
        <v>1</v>
      </c>
      <c r="G9">
        <v>1</v>
      </c>
      <c r="H9" s="228">
        <f t="shared" si="5"/>
        <v>2</v>
      </c>
      <c r="J9" s="229">
        <v>42917</v>
      </c>
      <c r="K9" s="13">
        <v>2017</v>
      </c>
      <c r="L9" s="230" t="s">
        <v>281</v>
      </c>
      <c r="M9" s="227">
        <f t="shared" si="0"/>
        <v>2130</v>
      </c>
      <c r="N9">
        <f t="shared" si="1"/>
        <v>0</v>
      </c>
      <c r="O9">
        <f t="shared" si="2"/>
        <v>0</v>
      </c>
      <c r="P9">
        <f t="shared" si="3"/>
        <v>1</v>
      </c>
      <c r="Q9" s="228">
        <f t="shared" si="6"/>
        <v>1</v>
      </c>
      <c r="R9" s="231">
        <f t="shared" si="7"/>
        <v>4118</v>
      </c>
      <c r="S9" s="232">
        <f t="shared" si="8"/>
        <v>0</v>
      </c>
      <c r="T9" s="232">
        <f t="shared" si="9"/>
        <v>0</v>
      </c>
      <c r="U9" s="232">
        <f t="shared" si="10"/>
        <v>0.33333333333333331</v>
      </c>
      <c r="V9" s="233">
        <f t="shared" si="11"/>
        <v>0.33333333333333331</v>
      </c>
      <c r="Y9" t="s">
        <v>283</v>
      </c>
      <c r="Z9">
        <f t="shared" si="12"/>
        <v>2017</v>
      </c>
      <c r="AA9" s="37">
        <v>179532</v>
      </c>
      <c r="AB9" s="37">
        <v>51455</v>
      </c>
      <c r="AC9" s="37">
        <v>30080</v>
      </c>
      <c r="AD9" s="37">
        <v>84930</v>
      </c>
      <c r="AE9" s="37">
        <v>13067</v>
      </c>
      <c r="AF9" s="37">
        <v>1187</v>
      </c>
      <c r="AG9">
        <v>829</v>
      </c>
      <c r="AH9">
        <v>0</v>
      </c>
      <c r="AI9">
        <v>358</v>
      </c>
      <c r="AJ9">
        <v>0</v>
      </c>
      <c r="AK9" s="37">
        <v>1998</v>
      </c>
      <c r="AL9" s="37">
        <v>1115</v>
      </c>
      <c r="AM9">
        <v>0</v>
      </c>
      <c r="AN9">
        <v>883</v>
      </c>
      <c r="AO9">
        <v>0</v>
      </c>
      <c r="AP9" s="37">
        <v>1455</v>
      </c>
      <c r="AQ9" s="37">
        <v>1109</v>
      </c>
      <c r="AR9">
        <v>0</v>
      </c>
      <c r="AS9">
        <v>97</v>
      </c>
      <c r="AT9">
        <v>249</v>
      </c>
    </row>
    <row r="10" spans="2:46" x14ac:dyDescent="0.35">
      <c r="B10" s="227" t="s">
        <v>287</v>
      </c>
      <c r="C10">
        <f t="shared" si="4"/>
        <v>2018</v>
      </c>
      <c r="D10" s="37">
        <v>1806</v>
      </c>
      <c r="E10">
        <v>0</v>
      </c>
      <c r="F10">
        <v>0</v>
      </c>
      <c r="G10">
        <v>2</v>
      </c>
      <c r="H10" s="228">
        <f t="shared" si="5"/>
        <v>2</v>
      </c>
      <c r="J10" s="229">
        <v>42948</v>
      </c>
      <c r="K10" s="13">
        <v>2017</v>
      </c>
      <c r="L10" s="230" t="s">
        <v>281</v>
      </c>
      <c r="M10" s="227">
        <f t="shared" si="0"/>
        <v>2130</v>
      </c>
      <c r="N10">
        <f t="shared" si="1"/>
        <v>0</v>
      </c>
      <c r="O10">
        <f t="shared" si="2"/>
        <v>0</v>
      </c>
      <c r="P10">
        <f t="shared" si="3"/>
        <v>1</v>
      </c>
      <c r="Q10" s="228">
        <f t="shared" si="6"/>
        <v>1</v>
      </c>
      <c r="R10" s="231">
        <f t="shared" si="7"/>
        <v>4828</v>
      </c>
      <c r="S10" s="232">
        <f t="shared" si="8"/>
        <v>0</v>
      </c>
      <c r="T10" s="232">
        <f t="shared" si="9"/>
        <v>0</v>
      </c>
      <c r="U10" s="232">
        <f t="shared" si="10"/>
        <v>0.66666666666666663</v>
      </c>
      <c r="V10" s="233">
        <f t="shared" si="11"/>
        <v>0.66666666666666663</v>
      </c>
      <c r="Y10" t="s">
        <v>284</v>
      </c>
      <c r="Z10">
        <f t="shared" si="12"/>
        <v>2018</v>
      </c>
      <c r="AA10" s="37">
        <v>165401</v>
      </c>
      <c r="AB10" s="37">
        <v>47845</v>
      </c>
      <c r="AC10" s="37">
        <v>28028</v>
      </c>
      <c r="AD10" s="37">
        <v>76236</v>
      </c>
      <c r="AE10" s="37">
        <v>13292</v>
      </c>
      <c r="AF10">
        <v>928</v>
      </c>
      <c r="AG10">
        <v>754</v>
      </c>
      <c r="AH10">
        <v>0</v>
      </c>
      <c r="AI10">
        <v>174</v>
      </c>
      <c r="AJ10">
        <v>0</v>
      </c>
      <c r="AK10" s="37">
        <v>1522</v>
      </c>
      <c r="AL10">
        <v>749</v>
      </c>
      <c r="AM10">
        <v>0</v>
      </c>
      <c r="AN10">
        <v>773</v>
      </c>
      <c r="AO10">
        <v>0</v>
      </c>
      <c r="AP10" s="37">
        <v>1820</v>
      </c>
      <c r="AQ10" s="37">
        <v>1252</v>
      </c>
      <c r="AR10">
        <v>0</v>
      </c>
      <c r="AS10">
        <v>359</v>
      </c>
      <c r="AT10">
        <v>209</v>
      </c>
    </row>
    <row r="11" spans="2:46" x14ac:dyDescent="0.35">
      <c r="B11" s="227" t="s">
        <v>288</v>
      </c>
      <c r="C11">
        <f t="shared" si="4"/>
        <v>2019</v>
      </c>
      <c r="D11" s="37">
        <v>1342</v>
      </c>
      <c r="E11">
        <v>0</v>
      </c>
      <c r="F11">
        <v>0</v>
      </c>
      <c r="G11">
        <v>1</v>
      </c>
      <c r="H11" s="228">
        <f t="shared" si="5"/>
        <v>1</v>
      </c>
      <c r="J11" s="229">
        <v>42979</v>
      </c>
      <c r="K11" s="13">
        <v>2017</v>
      </c>
      <c r="L11" s="230" t="s">
        <v>281</v>
      </c>
      <c r="M11" s="227">
        <f t="shared" si="0"/>
        <v>2130</v>
      </c>
      <c r="N11">
        <f t="shared" si="1"/>
        <v>0</v>
      </c>
      <c r="O11">
        <f t="shared" si="2"/>
        <v>0</v>
      </c>
      <c r="P11">
        <f t="shared" si="3"/>
        <v>1</v>
      </c>
      <c r="Q11" s="228">
        <f t="shared" si="6"/>
        <v>1</v>
      </c>
      <c r="R11" s="231">
        <f t="shared" si="7"/>
        <v>5538</v>
      </c>
      <c r="S11" s="232">
        <f t="shared" si="8"/>
        <v>0</v>
      </c>
      <c r="T11" s="232">
        <f t="shared" si="9"/>
        <v>0</v>
      </c>
      <c r="U11" s="232">
        <f t="shared" si="10"/>
        <v>1</v>
      </c>
      <c r="V11" s="233">
        <f t="shared" si="11"/>
        <v>1</v>
      </c>
      <c r="Y11" t="s">
        <v>285</v>
      </c>
      <c r="Z11">
        <f t="shared" si="12"/>
        <v>2018</v>
      </c>
      <c r="AA11" s="37">
        <v>239898</v>
      </c>
      <c r="AB11" s="37">
        <v>77454</v>
      </c>
      <c r="AC11" s="37">
        <v>41155</v>
      </c>
      <c r="AD11" s="37">
        <v>105166</v>
      </c>
      <c r="AE11" s="37">
        <v>16123</v>
      </c>
      <c r="AF11" s="37">
        <v>3615</v>
      </c>
      <c r="AG11" s="37">
        <v>3303</v>
      </c>
      <c r="AH11">
        <v>0</v>
      </c>
      <c r="AI11">
        <v>312</v>
      </c>
      <c r="AJ11">
        <v>0</v>
      </c>
      <c r="AK11" s="37">
        <v>2759</v>
      </c>
      <c r="AL11" s="37">
        <v>1464</v>
      </c>
      <c r="AM11">
        <v>0</v>
      </c>
      <c r="AN11" s="37">
        <v>1295</v>
      </c>
      <c r="AO11">
        <v>0</v>
      </c>
      <c r="AP11" s="37">
        <v>3331</v>
      </c>
      <c r="AQ11" s="37">
        <v>2216</v>
      </c>
      <c r="AR11">
        <v>0</v>
      </c>
      <c r="AS11">
        <v>707</v>
      </c>
      <c r="AT11">
        <v>408</v>
      </c>
    </row>
    <row r="12" spans="2:46" x14ac:dyDescent="0.35">
      <c r="B12" s="227" t="s">
        <v>289</v>
      </c>
      <c r="C12">
        <f t="shared" si="4"/>
        <v>2019</v>
      </c>
      <c r="D12" s="37">
        <v>2878</v>
      </c>
      <c r="E12">
        <v>0</v>
      </c>
      <c r="F12">
        <v>0</v>
      </c>
      <c r="G12">
        <v>1</v>
      </c>
      <c r="H12" s="228">
        <f t="shared" si="5"/>
        <v>1</v>
      </c>
      <c r="J12" s="229">
        <v>43009</v>
      </c>
      <c r="K12" s="13">
        <v>2017</v>
      </c>
      <c r="L12" s="230" t="s">
        <v>283</v>
      </c>
      <c r="M12" s="227">
        <f t="shared" si="0"/>
        <v>2642</v>
      </c>
      <c r="N12">
        <f t="shared" si="1"/>
        <v>0</v>
      </c>
      <c r="O12">
        <f t="shared" si="2"/>
        <v>0</v>
      </c>
      <c r="P12">
        <f t="shared" si="3"/>
        <v>2</v>
      </c>
      <c r="Q12" s="228">
        <f t="shared" si="6"/>
        <v>2</v>
      </c>
      <c r="R12" s="231">
        <f t="shared" si="7"/>
        <v>6418.666666666667</v>
      </c>
      <c r="S12" s="232">
        <f t="shared" si="8"/>
        <v>0</v>
      </c>
      <c r="T12" s="232">
        <f t="shared" si="9"/>
        <v>0</v>
      </c>
      <c r="U12" s="232">
        <f t="shared" si="10"/>
        <v>1.6666666666666665</v>
      </c>
      <c r="V12" s="233">
        <f t="shared" si="11"/>
        <v>1.6666666666666665</v>
      </c>
      <c r="Y12" t="s">
        <v>286</v>
      </c>
      <c r="Z12">
        <f t="shared" si="12"/>
        <v>2018</v>
      </c>
      <c r="AA12" s="37">
        <v>218772</v>
      </c>
      <c r="AB12" s="37">
        <v>65753</v>
      </c>
      <c r="AC12" s="37">
        <v>36873</v>
      </c>
      <c r="AD12" s="37">
        <v>101715</v>
      </c>
      <c r="AE12" s="37">
        <v>14431</v>
      </c>
      <c r="AF12" s="37">
        <v>2476</v>
      </c>
      <c r="AG12" s="37">
        <v>2212</v>
      </c>
      <c r="AH12">
        <v>0</v>
      </c>
      <c r="AI12">
        <v>264</v>
      </c>
      <c r="AJ12">
        <v>0</v>
      </c>
      <c r="AK12" s="37">
        <v>2598</v>
      </c>
      <c r="AL12" s="37">
        <v>1342</v>
      </c>
      <c r="AM12">
        <v>0</v>
      </c>
      <c r="AN12" s="37">
        <v>1256</v>
      </c>
      <c r="AO12">
        <v>0</v>
      </c>
      <c r="AP12" s="37">
        <v>2782</v>
      </c>
      <c r="AQ12" s="37">
        <v>1679</v>
      </c>
      <c r="AR12">
        <v>0</v>
      </c>
      <c r="AS12">
        <v>890</v>
      </c>
      <c r="AT12">
        <v>213</v>
      </c>
    </row>
    <row r="13" spans="2:46" x14ac:dyDescent="0.35">
      <c r="B13" s="227" t="s">
        <v>290</v>
      </c>
      <c r="C13">
        <f t="shared" si="4"/>
        <v>2019</v>
      </c>
      <c r="D13" s="37">
        <v>3148</v>
      </c>
      <c r="E13">
        <v>0</v>
      </c>
      <c r="F13">
        <v>0</v>
      </c>
      <c r="G13">
        <v>1</v>
      </c>
      <c r="H13" s="228">
        <f t="shared" si="5"/>
        <v>1</v>
      </c>
      <c r="J13" s="229">
        <v>43040</v>
      </c>
      <c r="K13" s="13">
        <v>2017</v>
      </c>
      <c r="L13" s="230" t="s">
        <v>283</v>
      </c>
      <c r="M13" s="227">
        <f t="shared" si="0"/>
        <v>2642</v>
      </c>
      <c r="N13">
        <f t="shared" si="1"/>
        <v>0</v>
      </c>
      <c r="O13">
        <f t="shared" si="2"/>
        <v>0</v>
      </c>
      <c r="P13">
        <f t="shared" si="3"/>
        <v>2</v>
      </c>
      <c r="Q13" s="228">
        <f t="shared" si="6"/>
        <v>2</v>
      </c>
      <c r="R13" s="231">
        <f t="shared" si="7"/>
        <v>7299.3333333333339</v>
      </c>
      <c r="S13" s="232">
        <f t="shared" si="8"/>
        <v>0</v>
      </c>
      <c r="T13" s="232">
        <f t="shared" si="9"/>
        <v>0</v>
      </c>
      <c r="U13" s="232">
        <f t="shared" si="10"/>
        <v>2.333333333333333</v>
      </c>
      <c r="V13" s="233">
        <f t="shared" si="11"/>
        <v>2.333333333333333</v>
      </c>
      <c r="Y13" t="s">
        <v>287</v>
      </c>
      <c r="Z13">
        <f t="shared" si="12"/>
        <v>2018</v>
      </c>
      <c r="AA13" s="37">
        <v>174495</v>
      </c>
      <c r="AB13" s="37">
        <v>49473</v>
      </c>
      <c r="AC13" s="37">
        <v>29305</v>
      </c>
      <c r="AD13" s="37">
        <v>85107</v>
      </c>
      <c r="AE13" s="37">
        <v>10610</v>
      </c>
      <c r="AF13" s="37">
        <v>1195</v>
      </c>
      <c r="AG13" s="37">
        <v>1042</v>
      </c>
      <c r="AH13">
        <v>0</v>
      </c>
      <c r="AI13">
        <v>153</v>
      </c>
      <c r="AJ13">
        <v>0</v>
      </c>
      <c r="AK13" s="37">
        <v>2393</v>
      </c>
      <c r="AL13" s="37">
        <v>1176</v>
      </c>
      <c r="AM13">
        <v>0</v>
      </c>
      <c r="AN13" s="37">
        <v>1217</v>
      </c>
      <c r="AO13">
        <v>0</v>
      </c>
      <c r="AP13">
        <v>611</v>
      </c>
      <c r="AQ13">
        <v>370</v>
      </c>
      <c r="AR13">
        <v>0</v>
      </c>
      <c r="AS13">
        <v>196</v>
      </c>
      <c r="AT13">
        <v>45</v>
      </c>
    </row>
    <row r="14" spans="2:46" x14ac:dyDescent="0.35">
      <c r="B14" s="227" t="s">
        <v>291</v>
      </c>
      <c r="C14">
        <f t="shared" si="4"/>
        <v>2019</v>
      </c>
      <c r="D14" s="37">
        <v>2394</v>
      </c>
      <c r="E14">
        <v>0</v>
      </c>
      <c r="F14">
        <v>0</v>
      </c>
      <c r="G14">
        <v>0</v>
      </c>
      <c r="H14" s="228">
        <f t="shared" si="5"/>
        <v>0</v>
      </c>
      <c r="J14" s="229">
        <v>43070</v>
      </c>
      <c r="K14" s="13">
        <v>2017</v>
      </c>
      <c r="L14" s="230" t="s">
        <v>283</v>
      </c>
      <c r="M14" s="227">
        <f t="shared" si="0"/>
        <v>2642</v>
      </c>
      <c r="N14">
        <f t="shared" si="1"/>
        <v>0</v>
      </c>
      <c r="O14">
        <f t="shared" si="2"/>
        <v>0</v>
      </c>
      <c r="P14">
        <f t="shared" si="3"/>
        <v>2</v>
      </c>
      <c r="Q14" s="228">
        <f t="shared" si="6"/>
        <v>2</v>
      </c>
      <c r="R14" s="231">
        <f t="shared" si="7"/>
        <v>8180.0000000000009</v>
      </c>
      <c r="S14" s="232">
        <f t="shared" si="8"/>
        <v>0</v>
      </c>
      <c r="T14" s="232">
        <f t="shared" si="9"/>
        <v>0</v>
      </c>
      <c r="U14" s="232">
        <f t="shared" si="10"/>
        <v>2.9999999999999996</v>
      </c>
      <c r="V14" s="233">
        <f t="shared" si="11"/>
        <v>2.9999999999999996</v>
      </c>
      <c r="Y14" t="s">
        <v>288</v>
      </c>
      <c r="Z14">
        <f t="shared" si="12"/>
        <v>2019</v>
      </c>
      <c r="AA14" s="37">
        <v>168957</v>
      </c>
      <c r="AB14" s="37">
        <v>44428</v>
      </c>
      <c r="AC14" s="37">
        <v>28460</v>
      </c>
      <c r="AD14" s="37">
        <v>83778</v>
      </c>
      <c r="AE14" s="37">
        <v>12291</v>
      </c>
      <c r="AF14">
        <v>849</v>
      </c>
      <c r="AG14">
        <v>564</v>
      </c>
      <c r="AH14">
        <v>0</v>
      </c>
      <c r="AI14">
        <v>285</v>
      </c>
      <c r="AJ14">
        <v>0</v>
      </c>
      <c r="AK14" s="37">
        <v>2648</v>
      </c>
      <c r="AL14" s="37">
        <v>1907</v>
      </c>
      <c r="AM14">
        <v>0</v>
      </c>
      <c r="AN14">
        <v>741</v>
      </c>
      <c r="AO14">
        <v>0</v>
      </c>
      <c r="AP14">
        <v>493</v>
      </c>
      <c r="AQ14">
        <v>280</v>
      </c>
      <c r="AR14">
        <v>0</v>
      </c>
      <c r="AS14">
        <v>189</v>
      </c>
      <c r="AT14">
        <v>24</v>
      </c>
    </row>
    <row r="15" spans="2:46" x14ac:dyDescent="0.35">
      <c r="B15" s="227" t="s">
        <v>292</v>
      </c>
      <c r="C15">
        <f t="shared" si="4"/>
        <v>2020</v>
      </c>
      <c r="D15" s="37">
        <v>2102</v>
      </c>
      <c r="E15">
        <v>0</v>
      </c>
      <c r="F15">
        <v>0</v>
      </c>
      <c r="G15">
        <v>0</v>
      </c>
      <c r="H15" s="228">
        <f t="shared" si="5"/>
        <v>0</v>
      </c>
      <c r="J15" s="229">
        <v>43101</v>
      </c>
      <c r="K15" s="13">
        <v>2018</v>
      </c>
      <c r="L15" s="230" t="s">
        <v>284</v>
      </c>
      <c r="M15" s="227">
        <f t="shared" si="0"/>
        <v>2748</v>
      </c>
      <c r="N15">
        <f t="shared" si="1"/>
        <v>0</v>
      </c>
      <c r="O15">
        <f t="shared" si="2"/>
        <v>0</v>
      </c>
      <c r="P15">
        <f t="shared" si="3"/>
        <v>1</v>
      </c>
      <c r="Q15" s="228">
        <f t="shared" si="6"/>
        <v>1</v>
      </c>
      <c r="R15" s="231">
        <f t="shared" si="7"/>
        <v>9096</v>
      </c>
      <c r="S15" s="232">
        <f t="shared" si="8"/>
        <v>0</v>
      </c>
      <c r="T15" s="232">
        <f t="shared" si="9"/>
        <v>0</v>
      </c>
      <c r="U15" s="232">
        <f t="shared" si="10"/>
        <v>3.333333333333333</v>
      </c>
      <c r="V15" s="233">
        <f t="shared" si="11"/>
        <v>3.333333333333333</v>
      </c>
      <c r="Y15" t="s">
        <v>289</v>
      </c>
      <c r="Z15">
        <f t="shared" si="12"/>
        <v>2019</v>
      </c>
      <c r="AA15" s="37">
        <v>222798</v>
      </c>
      <c r="AB15" s="37">
        <v>62600</v>
      </c>
      <c r="AC15" s="37">
        <v>40636</v>
      </c>
      <c r="AD15" s="37">
        <v>105628</v>
      </c>
      <c r="AE15" s="37">
        <v>13934</v>
      </c>
      <c r="AF15" s="37">
        <v>1994</v>
      </c>
      <c r="AG15" s="37">
        <v>1658</v>
      </c>
      <c r="AH15">
        <v>0</v>
      </c>
      <c r="AI15">
        <v>336</v>
      </c>
      <c r="AJ15">
        <v>0</v>
      </c>
      <c r="AK15" s="37">
        <v>4327</v>
      </c>
      <c r="AL15" s="37">
        <v>1862</v>
      </c>
      <c r="AM15">
        <v>0</v>
      </c>
      <c r="AN15" s="37">
        <v>2465</v>
      </c>
      <c r="AO15">
        <v>0</v>
      </c>
      <c r="AP15">
        <v>884</v>
      </c>
      <c r="AQ15">
        <v>498</v>
      </c>
      <c r="AR15">
        <v>0</v>
      </c>
      <c r="AS15">
        <v>349</v>
      </c>
      <c r="AT15">
        <v>37</v>
      </c>
    </row>
    <row r="16" spans="2:46" x14ac:dyDescent="0.35">
      <c r="B16" s="227" t="s">
        <v>293</v>
      </c>
      <c r="C16">
        <f t="shared" si="4"/>
        <v>2020</v>
      </c>
      <c r="D16" s="37">
        <v>1640</v>
      </c>
      <c r="E16">
        <v>0</v>
      </c>
      <c r="F16">
        <v>0</v>
      </c>
      <c r="G16">
        <v>0</v>
      </c>
      <c r="H16" s="228">
        <f t="shared" si="5"/>
        <v>0</v>
      </c>
      <c r="J16" s="229">
        <v>43132</v>
      </c>
      <c r="K16" s="13">
        <v>2018</v>
      </c>
      <c r="L16" s="230" t="s">
        <v>284</v>
      </c>
      <c r="M16" s="227">
        <f t="shared" si="0"/>
        <v>2748</v>
      </c>
      <c r="N16">
        <f t="shared" si="1"/>
        <v>0</v>
      </c>
      <c r="O16">
        <f t="shared" si="2"/>
        <v>0</v>
      </c>
      <c r="P16">
        <f t="shared" si="3"/>
        <v>1</v>
      </c>
      <c r="Q16" s="228">
        <f t="shared" si="6"/>
        <v>1</v>
      </c>
      <c r="R16" s="231">
        <f t="shared" si="7"/>
        <v>10012</v>
      </c>
      <c r="S16" s="232">
        <f t="shared" si="8"/>
        <v>0</v>
      </c>
      <c r="T16" s="232">
        <f t="shared" si="9"/>
        <v>0</v>
      </c>
      <c r="U16" s="232">
        <f t="shared" si="10"/>
        <v>3.6666666666666665</v>
      </c>
      <c r="V16" s="233">
        <f t="shared" si="11"/>
        <v>3.6666666666666665</v>
      </c>
      <c r="Y16" t="s">
        <v>290</v>
      </c>
      <c r="Z16">
        <f t="shared" si="12"/>
        <v>2019</v>
      </c>
      <c r="AA16" s="37">
        <v>219577</v>
      </c>
      <c r="AB16" s="37">
        <v>56213</v>
      </c>
      <c r="AC16" s="37">
        <v>42340</v>
      </c>
      <c r="AD16" s="37">
        <v>108105</v>
      </c>
      <c r="AE16" s="37">
        <v>12919</v>
      </c>
      <c r="AF16" s="37">
        <v>2180</v>
      </c>
      <c r="AG16" s="37">
        <v>1844</v>
      </c>
      <c r="AH16">
        <v>0</v>
      </c>
      <c r="AI16">
        <v>336</v>
      </c>
      <c r="AJ16">
        <v>0</v>
      </c>
      <c r="AK16" s="37">
        <v>3982</v>
      </c>
      <c r="AL16" s="37">
        <v>2150</v>
      </c>
      <c r="AM16">
        <v>0</v>
      </c>
      <c r="AN16" s="37">
        <v>1832</v>
      </c>
      <c r="AO16">
        <v>0</v>
      </c>
      <c r="AP16">
        <v>968</v>
      </c>
      <c r="AQ16">
        <v>644</v>
      </c>
      <c r="AR16">
        <v>0</v>
      </c>
      <c r="AS16">
        <v>306</v>
      </c>
      <c r="AT16">
        <v>18</v>
      </c>
    </row>
    <row r="17" spans="2:46" x14ac:dyDescent="0.35">
      <c r="B17" s="227" t="s">
        <v>294</v>
      </c>
      <c r="C17">
        <f t="shared" si="4"/>
        <v>2020</v>
      </c>
      <c r="D17" s="37">
        <v>3296</v>
      </c>
      <c r="E17">
        <v>0</v>
      </c>
      <c r="F17">
        <v>0</v>
      </c>
      <c r="G17">
        <v>0</v>
      </c>
      <c r="H17" s="228">
        <f t="shared" si="5"/>
        <v>0</v>
      </c>
      <c r="J17" s="229">
        <v>43160</v>
      </c>
      <c r="K17" s="13">
        <v>2018</v>
      </c>
      <c r="L17" s="230" t="s">
        <v>284</v>
      </c>
      <c r="M17" s="227">
        <f t="shared" si="0"/>
        <v>2748</v>
      </c>
      <c r="N17">
        <f t="shared" si="1"/>
        <v>0</v>
      </c>
      <c r="O17">
        <f t="shared" si="2"/>
        <v>0</v>
      </c>
      <c r="P17">
        <f t="shared" si="3"/>
        <v>1</v>
      </c>
      <c r="Q17" s="228">
        <f t="shared" si="6"/>
        <v>1</v>
      </c>
      <c r="R17" s="231">
        <f t="shared" si="7"/>
        <v>10928</v>
      </c>
      <c r="S17" s="232">
        <f t="shared" si="8"/>
        <v>0</v>
      </c>
      <c r="T17" s="232">
        <f t="shared" si="9"/>
        <v>0</v>
      </c>
      <c r="U17" s="232">
        <f t="shared" si="10"/>
        <v>4</v>
      </c>
      <c r="V17" s="233">
        <f t="shared" si="11"/>
        <v>4</v>
      </c>
      <c r="Y17" t="s">
        <v>291</v>
      </c>
      <c r="Z17">
        <f t="shared" si="12"/>
        <v>2019</v>
      </c>
      <c r="AA17" s="37">
        <v>184747</v>
      </c>
      <c r="AB17" s="37">
        <v>42523</v>
      </c>
      <c r="AC17" s="37">
        <v>33225</v>
      </c>
      <c r="AD17" s="37">
        <v>98451</v>
      </c>
      <c r="AE17" s="37">
        <v>10548</v>
      </c>
      <c r="AF17" s="37">
        <v>1538</v>
      </c>
      <c r="AG17" s="37">
        <v>1194</v>
      </c>
      <c r="AH17">
        <v>0</v>
      </c>
      <c r="AI17">
        <v>344</v>
      </c>
      <c r="AJ17">
        <v>0</v>
      </c>
      <c r="AK17" s="37">
        <v>3507</v>
      </c>
      <c r="AL17" s="37">
        <v>1792</v>
      </c>
      <c r="AM17">
        <v>0</v>
      </c>
      <c r="AN17" s="37">
        <v>1715</v>
      </c>
      <c r="AO17">
        <v>0</v>
      </c>
      <c r="AP17">
        <v>856</v>
      </c>
      <c r="AQ17">
        <v>442</v>
      </c>
      <c r="AR17">
        <v>0</v>
      </c>
      <c r="AS17">
        <v>401</v>
      </c>
      <c r="AT17">
        <v>13</v>
      </c>
    </row>
    <row r="18" spans="2:46" x14ac:dyDescent="0.35">
      <c r="B18" s="227" t="s">
        <v>295</v>
      </c>
      <c r="C18">
        <f t="shared" si="4"/>
        <v>2020</v>
      </c>
      <c r="D18" s="37">
        <v>3477</v>
      </c>
      <c r="E18">
        <v>0</v>
      </c>
      <c r="F18">
        <v>0</v>
      </c>
      <c r="G18">
        <v>1</v>
      </c>
      <c r="H18" s="228">
        <f t="shared" si="5"/>
        <v>1</v>
      </c>
      <c r="J18" s="229">
        <v>43191</v>
      </c>
      <c r="K18" s="13">
        <v>2018</v>
      </c>
      <c r="L18" s="230" t="s">
        <v>285</v>
      </c>
      <c r="M18" s="227">
        <f t="shared" si="0"/>
        <v>6946</v>
      </c>
      <c r="N18">
        <f t="shared" si="1"/>
        <v>0</v>
      </c>
      <c r="O18">
        <f t="shared" si="2"/>
        <v>0</v>
      </c>
      <c r="P18">
        <f t="shared" si="3"/>
        <v>1</v>
      </c>
      <c r="Q18" s="228">
        <f t="shared" si="6"/>
        <v>1</v>
      </c>
      <c r="R18" s="231">
        <f t="shared" si="7"/>
        <v>13243.333333333334</v>
      </c>
      <c r="S18" s="232">
        <f t="shared" si="8"/>
        <v>0</v>
      </c>
      <c r="T18" s="232">
        <f t="shared" si="9"/>
        <v>0</v>
      </c>
      <c r="U18" s="232">
        <f t="shared" si="10"/>
        <v>4.333333333333333</v>
      </c>
      <c r="V18" s="233">
        <f t="shared" si="11"/>
        <v>4.333333333333333</v>
      </c>
      <c r="Y18" t="s">
        <v>292</v>
      </c>
      <c r="Z18">
        <f t="shared" si="12"/>
        <v>2020</v>
      </c>
      <c r="AA18" s="37">
        <v>139116</v>
      </c>
      <c r="AB18" s="37">
        <v>30723</v>
      </c>
      <c r="AC18" s="37">
        <v>30242</v>
      </c>
      <c r="AD18" s="37">
        <v>69100</v>
      </c>
      <c r="AE18" s="37">
        <v>9051</v>
      </c>
      <c r="AF18" s="37">
        <v>1554</v>
      </c>
      <c r="AG18" s="37">
        <v>1259</v>
      </c>
      <c r="AH18">
        <v>0</v>
      </c>
      <c r="AI18">
        <v>295</v>
      </c>
      <c r="AJ18">
        <v>0</v>
      </c>
      <c r="AK18" s="37">
        <v>3365</v>
      </c>
      <c r="AL18" s="37">
        <v>1523</v>
      </c>
      <c r="AM18">
        <v>0</v>
      </c>
      <c r="AN18" s="37">
        <v>1842</v>
      </c>
      <c r="AO18">
        <v>0</v>
      </c>
      <c r="AP18">
        <v>548</v>
      </c>
      <c r="AQ18">
        <v>280</v>
      </c>
      <c r="AR18">
        <v>0</v>
      </c>
      <c r="AS18">
        <v>228</v>
      </c>
      <c r="AT18">
        <v>40</v>
      </c>
    </row>
    <row r="19" spans="2:46" x14ac:dyDescent="0.35">
      <c r="B19" s="227" t="s">
        <v>296</v>
      </c>
      <c r="C19">
        <f t="shared" si="4"/>
        <v>2021</v>
      </c>
      <c r="D19" s="37">
        <v>3329</v>
      </c>
      <c r="E19">
        <v>0</v>
      </c>
      <c r="F19">
        <v>0</v>
      </c>
      <c r="G19">
        <v>0</v>
      </c>
      <c r="H19" s="228">
        <f t="shared" si="5"/>
        <v>0</v>
      </c>
      <c r="J19" s="229">
        <v>43221</v>
      </c>
      <c r="K19" s="13">
        <v>2018</v>
      </c>
      <c r="L19" s="230" t="s">
        <v>285</v>
      </c>
      <c r="M19" s="227">
        <f t="shared" si="0"/>
        <v>6946</v>
      </c>
      <c r="N19">
        <f t="shared" si="1"/>
        <v>0</v>
      </c>
      <c r="O19">
        <f t="shared" si="2"/>
        <v>0</v>
      </c>
      <c r="P19">
        <f t="shared" si="3"/>
        <v>1</v>
      </c>
      <c r="Q19" s="228">
        <f t="shared" si="6"/>
        <v>1</v>
      </c>
      <c r="R19" s="231">
        <f t="shared" si="7"/>
        <v>15558.666666666668</v>
      </c>
      <c r="S19" s="232">
        <f t="shared" si="8"/>
        <v>0</v>
      </c>
      <c r="T19" s="232">
        <f t="shared" si="9"/>
        <v>0</v>
      </c>
      <c r="U19" s="232">
        <f t="shared" si="10"/>
        <v>4.6666666666666661</v>
      </c>
      <c r="V19" s="233">
        <f t="shared" si="11"/>
        <v>4.6666666666666661</v>
      </c>
      <c r="Y19" t="s">
        <v>293</v>
      </c>
      <c r="Z19">
        <f t="shared" si="12"/>
        <v>2020</v>
      </c>
      <c r="AA19" s="37">
        <v>109197</v>
      </c>
      <c r="AB19" s="37">
        <v>23550</v>
      </c>
      <c r="AC19" s="37">
        <v>25679</v>
      </c>
      <c r="AD19" s="37">
        <v>53780</v>
      </c>
      <c r="AE19" s="37">
        <v>6188</v>
      </c>
      <c r="AF19" s="37">
        <v>1217</v>
      </c>
      <c r="AG19">
        <v>819</v>
      </c>
      <c r="AH19">
        <v>0</v>
      </c>
      <c r="AI19">
        <v>398</v>
      </c>
      <c r="AJ19">
        <v>0</v>
      </c>
      <c r="AK19" s="37">
        <v>2612</v>
      </c>
      <c r="AL19">
        <v>978</v>
      </c>
      <c r="AM19">
        <v>0</v>
      </c>
      <c r="AN19" s="37">
        <v>1634</v>
      </c>
      <c r="AO19">
        <v>0</v>
      </c>
      <c r="AP19">
        <v>423</v>
      </c>
      <c r="AQ19">
        <v>191</v>
      </c>
      <c r="AR19">
        <v>0</v>
      </c>
      <c r="AS19">
        <v>211</v>
      </c>
      <c r="AT19">
        <v>21</v>
      </c>
    </row>
    <row r="20" spans="2:46" x14ac:dyDescent="0.35">
      <c r="B20" s="227" t="s">
        <v>297</v>
      </c>
      <c r="C20">
        <f t="shared" si="4"/>
        <v>2021</v>
      </c>
      <c r="D20" s="37">
        <v>5096</v>
      </c>
      <c r="E20">
        <v>1</v>
      </c>
      <c r="F20">
        <v>1</v>
      </c>
      <c r="G20">
        <v>2</v>
      </c>
      <c r="H20" s="228">
        <f t="shared" si="5"/>
        <v>4</v>
      </c>
      <c r="J20" s="229">
        <v>43252</v>
      </c>
      <c r="K20" s="13">
        <v>2018</v>
      </c>
      <c r="L20" s="230" t="s">
        <v>285</v>
      </c>
      <c r="M20" s="227">
        <f t="shared" si="0"/>
        <v>6946</v>
      </c>
      <c r="N20">
        <f t="shared" si="1"/>
        <v>0</v>
      </c>
      <c r="O20">
        <f t="shared" si="2"/>
        <v>0</v>
      </c>
      <c r="P20">
        <f t="shared" si="3"/>
        <v>1</v>
      </c>
      <c r="Q20" s="228">
        <f t="shared" si="6"/>
        <v>1</v>
      </c>
      <c r="R20" s="231">
        <f t="shared" si="7"/>
        <v>17874</v>
      </c>
      <c r="S20" s="232">
        <f t="shared" si="8"/>
        <v>0</v>
      </c>
      <c r="T20" s="232">
        <f t="shared" si="9"/>
        <v>0</v>
      </c>
      <c r="U20" s="232">
        <f t="shared" si="10"/>
        <v>4.9999999999999991</v>
      </c>
      <c r="V20" s="233">
        <f t="shared" si="11"/>
        <v>4.9999999999999991</v>
      </c>
      <c r="Y20" t="s">
        <v>294</v>
      </c>
      <c r="Z20">
        <f t="shared" si="12"/>
        <v>2020</v>
      </c>
      <c r="AA20" s="37">
        <v>198406</v>
      </c>
      <c r="AB20" s="37">
        <v>41219</v>
      </c>
      <c r="AC20" s="37">
        <v>41892</v>
      </c>
      <c r="AD20" s="37">
        <v>103833</v>
      </c>
      <c r="AE20" s="37">
        <v>11462</v>
      </c>
      <c r="AF20" s="37">
        <v>2554</v>
      </c>
      <c r="AG20" s="37">
        <v>1258</v>
      </c>
      <c r="AH20">
        <v>0</v>
      </c>
      <c r="AI20" s="37">
        <v>1296</v>
      </c>
      <c r="AJ20">
        <v>0</v>
      </c>
      <c r="AK20" s="37">
        <v>5663</v>
      </c>
      <c r="AL20" s="37">
        <v>1468</v>
      </c>
      <c r="AM20">
        <v>0</v>
      </c>
      <c r="AN20" s="37">
        <v>4195</v>
      </c>
      <c r="AO20">
        <v>0</v>
      </c>
      <c r="AP20">
        <v>742</v>
      </c>
      <c r="AQ20">
        <v>316</v>
      </c>
      <c r="AR20">
        <v>0</v>
      </c>
      <c r="AS20">
        <v>392</v>
      </c>
      <c r="AT20">
        <v>34</v>
      </c>
    </row>
    <row r="21" spans="2:46" x14ac:dyDescent="0.35">
      <c r="B21" s="227" t="s">
        <v>298</v>
      </c>
      <c r="C21">
        <f t="shared" si="4"/>
        <v>2021</v>
      </c>
      <c r="D21" s="37">
        <v>5162</v>
      </c>
      <c r="E21">
        <v>2</v>
      </c>
      <c r="F21">
        <v>0</v>
      </c>
      <c r="G21">
        <v>1</v>
      </c>
      <c r="H21" s="228">
        <f t="shared" si="5"/>
        <v>3</v>
      </c>
      <c r="J21" s="229">
        <v>43282</v>
      </c>
      <c r="K21" s="13">
        <v>2018</v>
      </c>
      <c r="L21" s="230" t="s">
        <v>286</v>
      </c>
      <c r="M21" s="227">
        <f t="shared" si="0"/>
        <v>5258</v>
      </c>
      <c r="N21">
        <f t="shared" si="1"/>
        <v>0</v>
      </c>
      <c r="O21">
        <f t="shared" si="2"/>
        <v>1</v>
      </c>
      <c r="P21">
        <f t="shared" si="3"/>
        <v>1</v>
      </c>
      <c r="Q21" s="228">
        <f t="shared" si="6"/>
        <v>2</v>
      </c>
      <c r="R21" s="231">
        <f t="shared" si="7"/>
        <v>19626.666666666668</v>
      </c>
      <c r="S21" s="232">
        <f t="shared" si="8"/>
        <v>0</v>
      </c>
      <c r="T21" s="232">
        <f t="shared" si="9"/>
        <v>0.33333333333333331</v>
      </c>
      <c r="U21" s="232">
        <f t="shared" si="10"/>
        <v>5.3333333333333321</v>
      </c>
      <c r="V21" s="233">
        <f t="shared" si="11"/>
        <v>5.6666666666666661</v>
      </c>
      <c r="Y21" t="s">
        <v>295</v>
      </c>
      <c r="Z21">
        <f t="shared" si="12"/>
        <v>2020</v>
      </c>
      <c r="AA21" s="37">
        <v>153907</v>
      </c>
      <c r="AB21" s="37">
        <v>29160</v>
      </c>
      <c r="AC21" s="37">
        <v>29957</v>
      </c>
      <c r="AD21" s="37">
        <v>86256</v>
      </c>
      <c r="AE21" s="37">
        <v>8534</v>
      </c>
      <c r="AF21" s="37">
        <v>2833</v>
      </c>
      <c r="AG21" s="37">
        <v>1357</v>
      </c>
      <c r="AH21">
        <v>0</v>
      </c>
      <c r="AI21" s="37">
        <v>1476</v>
      </c>
      <c r="AJ21">
        <v>0</v>
      </c>
      <c r="AK21" s="37">
        <v>5167</v>
      </c>
      <c r="AL21" s="37">
        <v>1196</v>
      </c>
      <c r="AM21">
        <v>10</v>
      </c>
      <c r="AN21" s="37">
        <v>3961</v>
      </c>
      <c r="AO21">
        <v>0</v>
      </c>
      <c r="AP21">
        <v>644</v>
      </c>
      <c r="AQ21">
        <v>219</v>
      </c>
      <c r="AR21">
        <v>0</v>
      </c>
      <c r="AS21">
        <v>385</v>
      </c>
      <c r="AT21">
        <v>40</v>
      </c>
    </row>
    <row r="22" spans="2:46" x14ac:dyDescent="0.35">
      <c r="B22" s="227" t="s">
        <v>299</v>
      </c>
      <c r="C22">
        <f t="shared" si="4"/>
        <v>2021</v>
      </c>
      <c r="D22" s="37">
        <v>6139</v>
      </c>
      <c r="E22">
        <v>0</v>
      </c>
      <c r="F22">
        <v>0</v>
      </c>
      <c r="G22">
        <v>0</v>
      </c>
      <c r="H22" s="228">
        <f t="shared" si="5"/>
        <v>0</v>
      </c>
      <c r="J22" s="229">
        <v>43313</v>
      </c>
      <c r="K22" s="13">
        <v>2018</v>
      </c>
      <c r="L22" s="230" t="s">
        <v>286</v>
      </c>
      <c r="M22" s="227">
        <f t="shared" si="0"/>
        <v>5258</v>
      </c>
      <c r="N22">
        <f t="shared" si="1"/>
        <v>0</v>
      </c>
      <c r="O22">
        <f t="shared" si="2"/>
        <v>1</v>
      </c>
      <c r="P22">
        <f t="shared" si="3"/>
        <v>1</v>
      </c>
      <c r="Q22" s="228">
        <f t="shared" si="6"/>
        <v>2</v>
      </c>
      <c r="R22" s="231">
        <f t="shared" si="7"/>
        <v>21379.333333333336</v>
      </c>
      <c r="S22" s="232">
        <f t="shared" si="8"/>
        <v>0</v>
      </c>
      <c r="T22" s="232">
        <f t="shared" si="9"/>
        <v>0.66666666666666663</v>
      </c>
      <c r="U22" s="232">
        <f t="shared" si="10"/>
        <v>5.6666666666666652</v>
      </c>
      <c r="V22" s="233">
        <f t="shared" si="11"/>
        <v>6.333333333333333</v>
      </c>
      <c r="Y22" t="s">
        <v>296</v>
      </c>
      <c r="Z22">
        <f t="shared" si="12"/>
        <v>2021</v>
      </c>
      <c r="AA22" s="37">
        <v>141788</v>
      </c>
      <c r="AB22" s="37">
        <v>24678</v>
      </c>
      <c r="AC22" s="37">
        <v>31358</v>
      </c>
      <c r="AD22" s="37">
        <v>77953</v>
      </c>
      <c r="AE22" s="37">
        <v>7799</v>
      </c>
      <c r="AF22" s="37">
        <v>2568</v>
      </c>
      <c r="AG22">
        <v>989</v>
      </c>
      <c r="AH22">
        <v>0</v>
      </c>
      <c r="AI22" s="37">
        <v>1579</v>
      </c>
      <c r="AJ22">
        <v>0</v>
      </c>
      <c r="AK22" s="37">
        <v>5850</v>
      </c>
      <c r="AL22" s="37">
        <v>1277</v>
      </c>
      <c r="AM22">
        <v>468</v>
      </c>
      <c r="AN22" s="37">
        <v>3291</v>
      </c>
      <c r="AO22">
        <v>814</v>
      </c>
      <c r="AP22">
        <v>761</v>
      </c>
      <c r="AQ22">
        <v>182</v>
      </c>
      <c r="AR22">
        <v>0</v>
      </c>
      <c r="AS22">
        <v>512</v>
      </c>
      <c r="AT22">
        <v>67</v>
      </c>
    </row>
    <row r="23" spans="2:46" x14ac:dyDescent="0.35">
      <c r="B23" s="227" t="s">
        <v>300</v>
      </c>
      <c r="C23">
        <f t="shared" si="4"/>
        <v>2022</v>
      </c>
      <c r="D23" s="37">
        <v>7123</v>
      </c>
      <c r="E23">
        <v>1</v>
      </c>
      <c r="F23">
        <v>0</v>
      </c>
      <c r="G23">
        <v>2</v>
      </c>
      <c r="H23" s="228">
        <f t="shared" si="5"/>
        <v>3</v>
      </c>
      <c r="J23" s="229">
        <v>43344</v>
      </c>
      <c r="K23" s="13">
        <v>2018</v>
      </c>
      <c r="L23" s="230" t="s">
        <v>286</v>
      </c>
      <c r="M23" s="227">
        <f t="shared" si="0"/>
        <v>5258</v>
      </c>
      <c r="N23">
        <f t="shared" si="1"/>
        <v>0</v>
      </c>
      <c r="O23">
        <f t="shared" si="2"/>
        <v>1</v>
      </c>
      <c r="P23">
        <f t="shared" si="3"/>
        <v>1</v>
      </c>
      <c r="Q23" s="228">
        <f t="shared" si="6"/>
        <v>2</v>
      </c>
      <c r="R23" s="231">
        <f t="shared" si="7"/>
        <v>23132.000000000004</v>
      </c>
      <c r="S23" s="232">
        <f t="shared" si="8"/>
        <v>0</v>
      </c>
      <c r="T23" s="232">
        <f t="shared" si="9"/>
        <v>1</v>
      </c>
      <c r="U23" s="232">
        <f t="shared" si="10"/>
        <v>5.9999999999999982</v>
      </c>
      <c r="V23" s="233">
        <f t="shared" si="11"/>
        <v>7</v>
      </c>
      <c r="Y23" t="s">
        <v>297</v>
      </c>
      <c r="Z23">
        <f t="shared" si="12"/>
        <v>2021</v>
      </c>
      <c r="AA23" s="37">
        <v>180118</v>
      </c>
      <c r="AB23" s="37">
        <v>38742</v>
      </c>
      <c r="AC23" s="37">
        <v>30651</v>
      </c>
      <c r="AD23" s="37">
        <v>102427</v>
      </c>
      <c r="AE23" s="37">
        <v>8298</v>
      </c>
      <c r="AF23" s="37">
        <v>3710</v>
      </c>
      <c r="AG23" s="37">
        <v>1648</v>
      </c>
      <c r="AH23">
        <v>0</v>
      </c>
      <c r="AI23" s="37">
        <v>2062</v>
      </c>
      <c r="AJ23">
        <v>0</v>
      </c>
      <c r="AK23" s="37">
        <v>11078</v>
      </c>
      <c r="AL23" s="37">
        <v>2150</v>
      </c>
      <c r="AM23">
        <v>546</v>
      </c>
      <c r="AN23" s="37">
        <v>6774</v>
      </c>
      <c r="AO23" s="37">
        <v>1608</v>
      </c>
      <c r="AP23" s="37">
        <v>1386</v>
      </c>
      <c r="AQ23">
        <v>267</v>
      </c>
      <c r="AR23">
        <v>0</v>
      </c>
      <c r="AS23" s="37">
        <v>1063</v>
      </c>
      <c r="AT23">
        <v>56</v>
      </c>
    </row>
    <row r="24" spans="2:46" x14ac:dyDescent="0.35">
      <c r="B24" s="227" t="s">
        <v>301</v>
      </c>
      <c r="C24">
        <f t="shared" si="4"/>
        <v>2022</v>
      </c>
      <c r="D24" s="37">
        <v>9533</v>
      </c>
      <c r="E24">
        <v>0</v>
      </c>
      <c r="F24">
        <v>1</v>
      </c>
      <c r="G24">
        <v>3</v>
      </c>
      <c r="H24" s="228">
        <f t="shared" si="5"/>
        <v>4</v>
      </c>
      <c r="J24" s="229">
        <v>43374</v>
      </c>
      <c r="K24" s="13">
        <v>2018</v>
      </c>
      <c r="L24" s="230" t="s">
        <v>287</v>
      </c>
      <c r="M24" s="227">
        <f t="shared" si="0"/>
        <v>1806</v>
      </c>
      <c r="N24">
        <f t="shared" si="1"/>
        <v>0</v>
      </c>
      <c r="O24">
        <f t="shared" si="2"/>
        <v>0</v>
      </c>
      <c r="P24">
        <f t="shared" si="3"/>
        <v>2</v>
      </c>
      <c r="Q24" s="228">
        <f t="shared" si="6"/>
        <v>2</v>
      </c>
      <c r="R24" s="231">
        <f t="shared" si="7"/>
        <v>23734.000000000004</v>
      </c>
      <c r="S24" s="232">
        <f t="shared" si="8"/>
        <v>0</v>
      </c>
      <c r="T24" s="232">
        <f t="shared" si="9"/>
        <v>1</v>
      </c>
      <c r="U24" s="232">
        <f t="shared" si="10"/>
        <v>6.6666666666666652</v>
      </c>
      <c r="V24" s="233">
        <f t="shared" si="11"/>
        <v>7.666666666666667</v>
      </c>
      <c r="Y24" t="s">
        <v>298</v>
      </c>
      <c r="Z24">
        <f t="shared" si="12"/>
        <v>2021</v>
      </c>
      <c r="AA24" s="37">
        <v>174623</v>
      </c>
      <c r="AB24" s="37">
        <v>39861</v>
      </c>
      <c r="AC24" s="37">
        <v>27990</v>
      </c>
      <c r="AD24" s="37">
        <v>99057</v>
      </c>
      <c r="AE24" s="37">
        <v>7715</v>
      </c>
      <c r="AF24" s="37">
        <v>3671</v>
      </c>
      <c r="AG24" s="37">
        <v>2019</v>
      </c>
      <c r="AH24">
        <v>0</v>
      </c>
      <c r="AI24" s="37">
        <v>1652</v>
      </c>
      <c r="AJ24">
        <v>0</v>
      </c>
      <c r="AK24" s="37">
        <v>10252</v>
      </c>
      <c r="AL24" s="37">
        <v>2571</v>
      </c>
      <c r="AM24">
        <v>653</v>
      </c>
      <c r="AN24" s="37">
        <v>5495</v>
      </c>
      <c r="AO24" s="37">
        <v>1533</v>
      </c>
      <c r="AP24" s="37">
        <v>1491</v>
      </c>
      <c r="AQ24">
        <v>382</v>
      </c>
      <c r="AR24">
        <v>0</v>
      </c>
      <c r="AS24">
        <v>979</v>
      </c>
      <c r="AT24">
        <v>130</v>
      </c>
    </row>
    <row r="25" spans="2:46" x14ac:dyDescent="0.35">
      <c r="B25" s="227" t="s">
        <v>302</v>
      </c>
      <c r="C25">
        <f t="shared" si="4"/>
        <v>2022</v>
      </c>
      <c r="D25" s="37">
        <v>11017</v>
      </c>
      <c r="E25">
        <v>0</v>
      </c>
      <c r="F25">
        <v>2</v>
      </c>
      <c r="G25">
        <v>4</v>
      </c>
      <c r="H25" s="228">
        <f t="shared" si="5"/>
        <v>6</v>
      </c>
      <c r="J25" s="229">
        <v>43405</v>
      </c>
      <c r="K25" s="13">
        <v>2018</v>
      </c>
      <c r="L25" s="230" t="s">
        <v>287</v>
      </c>
      <c r="M25" s="227">
        <f t="shared" si="0"/>
        <v>1806</v>
      </c>
      <c r="N25">
        <f t="shared" si="1"/>
        <v>0</v>
      </c>
      <c r="O25">
        <f t="shared" si="2"/>
        <v>0</v>
      </c>
      <c r="P25">
        <f t="shared" si="3"/>
        <v>2</v>
      </c>
      <c r="Q25" s="228">
        <f t="shared" si="6"/>
        <v>2</v>
      </c>
      <c r="R25" s="231">
        <f t="shared" si="7"/>
        <v>24336.000000000004</v>
      </c>
      <c r="S25" s="232">
        <f t="shared" si="8"/>
        <v>0</v>
      </c>
      <c r="T25" s="232">
        <f t="shared" si="9"/>
        <v>1</v>
      </c>
      <c r="U25" s="232">
        <f t="shared" si="10"/>
        <v>7.3333333333333321</v>
      </c>
      <c r="V25" s="233">
        <f t="shared" si="11"/>
        <v>8.3333333333333339</v>
      </c>
      <c r="Y25" t="s">
        <v>299</v>
      </c>
      <c r="Z25">
        <f t="shared" si="12"/>
        <v>2021</v>
      </c>
      <c r="AA25" s="37">
        <v>130605</v>
      </c>
      <c r="AB25" s="37">
        <v>25552</v>
      </c>
      <c r="AC25" s="37">
        <v>27895</v>
      </c>
      <c r="AD25" s="37">
        <v>72981</v>
      </c>
      <c r="AE25" s="37">
        <v>4177</v>
      </c>
      <c r="AF25" s="37">
        <v>4799</v>
      </c>
      <c r="AG25" s="37">
        <v>2350</v>
      </c>
      <c r="AH25">
        <v>0</v>
      </c>
      <c r="AI25" s="37">
        <v>2449</v>
      </c>
      <c r="AJ25">
        <v>0</v>
      </c>
      <c r="AK25" s="37">
        <v>6163</v>
      </c>
      <c r="AL25" s="37">
        <v>1131</v>
      </c>
      <c r="AM25">
        <v>661</v>
      </c>
      <c r="AN25" s="37">
        <v>3297</v>
      </c>
      <c r="AO25" s="37">
        <v>1074</v>
      </c>
      <c r="AP25" s="37">
        <v>1340</v>
      </c>
      <c r="AQ25">
        <v>198</v>
      </c>
      <c r="AR25">
        <v>0</v>
      </c>
      <c r="AS25" s="37">
        <v>1114</v>
      </c>
      <c r="AT25">
        <v>28</v>
      </c>
    </row>
    <row r="26" spans="2:46" x14ac:dyDescent="0.35">
      <c r="B26" s="227" t="s">
        <v>303</v>
      </c>
      <c r="C26">
        <f t="shared" si="4"/>
        <v>2022</v>
      </c>
      <c r="D26" s="37">
        <v>10982</v>
      </c>
      <c r="E26">
        <v>1</v>
      </c>
      <c r="F26">
        <v>2</v>
      </c>
      <c r="G26">
        <v>0</v>
      </c>
      <c r="H26" s="228">
        <f t="shared" si="5"/>
        <v>3</v>
      </c>
      <c r="J26" s="229">
        <v>43435</v>
      </c>
      <c r="K26" s="13">
        <v>2018</v>
      </c>
      <c r="L26" s="230" t="s">
        <v>287</v>
      </c>
      <c r="M26" s="227">
        <f t="shared" si="0"/>
        <v>1806</v>
      </c>
      <c r="N26">
        <f t="shared" si="1"/>
        <v>0</v>
      </c>
      <c r="O26">
        <f t="shared" si="2"/>
        <v>0</v>
      </c>
      <c r="P26">
        <f t="shared" si="3"/>
        <v>2</v>
      </c>
      <c r="Q26" s="228">
        <f t="shared" si="6"/>
        <v>2</v>
      </c>
      <c r="R26" s="231">
        <f t="shared" si="7"/>
        <v>24938.000000000004</v>
      </c>
      <c r="S26" s="232">
        <f t="shared" si="8"/>
        <v>0</v>
      </c>
      <c r="T26" s="232">
        <f t="shared" si="9"/>
        <v>1</v>
      </c>
      <c r="U26" s="232">
        <f t="shared" si="10"/>
        <v>7.9999999999999991</v>
      </c>
      <c r="V26" s="233">
        <f t="shared" si="11"/>
        <v>9</v>
      </c>
      <c r="Y26" t="s">
        <v>300</v>
      </c>
      <c r="Z26">
        <f t="shared" si="12"/>
        <v>2022</v>
      </c>
      <c r="AA26" s="37">
        <v>135121</v>
      </c>
      <c r="AB26" s="37">
        <v>24106</v>
      </c>
      <c r="AC26" s="37">
        <v>26220</v>
      </c>
      <c r="AD26" s="37">
        <v>79256</v>
      </c>
      <c r="AE26" s="37">
        <v>5539</v>
      </c>
      <c r="AF26" s="37">
        <v>5688</v>
      </c>
      <c r="AG26" s="37">
        <v>2870</v>
      </c>
      <c r="AH26">
        <v>0</v>
      </c>
      <c r="AI26" s="37">
        <v>2814</v>
      </c>
      <c r="AJ26">
        <v>4</v>
      </c>
      <c r="AK26" s="37">
        <v>7048</v>
      </c>
      <c r="AL26" s="37">
        <v>1845</v>
      </c>
      <c r="AM26">
        <v>561</v>
      </c>
      <c r="AN26" s="37">
        <v>3757</v>
      </c>
      <c r="AO26">
        <v>885</v>
      </c>
      <c r="AP26" s="37">
        <v>1435</v>
      </c>
      <c r="AQ26">
        <v>151</v>
      </c>
      <c r="AR26">
        <v>0</v>
      </c>
      <c r="AS26" s="37">
        <v>1043</v>
      </c>
      <c r="AT26">
        <v>241</v>
      </c>
    </row>
    <row r="27" spans="2:46" x14ac:dyDescent="0.35">
      <c r="B27" s="227" t="s">
        <v>304</v>
      </c>
      <c r="C27">
        <f t="shared" si="4"/>
        <v>2023</v>
      </c>
      <c r="D27" s="37">
        <v>8460</v>
      </c>
      <c r="E27">
        <v>0</v>
      </c>
      <c r="F27">
        <v>1</v>
      </c>
      <c r="G27">
        <v>1</v>
      </c>
      <c r="H27" s="228">
        <f t="shared" si="5"/>
        <v>2</v>
      </c>
      <c r="J27" s="229">
        <v>43466</v>
      </c>
      <c r="K27" s="13">
        <v>2019</v>
      </c>
      <c r="L27" s="230" t="s">
        <v>288</v>
      </c>
      <c r="M27" s="227">
        <f t="shared" si="0"/>
        <v>1342</v>
      </c>
      <c r="N27">
        <f t="shared" si="1"/>
        <v>0</v>
      </c>
      <c r="O27">
        <f t="shared" si="2"/>
        <v>0</v>
      </c>
      <c r="P27">
        <f t="shared" si="3"/>
        <v>1</v>
      </c>
      <c r="Q27" s="228">
        <f t="shared" si="6"/>
        <v>1</v>
      </c>
      <c r="R27" s="231">
        <f t="shared" si="7"/>
        <v>25385.333333333336</v>
      </c>
      <c r="S27" s="232">
        <f t="shared" si="8"/>
        <v>0</v>
      </c>
      <c r="T27" s="232">
        <f t="shared" si="9"/>
        <v>1</v>
      </c>
      <c r="U27" s="232">
        <f t="shared" si="10"/>
        <v>8.3333333333333321</v>
      </c>
      <c r="V27" s="233">
        <f t="shared" si="11"/>
        <v>9.3333333333333339</v>
      </c>
      <c r="Y27" t="s">
        <v>301</v>
      </c>
      <c r="Z27">
        <f t="shared" si="12"/>
        <v>2022</v>
      </c>
      <c r="AA27" s="37">
        <v>169211</v>
      </c>
      <c r="AB27" s="37">
        <v>32482</v>
      </c>
      <c r="AC27" s="37">
        <v>34808</v>
      </c>
      <c r="AD27" s="37">
        <v>96317</v>
      </c>
      <c r="AE27" s="37">
        <v>5604</v>
      </c>
      <c r="AF27" s="37">
        <v>7877</v>
      </c>
      <c r="AG27" s="37">
        <v>2905</v>
      </c>
      <c r="AH27">
        <v>59</v>
      </c>
      <c r="AI27" s="37">
        <v>4869</v>
      </c>
      <c r="AJ27">
        <v>44</v>
      </c>
      <c r="AK27" s="37">
        <v>11650</v>
      </c>
      <c r="AL27" s="37">
        <v>2285</v>
      </c>
      <c r="AM27" s="37">
        <v>1510</v>
      </c>
      <c r="AN27" s="37">
        <v>7089</v>
      </c>
      <c r="AO27">
        <v>766</v>
      </c>
      <c r="AP27" s="37">
        <v>1656</v>
      </c>
      <c r="AQ27">
        <v>270</v>
      </c>
      <c r="AR27">
        <v>0</v>
      </c>
      <c r="AS27" s="37">
        <v>1269</v>
      </c>
      <c r="AT27">
        <v>117</v>
      </c>
    </row>
    <row r="28" spans="2:46" x14ac:dyDescent="0.35">
      <c r="B28" s="227" t="s">
        <v>305</v>
      </c>
      <c r="C28">
        <f t="shared" si="4"/>
        <v>2023</v>
      </c>
      <c r="D28" s="37">
        <v>12751</v>
      </c>
      <c r="E28">
        <v>0</v>
      </c>
      <c r="F28">
        <v>0</v>
      </c>
      <c r="G28">
        <v>2</v>
      </c>
      <c r="H28" s="228">
        <f t="shared" si="5"/>
        <v>2</v>
      </c>
      <c r="J28" s="229">
        <v>43497</v>
      </c>
      <c r="K28" s="13">
        <v>2019</v>
      </c>
      <c r="L28" s="230" t="s">
        <v>288</v>
      </c>
      <c r="M28" s="227">
        <f t="shared" si="0"/>
        <v>1342</v>
      </c>
      <c r="N28">
        <f t="shared" si="1"/>
        <v>0</v>
      </c>
      <c r="O28">
        <f t="shared" si="2"/>
        <v>0</v>
      </c>
      <c r="P28">
        <f t="shared" si="3"/>
        <v>1</v>
      </c>
      <c r="Q28" s="228">
        <f t="shared" si="6"/>
        <v>1</v>
      </c>
      <c r="R28" s="231">
        <f t="shared" si="7"/>
        <v>25832.666666666668</v>
      </c>
      <c r="S28" s="232">
        <f t="shared" si="8"/>
        <v>0</v>
      </c>
      <c r="T28" s="232">
        <f t="shared" si="9"/>
        <v>1</v>
      </c>
      <c r="U28" s="232">
        <f t="shared" si="10"/>
        <v>8.6666666666666661</v>
      </c>
      <c r="V28" s="233">
        <f t="shared" si="11"/>
        <v>9.6666666666666679</v>
      </c>
      <c r="Y28" t="s">
        <v>302</v>
      </c>
      <c r="Z28">
        <f t="shared" si="12"/>
        <v>2022</v>
      </c>
      <c r="AA28" s="37">
        <v>153734</v>
      </c>
      <c r="AB28" s="37">
        <v>30643</v>
      </c>
      <c r="AC28" s="37">
        <v>32026</v>
      </c>
      <c r="AD28" s="37">
        <v>86566</v>
      </c>
      <c r="AE28" s="37">
        <v>4499</v>
      </c>
      <c r="AF28" s="37">
        <v>9720</v>
      </c>
      <c r="AG28" s="37">
        <v>3998</v>
      </c>
      <c r="AH28">
        <v>470</v>
      </c>
      <c r="AI28" s="37">
        <v>5206</v>
      </c>
      <c r="AJ28">
        <v>46</v>
      </c>
      <c r="AK28" s="37">
        <v>9386</v>
      </c>
      <c r="AL28" s="37">
        <v>1530</v>
      </c>
      <c r="AM28" s="37">
        <v>1418</v>
      </c>
      <c r="AN28" s="37">
        <v>5939</v>
      </c>
      <c r="AO28">
        <v>499</v>
      </c>
      <c r="AP28" s="37">
        <v>1297</v>
      </c>
      <c r="AQ28">
        <v>201</v>
      </c>
      <c r="AR28">
        <v>0</v>
      </c>
      <c r="AS28" s="37">
        <v>1001</v>
      </c>
      <c r="AT28">
        <v>95</v>
      </c>
    </row>
    <row r="29" spans="2:46" x14ac:dyDescent="0.35">
      <c r="B29" s="227" t="s">
        <v>306</v>
      </c>
      <c r="C29">
        <f t="shared" si="4"/>
        <v>2023</v>
      </c>
      <c r="D29" s="37">
        <v>14624</v>
      </c>
      <c r="E29">
        <v>1</v>
      </c>
      <c r="F29">
        <v>3</v>
      </c>
      <c r="G29">
        <v>5</v>
      </c>
      <c r="H29" s="228">
        <f t="shared" si="5"/>
        <v>9</v>
      </c>
      <c r="J29" s="229">
        <v>43525</v>
      </c>
      <c r="K29" s="13">
        <v>2019</v>
      </c>
      <c r="L29" s="230" t="s">
        <v>288</v>
      </c>
      <c r="M29" s="227">
        <f t="shared" si="0"/>
        <v>1342</v>
      </c>
      <c r="N29">
        <f t="shared" si="1"/>
        <v>0</v>
      </c>
      <c r="O29">
        <f t="shared" si="2"/>
        <v>0</v>
      </c>
      <c r="P29">
        <f t="shared" si="3"/>
        <v>1</v>
      </c>
      <c r="Q29" s="228">
        <f t="shared" si="6"/>
        <v>1</v>
      </c>
      <c r="R29" s="231">
        <f t="shared" si="7"/>
        <v>26280</v>
      </c>
      <c r="S29" s="232">
        <f t="shared" si="8"/>
        <v>0</v>
      </c>
      <c r="T29" s="232">
        <f t="shared" si="9"/>
        <v>1</v>
      </c>
      <c r="U29" s="232">
        <f t="shared" si="10"/>
        <v>9</v>
      </c>
      <c r="V29" s="233">
        <f t="shared" si="11"/>
        <v>10.000000000000002</v>
      </c>
      <c r="Y29" t="s">
        <v>303</v>
      </c>
      <c r="Z29">
        <f t="shared" si="12"/>
        <v>2022</v>
      </c>
      <c r="AA29" s="37">
        <v>136349</v>
      </c>
      <c r="AB29" s="37">
        <v>22723</v>
      </c>
      <c r="AC29" s="37">
        <v>29713</v>
      </c>
      <c r="AD29" s="37">
        <v>79348</v>
      </c>
      <c r="AE29" s="37">
        <v>4565</v>
      </c>
      <c r="AF29" s="37">
        <v>9498</v>
      </c>
      <c r="AG29" s="37">
        <v>2594</v>
      </c>
      <c r="AH29">
        <v>344</v>
      </c>
      <c r="AI29" s="37">
        <v>6478</v>
      </c>
      <c r="AJ29">
        <v>82</v>
      </c>
      <c r="AK29" s="37">
        <v>7391</v>
      </c>
      <c r="AL29">
        <v>998</v>
      </c>
      <c r="AM29" s="37">
        <v>1274</v>
      </c>
      <c r="AN29" s="37">
        <v>4685</v>
      </c>
      <c r="AO29">
        <v>434</v>
      </c>
      <c r="AP29" s="37">
        <v>1484</v>
      </c>
      <c r="AQ29">
        <v>171</v>
      </c>
      <c r="AR29">
        <v>0</v>
      </c>
      <c r="AS29" s="37">
        <v>1247</v>
      </c>
      <c r="AT29">
        <v>66</v>
      </c>
    </row>
    <row r="30" spans="2:46" x14ac:dyDescent="0.35">
      <c r="B30" s="227" t="s">
        <v>307</v>
      </c>
      <c r="C30">
        <f t="shared" si="4"/>
        <v>2023</v>
      </c>
      <c r="D30" s="37">
        <v>13975</v>
      </c>
      <c r="E30">
        <v>1</v>
      </c>
      <c r="F30">
        <v>0</v>
      </c>
      <c r="G30">
        <v>1</v>
      </c>
      <c r="H30" s="228">
        <f t="shared" si="5"/>
        <v>2</v>
      </c>
      <c r="J30" s="229">
        <v>43556</v>
      </c>
      <c r="K30" s="13">
        <v>2019</v>
      </c>
      <c r="L30" s="230" t="s">
        <v>289</v>
      </c>
      <c r="M30" s="227">
        <f t="shared" si="0"/>
        <v>2878</v>
      </c>
      <c r="N30">
        <f t="shared" si="1"/>
        <v>0</v>
      </c>
      <c r="O30">
        <f t="shared" si="2"/>
        <v>0</v>
      </c>
      <c r="P30">
        <f t="shared" si="3"/>
        <v>1</v>
      </c>
      <c r="Q30" s="228">
        <f t="shared" si="6"/>
        <v>1</v>
      </c>
      <c r="R30" s="231">
        <f t="shared" si="7"/>
        <v>27239.333333333332</v>
      </c>
      <c r="S30" s="232">
        <f t="shared" si="8"/>
        <v>0</v>
      </c>
      <c r="T30" s="232">
        <f t="shared" si="9"/>
        <v>1</v>
      </c>
      <c r="U30" s="232">
        <f t="shared" si="10"/>
        <v>9.3333333333333339</v>
      </c>
      <c r="V30" s="233">
        <f t="shared" si="11"/>
        <v>10.333333333333336</v>
      </c>
      <c r="Y30" t="s">
        <v>304</v>
      </c>
      <c r="Z30">
        <f t="shared" si="12"/>
        <v>2023</v>
      </c>
      <c r="AA30" s="37">
        <v>143609</v>
      </c>
      <c r="AB30" s="37">
        <v>22724</v>
      </c>
      <c r="AC30" s="37">
        <v>31182</v>
      </c>
      <c r="AD30" s="37">
        <v>83568</v>
      </c>
      <c r="AE30" s="37">
        <v>6135</v>
      </c>
      <c r="AF30" s="37">
        <v>6695</v>
      </c>
      <c r="AG30" s="37">
        <v>2359</v>
      </c>
      <c r="AH30">
        <v>353</v>
      </c>
      <c r="AI30" s="37">
        <v>3881</v>
      </c>
      <c r="AJ30">
        <v>102</v>
      </c>
      <c r="AK30" s="37">
        <v>11132</v>
      </c>
      <c r="AL30">
        <v>1792</v>
      </c>
      <c r="AM30" s="37">
        <v>1183</v>
      </c>
      <c r="AN30" s="37">
        <v>7888</v>
      </c>
      <c r="AO30">
        <v>269</v>
      </c>
      <c r="AP30" s="37">
        <v>1758</v>
      </c>
      <c r="AQ30">
        <v>84</v>
      </c>
      <c r="AR30">
        <v>0</v>
      </c>
      <c r="AS30" s="37">
        <v>1479</v>
      </c>
      <c r="AT30">
        <v>195</v>
      </c>
    </row>
    <row r="31" spans="2:46" x14ac:dyDescent="0.35">
      <c r="B31" s="234" t="s">
        <v>308</v>
      </c>
      <c r="C31" s="235">
        <f t="shared" si="4"/>
        <v>2024</v>
      </c>
      <c r="D31" s="313">
        <v>10910</v>
      </c>
      <c r="E31" s="235">
        <v>1</v>
      </c>
      <c r="F31" s="235">
        <v>1</v>
      </c>
      <c r="G31" s="235">
        <v>2</v>
      </c>
      <c r="H31" s="236">
        <f t="shared" si="5"/>
        <v>4</v>
      </c>
      <c r="J31" s="229">
        <v>43586</v>
      </c>
      <c r="K31" s="13">
        <v>2019</v>
      </c>
      <c r="L31" s="230" t="s">
        <v>289</v>
      </c>
      <c r="M31" s="227">
        <f t="shared" si="0"/>
        <v>2878</v>
      </c>
      <c r="N31">
        <f t="shared" si="1"/>
        <v>0</v>
      </c>
      <c r="O31">
        <f t="shared" si="2"/>
        <v>0</v>
      </c>
      <c r="P31">
        <f t="shared" si="3"/>
        <v>1</v>
      </c>
      <c r="Q31" s="228">
        <f t="shared" si="6"/>
        <v>1</v>
      </c>
      <c r="R31" s="231">
        <f t="shared" si="7"/>
        <v>28198.666666666664</v>
      </c>
      <c r="S31" s="232">
        <f t="shared" si="8"/>
        <v>0</v>
      </c>
      <c r="T31" s="232">
        <f t="shared" si="9"/>
        <v>1</v>
      </c>
      <c r="U31" s="232">
        <f t="shared" si="10"/>
        <v>9.6666666666666679</v>
      </c>
      <c r="V31" s="233">
        <f t="shared" si="11"/>
        <v>10.66666666666667</v>
      </c>
      <c r="Y31" t="s">
        <v>305</v>
      </c>
      <c r="Z31">
        <f t="shared" si="12"/>
        <v>2023</v>
      </c>
      <c r="AA31" s="37">
        <v>183660</v>
      </c>
      <c r="AB31" s="37">
        <v>31870</v>
      </c>
      <c r="AC31" s="37">
        <v>32566</v>
      </c>
      <c r="AD31" s="37">
        <v>111720</v>
      </c>
      <c r="AE31" s="37">
        <v>7504</v>
      </c>
      <c r="AF31" s="37">
        <v>9440</v>
      </c>
      <c r="AG31" s="37">
        <v>2191</v>
      </c>
      <c r="AH31">
        <v>382</v>
      </c>
      <c r="AI31" s="37">
        <v>6698</v>
      </c>
      <c r="AJ31">
        <v>169</v>
      </c>
      <c r="AK31" s="37">
        <v>17544</v>
      </c>
      <c r="AL31">
        <v>2957</v>
      </c>
      <c r="AM31" s="37">
        <v>1189</v>
      </c>
      <c r="AN31" s="37">
        <v>12907</v>
      </c>
      <c r="AO31">
        <v>491</v>
      </c>
      <c r="AP31" s="37">
        <v>3311</v>
      </c>
      <c r="AQ31">
        <v>210</v>
      </c>
      <c r="AR31">
        <v>0</v>
      </c>
      <c r="AS31" s="37">
        <v>2843</v>
      </c>
      <c r="AT31">
        <v>258</v>
      </c>
    </row>
    <row r="32" spans="2:46" x14ac:dyDescent="0.35">
      <c r="J32" s="229">
        <v>43617</v>
      </c>
      <c r="K32" s="13">
        <v>2019</v>
      </c>
      <c r="L32" s="230" t="s">
        <v>289</v>
      </c>
      <c r="M32" s="227">
        <f t="shared" si="0"/>
        <v>2878</v>
      </c>
      <c r="N32">
        <f t="shared" si="1"/>
        <v>0</v>
      </c>
      <c r="O32">
        <f t="shared" si="2"/>
        <v>0</v>
      </c>
      <c r="P32">
        <f t="shared" si="3"/>
        <v>1</v>
      </c>
      <c r="Q32" s="228">
        <f t="shared" si="6"/>
        <v>1</v>
      </c>
      <c r="R32" s="231">
        <f t="shared" si="7"/>
        <v>29157.999999999996</v>
      </c>
      <c r="S32" s="232">
        <f t="shared" si="8"/>
        <v>0</v>
      </c>
      <c r="T32" s="232">
        <f t="shared" si="9"/>
        <v>1</v>
      </c>
      <c r="U32" s="232">
        <f t="shared" si="10"/>
        <v>10.000000000000002</v>
      </c>
      <c r="V32" s="233">
        <f t="shared" si="11"/>
        <v>11.000000000000004</v>
      </c>
      <c r="Y32" t="s">
        <v>306</v>
      </c>
      <c r="Z32">
        <f t="shared" si="12"/>
        <v>2023</v>
      </c>
      <c r="AA32" s="37">
        <v>178605</v>
      </c>
      <c r="AB32" s="37">
        <v>29906</v>
      </c>
      <c r="AC32" s="37">
        <v>32977</v>
      </c>
      <c r="AD32" s="37">
        <v>108355</v>
      </c>
      <c r="AE32" s="37">
        <v>7367</v>
      </c>
      <c r="AF32" s="37">
        <v>11372</v>
      </c>
      <c r="AG32" s="37">
        <v>3129</v>
      </c>
      <c r="AH32">
        <v>523</v>
      </c>
      <c r="AI32" s="37">
        <v>7644</v>
      </c>
      <c r="AJ32">
        <v>76</v>
      </c>
      <c r="AK32" s="37">
        <v>17597</v>
      </c>
      <c r="AL32" s="37">
        <v>3040</v>
      </c>
      <c r="AM32" s="37">
        <v>1172</v>
      </c>
      <c r="AN32" s="37">
        <v>12859</v>
      </c>
      <c r="AO32">
        <v>526</v>
      </c>
      <c r="AP32" s="37">
        <v>3252</v>
      </c>
      <c r="AQ32">
        <v>322</v>
      </c>
      <c r="AR32">
        <v>0</v>
      </c>
      <c r="AS32" s="37">
        <v>2825</v>
      </c>
      <c r="AT32">
        <v>105</v>
      </c>
    </row>
    <row r="33" spans="10:46" x14ac:dyDescent="0.35">
      <c r="J33" s="229">
        <v>43647</v>
      </c>
      <c r="K33" s="13">
        <v>2019</v>
      </c>
      <c r="L33" s="230" t="s">
        <v>290</v>
      </c>
      <c r="M33" s="227">
        <f t="shared" si="0"/>
        <v>3148</v>
      </c>
      <c r="N33">
        <f t="shared" si="1"/>
        <v>0</v>
      </c>
      <c r="O33">
        <f t="shared" si="2"/>
        <v>0</v>
      </c>
      <c r="P33">
        <f t="shared" si="3"/>
        <v>1</v>
      </c>
      <c r="Q33" s="228">
        <f t="shared" si="6"/>
        <v>1</v>
      </c>
      <c r="R33" s="231">
        <f t="shared" si="7"/>
        <v>30207.333333333328</v>
      </c>
      <c r="S33" s="232">
        <f t="shared" si="8"/>
        <v>0</v>
      </c>
      <c r="T33" s="232">
        <f t="shared" si="9"/>
        <v>1</v>
      </c>
      <c r="U33" s="232">
        <f t="shared" si="10"/>
        <v>10.333333333333336</v>
      </c>
      <c r="V33" s="233">
        <f t="shared" si="11"/>
        <v>11.333333333333337</v>
      </c>
      <c r="Y33" t="s">
        <v>307</v>
      </c>
      <c r="Z33">
        <f t="shared" si="12"/>
        <v>2023</v>
      </c>
      <c r="AA33" s="37">
        <v>171157</v>
      </c>
      <c r="AB33" s="37">
        <v>26053</v>
      </c>
      <c r="AC33" s="37">
        <v>30924</v>
      </c>
      <c r="AD33" s="37">
        <v>108461</v>
      </c>
      <c r="AE33" s="37">
        <v>5719</v>
      </c>
      <c r="AF33" s="37">
        <v>10802</v>
      </c>
      <c r="AG33" s="37">
        <v>2488</v>
      </c>
      <c r="AH33">
        <v>550</v>
      </c>
      <c r="AI33" s="37">
        <v>7605</v>
      </c>
      <c r="AJ33">
        <v>159</v>
      </c>
      <c r="AK33" s="37">
        <v>16263</v>
      </c>
      <c r="AL33" s="37">
        <v>2702</v>
      </c>
      <c r="AM33" s="37">
        <v>905</v>
      </c>
      <c r="AN33" s="37">
        <v>11898</v>
      </c>
      <c r="AO33">
        <v>758</v>
      </c>
      <c r="AP33" s="37">
        <v>3173</v>
      </c>
      <c r="AQ33">
        <v>209</v>
      </c>
      <c r="AR33">
        <v>0</v>
      </c>
      <c r="AS33" s="37">
        <v>2902</v>
      </c>
      <c r="AT33">
        <v>62</v>
      </c>
    </row>
    <row r="34" spans="10:46" x14ac:dyDescent="0.35">
      <c r="J34" s="229">
        <v>43678</v>
      </c>
      <c r="K34" s="13">
        <v>2019</v>
      </c>
      <c r="L34" s="230" t="s">
        <v>290</v>
      </c>
      <c r="M34" s="227">
        <f t="shared" si="0"/>
        <v>3148</v>
      </c>
      <c r="N34">
        <f t="shared" si="1"/>
        <v>0</v>
      </c>
      <c r="O34">
        <f t="shared" si="2"/>
        <v>0</v>
      </c>
      <c r="P34">
        <f t="shared" si="3"/>
        <v>1</v>
      </c>
      <c r="Q34" s="228">
        <f t="shared" si="6"/>
        <v>1</v>
      </c>
      <c r="R34" s="231">
        <f t="shared" si="7"/>
        <v>31256.666666666661</v>
      </c>
      <c r="S34" s="232">
        <f t="shared" si="8"/>
        <v>0</v>
      </c>
      <c r="T34" s="232">
        <f t="shared" si="9"/>
        <v>1</v>
      </c>
      <c r="U34" s="232">
        <f t="shared" si="10"/>
        <v>10.66666666666667</v>
      </c>
      <c r="V34" s="233">
        <f t="shared" si="11"/>
        <v>11.666666666666671</v>
      </c>
      <c r="Y34" t="s">
        <v>308</v>
      </c>
      <c r="Z34">
        <f t="shared" si="12"/>
        <v>2024</v>
      </c>
      <c r="AA34" s="37">
        <v>163034</v>
      </c>
      <c r="AB34" s="37">
        <v>25189</v>
      </c>
      <c r="AC34" s="37">
        <v>27619</v>
      </c>
      <c r="AD34" s="37">
        <v>103975</v>
      </c>
      <c r="AE34" s="37">
        <v>6251</v>
      </c>
      <c r="AF34" s="37">
        <v>8027</v>
      </c>
      <c r="AG34" s="37">
        <v>1596</v>
      </c>
      <c r="AH34">
        <v>469</v>
      </c>
      <c r="AI34" s="37">
        <v>5913</v>
      </c>
      <c r="AJ34">
        <v>49</v>
      </c>
      <c r="AK34" s="37">
        <v>16600</v>
      </c>
      <c r="AL34" s="37">
        <v>2260</v>
      </c>
      <c r="AM34" s="37">
        <v>1315</v>
      </c>
      <c r="AN34" s="37">
        <v>11903</v>
      </c>
      <c r="AO34">
        <v>1122</v>
      </c>
      <c r="AP34" s="37">
        <v>2883</v>
      </c>
      <c r="AQ34">
        <v>388</v>
      </c>
      <c r="AR34">
        <v>0</v>
      </c>
      <c r="AS34" s="37">
        <v>2424</v>
      </c>
      <c r="AT34">
        <v>71</v>
      </c>
    </row>
    <row r="35" spans="10:46" x14ac:dyDescent="0.35">
      <c r="J35" s="229">
        <v>43709</v>
      </c>
      <c r="K35" s="13">
        <v>2019</v>
      </c>
      <c r="L35" s="230" t="s">
        <v>290</v>
      </c>
      <c r="M35" s="227">
        <f t="shared" ref="M35:M66" si="13">SUMIFS(D:D,B:B,L35)</f>
        <v>3148</v>
      </c>
      <c r="N35">
        <f t="shared" ref="N35:N66" si="14">SUMIFS(E:E,B:B,L35)</f>
        <v>0</v>
      </c>
      <c r="O35">
        <f t="shared" ref="O35:O66" si="15">SUMIFS(F:F,B:B,L35)</f>
        <v>0</v>
      </c>
      <c r="P35">
        <f t="shared" ref="P35:P66" si="16">SUMIFS(G:G,B:B,L35)</f>
        <v>1</v>
      </c>
      <c r="Q35" s="228">
        <f t="shared" si="6"/>
        <v>1</v>
      </c>
      <c r="R35" s="231">
        <f t="shared" si="7"/>
        <v>32305.999999999993</v>
      </c>
      <c r="S35" s="232">
        <f t="shared" si="8"/>
        <v>0</v>
      </c>
      <c r="T35" s="232">
        <f t="shared" si="9"/>
        <v>1</v>
      </c>
      <c r="U35" s="232">
        <f t="shared" si="10"/>
        <v>11.000000000000004</v>
      </c>
      <c r="V35" s="233">
        <f t="shared" si="11"/>
        <v>12.000000000000005</v>
      </c>
      <c r="Y35" s="189"/>
      <c r="Z35" s="189"/>
      <c r="AA35" s="189"/>
      <c r="AB35" s="189"/>
      <c r="AC35" s="189"/>
      <c r="AD35" s="189"/>
      <c r="AE35" s="189"/>
    </row>
    <row r="36" spans="10:46" x14ac:dyDescent="0.35">
      <c r="J36" s="229">
        <v>43739</v>
      </c>
      <c r="K36" s="13">
        <v>2019</v>
      </c>
      <c r="L36" s="230" t="s">
        <v>291</v>
      </c>
      <c r="M36" s="227">
        <f t="shared" si="13"/>
        <v>2394</v>
      </c>
      <c r="N36">
        <f t="shared" si="14"/>
        <v>0</v>
      </c>
      <c r="O36">
        <f t="shared" si="15"/>
        <v>0</v>
      </c>
      <c r="P36">
        <f t="shared" si="16"/>
        <v>0</v>
      </c>
      <c r="Q36" s="228">
        <f t="shared" si="6"/>
        <v>0</v>
      </c>
      <c r="R36" s="231">
        <f t="shared" ref="R36:R67" si="17">M36/3+R35</f>
        <v>33103.999999999993</v>
      </c>
      <c r="S36" s="232">
        <f t="shared" ref="S36:S67" si="18">N36/3+S35</f>
        <v>0</v>
      </c>
      <c r="T36" s="232">
        <f t="shared" ref="T36:T67" si="19">O36/3+T35</f>
        <v>1</v>
      </c>
      <c r="U36" s="232">
        <f t="shared" ref="U36:U67" si="20">P36/3+U35</f>
        <v>11.000000000000004</v>
      </c>
      <c r="V36" s="233">
        <f t="shared" ref="V36:V67" si="21">Q36/3+V35</f>
        <v>12.000000000000005</v>
      </c>
      <c r="X36" s="189" t="s">
        <v>121</v>
      </c>
      <c r="AF36" s="316">
        <f t="shared" ref="AF36:AT36" si="22">SUM(AF6:AF34)</f>
        <v>120363</v>
      </c>
      <c r="AG36" s="316">
        <f t="shared" si="22"/>
        <v>50932</v>
      </c>
      <c r="AH36" s="316">
        <f t="shared" si="22"/>
        <v>3150</v>
      </c>
      <c r="AI36" s="316">
        <f t="shared" si="22"/>
        <v>65550</v>
      </c>
      <c r="AJ36" s="316">
        <f t="shared" si="22"/>
        <v>731</v>
      </c>
      <c r="AK36" s="316">
        <f t="shared" si="22"/>
        <v>197080</v>
      </c>
      <c r="AL36" s="316">
        <f t="shared" si="22"/>
        <v>49067</v>
      </c>
      <c r="AM36" s="316">
        <f t="shared" si="22"/>
        <v>12865</v>
      </c>
      <c r="AN36" s="316">
        <f t="shared" si="22"/>
        <v>124369</v>
      </c>
      <c r="AO36" s="316">
        <f t="shared" si="22"/>
        <v>10779</v>
      </c>
      <c r="AP36" s="316">
        <f t="shared" si="22"/>
        <v>43946</v>
      </c>
      <c r="AQ36" s="316">
        <f t="shared" si="22"/>
        <v>15081</v>
      </c>
      <c r="AR36" s="316">
        <f t="shared" si="22"/>
        <v>0</v>
      </c>
      <c r="AS36" s="316">
        <f t="shared" si="22"/>
        <v>25750</v>
      </c>
      <c r="AT36" s="316">
        <f t="shared" si="22"/>
        <v>3115</v>
      </c>
    </row>
    <row r="37" spans="10:46" x14ac:dyDescent="0.35">
      <c r="J37" s="229">
        <v>43770</v>
      </c>
      <c r="K37" s="13">
        <v>2019</v>
      </c>
      <c r="L37" s="230" t="s">
        <v>291</v>
      </c>
      <c r="M37" s="227">
        <f t="shared" si="13"/>
        <v>2394</v>
      </c>
      <c r="N37">
        <f t="shared" si="14"/>
        <v>0</v>
      </c>
      <c r="O37">
        <f t="shared" si="15"/>
        <v>0</v>
      </c>
      <c r="P37">
        <f t="shared" si="16"/>
        <v>0</v>
      </c>
      <c r="Q37" s="228">
        <f t="shared" si="6"/>
        <v>0</v>
      </c>
      <c r="R37" s="231">
        <f t="shared" si="17"/>
        <v>33901.999999999993</v>
      </c>
      <c r="S37" s="232">
        <f t="shared" si="18"/>
        <v>0</v>
      </c>
      <c r="T37" s="232">
        <f t="shared" si="19"/>
        <v>1</v>
      </c>
      <c r="U37" s="232">
        <f t="shared" si="20"/>
        <v>11.000000000000004</v>
      </c>
      <c r="V37" s="233">
        <f t="shared" si="21"/>
        <v>12.000000000000005</v>
      </c>
    </row>
    <row r="38" spans="10:46" x14ac:dyDescent="0.35">
      <c r="J38" s="229">
        <v>43800</v>
      </c>
      <c r="K38" s="13">
        <v>2019</v>
      </c>
      <c r="L38" s="230" t="s">
        <v>291</v>
      </c>
      <c r="M38" s="227">
        <f t="shared" si="13"/>
        <v>2394</v>
      </c>
      <c r="N38">
        <f t="shared" si="14"/>
        <v>0</v>
      </c>
      <c r="O38">
        <f t="shared" si="15"/>
        <v>0</v>
      </c>
      <c r="P38">
        <f t="shared" si="16"/>
        <v>0</v>
      </c>
      <c r="Q38" s="228">
        <f t="shared" si="6"/>
        <v>0</v>
      </c>
      <c r="R38" s="231">
        <f t="shared" si="17"/>
        <v>34699.999999999993</v>
      </c>
      <c r="S38" s="232">
        <f t="shared" si="18"/>
        <v>0</v>
      </c>
      <c r="T38" s="232">
        <f t="shared" si="19"/>
        <v>1</v>
      </c>
      <c r="U38" s="232">
        <f t="shared" si="20"/>
        <v>11.000000000000004</v>
      </c>
      <c r="V38" s="233">
        <f t="shared" si="21"/>
        <v>12.000000000000005</v>
      </c>
    </row>
    <row r="39" spans="10:46" x14ac:dyDescent="0.35">
      <c r="J39" s="229">
        <v>43831</v>
      </c>
      <c r="K39" s="13">
        <v>2020</v>
      </c>
      <c r="L39" s="230" t="s">
        <v>292</v>
      </c>
      <c r="M39" s="227">
        <f t="shared" si="13"/>
        <v>2102</v>
      </c>
      <c r="N39">
        <f t="shared" si="14"/>
        <v>0</v>
      </c>
      <c r="O39">
        <f t="shared" si="15"/>
        <v>0</v>
      </c>
      <c r="P39">
        <f t="shared" si="16"/>
        <v>0</v>
      </c>
      <c r="Q39" s="228">
        <f t="shared" si="6"/>
        <v>0</v>
      </c>
      <c r="R39" s="231">
        <f t="shared" si="17"/>
        <v>35400.666666666657</v>
      </c>
      <c r="S39" s="232">
        <f t="shared" si="18"/>
        <v>0</v>
      </c>
      <c r="T39" s="232">
        <f t="shared" si="19"/>
        <v>1</v>
      </c>
      <c r="U39" s="232">
        <f t="shared" si="20"/>
        <v>11.000000000000004</v>
      </c>
      <c r="V39" s="233">
        <f t="shared" si="21"/>
        <v>12.000000000000005</v>
      </c>
    </row>
    <row r="40" spans="10:46" x14ac:dyDescent="0.35">
      <c r="J40" s="229">
        <v>43862</v>
      </c>
      <c r="K40" s="13">
        <v>2020</v>
      </c>
      <c r="L40" s="230" t="s">
        <v>292</v>
      </c>
      <c r="M40" s="227">
        <f t="shared" si="13"/>
        <v>2102</v>
      </c>
      <c r="N40">
        <f t="shared" si="14"/>
        <v>0</v>
      </c>
      <c r="O40">
        <f t="shared" si="15"/>
        <v>0</v>
      </c>
      <c r="P40">
        <f t="shared" si="16"/>
        <v>0</v>
      </c>
      <c r="Q40" s="228">
        <f t="shared" si="6"/>
        <v>0</v>
      </c>
      <c r="R40" s="231">
        <f t="shared" si="17"/>
        <v>36101.333333333321</v>
      </c>
      <c r="S40" s="232">
        <f t="shared" si="18"/>
        <v>0</v>
      </c>
      <c r="T40" s="232">
        <f t="shared" si="19"/>
        <v>1</v>
      </c>
      <c r="U40" s="232">
        <f t="shared" si="20"/>
        <v>11.000000000000004</v>
      </c>
      <c r="V40" s="233">
        <f t="shared" si="21"/>
        <v>12.000000000000005</v>
      </c>
    </row>
    <row r="41" spans="10:46" x14ac:dyDescent="0.35">
      <c r="J41" s="229">
        <v>43891</v>
      </c>
      <c r="K41" s="13">
        <v>2020</v>
      </c>
      <c r="L41" s="230" t="s">
        <v>292</v>
      </c>
      <c r="M41" s="227">
        <f t="shared" si="13"/>
        <v>2102</v>
      </c>
      <c r="N41">
        <f t="shared" si="14"/>
        <v>0</v>
      </c>
      <c r="O41">
        <f t="shared" si="15"/>
        <v>0</v>
      </c>
      <c r="P41">
        <f t="shared" si="16"/>
        <v>0</v>
      </c>
      <c r="Q41" s="228">
        <f t="shared" si="6"/>
        <v>0</v>
      </c>
      <c r="R41" s="231">
        <f t="shared" si="17"/>
        <v>36801.999999999985</v>
      </c>
      <c r="S41" s="232">
        <f t="shared" si="18"/>
        <v>0</v>
      </c>
      <c r="T41" s="232">
        <f t="shared" si="19"/>
        <v>1</v>
      </c>
      <c r="U41" s="232">
        <f t="shared" si="20"/>
        <v>11.000000000000004</v>
      </c>
      <c r="V41" s="233">
        <f t="shared" si="21"/>
        <v>12.000000000000005</v>
      </c>
    </row>
    <row r="42" spans="10:46" x14ac:dyDescent="0.35">
      <c r="J42" s="229">
        <v>43922</v>
      </c>
      <c r="K42" s="13">
        <v>2020</v>
      </c>
      <c r="L42" s="230" t="s">
        <v>293</v>
      </c>
      <c r="M42" s="227">
        <f t="shared" si="13"/>
        <v>1640</v>
      </c>
      <c r="N42">
        <f t="shared" si="14"/>
        <v>0</v>
      </c>
      <c r="O42">
        <f t="shared" si="15"/>
        <v>0</v>
      </c>
      <c r="P42">
        <f t="shared" si="16"/>
        <v>0</v>
      </c>
      <c r="Q42" s="228">
        <f t="shared" si="6"/>
        <v>0</v>
      </c>
      <c r="R42" s="231">
        <f t="shared" si="17"/>
        <v>37348.66666666665</v>
      </c>
      <c r="S42" s="232">
        <f t="shared" si="18"/>
        <v>0</v>
      </c>
      <c r="T42" s="232">
        <f t="shared" si="19"/>
        <v>1</v>
      </c>
      <c r="U42" s="232">
        <f t="shared" si="20"/>
        <v>11.000000000000004</v>
      </c>
      <c r="V42" s="233">
        <f t="shared" si="21"/>
        <v>12.000000000000005</v>
      </c>
    </row>
    <row r="43" spans="10:46" x14ac:dyDescent="0.35">
      <c r="J43" s="229">
        <v>43952</v>
      </c>
      <c r="K43" s="13">
        <v>2020</v>
      </c>
      <c r="L43" s="230" t="s">
        <v>293</v>
      </c>
      <c r="M43" s="227">
        <f t="shared" si="13"/>
        <v>1640</v>
      </c>
      <c r="N43">
        <f t="shared" si="14"/>
        <v>0</v>
      </c>
      <c r="O43">
        <f t="shared" si="15"/>
        <v>0</v>
      </c>
      <c r="P43">
        <f t="shared" si="16"/>
        <v>0</v>
      </c>
      <c r="Q43" s="228">
        <f t="shared" si="6"/>
        <v>0</v>
      </c>
      <c r="R43" s="231">
        <f t="shared" si="17"/>
        <v>37895.333333333314</v>
      </c>
      <c r="S43" s="232">
        <f t="shared" si="18"/>
        <v>0</v>
      </c>
      <c r="T43" s="232">
        <f t="shared" si="19"/>
        <v>1</v>
      </c>
      <c r="U43" s="232">
        <f t="shared" si="20"/>
        <v>11.000000000000004</v>
      </c>
      <c r="V43" s="233">
        <f t="shared" si="21"/>
        <v>12.000000000000005</v>
      </c>
    </row>
    <row r="44" spans="10:46" x14ac:dyDescent="0.35">
      <c r="J44" s="229">
        <v>43983</v>
      </c>
      <c r="K44" s="13">
        <v>2020</v>
      </c>
      <c r="L44" s="230" t="s">
        <v>293</v>
      </c>
      <c r="M44" s="227">
        <f t="shared" si="13"/>
        <v>1640</v>
      </c>
      <c r="N44">
        <f t="shared" si="14"/>
        <v>0</v>
      </c>
      <c r="O44">
        <f t="shared" si="15"/>
        <v>0</v>
      </c>
      <c r="P44">
        <f t="shared" si="16"/>
        <v>0</v>
      </c>
      <c r="Q44" s="228">
        <f t="shared" si="6"/>
        <v>0</v>
      </c>
      <c r="R44" s="231">
        <f t="shared" si="17"/>
        <v>38441.999999999978</v>
      </c>
      <c r="S44" s="232">
        <f t="shared" si="18"/>
        <v>0</v>
      </c>
      <c r="T44" s="232">
        <f t="shared" si="19"/>
        <v>1</v>
      </c>
      <c r="U44" s="232">
        <f t="shared" si="20"/>
        <v>11.000000000000004</v>
      </c>
      <c r="V44" s="233">
        <f t="shared" si="21"/>
        <v>12.000000000000005</v>
      </c>
    </row>
    <row r="45" spans="10:46" x14ac:dyDescent="0.35">
      <c r="J45" s="229">
        <v>44013</v>
      </c>
      <c r="K45" s="13">
        <v>2020</v>
      </c>
      <c r="L45" s="230" t="s">
        <v>294</v>
      </c>
      <c r="M45" s="227">
        <f t="shared" si="13"/>
        <v>3296</v>
      </c>
      <c r="N45">
        <f t="shared" si="14"/>
        <v>0</v>
      </c>
      <c r="O45">
        <f t="shared" si="15"/>
        <v>0</v>
      </c>
      <c r="P45">
        <f t="shared" si="16"/>
        <v>0</v>
      </c>
      <c r="Q45" s="228">
        <f t="shared" si="6"/>
        <v>0</v>
      </c>
      <c r="R45" s="231">
        <f t="shared" si="17"/>
        <v>39540.666666666642</v>
      </c>
      <c r="S45" s="232">
        <f t="shared" si="18"/>
        <v>0</v>
      </c>
      <c r="T45" s="232">
        <f t="shared" si="19"/>
        <v>1</v>
      </c>
      <c r="U45" s="232">
        <f t="shared" si="20"/>
        <v>11.000000000000004</v>
      </c>
      <c r="V45" s="233">
        <f t="shared" si="21"/>
        <v>12.000000000000005</v>
      </c>
    </row>
    <row r="46" spans="10:46" x14ac:dyDescent="0.35">
      <c r="J46" s="229">
        <v>44044</v>
      </c>
      <c r="K46" s="13">
        <v>2020</v>
      </c>
      <c r="L46" s="230" t="s">
        <v>294</v>
      </c>
      <c r="M46" s="227">
        <f t="shared" si="13"/>
        <v>3296</v>
      </c>
      <c r="N46">
        <f t="shared" si="14"/>
        <v>0</v>
      </c>
      <c r="O46">
        <f t="shared" si="15"/>
        <v>0</v>
      </c>
      <c r="P46">
        <f t="shared" si="16"/>
        <v>0</v>
      </c>
      <c r="Q46" s="228">
        <f t="shared" si="6"/>
        <v>0</v>
      </c>
      <c r="R46" s="231">
        <f t="shared" si="17"/>
        <v>40639.333333333307</v>
      </c>
      <c r="S46" s="232">
        <f t="shared" si="18"/>
        <v>0</v>
      </c>
      <c r="T46" s="232">
        <f t="shared" si="19"/>
        <v>1</v>
      </c>
      <c r="U46" s="232">
        <f t="shared" si="20"/>
        <v>11.000000000000004</v>
      </c>
      <c r="V46" s="233">
        <f t="shared" si="21"/>
        <v>12.000000000000005</v>
      </c>
    </row>
    <row r="47" spans="10:46" x14ac:dyDescent="0.35">
      <c r="J47" s="229">
        <v>44075</v>
      </c>
      <c r="K47" s="13">
        <v>2020</v>
      </c>
      <c r="L47" s="230" t="s">
        <v>294</v>
      </c>
      <c r="M47" s="227">
        <f t="shared" si="13"/>
        <v>3296</v>
      </c>
      <c r="N47">
        <f t="shared" si="14"/>
        <v>0</v>
      </c>
      <c r="O47">
        <f t="shared" si="15"/>
        <v>0</v>
      </c>
      <c r="P47">
        <f t="shared" si="16"/>
        <v>0</v>
      </c>
      <c r="Q47" s="228">
        <f t="shared" si="6"/>
        <v>0</v>
      </c>
      <c r="R47" s="231">
        <f t="shared" si="17"/>
        <v>41737.999999999971</v>
      </c>
      <c r="S47" s="232">
        <f t="shared" si="18"/>
        <v>0</v>
      </c>
      <c r="T47" s="232">
        <f t="shared" si="19"/>
        <v>1</v>
      </c>
      <c r="U47" s="232">
        <f t="shared" si="20"/>
        <v>11.000000000000004</v>
      </c>
      <c r="V47" s="233">
        <f t="shared" si="21"/>
        <v>12.000000000000005</v>
      </c>
    </row>
    <row r="48" spans="10:46" x14ac:dyDescent="0.35">
      <c r="J48" s="229">
        <v>44105</v>
      </c>
      <c r="K48" s="13">
        <v>2020</v>
      </c>
      <c r="L48" s="230" t="s">
        <v>295</v>
      </c>
      <c r="M48" s="227">
        <f t="shared" si="13"/>
        <v>3477</v>
      </c>
      <c r="N48">
        <f t="shared" si="14"/>
        <v>0</v>
      </c>
      <c r="O48">
        <f t="shared" si="15"/>
        <v>0</v>
      </c>
      <c r="P48">
        <f t="shared" si="16"/>
        <v>1</v>
      </c>
      <c r="Q48" s="228">
        <f t="shared" si="6"/>
        <v>1</v>
      </c>
      <c r="R48" s="231">
        <f t="shared" si="17"/>
        <v>42896.999999999971</v>
      </c>
      <c r="S48" s="232">
        <f t="shared" si="18"/>
        <v>0</v>
      </c>
      <c r="T48" s="232">
        <f t="shared" si="19"/>
        <v>1</v>
      </c>
      <c r="U48" s="232">
        <f t="shared" si="20"/>
        <v>11.333333333333337</v>
      </c>
      <c r="V48" s="233">
        <f t="shared" si="21"/>
        <v>12.333333333333339</v>
      </c>
    </row>
    <row r="49" spans="10:22" x14ac:dyDescent="0.35">
      <c r="J49" s="229">
        <v>44136</v>
      </c>
      <c r="K49" s="13">
        <v>2020</v>
      </c>
      <c r="L49" s="230" t="s">
        <v>295</v>
      </c>
      <c r="M49" s="227">
        <f t="shared" si="13"/>
        <v>3477</v>
      </c>
      <c r="N49">
        <f t="shared" si="14"/>
        <v>0</v>
      </c>
      <c r="O49">
        <f t="shared" si="15"/>
        <v>0</v>
      </c>
      <c r="P49">
        <f t="shared" si="16"/>
        <v>1</v>
      </c>
      <c r="Q49" s="228">
        <f t="shared" si="6"/>
        <v>1</v>
      </c>
      <c r="R49" s="231">
        <f t="shared" si="17"/>
        <v>44055.999999999971</v>
      </c>
      <c r="S49" s="232">
        <f t="shared" si="18"/>
        <v>0</v>
      </c>
      <c r="T49" s="232">
        <f t="shared" si="19"/>
        <v>1</v>
      </c>
      <c r="U49" s="232">
        <f t="shared" si="20"/>
        <v>11.666666666666671</v>
      </c>
      <c r="V49" s="233">
        <f t="shared" si="21"/>
        <v>12.666666666666673</v>
      </c>
    </row>
    <row r="50" spans="10:22" x14ac:dyDescent="0.35">
      <c r="J50" s="229">
        <v>44166</v>
      </c>
      <c r="K50" s="13">
        <v>2020</v>
      </c>
      <c r="L50" s="230" t="s">
        <v>295</v>
      </c>
      <c r="M50" s="227">
        <f t="shared" si="13"/>
        <v>3477</v>
      </c>
      <c r="N50">
        <f t="shared" si="14"/>
        <v>0</v>
      </c>
      <c r="O50">
        <f t="shared" si="15"/>
        <v>0</v>
      </c>
      <c r="P50">
        <f t="shared" si="16"/>
        <v>1</v>
      </c>
      <c r="Q50" s="228">
        <f t="shared" si="6"/>
        <v>1</v>
      </c>
      <c r="R50" s="231">
        <f t="shared" si="17"/>
        <v>45214.999999999971</v>
      </c>
      <c r="S50" s="232">
        <f t="shared" si="18"/>
        <v>0</v>
      </c>
      <c r="T50" s="232">
        <f t="shared" si="19"/>
        <v>1</v>
      </c>
      <c r="U50" s="232">
        <f t="shared" si="20"/>
        <v>12.000000000000005</v>
      </c>
      <c r="V50" s="233">
        <f t="shared" si="21"/>
        <v>13.000000000000007</v>
      </c>
    </row>
    <row r="51" spans="10:22" x14ac:dyDescent="0.35">
      <c r="J51" s="229">
        <v>44197</v>
      </c>
      <c r="K51" s="13">
        <v>2021</v>
      </c>
      <c r="L51" s="230" t="s">
        <v>296</v>
      </c>
      <c r="M51" s="227">
        <f t="shared" si="13"/>
        <v>3329</v>
      </c>
      <c r="N51">
        <f t="shared" si="14"/>
        <v>0</v>
      </c>
      <c r="O51">
        <f t="shared" si="15"/>
        <v>0</v>
      </c>
      <c r="P51">
        <f t="shared" si="16"/>
        <v>0</v>
      </c>
      <c r="Q51" s="228">
        <f t="shared" si="6"/>
        <v>0</v>
      </c>
      <c r="R51" s="231">
        <f t="shared" si="17"/>
        <v>46324.666666666635</v>
      </c>
      <c r="S51" s="232">
        <f t="shared" si="18"/>
        <v>0</v>
      </c>
      <c r="T51" s="232">
        <f t="shared" si="19"/>
        <v>1</v>
      </c>
      <c r="U51" s="232">
        <f t="shared" si="20"/>
        <v>12.000000000000005</v>
      </c>
      <c r="V51" s="233">
        <f t="shared" si="21"/>
        <v>13.000000000000007</v>
      </c>
    </row>
    <row r="52" spans="10:22" x14ac:dyDescent="0.35">
      <c r="J52" s="229">
        <v>44228</v>
      </c>
      <c r="K52" s="13">
        <v>2021</v>
      </c>
      <c r="L52" s="230" t="s">
        <v>296</v>
      </c>
      <c r="M52" s="227">
        <f t="shared" si="13"/>
        <v>3329</v>
      </c>
      <c r="N52">
        <f t="shared" si="14"/>
        <v>0</v>
      </c>
      <c r="O52">
        <f t="shared" si="15"/>
        <v>0</v>
      </c>
      <c r="P52">
        <f t="shared" si="16"/>
        <v>0</v>
      </c>
      <c r="Q52" s="228">
        <f t="shared" si="6"/>
        <v>0</v>
      </c>
      <c r="R52" s="231">
        <f t="shared" si="17"/>
        <v>47434.333333333299</v>
      </c>
      <c r="S52" s="232">
        <f t="shared" si="18"/>
        <v>0</v>
      </c>
      <c r="T52" s="232">
        <f t="shared" si="19"/>
        <v>1</v>
      </c>
      <c r="U52" s="232">
        <f t="shared" si="20"/>
        <v>12.000000000000005</v>
      </c>
      <c r="V52" s="233">
        <f t="shared" si="21"/>
        <v>13.000000000000007</v>
      </c>
    </row>
    <row r="53" spans="10:22" x14ac:dyDescent="0.35">
      <c r="J53" s="229">
        <v>44256</v>
      </c>
      <c r="K53" s="13">
        <v>2021</v>
      </c>
      <c r="L53" s="230" t="s">
        <v>296</v>
      </c>
      <c r="M53" s="227">
        <f t="shared" si="13"/>
        <v>3329</v>
      </c>
      <c r="N53">
        <f t="shared" si="14"/>
        <v>0</v>
      </c>
      <c r="O53">
        <f t="shared" si="15"/>
        <v>0</v>
      </c>
      <c r="P53">
        <f t="shared" si="16"/>
        <v>0</v>
      </c>
      <c r="Q53" s="228">
        <f t="shared" si="6"/>
        <v>0</v>
      </c>
      <c r="R53" s="231">
        <f t="shared" si="17"/>
        <v>48543.999999999964</v>
      </c>
      <c r="S53" s="232">
        <f t="shared" si="18"/>
        <v>0</v>
      </c>
      <c r="T53" s="232">
        <f t="shared" si="19"/>
        <v>1</v>
      </c>
      <c r="U53" s="232">
        <f t="shared" si="20"/>
        <v>12.000000000000005</v>
      </c>
      <c r="V53" s="233">
        <f t="shared" si="21"/>
        <v>13.000000000000007</v>
      </c>
    </row>
    <row r="54" spans="10:22" x14ac:dyDescent="0.35">
      <c r="J54" s="229">
        <v>44287</v>
      </c>
      <c r="K54" s="13">
        <v>2021</v>
      </c>
      <c r="L54" s="230" t="s">
        <v>297</v>
      </c>
      <c r="M54" s="227">
        <f t="shared" si="13"/>
        <v>5096</v>
      </c>
      <c r="N54">
        <f t="shared" si="14"/>
        <v>1</v>
      </c>
      <c r="O54">
        <f t="shared" si="15"/>
        <v>1</v>
      </c>
      <c r="P54">
        <f t="shared" si="16"/>
        <v>2</v>
      </c>
      <c r="Q54" s="228">
        <f t="shared" si="6"/>
        <v>4</v>
      </c>
      <c r="R54" s="231">
        <f t="shared" si="17"/>
        <v>50242.666666666628</v>
      </c>
      <c r="S54" s="232">
        <f t="shared" si="18"/>
        <v>0.33333333333333331</v>
      </c>
      <c r="T54" s="232">
        <f t="shared" si="19"/>
        <v>1.3333333333333333</v>
      </c>
      <c r="U54" s="232">
        <f t="shared" si="20"/>
        <v>12.666666666666671</v>
      </c>
      <c r="V54" s="233">
        <f t="shared" si="21"/>
        <v>14.333333333333341</v>
      </c>
    </row>
    <row r="55" spans="10:22" x14ac:dyDescent="0.35">
      <c r="J55" s="229">
        <v>44317</v>
      </c>
      <c r="K55" s="13">
        <v>2021</v>
      </c>
      <c r="L55" s="230" t="s">
        <v>297</v>
      </c>
      <c r="M55" s="227">
        <f t="shared" si="13"/>
        <v>5096</v>
      </c>
      <c r="N55">
        <f t="shared" si="14"/>
        <v>1</v>
      </c>
      <c r="O55">
        <f t="shared" si="15"/>
        <v>1</v>
      </c>
      <c r="P55">
        <f t="shared" si="16"/>
        <v>2</v>
      </c>
      <c r="Q55" s="228">
        <f t="shared" si="6"/>
        <v>4</v>
      </c>
      <c r="R55" s="231">
        <f t="shared" si="17"/>
        <v>51941.333333333292</v>
      </c>
      <c r="S55" s="232">
        <f t="shared" si="18"/>
        <v>0.66666666666666663</v>
      </c>
      <c r="T55" s="232">
        <f t="shared" si="19"/>
        <v>1.6666666666666665</v>
      </c>
      <c r="U55" s="232">
        <f t="shared" si="20"/>
        <v>13.333333333333337</v>
      </c>
      <c r="V55" s="233">
        <f t="shared" si="21"/>
        <v>15.666666666666675</v>
      </c>
    </row>
    <row r="56" spans="10:22" x14ac:dyDescent="0.35">
      <c r="J56" s="229">
        <v>44348</v>
      </c>
      <c r="K56" s="13">
        <v>2021</v>
      </c>
      <c r="L56" s="230" t="s">
        <v>297</v>
      </c>
      <c r="M56" s="227">
        <f t="shared" si="13"/>
        <v>5096</v>
      </c>
      <c r="N56">
        <f t="shared" si="14"/>
        <v>1</v>
      </c>
      <c r="O56">
        <f t="shared" si="15"/>
        <v>1</v>
      </c>
      <c r="P56">
        <f t="shared" si="16"/>
        <v>2</v>
      </c>
      <c r="Q56" s="228">
        <f t="shared" si="6"/>
        <v>4</v>
      </c>
      <c r="R56" s="231">
        <f t="shared" si="17"/>
        <v>53639.999999999956</v>
      </c>
      <c r="S56" s="232">
        <f t="shared" si="18"/>
        <v>1</v>
      </c>
      <c r="T56" s="232">
        <f t="shared" si="19"/>
        <v>1.9999999999999998</v>
      </c>
      <c r="U56" s="232">
        <f t="shared" si="20"/>
        <v>14.000000000000004</v>
      </c>
      <c r="V56" s="233">
        <f t="shared" si="21"/>
        <v>17.000000000000007</v>
      </c>
    </row>
    <row r="57" spans="10:22" x14ac:dyDescent="0.35">
      <c r="J57" s="229">
        <v>44378</v>
      </c>
      <c r="K57" s="13">
        <v>2021</v>
      </c>
      <c r="L57" s="230" t="s">
        <v>298</v>
      </c>
      <c r="M57" s="227">
        <f t="shared" si="13"/>
        <v>5162</v>
      </c>
      <c r="N57">
        <f t="shared" si="14"/>
        <v>2</v>
      </c>
      <c r="O57">
        <f t="shared" si="15"/>
        <v>0</v>
      </c>
      <c r="P57">
        <f t="shared" si="16"/>
        <v>1</v>
      </c>
      <c r="Q57" s="228">
        <f t="shared" si="6"/>
        <v>3</v>
      </c>
      <c r="R57" s="231">
        <f t="shared" si="17"/>
        <v>55360.666666666621</v>
      </c>
      <c r="S57" s="232">
        <f t="shared" si="18"/>
        <v>1.6666666666666665</v>
      </c>
      <c r="T57" s="232">
        <f t="shared" si="19"/>
        <v>1.9999999999999998</v>
      </c>
      <c r="U57" s="232">
        <f t="shared" si="20"/>
        <v>14.333333333333337</v>
      </c>
      <c r="V57" s="233">
        <f t="shared" si="21"/>
        <v>18.000000000000007</v>
      </c>
    </row>
    <row r="58" spans="10:22" x14ac:dyDescent="0.35">
      <c r="J58" s="229">
        <v>44409</v>
      </c>
      <c r="K58" s="13">
        <v>2021</v>
      </c>
      <c r="L58" s="230" t="s">
        <v>298</v>
      </c>
      <c r="M58" s="227">
        <f t="shared" si="13"/>
        <v>5162</v>
      </c>
      <c r="N58">
        <f t="shared" si="14"/>
        <v>2</v>
      </c>
      <c r="O58">
        <f t="shared" si="15"/>
        <v>0</v>
      </c>
      <c r="P58">
        <f t="shared" si="16"/>
        <v>1</v>
      </c>
      <c r="Q58" s="228">
        <f t="shared" si="6"/>
        <v>3</v>
      </c>
      <c r="R58" s="231">
        <f t="shared" si="17"/>
        <v>57081.333333333285</v>
      </c>
      <c r="S58" s="232">
        <f t="shared" si="18"/>
        <v>2.333333333333333</v>
      </c>
      <c r="T58" s="232">
        <f t="shared" si="19"/>
        <v>1.9999999999999998</v>
      </c>
      <c r="U58" s="232">
        <f t="shared" si="20"/>
        <v>14.666666666666671</v>
      </c>
      <c r="V58" s="233">
        <f t="shared" si="21"/>
        <v>19.000000000000007</v>
      </c>
    </row>
    <row r="59" spans="10:22" x14ac:dyDescent="0.35">
      <c r="J59" s="229">
        <v>44440</v>
      </c>
      <c r="K59" s="13">
        <v>2021</v>
      </c>
      <c r="L59" s="230" t="s">
        <v>298</v>
      </c>
      <c r="M59" s="227">
        <f t="shared" si="13"/>
        <v>5162</v>
      </c>
      <c r="N59">
        <f t="shared" si="14"/>
        <v>2</v>
      </c>
      <c r="O59">
        <f t="shared" si="15"/>
        <v>0</v>
      </c>
      <c r="P59">
        <f t="shared" si="16"/>
        <v>1</v>
      </c>
      <c r="Q59" s="228">
        <f t="shared" si="6"/>
        <v>3</v>
      </c>
      <c r="R59" s="231">
        <f t="shared" si="17"/>
        <v>58801.999999999949</v>
      </c>
      <c r="S59" s="232">
        <f t="shared" si="18"/>
        <v>2.9999999999999996</v>
      </c>
      <c r="T59" s="232">
        <f t="shared" si="19"/>
        <v>1.9999999999999998</v>
      </c>
      <c r="U59" s="232">
        <f t="shared" si="20"/>
        <v>15.000000000000005</v>
      </c>
      <c r="V59" s="233">
        <f t="shared" si="21"/>
        <v>20.000000000000007</v>
      </c>
    </row>
    <row r="60" spans="10:22" x14ac:dyDescent="0.35">
      <c r="J60" s="229">
        <v>44470</v>
      </c>
      <c r="K60" s="13">
        <v>2021</v>
      </c>
      <c r="L60" s="230" t="s">
        <v>299</v>
      </c>
      <c r="M60" s="227">
        <f t="shared" si="13"/>
        <v>6139</v>
      </c>
      <c r="N60">
        <f t="shared" si="14"/>
        <v>0</v>
      </c>
      <c r="O60">
        <f t="shared" si="15"/>
        <v>0</v>
      </c>
      <c r="P60">
        <f t="shared" si="16"/>
        <v>0</v>
      </c>
      <c r="Q60" s="228">
        <f t="shared" si="6"/>
        <v>0</v>
      </c>
      <c r="R60" s="231">
        <f t="shared" si="17"/>
        <v>60848.333333333285</v>
      </c>
      <c r="S60" s="232">
        <f t="shared" si="18"/>
        <v>2.9999999999999996</v>
      </c>
      <c r="T60" s="232">
        <f t="shared" si="19"/>
        <v>1.9999999999999998</v>
      </c>
      <c r="U60" s="232">
        <f t="shared" si="20"/>
        <v>15.000000000000005</v>
      </c>
      <c r="V60" s="233">
        <f t="shared" si="21"/>
        <v>20.000000000000007</v>
      </c>
    </row>
    <row r="61" spans="10:22" x14ac:dyDescent="0.35">
      <c r="J61" s="229">
        <v>44501</v>
      </c>
      <c r="K61" s="13">
        <v>2021</v>
      </c>
      <c r="L61" s="230" t="s">
        <v>299</v>
      </c>
      <c r="M61" s="227">
        <f t="shared" si="13"/>
        <v>6139</v>
      </c>
      <c r="N61">
        <f t="shared" si="14"/>
        <v>0</v>
      </c>
      <c r="O61">
        <f t="shared" si="15"/>
        <v>0</v>
      </c>
      <c r="P61">
        <f t="shared" si="16"/>
        <v>0</v>
      </c>
      <c r="Q61" s="228">
        <f t="shared" si="6"/>
        <v>0</v>
      </c>
      <c r="R61" s="231">
        <f t="shared" si="17"/>
        <v>62894.666666666621</v>
      </c>
      <c r="S61" s="232">
        <f t="shared" si="18"/>
        <v>2.9999999999999996</v>
      </c>
      <c r="T61" s="232">
        <f t="shared" si="19"/>
        <v>1.9999999999999998</v>
      </c>
      <c r="U61" s="232">
        <f t="shared" si="20"/>
        <v>15.000000000000005</v>
      </c>
      <c r="V61" s="233">
        <f t="shared" si="21"/>
        <v>20.000000000000007</v>
      </c>
    </row>
    <row r="62" spans="10:22" x14ac:dyDescent="0.35">
      <c r="J62" s="229">
        <v>44531</v>
      </c>
      <c r="K62" s="13">
        <v>2021</v>
      </c>
      <c r="L62" s="230" t="s">
        <v>299</v>
      </c>
      <c r="M62" s="227">
        <f t="shared" si="13"/>
        <v>6139</v>
      </c>
      <c r="N62">
        <f t="shared" si="14"/>
        <v>0</v>
      </c>
      <c r="O62">
        <f t="shared" si="15"/>
        <v>0</v>
      </c>
      <c r="P62">
        <f t="shared" si="16"/>
        <v>0</v>
      </c>
      <c r="Q62" s="228">
        <f t="shared" si="6"/>
        <v>0</v>
      </c>
      <c r="R62" s="231">
        <f t="shared" si="17"/>
        <v>64940.999999999956</v>
      </c>
      <c r="S62" s="232">
        <f t="shared" si="18"/>
        <v>2.9999999999999996</v>
      </c>
      <c r="T62" s="232">
        <f t="shared" si="19"/>
        <v>1.9999999999999998</v>
      </c>
      <c r="U62" s="232">
        <f t="shared" si="20"/>
        <v>15.000000000000005</v>
      </c>
      <c r="V62" s="233">
        <f t="shared" si="21"/>
        <v>20.000000000000007</v>
      </c>
    </row>
    <row r="63" spans="10:22" x14ac:dyDescent="0.35">
      <c r="J63" s="229">
        <v>44562</v>
      </c>
      <c r="K63" s="13">
        <v>2022</v>
      </c>
      <c r="L63" s="230" t="s">
        <v>300</v>
      </c>
      <c r="M63" s="227">
        <f t="shared" si="13"/>
        <v>7123</v>
      </c>
      <c r="N63">
        <f t="shared" si="14"/>
        <v>1</v>
      </c>
      <c r="O63">
        <f t="shared" si="15"/>
        <v>0</v>
      </c>
      <c r="P63">
        <f t="shared" si="16"/>
        <v>2</v>
      </c>
      <c r="Q63" s="228">
        <f t="shared" si="6"/>
        <v>3</v>
      </c>
      <c r="R63" s="231">
        <f t="shared" si="17"/>
        <v>67315.333333333285</v>
      </c>
      <c r="S63" s="232">
        <f t="shared" si="18"/>
        <v>3.333333333333333</v>
      </c>
      <c r="T63" s="232">
        <f t="shared" si="19"/>
        <v>1.9999999999999998</v>
      </c>
      <c r="U63" s="232">
        <f t="shared" si="20"/>
        <v>15.666666666666671</v>
      </c>
      <c r="V63" s="233">
        <f t="shared" si="21"/>
        <v>21.000000000000007</v>
      </c>
    </row>
    <row r="64" spans="10:22" x14ac:dyDescent="0.35">
      <c r="J64" s="229">
        <v>44593</v>
      </c>
      <c r="K64" s="13">
        <v>2022</v>
      </c>
      <c r="L64" s="230" t="s">
        <v>300</v>
      </c>
      <c r="M64" s="227">
        <f t="shared" si="13"/>
        <v>7123</v>
      </c>
      <c r="N64">
        <f t="shared" si="14"/>
        <v>1</v>
      </c>
      <c r="O64">
        <f t="shared" si="15"/>
        <v>0</v>
      </c>
      <c r="P64">
        <f t="shared" si="16"/>
        <v>2</v>
      </c>
      <c r="Q64" s="228">
        <f t="shared" si="6"/>
        <v>3</v>
      </c>
      <c r="R64" s="231">
        <f t="shared" si="17"/>
        <v>69689.666666666613</v>
      </c>
      <c r="S64" s="232">
        <f t="shared" si="18"/>
        <v>3.6666666666666665</v>
      </c>
      <c r="T64" s="232">
        <f t="shared" si="19"/>
        <v>1.9999999999999998</v>
      </c>
      <c r="U64" s="232">
        <f t="shared" si="20"/>
        <v>16.333333333333339</v>
      </c>
      <c r="V64" s="233">
        <f t="shared" si="21"/>
        <v>22.000000000000007</v>
      </c>
    </row>
    <row r="65" spans="10:22" x14ac:dyDescent="0.35">
      <c r="J65" s="229">
        <v>44621</v>
      </c>
      <c r="K65" s="13">
        <v>2022</v>
      </c>
      <c r="L65" s="230" t="s">
        <v>300</v>
      </c>
      <c r="M65" s="227">
        <f t="shared" si="13"/>
        <v>7123</v>
      </c>
      <c r="N65">
        <f t="shared" si="14"/>
        <v>1</v>
      </c>
      <c r="O65">
        <f t="shared" si="15"/>
        <v>0</v>
      </c>
      <c r="P65">
        <f t="shared" si="16"/>
        <v>2</v>
      </c>
      <c r="Q65" s="228">
        <f t="shared" si="6"/>
        <v>3</v>
      </c>
      <c r="R65" s="231">
        <f t="shared" si="17"/>
        <v>72063.999999999942</v>
      </c>
      <c r="S65" s="232">
        <f t="shared" si="18"/>
        <v>4</v>
      </c>
      <c r="T65" s="232">
        <f t="shared" si="19"/>
        <v>1.9999999999999998</v>
      </c>
      <c r="U65" s="232">
        <f t="shared" si="20"/>
        <v>17.000000000000007</v>
      </c>
      <c r="V65" s="233">
        <f t="shared" si="21"/>
        <v>23.000000000000007</v>
      </c>
    </row>
    <row r="66" spans="10:22" x14ac:dyDescent="0.35">
      <c r="J66" s="229">
        <v>44652</v>
      </c>
      <c r="K66" s="13">
        <v>2022</v>
      </c>
      <c r="L66" s="230" t="s">
        <v>301</v>
      </c>
      <c r="M66" s="227">
        <f t="shared" si="13"/>
        <v>9533</v>
      </c>
      <c r="N66">
        <f t="shared" si="14"/>
        <v>0</v>
      </c>
      <c r="O66">
        <f t="shared" si="15"/>
        <v>1</v>
      </c>
      <c r="P66">
        <f t="shared" si="16"/>
        <v>3</v>
      </c>
      <c r="Q66" s="228">
        <f t="shared" si="6"/>
        <v>4</v>
      </c>
      <c r="R66" s="231">
        <f t="shared" si="17"/>
        <v>75241.666666666613</v>
      </c>
      <c r="S66" s="232">
        <f t="shared" si="18"/>
        <v>4</v>
      </c>
      <c r="T66" s="232">
        <f t="shared" si="19"/>
        <v>2.333333333333333</v>
      </c>
      <c r="U66" s="232">
        <f t="shared" si="20"/>
        <v>18.000000000000007</v>
      </c>
      <c r="V66" s="233">
        <f t="shared" si="21"/>
        <v>24.333333333333339</v>
      </c>
    </row>
    <row r="67" spans="10:22" x14ac:dyDescent="0.35">
      <c r="J67" s="229">
        <v>44682</v>
      </c>
      <c r="K67" s="13">
        <v>2022</v>
      </c>
      <c r="L67" s="230" t="s">
        <v>301</v>
      </c>
      <c r="M67" s="227">
        <f t="shared" ref="M67:M89" si="23">SUMIFS(D:D,B:B,L67)</f>
        <v>9533</v>
      </c>
      <c r="N67">
        <f t="shared" ref="N67:N89" si="24">SUMIFS(E:E,B:B,L67)</f>
        <v>0</v>
      </c>
      <c r="O67">
        <f t="shared" ref="O67:O89" si="25">SUMIFS(F:F,B:B,L67)</f>
        <v>1</v>
      </c>
      <c r="P67">
        <f t="shared" ref="P67:P89" si="26">SUMIFS(G:G,B:B,L67)</f>
        <v>3</v>
      </c>
      <c r="Q67" s="228">
        <f t="shared" si="6"/>
        <v>4</v>
      </c>
      <c r="R67" s="231">
        <f t="shared" si="17"/>
        <v>78419.333333333285</v>
      </c>
      <c r="S67" s="232">
        <f t="shared" si="18"/>
        <v>4</v>
      </c>
      <c r="T67" s="232">
        <f t="shared" si="19"/>
        <v>2.6666666666666665</v>
      </c>
      <c r="U67" s="232">
        <f t="shared" si="20"/>
        <v>19.000000000000007</v>
      </c>
      <c r="V67" s="233">
        <f t="shared" si="21"/>
        <v>25.666666666666671</v>
      </c>
    </row>
    <row r="68" spans="10:22" x14ac:dyDescent="0.35">
      <c r="J68" s="229">
        <v>44713</v>
      </c>
      <c r="K68" s="13">
        <v>2022</v>
      </c>
      <c r="L68" s="230" t="s">
        <v>301</v>
      </c>
      <c r="M68" s="227">
        <f t="shared" si="23"/>
        <v>9533</v>
      </c>
      <c r="N68">
        <f t="shared" si="24"/>
        <v>0</v>
      </c>
      <c r="O68">
        <f t="shared" si="25"/>
        <v>1</v>
      </c>
      <c r="P68">
        <f t="shared" si="26"/>
        <v>3</v>
      </c>
      <c r="Q68" s="228">
        <f t="shared" ref="Q68:Q89" si="27">N68+O68+P68</f>
        <v>4</v>
      </c>
      <c r="R68" s="231">
        <f t="shared" ref="R68:R89" si="28">M68/3+R67</f>
        <v>81596.999999999956</v>
      </c>
      <c r="S68" s="232">
        <f t="shared" ref="S68:S89" si="29">N68/3+S67</f>
        <v>4</v>
      </c>
      <c r="T68" s="232">
        <f t="shared" ref="T68:T89" si="30">O68/3+T67</f>
        <v>3</v>
      </c>
      <c r="U68" s="232">
        <f t="shared" ref="U68:U89" si="31">P68/3+U67</f>
        <v>20.000000000000007</v>
      </c>
      <c r="V68" s="233">
        <f t="shared" ref="V68:V89" si="32">Q68/3+V67</f>
        <v>27.000000000000004</v>
      </c>
    </row>
    <row r="69" spans="10:22" x14ac:dyDescent="0.35">
      <c r="J69" s="229">
        <v>44743</v>
      </c>
      <c r="K69" s="13">
        <v>2022</v>
      </c>
      <c r="L69" s="230" t="s">
        <v>302</v>
      </c>
      <c r="M69" s="227">
        <f t="shared" si="23"/>
        <v>11017</v>
      </c>
      <c r="N69">
        <f t="shared" si="24"/>
        <v>0</v>
      </c>
      <c r="O69">
        <f t="shared" si="25"/>
        <v>2</v>
      </c>
      <c r="P69">
        <f t="shared" si="26"/>
        <v>4</v>
      </c>
      <c r="Q69" s="228">
        <f t="shared" si="27"/>
        <v>6</v>
      </c>
      <c r="R69" s="231">
        <f t="shared" si="28"/>
        <v>85269.333333333285</v>
      </c>
      <c r="S69" s="232">
        <f t="shared" si="29"/>
        <v>4</v>
      </c>
      <c r="T69" s="232">
        <f t="shared" si="30"/>
        <v>3.6666666666666665</v>
      </c>
      <c r="U69" s="232">
        <f t="shared" si="31"/>
        <v>21.333333333333339</v>
      </c>
      <c r="V69" s="233">
        <f t="shared" si="32"/>
        <v>29.000000000000004</v>
      </c>
    </row>
    <row r="70" spans="10:22" x14ac:dyDescent="0.35">
      <c r="J70" s="229">
        <v>44774</v>
      </c>
      <c r="K70" s="13">
        <v>2022</v>
      </c>
      <c r="L70" s="230" t="s">
        <v>302</v>
      </c>
      <c r="M70" s="227">
        <f t="shared" si="23"/>
        <v>11017</v>
      </c>
      <c r="N70">
        <f t="shared" si="24"/>
        <v>0</v>
      </c>
      <c r="O70">
        <f t="shared" si="25"/>
        <v>2</v>
      </c>
      <c r="P70">
        <f t="shared" si="26"/>
        <v>4</v>
      </c>
      <c r="Q70" s="228">
        <f t="shared" si="27"/>
        <v>6</v>
      </c>
      <c r="R70" s="231">
        <f t="shared" si="28"/>
        <v>88941.666666666613</v>
      </c>
      <c r="S70" s="232">
        <f t="shared" si="29"/>
        <v>4</v>
      </c>
      <c r="T70" s="232">
        <f t="shared" si="30"/>
        <v>4.333333333333333</v>
      </c>
      <c r="U70" s="232">
        <f t="shared" si="31"/>
        <v>22.666666666666671</v>
      </c>
      <c r="V70" s="233">
        <f t="shared" si="32"/>
        <v>31.000000000000004</v>
      </c>
    </row>
    <row r="71" spans="10:22" x14ac:dyDescent="0.35">
      <c r="J71" s="229">
        <v>44805</v>
      </c>
      <c r="K71" s="13">
        <v>2022</v>
      </c>
      <c r="L71" s="230" t="s">
        <v>302</v>
      </c>
      <c r="M71" s="227">
        <f t="shared" si="23"/>
        <v>11017</v>
      </c>
      <c r="N71">
        <f t="shared" si="24"/>
        <v>0</v>
      </c>
      <c r="O71">
        <f t="shared" si="25"/>
        <v>2</v>
      </c>
      <c r="P71">
        <f t="shared" si="26"/>
        <v>4</v>
      </c>
      <c r="Q71" s="228">
        <f t="shared" si="27"/>
        <v>6</v>
      </c>
      <c r="R71" s="231">
        <f t="shared" si="28"/>
        <v>92613.999999999942</v>
      </c>
      <c r="S71" s="232">
        <f t="shared" si="29"/>
        <v>4</v>
      </c>
      <c r="T71" s="232">
        <f t="shared" si="30"/>
        <v>5</v>
      </c>
      <c r="U71" s="232">
        <f t="shared" si="31"/>
        <v>24.000000000000004</v>
      </c>
      <c r="V71" s="233">
        <f t="shared" si="32"/>
        <v>33</v>
      </c>
    </row>
    <row r="72" spans="10:22" x14ac:dyDescent="0.35">
      <c r="J72" s="229">
        <v>44835</v>
      </c>
      <c r="K72" s="13">
        <v>2022</v>
      </c>
      <c r="L72" s="230" t="s">
        <v>303</v>
      </c>
      <c r="M72" s="227">
        <f t="shared" si="23"/>
        <v>10982</v>
      </c>
      <c r="N72">
        <f t="shared" si="24"/>
        <v>1</v>
      </c>
      <c r="O72">
        <f t="shared" si="25"/>
        <v>2</v>
      </c>
      <c r="P72">
        <f t="shared" si="26"/>
        <v>0</v>
      </c>
      <c r="Q72" s="228">
        <f t="shared" si="27"/>
        <v>3</v>
      </c>
      <c r="R72" s="231">
        <f t="shared" si="28"/>
        <v>96274.666666666613</v>
      </c>
      <c r="S72" s="232">
        <f t="shared" si="29"/>
        <v>4.333333333333333</v>
      </c>
      <c r="T72" s="232">
        <f t="shared" si="30"/>
        <v>5.666666666666667</v>
      </c>
      <c r="U72" s="232">
        <f t="shared" si="31"/>
        <v>24.000000000000004</v>
      </c>
      <c r="V72" s="233">
        <f t="shared" si="32"/>
        <v>34</v>
      </c>
    </row>
    <row r="73" spans="10:22" x14ac:dyDescent="0.35">
      <c r="J73" s="229">
        <v>44866</v>
      </c>
      <c r="K73" s="13">
        <v>2022</v>
      </c>
      <c r="L73" s="230" t="s">
        <v>303</v>
      </c>
      <c r="M73" s="227">
        <f t="shared" si="23"/>
        <v>10982</v>
      </c>
      <c r="N73">
        <f t="shared" si="24"/>
        <v>1</v>
      </c>
      <c r="O73">
        <f t="shared" si="25"/>
        <v>2</v>
      </c>
      <c r="P73">
        <f t="shared" si="26"/>
        <v>0</v>
      </c>
      <c r="Q73" s="228">
        <f t="shared" si="27"/>
        <v>3</v>
      </c>
      <c r="R73" s="231">
        <f t="shared" si="28"/>
        <v>99935.333333333285</v>
      </c>
      <c r="S73" s="232">
        <f t="shared" si="29"/>
        <v>4.6666666666666661</v>
      </c>
      <c r="T73" s="232">
        <f t="shared" si="30"/>
        <v>6.3333333333333339</v>
      </c>
      <c r="U73" s="232">
        <f t="shared" si="31"/>
        <v>24.000000000000004</v>
      </c>
      <c r="V73" s="233">
        <f t="shared" si="32"/>
        <v>35</v>
      </c>
    </row>
    <row r="74" spans="10:22" x14ac:dyDescent="0.35">
      <c r="J74" s="229">
        <v>44896</v>
      </c>
      <c r="K74" s="13">
        <v>2022</v>
      </c>
      <c r="L74" s="230" t="s">
        <v>303</v>
      </c>
      <c r="M74" s="227">
        <f t="shared" si="23"/>
        <v>10982</v>
      </c>
      <c r="N74">
        <f t="shared" si="24"/>
        <v>1</v>
      </c>
      <c r="O74">
        <f t="shared" si="25"/>
        <v>2</v>
      </c>
      <c r="P74">
        <f t="shared" si="26"/>
        <v>0</v>
      </c>
      <c r="Q74" s="228">
        <f t="shared" si="27"/>
        <v>3</v>
      </c>
      <c r="R74" s="231">
        <f t="shared" si="28"/>
        <v>103595.99999999996</v>
      </c>
      <c r="S74" s="232">
        <f t="shared" si="29"/>
        <v>4.9999999999999991</v>
      </c>
      <c r="T74" s="232">
        <f t="shared" si="30"/>
        <v>7.0000000000000009</v>
      </c>
      <c r="U74" s="232">
        <f t="shared" si="31"/>
        <v>24.000000000000004</v>
      </c>
      <c r="V74" s="233">
        <f t="shared" si="32"/>
        <v>36</v>
      </c>
    </row>
    <row r="75" spans="10:22" x14ac:dyDescent="0.35">
      <c r="J75" s="229">
        <v>44927</v>
      </c>
      <c r="K75" s="13">
        <v>2023</v>
      </c>
      <c r="L75" s="230" t="s">
        <v>304</v>
      </c>
      <c r="M75" s="227">
        <f t="shared" si="23"/>
        <v>8460</v>
      </c>
      <c r="N75">
        <f t="shared" si="24"/>
        <v>0</v>
      </c>
      <c r="O75">
        <f t="shared" si="25"/>
        <v>1</v>
      </c>
      <c r="P75">
        <f t="shared" si="26"/>
        <v>1</v>
      </c>
      <c r="Q75" s="228">
        <f t="shared" si="27"/>
        <v>2</v>
      </c>
      <c r="R75" s="231">
        <f t="shared" si="28"/>
        <v>106415.99999999996</v>
      </c>
      <c r="S75" s="232">
        <f t="shared" si="29"/>
        <v>4.9999999999999991</v>
      </c>
      <c r="T75" s="232">
        <f t="shared" si="30"/>
        <v>7.3333333333333339</v>
      </c>
      <c r="U75" s="232">
        <f t="shared" si="31"/>
        <v>24.333333333333336</v>
      </c>
      <c r="V75" s="233">
        <f t="shared" si="32"/>
        <v>36.666666666666664</v>
      </c>
    </row>
    <row r="76" spans="10:22" x14ac:dyDescent="0.35">
      <c r="J76" s="229">
        <v>44958</v>
      </c>
      <c r="K76" s="13">
        <v>2023</v>
      </c>
      <c r="L76" s="230" t="s">
        <v>304</v>
      </c>
      <c r="M76" s="227">
        <f t="shared" si="23"/>
        <v>8460</v>
      </c>
      <c r="N76">
        <f t="shared" si="24"/>
        <v>0</v>
      </c>
      <c r="O76">
        <f t="shared" si="25"/>
        <v>1</v>
      </c>
      <c r="P76">
        <f t="shared" si="26"/>
        <v>1</v>
      </c>
      <c r="Q76" s="228">
        <f t="shared" si="27"/>
        <v>2</v>
      </c>
      <c r="R76" s="231">
        <f t="shared" si="28"/>
        <v>109235.99999999996</v>
      </c>
      <c r="S76" s="232">
        <f t="shared" si="29"/>
        <v>4.9999999999999991</v>
      </c>
      <c r="T76" s="232">
        <f t="shared" si="30"/>
        <v>7.666666666666667</v>
      </c>
      <c r="U76" s="232">
        <f t="shared" si="31"/>
        <v>24.666666666666668</v>
      </c>
      <c r="V76" s="233">
        <f t="shared" si="32"/>
        <v>37.333333333333329</v>
      </c>
    </row>
    <row r="77" spans="10:22" x14ac:dyDescent="0.35">
      <c r="J77" s="229">
        <v>44986</v>
      </c>
      <c r="K77" s="13">
        <v>2023</v>
      </c>
      <c r="L77" s="230" t="s">
        <v>304</v>
      </c>
      <c r="M77" s="227">
        <f t="shared" si="23"/>
        <v>8460</v>
      </c>
      <c r="N77">
        <f t="shared" si="24"/>
        <v>0</v>
      </c>
      <c r="O77">
        <f t="shared" si="25"/>
        <v>1</v>
      </c>
      <c r="P77">
        <f t="shared" si="26"/>
        <v>1</v>
      </c>
      <c r="Q77" s="228">
        <f t="shared" si="27"/>
        <v>2</v>
      </c>
      <c r="R77" s="231">
        <f t="shared" si="28"/>
        <v>112055.99999999996</v>
      </c>
      <c r="S77" s="232">
        <f t="shared" si="29"/>
        <v>4.9999999999999991</v>
      </c>
      <c r="T77" s="232">
        <f t="shared" si="30"/>
        <v>8</v>
      </c>
      <c r="U77" s="232">
        <f t="shared" si="31"/>
        <v>25</v>
      </c>
      <c r="V77" s="233">
        <f t="shared" si="32"/>
        <v>37.999999999999993</v>
      </c>
    </row>
    <row r="78" spans="10:22" x14ac:dyDescent="0.35">
      <c r="J78" s="229">
        <v>45017</v>
      </c>
      <c r="K78" s="13">
        <v>2023</v>
      </c>
      <c r="L78" s="230" t="s">
        <v>305</v>
      </c>
      <c r="M78" s="227">
        <f t="shared" si="23"/>
        <v>12751</v>
      </c>
      <c r="N78">
        <f t="shared" si="24"/>
        <v>0</v>
      </c>
      <c r="O78">
        <f t="shared" si="25"/>
        <v>0</v>
      </c>
      <c r="P78">
        <f t="shared" si="26"/>
        <v>2</v>
      </c>
      <c r="Q78" s="228">
        <f t="shared" si="27"/>
        <v>2</v>
      </c>
      <c r="R78" s="231">
        <f t="shared" si="28"/>
        <v>116306.33333333328</v>
      </c>
      <c r="S78" s="232">
        <f t="shared" si="29"/>
        <v>4.9999999999999991</v>
      </c>
      <c r="T78" s="232">
        <f t="shared" si="30"/>
        <v>8</v>
      </c>
      <c r="U78" s="232">
        <f t="shared" si="31"/>
        <v>25.666666666666668</v>
      </c>
      <c r="V78" s="233">
        <f t="shared" si="32"/>
        <v>38.666666666666657</v>
      </c>
    </row>
    <row r="79" spans="10:22" x14ac:dyDescent="0.35">
      <c r="J79" s="229">
        <v>45047</v>
      </c>
      <c r="K79" s="13">
        <v>2023</v>
      </c>
      <c r="L79" s="230" t="s">
        <v>305</v>
      </c>
      <c r="M79" s="227">
        <f t="shared" si="23"/>
        <v>12751</v>
      </c>
      <c r="N79">
        <f t="shared" si="24"/>
        <v>0</v>
      </c>
      <c r="O79">
        <f t="shared" si="25"/>
        <v>0</v>
      </c>
      <c r="P79">
        <f t="shared" si="26"/>
        <v>2</v>
      </c>
      <c r="Q79" s="228">
        <f t="shared" si="27"/>
        <v>2</v>
      </c>
      <c r="R79" s="231">
        <f t="shared" si="28"/>
        <v>120556.66666666661</v>
      </c>
      <c r="S79" s="232">
        <f t="shared" si="29"/>
        <v>4.9999999999999991</v>
      </c>
      <c r="T79" s="232">
        <f t="shared" si="30"/>
        <v>8</v>
      </c>
      <c r="U79" s="232">
        <f t="shared" si="31"/>
        <v>26.333333333333336</v>
      </c>
      <c r="V79" s="233">
        <f t="shared" si="32"/>
        <v>39.333333333333321</v>
      </c>
    </row>
    <row r="80" spans="10:22" x14ac:dyDescent="0.35">
      <c r="J80" s="229">
        <v>45078</v>
      </c>
      <c r="K80" s="13">
        <v>2023</v>
      </c>
      <c r="L80" s="230" t="s">
        <v>305</v>
      </c>
      <c r="M80" s="227">
        <f t="shared" si="23"/>
        <v>12751</v>
      </c>
      <c r="N80">
        <f t="shared" si="24"/>
        <v>0</v>
      </c>
      <c r="O80">
        <f t="shared" si="25"/>
        <v>0</v>
      </c>
      <c r="P80">
        <f t="shared" si="26"/>
        <v>2</v>
      </c>
      <c r="Q80" s="228">
        <f t="shared" si="27"/>
        <v>2</v>
      </c>
      <c r="R80" s="231">
        <f t="shared" si="28"/>
        <v>124806.99999999994</v>
      </c>
      <c r="S80" s="232">
        <f t="shared" si="29"/>
        <v>4.9999999999999991</v>
      </c>
      <c r="T80" s="232">
        <f t="shared" si="30"/>
        <v>8</v>
      </c>
      <c r="U80" s="232">
        <f t="shared" si="31"/>
        <v>27.000000000000004</v>
      </c>
      <c r="V80" s="233">
        <f t="shared" si="32"/>
        <v>39.999999999999986</v>
      </c>
    </row>
    <row r="81" spans="10:22" x14ac:dyDescent="0.35">
      <c r="J81" s="229">
        <v>45108</v>
      </c>
      <c r="K81" s="13">
        <v>2023</v>
      </c>
      <c r="L81" s="230" t="s">
        <v>306</v>
      </c>
      <c r="M81" s="227">
        <f t="shared" si="23"/>
        <v>14624</v>
      </c>
      <c r="N81">
        <f t="shared" si="24"/>
        <v>1</v>
      </c>
      <c r="O81">
        <f t="shared" si="25"/>
        <v>3</v>
      </c>
      <c r="P81">
        <f t="shared" si="26"/>
        <v>5</v>
      </c>
      <c r="Q81" s="228">
        <f t="shared" si="27"/>
        <v>9</v>
      </c>
      <c r="R81" s="231">
        <f t="shared" si="28"/>
        <v>129681.66666666661</v>
      </c>
      <c r="S81" s="232">
        <f t="shared" si="29"/>
        <v>5.3333333333333321</v>
      </c>
      <c r="T81" s="232">
        <f t="shared" si="30"/>
        <v>9</v>
      </c>
      <c r="U81" s="232">
        <f t="shared" si="31"/>
        <v>28.666666666666671</v>
      </c>
      <c r="V81" s="233">
        <f t="shared" si="32"/>
        <v>42.999999999999986</v>
      </c>
    </row>
    <row r="82" spans="10:22" x14ac:dyDescent="0.35">
      <c r="J82" s="229">
        <v>45139</v>
      </c>
      <c r="K82" s="13">
        <v>2023</v>
      </c>
      <c r="L82" s="230" t="s">
        <v>306</v>
      </c>
      <c r="M82" s="227">
        <f t="shared" si="23"/>
        <v>14624</v>
      </c>
      <c r="N82">
        <f t="shared" si="24"/>
        <v>1</v>
      </c>
      <c r="O82">
        <f t="shared" si="25"/>
        <v>3</v>
      </c>
      <c r="P82">
        <f t="shared" si="26"/>
        <v>5</v>
      </c>
      <c r="Q82" s="228">
        <f t="shared" si="27"/>
        <v>9</v>
      </c>
      <c r="R82" s="231">
        <f t="shared" si="28"/>
        <v>134556.33333333328</v>
      </c>
      <c r="S82" s="232">
        <f t="shared" si="29"/>
        <v>5.6666666666666652</v>
      </c>
      <c r="T82" s="232">
        <f t="shared" si="30"/>
        <v>10</v>
      </c>
      <c r="U82" s="232">
        <f t="shared" si="31"/>
        <v>30.333333333333339</v>
      </c>
      <c r="V82" s="233">
        <f t="shared" si="32"/>
        <v>45.999999999999986</v>
      </c>
    </row>
    <row r="83" spans="10:22" x14ac:dyDescent="0.35">
      <c r="J83" s="229">
        <v>45170</v>
      </c>
      <c r="K83" s="13">
        <v>2023</v>
      </c>
      <c r="L83" s="230" t="s">
        <v>306</v>
      </c>
      <c r="M83" s="227">
        <f t="shared" si="23"/>
        <v>14624</v>
      </c>
      <c r="N83">
        <f t="shared" si="24"/>
        <v>1</v>
      </c>
      <c r="O83">
        <f t="shared" si="25"/>
        <v>3</v>
      </c>
      <c r="P83">
        <f t="shared" si="26"/>
        <v>5</v>
      </c>
      <c r="Q83" s="228">
        <f t="shared" si="27"/>
        <v>9</v>
      </c>
      <c r="R83" s="231">
        <f t="shared" si="28"/>
        <v>139430.99999999994</v>
      </c>
      <c r="S83" s="232">
        <f t="shared" si="29"/>
        <v>5.9999999999999982</v>
      </c>
      <c r="T83" s="232">
        <f t="shared" si="30"/>
        <v>11</v>
      </c>
      <c r="U83" s="232">
        <f t="shared" si="31"/>
        <v>32.000000000000007</v>
      </c>
      <c r="V83" s="233">
        <f t="shared" si="32"/>
        <v>48.999999999999986</v>
      </c>
    </row>
    <row r="84" spans="10:22" x14ac:dyDescent="0.35">
      <c r="J84" s="229">
        <v>45200</v>
      </c>
      <c r="K84" s="13">
        <v>2023</v>
      </c>
      <c r="L84" s="230" t="s">
        <v>307</v>
      </c>
      <c r="M84" s="227">
        <f t="shared" si="23"/>
        <v>13975</v>
      </c>
      <c r="N84">
        <f t="shared" si="24"/>
        <v>1</v>
      </c>
      <c r="O84">
        <f t="shared" si="25"/>
        <v>0</v>
      </c>
      <c r="P84">
        <f t="shared" si="26"/>
        <v>1</v>
      </c>
      <c r="Q84" s="228">
        <f t="shared" si="27"/>
        <v>2</v>
      </c>
      <c r="R84" s="231">
        <f t="shared" si="28"/>
        <v>144089.33333333328</v>
      </c>
      <c r="S84" s="232">
        <f t="shared" si="29"/>
        <v>6.3333333333333313</v>
      </c>
      <c r="T84" s="232">
        <f t="shared" si="30"/>
        <v>11</v>
      </c>
      <c r="U84" s="232">
        <f t="shared" si="31"/>
        <v>32.333333333333343</v>
      </c>
      <c r="V84" s="233">
        <f t="shared" si="32"/>
        <v>49.66666666666665</v>
      </c>
    </row>
    <row r="85" spans="10:22" x14ac:dyDescent="0.35">
      <c r="J85" s="229">
        <v>45231</v>
      </c>
      <c r="K85" s="13">
        <v>2023</v>
      </c>
      <c r="L85" s="230" t="s">
        <v>307</v>
      </c>
      <c r="M85" s="227">
        <f t="shared" si="23"/>
        <v>13975</v>
      </c>
      <c r="N85">
        <f t="shared" si="24"/>
        <v>1</v>
      </c>
      <c r="O85">
        <f t="shared" si="25"/>
        <v>0</v>
      </c>
      <c r="P85">
        <f t="shared" si="26"/>
        <v>1</v>
      </c>
      <c r="Q85" s="228">
        <f t="shared" si="27"/>
        <v>2</v>
      </c>
      <c r="R85" s="231">
        <f t="shared" si="28"/>
        <v>148747.66666666663</v>
      </c>
      <c r="S85" s="232">
        <f t="shared" si="29"/>
        <v>6.6666666666666643</v>
      </c>
      <c r="T85" s="232">
        <f t="shared" si="30"/>
        <v>11</v>
      </c>
      <c r="U85" s="232">
        <f t="shared" si="31"/>
        <v>32.666666666666679</v>
      </c>
      <c r="V85" s="233">
        <f t="shared" si="32"/>
        <v>50.333333333333314</v>
      </c>
    </row>
    <row r="86" spans="10:22" x14ac:dyDescent="0.35">
      <c r="J86" s="229">
        <v>45261</v>
      </c>
      <c r="K86" s="13">
        <v>2023</v>
      </c>
      <c r="L86" s="230" t="s">
        <v>307</v>
      </c>
      <c r="M86" s="227">
        <f t="shared" si="23"/>
        <v>13975</v>
      </c>
      <c r="N86">
        <f t="shared" si="24"/>
        <v>1</v>
      </c>
      <c r="O86">
        <f t="shared" si="25"/>
        <v>0</v>
      </c>
      <c r="P86">
        <f t="shared" si="26"/>
        <v>1</v>
      </c>
      <c r="Q86" s="228">
        <f t="shared" si="27"/>
        <v>2</v>
      </c>
      <c r="R86" s="231">
        <f t="shared" si="28"/>
        <v>153405.99999999997</v>
      </c>
      <c r="S86" s="232">
        <f t="shared" si="29"/>
        <v>6.9999999999999973</v>
      </c>
      <c r="T86" s="232">
        <f t="shared" si="30"/>
        <v>11</v>
      </c>
      <c r="U86" s="232">
        <f t="shared" si="31"/>
        <v>33.000000000000014</v>
      </c>
      <c r="V86" s="233">
        <f t="shared" si="32"/>
        <v>50.999999999999979</v>
      </c>
    </row>
    <row r="87" spans="10:22" x14ac:dyDescent="0.35">
      <c r="J87" s="229">
        <v>45292</v>
      </c>
      <c r="K87" s="13">
        <v>2024</v>
      </c>
      <c r="L87" s="230" t="s">
        <v>308</v>
      </c>
      <c r="M87" s="227">
        <f t="shared" si="23"/>
        <v>10910</v>
      </c>
      <c r="N87">
        <f t="shared" si="24"/>
        <v>1</v>
      </c>
      <c r="O87">
        <f t="shared" si="25"/>
        <v>1</v>
      </c>
      <c r="P87">
        <f t="shared" si="26"/>
        <v>2</v>
      </c>
      <c r="Q87" s="228">
        <f t="shared" si="27"/>
        <v>4</v>
      </c>
      <c r="R87" s="231">
        <f t="shared" si="28"/>
        <v>157042.66666666663</v>
      </c>
      <c r="S87" s="232">
        <f t="shared" si="29"/>
        <v>7.3333333333333304</v>
      </c>
      <c r="T87" s="232">
        <f t="shared" si="30"/>
        <v>11.333333333333334</v>
      </c>
      <c r="U87" s="232">
        <f t="shared" si="31"/>
        <v>33.666666666666679</v>
      </c>
      <c r="V87" s="233">
        <f t="shared" si="32"/>
        <v>52.333333333333314</v>
      </c>
    </row>
    <row r="88" spans="10:22" x14ac:dyDescent="0.35">
      <c r="J88" s="229">
        <v>45323</v>
      </c>
      <c r="K88" s="13">
        <v>2024</v>
      </c>
      <c r="L88" s="230" t="s">
        <v>308</v>
      </c>
      <c r="M88" s="227">
        <f t="shared" si="23"/>
        <v>10910</v>
      </c>
      <c r="N88">
        <f t="shared" si="24"/>
        <v>1</v>
      </c>
      <c r="O88">
        <f t="shared" si="25"/>
        <v>1</v>
      </c>
      <c r="P88">
        <f t="shared" si="26"/>
        <v>2</v>
      </c>
      <c r="Q88" s="228">
        <f t="shared" si="27"/>
        <v>4</v>
      </c>
      <c r="R88" s="231">
        <f t="shared" si="28"/>
        <v>160679.33333333328</v>
      </c>
      <c r="S88" s="232">
        <f t="shared" si="29"/>
        <v>7.6666666666666634</v>
      </c>
      <c r="T88" s="232">
        <f t="shared" si="30"/>
        <v>11.666666666666668</v>
      </c>
      <c r="U88" s="232">
        <f t="shared" si="31"/>
        <v>34.333333333333343</v>
      </c>
      <c r="V88" s="233">
        <f t="shared" si="32"/>
        <v>53.66666666666665</v>
      </c>
    </row>
    <row r="89" spans="10:22" x14ac:dyDescent="0.35">
      <c r="J89" s="237">
        <v>45352</v>
      </c>
      <c r="K89" s="315">
        <v>2024</v>
      </c>
      <c r="L89" s="238" t="s">
        <v>308</v>
      </c>
      <c r="M89" s="234">
        <f t="shared" si="23"/>
        <v>10910</v>
      </c>
      <c r="N89" s="235">
        <f t="shared" si="24"/>
        <v>1</v>
      </c>
      <c r="O89" s="235">
        <f t="shared" si="25"/>
        <v>1</v>
      </c>
      <c r="P89" s="235">
        <f t="shared" si="26"/>
        <v>2</v>
      </c>
      <c r="Q89" s="236">
        <f t="shared" si="27"/>
        <v>4</v>
      </c>
      <c r="R89" s="239">
        <f t="shared" si="28"/>
        <v>164315.99999999994</v>
      </c>
      <c r="S89" s="240">
        <f t="shared" si="29"/>
        <v>7.9999999999999964</v>
      </c>
      <c r="T89" s="240">
        <f t="shared" si="30"/>
        <v>12.000000000000002</v>
      </c>
      <c r="U89" s="240">
        <f t="shared" si="31"/>
        <v>35.000000000000007</v>
      </c>
      <c r="V89" s="241">
        <f t="shared" si="32"/>
        <v>54.999999999999986</v>
      </c>
    </row>
  </sheetData>
  <mergeCells count="6">
    <mergeCell ref="AP2:AT2"/>
    <mergeCell ref="M1:Q1"/>
    <mergeCell ref="R1:V1"/>
    <mergeCell ref="AA2:AE2"/>
    <mergeCell ref="AF2:AJ2"/>
    <mergeCell ref="AK2:A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9F5774AE73B24193BA3F1DA4F2CB9F" ma:contentTypeVersion="4" ma:contentTypeDescription="Create a new document." ma:contentTypeScope="" ma:versionID="579c8414b4e8283e896550647f53b806">
  <xsd:schema xmlns:xsd="http://www.w3.org/2001/XMLSchema" xmlns:xs="http://www.w3.org/2001/XMLSchema" xmlns:p="http://schemas.microsoft.com/office/2006/metadata/properties" xmlns:ns2="8fa61945-1231-4602-a56f-249b759c02fd" targetNamespace="http://schemas.microsoft.com/office/2006/metadata/properties" ma:root="true" ma:fieldsID="e2496b969a6a9e9b96a46d46485e09a5" ns2:_="">
    <xsd:import namespace="8fa61945-1231-4602-a56f-249b759c02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61945-1231-4602-a56f-249b759c02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C720E-21D8-43FE-A2DF-52D28B664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61945-1231-4602-a56f-249b759c0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15490-D775-4780-9F5B-56C77D8FA0F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377456D-373D-4657-A15F-029709F2D5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Summary Results Tables</vt:lpstr>
      <vt:lpstr>MonthlyData</vt:lpstr>
      <vt:lpstr>Economic Data</vt:lpstr>
      <vt:lpstr>Weather</vt:lpstr>
      <vt:lpstr>CDM</vt:lpstr>
      <vt:lpstr>Res Predicted</vt:lpstr>
      <vt:lpstr>GS &lt; 50 Predicted</vt:lpstr>
      <vt:lpstr>GS &gt; 50 Predicted</vt:lpstr>
      <vt:lpstr>EV Data</vt:lpstr>
      <vt:lpstr>EV Forecast</vt:lpstr>
      <vt:lpstr>Heating</vt:lpstr>
      <vt:lpstr>Total Additional Loads</vt:lpstr>
      <vt:lpstr>Model Summary</vt:lpstr>
      <vt:lpstr>Res Normalized</vt:lpstr>
      <vt:lpstr>GS &lt; 50 Normalized</vt:lpstr>
      <vt:lpstr>GS &gt; 50 Normalized</vt:lpstr>
      <vt:lpstr>kW Forecast</vt:lpstr>
      <vt:lpstr>Customer Count</vt:lpstr>
      <vt:lpstr>Normalized Annual Summary</vt:lpstr>
      <vt:lpstr>CDM Framework</vt:lpstr>
      <vt:lpstr>CDM Adjustment</vt:lpstr>
      <vt:lpstr>Summary</vt:lpstr>
      <vt:lpstr>Res Normalized WN</vt:lpstr>
      <vt:lpstr>GS &lt; 50 Normalized WN</vt:lpstr>
      <vt:lpstr>GS &gt; 50 Normalized WN</vt:lpstr>
      <vt:lpstr>Normalized Annual Summary WN</vt:lpstr>
      <vt:lpstr>Summary 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Andrew Blair</cp:lastModifiedBy>
  <dcterms:created xsi:type="dcterms:W3CDTF">2024-07-19T22:22:44Z</dcterms:created>
  <dcterms:modified xsi:type="dcterms:W3CDTF">2025-01-30T23:39:55Z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0x0101005B9F5774AE73B24193BA3F1DA4F2CB9F</vt:lpwstr>
  </property>
</Properties>
</file>