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5 Electricity Rates\IRM\IRM Applications\Price Cap IR\Burlington\Final Decision and Model\Final Docs\Final Rate Order\"/>
    </mc:Choice>
  </mc:AlternateContent>
  <xr:revisionPtr revIDLastSave="0" documentId="13_ncr:1_{9C7946E6-935B-4B66-96CE-37088FA89371}" xr6:coauthVersionLast="47" xr6:coauthVersionMax="47" xr10:uidLastSave="{00000000-0000-0000-0000-000000000000}"/>
  <bookViews>
    <workbookView xWindow="-110" yWindow="-110" windowWidth="19420" windowHeight="10420" tabRatio="846" activeTab="4" xr2:uid="{7BA7E3F0-1D73-4FB7-893C-1F5B88936211}"/>
    <workbookView xWindow="-110" yWindow="-110" windowWidth="19420" windowHeight="10420" tabRatio="792" firstSheet="8" activeTab="8" xr2:uid="{AF88BD32-26D8-4B4E-ADB6-D59A7759C62E}"/>
  </bookViews>
  <sheets>
    <sheet name="Table 1 - CVA Capex Variance" sheetId="7" r:id="rId1"/>
    <sheet name="Table 2 - RR of Actuals 2021" sheetId="13" r:id="rId2"/>
    <sheet name="Table 3 - RR for CVA" sheetId="1" r:id="rId3"/>
    <sheet name="Table 4 - CVA Entries" sheetId="2" r:id="rId4"/>
    <sheet name="Table 5 - CVA Continuity" sheetId="9" r:id="rId5"/>
    <sheet name="Table 6 - Approved ICM Capital" sheetId="10" r:id="rId6"/>
    <sheet name="Table 7 - Revised ICM RR" sheetId="11" r:id="rId7"/>
    <sheet name="Table 8 - RR Offset" sheetId="12" r:id="rId8"/>
    <sheet name="Table 9 - ICM Riders" sheetId="3" r:id="rId9"/>
    <sheet name="Table 10 - ICM Bill Impact" sheetId="4" r:id="rId10"/>
    <sheet name="Table 11 - Dx Rate Impact" sheetId="5" r:id="rId11"/>
    <sheet name="Table 12 - Total Bill Impact" sheetId="6" r:id="rId12"/>
  </sheets>
  <definedNames>
    <definedName name="BridgeYear">#REF!</definedName>
    <definedName name="EBNUMBER">#REF!</definedName>
    <definedName name="MidPeak">#REF!</definedName>
    <definedName name="MidPeak2">#REF!</definedName>
    <definedName name="MidPeakPer">#REF!</definedName>
    <definedName name="OffPeak">#REF!</definedName>
    <definedName name="OffPeak2">#REF!</definedName>
    <definedName name="OffPeakPer">#REF!</definedName>
    <definedName name="OnPeak">#REF!</definedName>
    <definedName name="OnPeak2">#REF!</definedName>
    <definedName name="OnPeakPer">#REF!</definedName>
    <definedName name="SME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D4" i="2" l="1"/>
  <c r="C4" i="2"/>
  <c r="B72" i="13"/>
  <c r="C28" i="13"/>
  <c r="C26" i="13"/>
  <c r="C9" i="11" l="1"/>
  <c r="C4" i="12" s="1"/>
  <c r="F8" i="9" l="1"/>
  <c r="G8" i="9" s="1"/>
  <c r="E6" i="2" l="1"/>
  <c r="E5" i="2"/>
  <c r="B72" i="1"/>
  <c r="C28" i="1"/>
  <c r="C26" i="1"/>
  <c r="E16" i="7"/>
  <c r="E11" i="7" l="1"/>
  <c r="D22" i="7"/>
  <c r="C22" i="7"/>
  <c r="D21" i="7"/>
  <c r="E12" i="7"/>
  <c r="C21" i="7"/>
  <c r="D18" i="7"/>
  <c r="C18" i="7"/>
  <c r="E17" i="7"/>
  <c r="E18" i="7" s="1"/>
  <c r="C5" i="7" l="1"/>
  <c r="H7" i="13"/>
  <c r="D5" i="7"/>
  <c r="I7" i="13"/>
  <c r="D23" i="7"/>
  <c r="F7" i="1" s="1"/>
  <c r="F8" i="1" s="1"/>
  <c r="F15" i="1" s="1"/>
  <c r="F37" i="1" s="1"/>
  <c r="F71" i="1" s="1"/>
  <c r="E21" i="7"/>
  <c r="E22" i="7"/>
  <c r="C23" i="7"/>
  <c r="E7" i="1" s="1"/>
  <c r="E14" i="1" s="1"/>
  <c r="E5" i="7" l="1"/>
  <c r="H8" i="13"/>
  <c r="J7" i="13"/>
  <c r="J14" i="13" s="1"/>
  <c r="H9" i="13"/>
  <c r="H14" i="13"/>
  <c r="I8" i="13"/>
  <c r="I15" i="13" s="1"/>
  <c r="I37" i="13" s="1"/>
  <c r="I14" i="13"/>
  <c r="I16" i="13" s="1"/>
  <c r="I9" i="13"/>
  <c r="I46" i="13" s="1"/>
  <c r="E23" i="7"/>
  <c r="F14" i="1"/>
  <c r="F16" i="1" s="1"/>
  <c r="F27" i="1" s="1"/>
  <c r="F29" i="1" s="1"/>
  <c r="F42" i="1" s="1"/>
  <c r="F9" i="1"/>
  <c r="F46" i="1" s="1"/>
  <c r="E8" i="1"/>
  <c r="G8" i="1" s="1"/>
  <c r="G15" i="1" s="1"/>
  <c r="G7" i="1"/>
  <c r="G14" i="1" s="1"/>
  <c r="E9" i="1"/>
  <c r="E46" i="1" s="1"/>
  <c r="F44" i="1"/>
  <c r="I19" i="13" l="1"/>
  <c r="I22" i="13" s="1"/>
  <c r="I18" i="13"/>
  <c r="I21" i="13" s="1"/>
  <c r="I24" i="13" s="1"/>
  <c r="I27" i="13"/>
  <c r="I29" i="13" s="1"/>
  <c r="I42" i="13" s="1"/>
  <c r="I44" i="13"/>
  <c r="I71" i="13"/>
  <c r="H46" i="13"/>
  <c r="J9" i="13"/>
  <c r="J46" i="13" s="1"/>
  <c r="H15" i="13"/>
  <c r="H37" i="13" s="1"/>
  <c r="J8" i="13"/>
  <c r="J15" i="13" s="1"/>
  <c r="J37" i="13" s="1"/>
  <c r="J44" i="13" s="1"/>
  <c r="G9" i="1"/>
  <c r="G46" i="1" s="1"/>
  <c r="E15" i="1"/>
  <c r="E16" i="1" s="1"/>
  <c r="F18" i="1"/>
  <c r="F21" i="1" s="1"/>
  <c r="F19" i="1"/>
  <c r="F22" i="1" s="1"/>
  <c r="F48" i="1"/>
  <c r="F52" i="1" s="1"/>
  <c r="F54" i="1" s="1"/>
  <c r="F72" i="1" s="1"/>
  <c r="G37" i="1"/>
  <c r="G44" i="1" s="1"/>
  <c r="G16" i="1"/>
  <c r="H71" i="13" l="1"/>
  <c r="J71" i="13" s="1"/>
  <c r="H44" i="13"/>
  <c r="J16" i="13"/>
  <c r="H16" i="13"/>
  <c r="I48" i="13"/>
  <c r="I31" i="13"/>
  <c r="I70" i="13" s="1"/>
  <c r="F24" i="1"/>
  <c r="F31" i="1" s="1"/>
  <c r="F70" i="1" s="1"/>
  <c r="F75" i="1" s="1"/>
  <c r="E37" i="1"/>
  <c r="E71" i="1" s="1"/>
  <c r="G71" i="1" s="1"/>
  <c r="E18" i="1"/>
  <c r="E27" i="1"/>
  <c r="E19" i="1"/>
  <c r="I52" i="13" l="1"/>
  <c r="I54" i="13" s="1"/>
  <c r="I72" i="13" s="1"/>
  <c r="I75" i="13" s="1"/>
  <c r="H19" i="13"/>
  <c r="H18" i="13"/>
  <c r="H27" i="13"/>
  <c r="E44" i="1"/>
  <c r="G27" i="1"/>
  <c r="E29" i="1"/>
  <c r="G19" i="1"/>
  <c r="E22" i="1"/>
  <c r="G22" i="1" s="1"/>
  <c r="G18" i="1"/>
  <c r="E21" i="1"/>
  <c r="H29" i="13" l="1"/>
  <c r="J27" i="13"/>
  <c r="H21" i="13"/>
  <c r="J18" i="13"/>
  <c r="H22" i="13"/>
  <c r="J22" i="13" s="1"/>
  <c r="J19" i="13"/>
  <c r="G29" i="1"/>
  <c r="G42" i="1" s="1"/>
  <c r="G48" i="1" s="1"/>
  <c r="E42" i="1"/>
  <c r="E48" i="1" s="1"/>
  <c r="E52" i="1" s="1"/>
  <c r="E54" i="1" s="1"/>
  <c r="G21" i="1"/>
  <c r="G24" i="1" s="1"/>
  <c r="G31" i="1" s="1"/>
  <c r="E24" i="1"/>
  <c r="E31" i="1" s="1"/>
  <c r="E70" i="1" s="1"/>
  <c r="G70" i="1" s="1"/>
  <c r="H24" i="13" l="1"/>
  <c r="H31" i="13" s="1"/>
  <c r="H70" i="13" s="1"/>
  <c r="J21" i="13"/>
  <c r="J24" i="13" s="1"/>
  <c r="J29" i="13"/>
  <c r="J42" i="13" s="1"/>
  <c r="J48" i="13" s="1"/>
  <c r="H42" i="13"/>
  <c r="H48" i="13" s="1"/>
  <c r="H52" i="13" s="1"/>
  <c r="G52" i="1"/>
  <c r="G54" i="1"/>
  <c r="E72" i="1"/>
  <c r="H54" i="13" l="1"/>
  <c r="J52" i="13"/>
  <c r="J31" i="13"/>
  <c r="J70" i="13"/>
  <c r="G72" i="1"/>
  <c r="E75" i="1"/>
  <c r="G75" i="1" s="1"/>
  <c r="J54" i="13" l="1"/>
  <c r="H72" i="13"/>
  <c r="J72" i="13" l="1"/>
  <c r="H75" i="13"/>
  <c r="J75" i="13" s="1"/>
  <c r="D5" i="2"/>
  <c r="D6" i="2" s="1"/>
  <c r="G4" i="2"/>
  <c r="E4" i="9" l="1"/>
  <c r="F4" i="9" s="1"/>
  <c r="G4" i="9" s="1"/>
  <c r="F5" i="2"/>
  <c r="G5" i="2" s="1"/>
  <c r="H4" i="9" l="1"/>
  <c r="I4" i="9" s="1"/>
  <c r="J4" i="9" s="1"/>
  <c r="F6" i="2"/>
  <c r="G6" i="2" s="1"/>
  <c r="K4" i="9" s="1"/>
  <c r="G7" i="2" l="1"/>
  <c r="L4" i="9"/>
  <c r="C5" i="12" l="1"/>
  <c r="C7" i="12" s="1"/>
  <c r="G8" i="3" s="1"/>
  <c r="K8" i="3" s="1"/>
  <c r="F8" i="3"/>
  <c r="J8" i="3" s="1"/>
  <c r="F9" i="3"/>
  <c r="J9" i="3" s="1"/>
  <c r="F10" i="3"/>
  <c r="J10" i="3" s="1"/>
  <c r="F6" i="3"/>
  <c r="F7" i="3"/>
  <c r="J7" i="3" s="1"/>
  <c r="E13" i="7"/>
  <c r="D13" i="7"/>
  <c r="G7" i="3" l="1"/>
  <c r="K7" i="3" s="1"/>
  <c r="G9" i="3"/>
  <c r="K9" i="3" s="1"/>
  <c r="G10" i="3"/>
  <c r="K10" i="3" s="1"/>
  <c r="G6" i="3"/>
  <c r="K6" i="3" s="1"/>
  <c r="E5" i="4"/>
  <c r="D4" i="7"/>
  <c r="D6" i="7" s="1"/>
  <c r="F7" i="13"/>
  <c r="E8" i="4"/>
  <c r="E6" i="4"/>
  <c r="J6" i="3"/>
  <c r="E4" i="4" s="1"/>
  <c r="F11" i="3"/>
  <c r="G13" i="3" s="1"/>
  <c r="E7" i="4"/>
  <c r="C13" i="7"/>
  <c r="C4" i="7" l="1"/>
  <c r="E7" i="13"/>
  <c r="F14" i="13"/>
  <c r="F9" i="13"/>
  <c r="F46" i="13" s="1"/>
  <c r="F8" i="13"/>
  <c r="F15" i="13" s="1"/>
  <c r="F37" i="13" s="1"/>
  <c r="L7" i="13"/>
  <c r="C6" i="7"/>
  <c r="E4" i="7"/>
  <c r="E6" i="7" s="1"/>
  <c r="C6" i="10"/>
  <c r="C9" i="10" s="1"/>
  <c r="C4" i="11" s="1"/>
  <c r="L9" i="13" l="1"/>
  <c r="L46" i="13" s="1"/>
  <c r="L8" i="13"/>
  <c r="L15" i="13" s="1"/>
  <c r="L37" i="13" s="1"/>
  <c r="L14" i="13"/>
  <c r="L16" i="13" s="1"/>
  <c r="F44" i="13"/>
  <c r="F71" i="13"/>
  <c r="F16" i="13"/>
  <c r="E8" i="13"/>
  <c r="E9" i="13"/>
  <c r="E14" i="13"/>
  <c r="G7" i="13"/>
  <c r="G14" i="13" s="1"/>
  <c r="K7" i="13"/>
  <c r="K9" i="13" l="1"/>
  <c r="K8" i="13"/>
  <c r="K14" i="13"/>
  <c r="M7" i="13"/>
  <c r="M14" i="13" s="1"/>
  <c r="G9" i="13"/>
  <c r="G46" i="13" s="1"/>
  <c r="E46" i="13"/>
  <c r="E15" i="13"/>
  <c r="E37" i="13" s="1"/>
  <c r="G8" i="13"/>
  <c r="G15" i="13" s="1"/>
  <c r="G37" i="13" s="1"/>
  <c r="G44" i="13" s="1"/>
  <c r="F19" i="13"/>
  <c r="F22" i="13" s="1"/>
  <c r="F27" i="13"/>
  <c r="F18" i="13"/>
  <c r="F21" i="13" s="1"/>
  <c r="L27" i="13"/>
  <c r="L29" i="13" s="1"/>
  <c r="L42" i="13" s="1"/>
  <c r="L48" i="13" s="1"/>
  <c r="L19" i="13"/>
  <c r="L22" i="13" s="1"/>
  <c r="L18" i="13"/>
  <c r="L21" i="13" s="1"/>
  <c r="L24" i="13" s="1"/>
  <c r="L44" i="13"/>
  <c r="L71" i="13"/>
  <c r="L72" i="13" l="1"/>
  <c r="L52" i="13"/>
  <c r="L54" i="13" s="1"/>
  <c r="E16" i="13"/>
  <c r="G16" i="13"/>
  <c r="L31" i="13"/>
  <c r="L70" i="13" s="1"/>
  <c r="L75" i="13" s="1"/>
  <c r="M8" i="13"/>
  <c r="M15" i="13" s="1"/>
  <c r="M37" i="13" s="1"/>
  <c r="M44" i="13" s="1"/>
  <c r="K15" i="13"/>
  <c r="K37" i="13" s="1"/>
  <c r="F24" i="13"/>
  <c r="F29" i="13"/>
  <c r="E44" i="13"/>
  <c r="E71" i="13"/>
  <c r="G71" i="13" s="1"/>
  <c r="M16" i="13"/>
  <c r="P16" i="13" s="1"/>
  <c r="K46" i="13"/>
  <c r="M9" i="13"/>
  <c r="M46" i="13" s="1"/>
  <c r="K44" i="13" l="1"/>
  <c r="K71" i="13"/>
  <c r="M71" i="13" s="1"/>
  <c r="E18" i="13"/>
  <c r="E19" i="13"/>
  <c r="E27" i="13"/>
  <c r="F42" i="13"/>
  <c r="F48" i="13" s="1"/>
  <c r="F52" i="13" s="1"/>
  <c r="F54" i="13" s="1"/>
  <c r="F72" i="13" s="1"/>
  <c r="F31" i="13"/>
  <c r="F70" i="13" s="1"/>
  <c r="F75" i="13" s="1"/>
  <c r="K16" i="13"/>
  <c r="K19" i="13" l="1"/>
  <c r="K18" i="13"/>
  <c r="K27" i="13"/>
  <c r="E29" i="13"/>
  <c r="G27" i="13"/>
  <c r="G19" i="13"/>
  <c r="E22" i="13"/>
  <c r="G22" i="13" s="1"/>
  <c r="E21" i="13"/>
  <c r="G18" i="13"/>
  <c r="K22" i="13" l="1"/>
  <c r="M22" i="13" s="1"/>
  <c r="M19" i="13"/>
  <c r="E24" i="13"/>
  <c r="E31" i="13" s="1"/>
  <c r="E70" i="13" s="1"/>
  <c r="G21" i="13"/>
  <c r="G24" i="13"/>
  <c r="E42" i="13"/>
  <c r="E48" i="13" s="1"/>
  <c r="E52" i="13" s="1"/>
  <c r="G29" i="13"/>
  <c r="G42" i="13" s="1"/>
  <c r="G48" i="13" s="1"/>
  <c r="K29" i="13"/>
  <c r="M27" i="13"/>
  <c r="K21" i="13"/>
  <c r="M18" i="13"/>
  <c r="K24" i="13" l="1"/>
  <c r="K31" i="13" s="1"/>
  <c r="K70" i="13" s="1"/>
  <c r="M21" i="13"/>
  <c r="M24" i="13" s="1"/>
  <c r="K42" i="13"/>
  <c r="K48" i="13" s="1"/>
  <c r="K52" i="13" s="1"/>
  <c r="M29" i="13"/>
  <c r="M42" i="13" s="1"/>
  <c r="M48" i="13" s="1"/>
  <c r="P48" i="13" s="1"/>
  <c r="E54" i="13"/>
  <c r="G52" i="13"/>
  <c r="G31" i="13"/>
  <c r="G70" i="13"/>
  <c r="G54" i="13" l="1"/>
  <c r="E72" i="13"/>
  <c r="K54" i="13"/>
  <c r="M52" i="13"/>
  <c r="M31" i="13"/>
  <c r="P31" i="13" s="1"/>
  <c r="M70" i="13"/>
  <c r="K72" i="13" l="1"/>
  <c r="M54" i="13"/>
  <c r="P54" i="13" s="1"/>
  <c r="G72" i="13"/>
  <c r="E75" i="13"/>
  <c r="G75" i="13" s="1"/>
  <c r="M72" i="13" l="1"/>
  <c r="K75" i="13"/>
  <c r="M75" i="13" s="1"/>
  <c r="P75" i="13" s="1"/>
</calcChain>
</file>

<file path=xl/sharedStrings.xml><?xml version="1.0" encoding="utf-8"?>
<sst xmlns="http://schemas.openxmlformats.org/spreadsheetml/2006/main" count="372" uniqueCount="176">
  <si>
    <t>Total</t>
  </si>
  <si>
    <t>Incremental Capital</t>
  </si>
  <si>
    <t>Return on Rate Base</t>
  </si>
  <si>
    <t>Amortization</t>
  </si>
  <si>
    <t>Incremental Grossed Up PILs</t>
  </si>
  <si>
    <t>Year</t>
  </si>
  <si>
    <t>Rate Class</t>
  </si>
  <si>
    <t>Fixed Rate Rider</t>
  </si>
  <si>
    <t>Volumetric Rate Rider</t>
  </si>
  <si>
    <t>RESIDENTIAL</t>
  </si>
  <si>
    <t>kWh</t>
  </si>
  <si>
    <t>GENERAL SERVICE LESS THAN 50 kW</t>
  </si>
  <si>
    <t>GENERAL SERVICE 50 TO 4,999 kW</t>
  </si>
  <si>
    <t>kW</t>
  </si>
  <si>
    <t>STREET LIGHTING</t>
  </si>
  <si>
    <t>UNMETERED SCATTERED LOAD</t>
  </si>
  <si>
    <t>Unit</t>
  </si>
  <si>
    <t># Units</t>
  </si>
  <si>
    <t>ICM Rate Rider before HST</t>
  </si>
  <si>
    <t>RPP/
non-RPP</t>
  </si>
  <si>
    <t>Total 
Incr/(Decr) ($)</t>
  </si>
  <si>
    <t>Total 
Incr/(Decr) (%)</t>
  </si>
  <si>
    <t>RPP</t>
  </si>
  <si>
    <t>non-RPP</t>
  </si>
  <si>
    <t>STREET LIGHTING (1 CONNECTION)</t>
  </si>
  <si>
    <t>Total Gross Capital</t>
  </si>
  <si>
    <t xml:space="preserve">  Contributed Capital</t>
  </si>
  <si>
    <t xml:space="preserve">Total Net Capital </t>
  </si>
  <si>
    <t>Overhead</t>
  </si>
  <si>
    <t>Underground</t>
  </si>
  <si>
    <t>Actual</t>
  </si>
  <si>
    <t>Variance</t>
  </si>
  <si>
    <t>B</t>
  </si>
  <si>
    <t>Depreciation Expense</t>
  </si>
  <si>
    <t>C</t>
  </si>
  <si>
    <t>CCA</t>
  </si>
  <si>
    <t>V</t>
  </si>
  <si>
    <t>D = B - C/2</t>
  </si>
  <si>
    <t>% of capital structure</t>
  </si>
  <si>
    <t>Deemed Short-Term Debt</t>
  </si>
  <si>
    <t>E</t>
  </si>
  <si>
    <t>G = D * E</t>
  </si>
  <si>
    <t>Deemed Long-Term Debt</t>
  </si>
  <si>
    <t>F</t>
  </si>
  <si>
    <t>H = D * F</t>
  </si>
  <si>
    <t>Rate (%)</t>
  </si>
  <si>
    <t>Short-Term Interest</t>
  </si>
  <si>
    <t>I</t>
  </si>
  <si>
    <t>K = G * I</t>
  </si>
  <si>
    <t>Long-Term Interest</t>
  </si>
  <si>
    <t>J</t>
  </si>
  <si>
    <t>L = H * J</t>
  </si>
  <si>
    <t>Return on Rate Base - Interest</t>
  </si>
  <si>
    <t>M = K + L</t>
  </si>
  <si>
    <t>Deemed Equity %</t>
  </si>
  <si>
    <t>N</t>
  </si>
  <si>
    <t>P = D * N</t>
  </si>
  <si>
    <t>Return on Rate Base -Equity</t>
  </si>
  <si>
    <t>O</t>
  </si>
  <si>
    <t>Q = P * O</t>
  </si>
  <si>
    <t>Return on Rate Base - Total</t>
  </si>
  <si>
    <t>R = M + Q</t>
  </si>
  <si>
    <t>Amortization Expense</t>
  </si>
  <si>
    <t>Amortization Expense - Incremental</t>
  </si>
  <si>
    <t>S</t>
  </si>
  <si>
    <t>Grossed up Taxes/PILs</t>
  </si>
  <si>
    <t>Regulatory Taxable Income</t>
  </si>
  <si>
    <t xml:space="preserve">T </t>
  </si>
  <si>
    <t>U</t>
  </si>
  <si>
    <t>Incremental Taxable Income</t>
  </si>
  <si>
    <t>W = T + U - V</t>
  </si>
  <si>
    <t>Current Tax Rate</t>
  </si>
  <si>
    <t>X</t>
  </si>
  <si>
    <t>Taxes/PILs Before Gross Up</t>
  </si>
  <si>
    <t>Y = W * X</t>
  </si>
  <si>
    <t>Grossed-Up Taxes/PILs</t>
  </si>
  <si>
    <t xml:space="preserve">Z = Y / ( 1 - X ) </t>
  </si>
  <si>
    <t>Ontario Capital Tax</t>
  </si>
  <si>
    <t>Incremental Capital CAPEX</t>
  </si>
  <si>
    <t>AA</t>
  </si>
  <si>
    <t>Less : Available Capital Exemption (if any)</t>
  </si>
  <si>
    <t>AB</t>
  </si>
  <si>
    <t>Incremental Capital CAPEX subject to OCT</t>
  </si>
  <si>
    <t>AC = AA - AB</t>
  </si>
  <si>
    <t>AD</t>
  </si>
  <si>
    <t>Incremental Ontario Capital Tax</t>
  </si>
  <si>
    <t>AE = AC * AD</t>
  </si>
  <si>
    <t>Q</t>
  </si>
  <si>
    <t>Amortization Expense - Total</t>
  </si>
  <si>
    <t>Z</t>
  </si>
  <si>
    <t>AC</t>
  </si>
  <si>
    <t>AD = AA + AB + AC</t>
  </si>
  <si>
    <t>Incremental Additions/(Reductions)</t>
  </si>
  <si>
    <r>
      <t xml:space="preserve">Ontario Capital Tax Rate </t>
    </r>
    <r>
      <rPr>
        <sz val="11"/>
        <rFont val="Arial"/>
        <family val="2"/>
      </rPr>
      <t>(F1.1 Z-Factor Tax Changes)</t>
    </r>
  </si>
  <si>
    <t>Incremental Additions/(Reductions) vs. Budget</t>
  </si>
  <si>
    <t>Incremental/(Reduced) Revenue Requirement Recorded in Capital Variance Account</t>
  </si>
  <si>
    <t>Incremental Capital to be included in Rate Base</t>
  </si>
  <si>
    <t>Add Back Amortization Expense</t>
  </si>
  <si>
    <t>Deduct CCA</t>
  </si>
  <si>
    <t>check = 0</t>
  </si>
  <si>
    <t>Incremental/(Reduced) Revenue Requirement</t>
  </si>
  <si>
    <t>2021 Revenue Requirement</t>
  </si>
  <si>
    <t>CVA Annual Entry DR/(CR)</t>
  </si>
  <si>
    <t>CVA Balance DR/(CR)</t>
  </si>
  <si>
    <t>Escalation Factor
(I - X)</t>
  </si>
  <si>
    <t>Escalation Amount
($)</t>
  </si>
  <si>
    <t>USoA</t>
  </si>
  <si>
    <t>Account 1508 Sub-account - Capital Additions Dundas Street Road Widening Project - Revenue Requirement Differential Variance Account</t>
  </si>
  <si>
    <t>Opening Principal Balance as of Jan 1, 2021</t>
  </si>
  <si>
    <t>Transactions Debit / (Credit) during 2022</t>
  </si>
  <si>
    <t>Transactions Debit / (Credit) during 2021</t>
  </si>
  <si>
    <t>Closing Principal Balance as of Dec 31, 2021</t>
  </si>
  <si>
    <t>Opening Principal Balance as of Jan 1, 2022</t>
  </si>
  <si>
    <t>Closing Principal Balance as of Dec 31, 2022</t>
  </si>
  <si>
    <t>Opening Principal Balance as of Jan 1, 2023</t>
  </si>
  <si>
    <t>Transactions Debit / (Credit) during 2023</t>
  </si>
  <si>
    <t>Closing Principal Balance as of Dec 31, 2023</t>
  </si>
  <si>
    <t>Opening Interest Balance as of Jan 1, 2021</t>
  </si>
  <si>
    <t>Interest Jan 1 to Dec 31, 2021</t>
  </si>
  <si>
    <t>Closing Interest Balance as of Dec 31, 2021</t>
  </si>
  <si>
    <t>Opening Interest Balance as of Jan 1, 2022</t>
  </si>
  <si>
    <t>Interest Jan 1 to Dec 31, 2022</t>
  </si>
  <si>
    <t>Closing Interest Balance as of Dec 31, 2022</t>
  </si>
  <si>
    <t>Opening Interest Balance as of Jan 1, 2023</t>
  </si>
  <si>
    <t>Interest Jan 1 to Dec 31, 2023</t>
  </si>
  <si>
    <t>Closing Interest Balance as of Dec 31, 2023</t>
  </si>
  <si>
    <t>Opening Interest Balance as of Jan 1, 2024</t>
  </si>
  <si>
    <t>Interest Jan 1 to Dec 31, 2024</t>
  </si>
  <si>
    <t>Closing Interest Balance as of Dec 31, 2024</t>
  </si>
  <si>
    <t>Description</t>
  </si>
  <si>
    <t>Capital Forecast</t>
  </si>
  <si>
    <t>Less: Materiality Threshold</t>
  </si>
  <si>
    <t>Maximum Eligible Incremental Capital</t>
  </si>
  <si>
    <t>Replacing Assets in Poor Condition</t>
  </si>
  <si>
    <t>Higher Unit Costs vs. Waterdown Rd Project</t>
  </si>
  <si>
    <t>Approved ICM Funding per Decision and Order</t>
  </si>
  <si>
    <t xml:space="preserve">  Revenue Requirement</t>
  </si>
  <si>
    <t>Less: CVA Principal Balance at Dec 31, 2023</t>
  </si>
  <si>
    <t>Less: CVA Carrying Charges to Dec 31, 2024</t>
  </si>
  <si>
    <t>Board Approved</t>
  </si>
  <si>
    <t>Net Capital Expenditure Variance vs. Board Approved</t>
  </si>
  <si>
    <t>Per ICM Model</t>
  </si>
  <si>
    <t>Fixed ICM Revenue</t>
  </si>
  <si>
    <t>Volumetric ICM Revenue</t>
  </si>
  <si>
    <t>Consumption / Demand</t>
  </si>
  <si>
    <t>Billed Customers or Connections</t>
  </si>
  <si>
    <t>Table 10 – ICM Monthly Bill Impacts</t>
  </si>
  <si>
    <t>Effective Mar 1, 2025</t>
  </si>
  <si>
    <t>Table 11 – Bill Impacts - Distribution Rates (excluding Pass-through)</t>
  </si>
  <si>
    <t>Table 12 -  Bill Impacts – Total Bill including HST</t>
  </si>
  <si>
    <t>A</t>
  </si>
  <si>
    <t>Prorated over 10 months
Effective Mar 1/2025</t>
  </si>
  <si>
    <t>Net Capital Additions</t>
  </si>
  <si>
    <t>Table 1 – 2021 Dundas Street Road Widening Project Net Capital Additions</t>
  </si>
  <si>
    <t>Budgeted</t>
  </si>
  <si>
    <t>Net Capital Addition Variance</t>
  </si>
  <si>
    <t>Interest Continuity</t>
  </si>
  <si>
    <t>Principal Continuity</t>
  </si>
  <si>
    <t>Service Charge % Revenue</t>
  </si>
  <si>
    <t>Volumetric Rate % Revenue</t>
  </si>
  <si>
    <t>G=C/E/10</t>
  </si>
  <si>
    <t>H=D/F*1.2</t>
  </si>
  <si>
    <t>Incremental ICM Revenue Requirement</t>
  </si>
  <si>
    <t xml:space="preserve">  Incremental ICM Revenue Requirement including Offsets</t>
  </si>
  <si>
    <t>Budget</t>
  </si>
  <si>
    <t>Table 2 - 2021 Revenue Requirement from Actual Capital Expenditures</t>
  </si>
  <si>
    <t>Table 3 - Revenue Requirement from Capital Expenditure Variance vs. Budget</t>
  </si>
  <si>
    <t>Table 4 - Capital Variance Account Entries (2021-23)</t>
  </si>
  <si>
    <t>Table 5 - Capital Variance Account Continuity</t>
  </si>
  <si>
    <t>Table 6 - Approved ICM Capital (per Board Decision)</t>
  </si>
  <si>
    <t>Table 7 - Revenue Requirement on Approved ICM Capital</t>
  </si>
  <si>
    <t>Table 8 - ICM Revenue Requirement After Offsets</t>
  </si>
  <si>
    <t>Table 9 – ICM Rate Riders</t>
  </si>
  <si>
    <t/>
  </si>
  <si>
    <t>C=A*$98,689</t>
  </si>
  <si>
    <t>D=B*$98,689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</si>
</sst>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&quot;$&quot;#,##0.0000_);\(&quot;$&quot;#,##0.0000\)"/>
    <numFmt numFmtId="167" formatCode="0.0%"/>
    <numFmt numFmtId="168" formatCode="_-&quot;$&quot;* #,##0_-;\-&quot;$&quot;* #,##0_-;_-&quot;$&quot;* &quot;-&quot;??_-;_-@_-"/>
    <numFmt numFmtId="169" formatCode="_(&quot;$&quot;* #,##0_);_(&quot;$&quot;* \(#,##0\);_(&quot;$&quot;* &quot;-&quot;??_);_(@_)"/>
    <numFmt numFmtId="170" formatCode="_-* #,##0.000000_-;\-* #,##0.000000_-;_-* &quot;-&quot;??_-;_-@_-"/>
    <numFmt numFmtId="171" formatCode="&quot;$&quot;#,##0.00000_);\(&quot;$&quot;#,##0.00000\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i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5" fontId="4" fillId="3" borderId="1" xfId="0" applyNumberFormat="1" applyFont="1" applyFill="1" applyBorder="1" applyAlignment="1">
      <alignment horizontal="right"/>
    </xf>
    <xf numFmtId="5" fontId="4" fillId="0" borderId="0" xfId="0" applyNumberFormat="1" applyFont="1" applyAlignment="1">
      <alignment horizontal="right"/>
    </xf>
    <xf numFmtId="5" fontId="4" fillId="0" borderId="1" xfId="0" applyNumberFormat="1" applyFont="1" applyBorder="1" applyAlignment="1">
      <alignment horizontal="right"/>
    </xf>
    <xf numFmtId="5" fontId="5" fillId="0" borderId="0" xfId="0" applyNumberFormat="1" applyFont="1" applyAlignment="1">
      <alignment horizontal="right"/>
    </xf>
    <xf numFmtId="0" fontId="2" fillId="0" borderId="1" xfId="0" applyFont="1" applyBorder="1"/>
    <xf numFmtId="5" fontId="2" fillId="0" borderId="1" xfId="0" applyNumberFormat="1" applyFont="1" applyBorder="1" applyAlignment="1">
      <alignment horizontal="right"/>
    </xf>
    <xf numFmtId="5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7" fontId="4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5" fontId="4" fillId="3" borderId="1" xfId="0" applyNumberFormat="1" applyFont="1" applyFill="1" applyBorder="1" applyAlignment="1">
      <alignment horizontal="center" vertical="center"/>
    </xf>
    <xf numFmtId="5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7" fontId="4" fillId="0" borderId="1" xfId="1" applyNumberFormat="1" applyFont="1" applyFill="1" applyBorder="1" applyAlignment="1" applyProtection="1">
      <alignment horizontal="center"/>
    </xf>
    <xf numFmtId="37" fontId="4" fillId="4" borderId="1" xfId="1" applyNumberFormat="1" applyFont="1" applyFill="1" applyBorder="1" applyAlignment="1" applyProtection="1">
      <alignment horizontal="center"/>
    </xf>
    <xf numFmtId="44" fontId="4" fillId="0" borderId="1" xfId="0" applyNumberFormat="1" applyFont="1" applyBorder="1"/>
    <xf numFmtId="167" fontId="4" fillId="0" borderId="1" xfId="0" applyNumberFormat="1" applyFont="1" applyBorder="1"/>
    <xf numFmtId="37" fontId="4" fillId="0" borderId="1" xfId="1" applyNumberFormat="1" applyFont="1" applyBorder="1" applyAlignment="1" applyProtection="1">
      <alignment horizontal="center"/>
    </xf>
    <xf numFmtId="39" fontId="4" fillId="0" borderId="1" xfId="1" applyNumberFormat="1" applyFont="1" applyBorder="1" applyAlignment="1" applyProtection="1">
      <alignment horizontal="center"/>
    </xf>
    <xf numFmtId="5" fontId="4" fillId="0" borderId="1" xfId="0" applyNumberFormat="1" applyFont="1" applyBorder="1"/>
    <xf numFmtId="0" fontId="6" fillId="0" borderId="0" xfId="0" applyFont="1"/>
    <xf numFmtId="0" fontId="8" fillId="0" borderId="0" xfId="0" applyFont="1"/>
    <xf numFmtId="5" fontId="5" fillId="0" borderId="1" xfId="0" applyNumberFormat="1" applyFont="1" applyBorder="1" applyAlignment="1">
      <alignment horizontal="right"/>
    </xf>
    <xf numFmtId="0" fontId="2" fillId="5" borderId="7" xfId="0" applyFont="1" applyFill="1" applyBorder="1"/>
    <xf numFmtId="168" fontId="2" fillId="5" borderId="8" xfId="3" applyNumberFormat="1" applyFont="1" applyFill="1" applyBorder="1" applyProtection="1"/>
    <xf numFmtId="0" fontId="2" fillId="5" borderId="0" xfId="0" applyFont="1" applyFill="1"/>
    <xf numFmtId="0" fontId="4" fillId="0" borderId="9" xfId="0" applyFont="1" applyBorder="1"/>
    <xf numFmtId="0" fontId="4" fillId="0" borderId="11" xfId="0" applyFont="1" applyBorder="1"/>
    <xf numFmtId="0" fontId="4" fillId="5" borderId="0" xfId="0" applyFont="1" applyFill="1"/>
    <xf numFmtId="0" fontId="4" fillId="5" borderId="7" xfId="0" applyFont="1" applyFill="1" applyBorder="1"/>
    <xf numFmtId="167" fontId="4" fillId="5" borderId="0" xfId="4" applyNumberFormat="1" applyFont="1" applyFill="1" applyBorder="1" applyAlignment="1" applyProtection="1">
      <alignment horizontal="center"/>
    </xf>
    <xf numFmtId="10" fontId="4" fillId="5" borderId="0" xfId="4" applyNumberFormat="1" applyFont="1" applyFill="1" applyBorder="1" applyAlignment="1" applyProtection="1">
      <alignment horizontal="center"/>
    </xf>
    <xf numFmtId="0" fontId="4" fillId="5" borderId="12" xfId="0" applyFont="1" applyFill="1" applyBorder="1"/>
    <xf numFmtId="0" fontId="4" fillId="0" borderId="0" xfId="0" applyFont="1"/>
    <xf numFmtId="0" fontId="4" fillId="0" borderId="7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168" fontId="4" fillId="5" borderId="0" xfId="3" applyNumberFormat="1" applyFont="1" applyFill="1" applyBorder="1" applyProtection="1"/>
    <xf numFmtId="0" fontId="7" fillId="0" borderId="0" xfId="0" applyFont="1" applyAlignment="1">
      <alignment horizontal="center"/>
    </xf>
    <xf numFmtId="168" fontId="8" fillId="5" borderId="0" xfId="3" applyNumberFormat="1" applyFont="1" applyFill="1" applyBorder="1" applyAlignment="1" applyProtection="1">
      <alignment vertical="center"/>
    </xf>
    <xf numFmtId="168" fontId="4" fillId="5" borderId="10" xfId="3" applyNumberFormat="1" applyFont="1" applyFill="1" applyBorder="1" applyProtection="1"/>
    <xf numFmtId="168" fontId="8" fillId="5" borderId="10" xfId="3" applyNumberFormat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/>
    </xf>
    <xf numFmtId="168" fontId="4" fillId="5" borderId="12" xfId="3" applyNumberFormat="1" applyFont="1" applyFill="1" applyBorder="1" applyProtection="1"/>
    <xf numFmtId="168" fontId="4" fillId="5" borderId="13" xfId="3" applyNumberFormat="1" applyFont="1" applyFill="1" applyBorder="1" applyProtection="1"/>
    <xf numFmtId="168" fontId="4" fillId="5" borderId="0" xfId="3" applyNumberFormat="1" applyFont="1" applyFill="1" applyProtection="1"/>
    <xf numFmtId="169" fontId="4" fillId="5" borderId="8" xfId="3" applyNumberFormat="1" applyFont="1" applyFill="1" applyBorder="1" applyProtection="1"/>
    <xf numFmtId="0" fontId="7" fillId="5" borderId="0" xfId="0" applyFont="1" applyFill="1" applyAlignment="1">
      <alignment horizontal="center"/>
    </xf>
    <xf numFmtId="169" fontId="4" fillId="5" borderId="10" xfId="3" applyNumberFormat="1" applyFont="1" applyFill="1" applyBorder="1" applyProtection="1"/>
    <xf numFmtId="169" fontId="4" fillId="5" borderId="15" xfId="3" applyNumberFormat="1" applyFont="1" applyFill="1" applyBorder="1" applyProtection="1"/>
    <xf numFmtId="0" fontId="8" fillId="5" borderId="0" xfId="0" quotePrefix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68" fontId="4" fillId="0" borderId="0" xfId="3" applyNumberFormat="1" applyFont="1" applyProtection="1"/>
    <xf numFmtId="168" fontId="4" fillId="0" borderId="8" xfId="3" applyNumberFormat="1" applyFont="1" applyBorder="1" applyProtection="1"/>
    <xf numFmtId="0" fontId="7" fillId="0" borderId="9" xfId="0" applyFont="1" applyBorder="1" applyAlignment="1">
      <alignment horizontal="left"/>
    </xf>
    <xf numFmtId="168" fontId="4" fillId="0" borderId="10" xfId="3" applyNumberFormat="1" applyFont="1" applyBorder="1" applyProtection="1"/>
    <xf numFmtId="169" fontId="4" fillId="5" borderId="13" xfId="3" applyNumberFormat="1" applyFont="1" applyFill="1" applyBorder="1" applyProtection="1"/>
    <xf numFmtId="169" fontId="4" fillId="5" borderId="0" xfId="3" applyNumberFormat="1" applyFont="1" applyFill="1" applyProtection="1"/>
    <xf numFmtId="0" fontId="7" fillId="0" borderId="6" xfId="0" applyFont="1" applyBorder="1" applyAlignment="1">
      <alignment horizontal="left"/>
    </xf>
    <xf numFmtId="168" fontId="4" fillId="0" borderId="13" xfId="3" applyNumberFormat="1" applyFont="1" applyBorder="1" applyProtection="1"/>
    <xf numFmtId="0" fontId="5" fillId="0" borderId="9" xfId="0" applyFont="1" applyBorder="1"/>
    <xf numFmtId="168" fontId="4" fillId="5" borderId="15" xfId="3" applyNumberFormat="1" applyFont="1" applyFill="1" applyBorder="1" applyProtection="1"/>
    <xf numFmtId="0" fontId="7" fillId="0" borderId="7" xfId="0" applyFont="1" applyBorder="1" applyAlignment="1">
      <alignment horizontal="center"/>
    </xf>
    <xf numFmtId="167" fontId="4" fillId="0" borderId="0" xfId="4" applyNumberFormat="1" applyFont="1" applyFill="1" applyBorder="1" applyAlignment="1" applyProtection="1">
      <alignment horizontal="center"/>
      <protection locked="0"/>
    </xf>
    <xf numFmtId="168" fontId="4" fillId="0" borderId="10" xfId="3" applyNumberFormat="1" applyFont="1" applyFill="1" applyBorder="1" applyProtection="1"/>
    <xf numFmtId="168" fontId="4" fillId="0" borderId="13" xfId="3" applyNumberFormat="1" applyFont="1" applyFill="1" applyBorder="1" applyProtection="1"/>
    <xf numFmtId="168" fontId="4" fillId="0" borderId="0" xfId="3" applyNumberFormat="1" applyFont="1" applyFill="1" applyProtection="1"/>
    <xf numFmtId="168" fontId="4" fillId="0" borderId="8" xfId="3" applyNumberFormat="1" applyFont="1" applyFill="1" applyBorder="1" applyProtection="1"/>
    <xf numFmtId="168" fontId="4" fillId="0" borderId="10" xfId="3" applyNumberFormat="1" applyFont="1" applyFill="1" applyBorder="1" applyProtection="1">
      <protection locked="0"/>
    </xf>
    <xf numFmtId="168" fontId="4" fillId="0" borderId="17" xfId="3" applyNumberFormat="1" applyFont="1" applyFill="1" applyBorder="1" applyProtection="1"/>
    <xf numFmtId="169" fontId="4" fillId="0" borderId="10" xfId="3" applyNumberFormat="1" applyFont="1" applyFill="1" applyBorder="1" applyProtection="1"/>
    <xf numFmtId="169" fontId="4" fillId="6" borderId="8" xfId="3" applyNumberFormat="1" applyFont="1" applyFill="1" applyBorder="1" applyProtection="1"/>
    <xf numFmtId="169" fontId="4" fillId="6" borderId="10" xfId="3" applyNumberFormat="1" applyFont="1" applyFill="1" applyBorder="1" applyProtection="1"/>
    <xf numFmtId="169" fontId="4" fillId="0" borderId="10" xfId="3" applyNumberFormat="1" applyFont="1" applyBorder="1" applyProtection="1"/>
    <xf numFmtId="169" fontId="4" fillId="6" borderId="15" xfId="3" applyNumberFormat="1" applyFont="1" applyFill="1" applyBorder="1" applyProtection="1"/>
    <xf numFmtId="0" fontId="3" fillId="2" borderId="4" xfId="0" applyFont="1" applyFill="1" applyBorder="1"/>
    <xf numFmtId="0" fontId="4" fillId="2" borderId="5" xfId="0" applyFont="1" applyFill="1" applyBorder="1"/>
    <xf numFmtId="168" fontId="2" fillId="5" borderId="10" xfId="3" applyNumberFormat="1" applyFont="1" applyFill="1" applyBorder="1" applyAlignment="1" applyProtection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0" fillId="0" borderId="0" xfId="0" applyFont="1"/>
    <xf numFmtId="169" fontId="8" fillId="0" borderId="0" xfId="0" applyNumberFormat="1" applyFont="1"/>
    <xf numFmtId="9" fontId="4" fillId="3" borderId="1" xfId="2" applyFont="1" applyFill="1" applyBorder="1" applyAlignment="1">
      <alignment horizontal="right"/>
    </xf>
    <xf numFmtId="10" fontId="4" fillId="3" borderId="1" xfId="2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5" fontId="4" fillId="0" borderId="1" xfId="1" applyNumberFormat="1" applyFont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43" fontId="6" fillId="0" borderId="0" xfId="1" applyFont="1"/>
    <xf numFmtId="170" fontId="0" fillId="0" borderId="0" xfId="0" applyNumberFormat="1"/>
    <xf numFmtId="166" fontId="0" fillId="0" borderId="0" xfId="0" applyNumberFormat="1"/>
    <xf numFmtId="171" fontId="0" fillId="0" borderId="0" xfId="0" applyNumberFormat="1"/>
    <xf numFmtId="168" fontId="8" fillId="5" borderId="9" xfId="3" applyNumberFormat="1" applyFont="1" applyFill="1" applyBorder="1" applyAlignment="1" applyProtection="1">
      <alignment vertical="center" wrapText="1"/>
    </xf>
    <xf numFmtId="168" fontId="8" fillId="5" borderId="0" xfId="3" applyNumberFormat="1" applyFont="1" applyFill="1" applyBorder="1" applyAlignment="1" applyProtection="1">
      <alignment vertical="center" wrapText="1"/>
    </xf>
    <xf numFmtId="10" fontId="4" fillId="0" borderId="1" xfId="2" applyNumberFormat="1" applyFont="1" applyBorder="1"/>
    <xf numFmtId="0" fontId="2" fillId="0" borderId="1" xfId="0" applyFont="1" applyBorder="1" applyAlignment="1">
      <alignment horizontal="center"/>
    </xf>
    <xf numFmtId="5" fontId="2" fillId="3" borderId="1" xfId="0" applyNumberFormat="1" applyFont="1" applyFill="1" applyBorder="1" applyAlignment="1">
      <alignment horizontal="right"/>
    </xf>
    <xf numFmtId="44" fontId="4" fillId="5" borderId="0" xfId="3" applyNumberFormat="1" applyFont="1" applyFill="1" applyBorder="1" applyProtection="1"/>
    <xf numFmtId="169" fontId="2" fillId="5" borderId="8" xfId="3" applyNumberFormat="1" applyFont="1" applyFill="1" applyBorder="1" applyProtection="1"/>
    <xf numFmtId="5" fontId="4" fillId="0" borderId="1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168" fontId="2" fillId="5" borderId="0" xfId="3" applyNumberFormat="1" applyFont="1" applyFill="1" applyBorder="1" applyProtection="1"/>
    <xf numFmtId="168" fontId="2" fillId="8" borderId="8" xfId="3" applyNumberFormat="1" applyFont="1" applyFill="1" applyBorder="1" applyProtection="1"/>
    <xf numFmtId="168" fontId="2" fillId="8" borderId="10" xfId="3" applyNumberFormat="1" applyFont="1" applyFill="1" applyBorder="1" applyAlignment="1" applyProtection="1">
      <alignment horizontal="right"/>
    </xf>
    <xf numFmtId="168" fontId="4" fillId="8" borderId="10" xfId="3" applyNumberFormat="1" applyFont="1" applyFill="1" applyBorder="1" applyProtection="1"/>
    <xf numFmtId="169" fontId="4" fillId="8" borderId="10" xfId="3" applyNumberFormat="1" applyFont="1" applyFill="1" applyBorder="1" applyProtection="1"/>
    <xf numFmtId="169" fontId="4" fillId="8" borderId="13" xfId="3" applyNumberFormat="1" applyFont="1" applyFill="1" applyBorder="1" applyProtection="1"/>
    <xf numFmtId="168" fontId="4" fillId="8" borderId="0" xfId="3" applyNumberFormat="1" applyFont="1" applyFill="1" applyBorder="1" applyProtection="1"/>
    <xf numFmtId="168" fontId="4" fillId="8" borderId="0" xfId="3" applyNumberFormat="1" applyFont="1" applyFill="1" applyProtection="1"/>
    <xf numFmtId="169" fontId="4" fillId="8" borderId="8" xfId="3" applyNumberFormat="1" applyFont="1" applyFill="1" applyBorder="1" applyProtection="1"/>
    <xf numFmtId="169" fontId="4" fillId="8" borderId="15" xfId="3" applyNumberFormat="1" applyFont="1" applyFill="1" applyBorder="1" applyProtection="1"/>
    <xf numFmtId="168" fontId="4" fillId="8" borderId="13" xfId="3" applyNumberFormat="1" applyFont="1" applyFill="1" applyBorder="1" applyProtection="1"/>
    <xf numFmtId="168" fontId="4" fillId="8" borderId="8" xfId="3" applyNumberFormat="1" applyFont="1" applyFill="1" applyBorder="1" applyProtection="1"/>
    <xf numFmtId="169" fontId="4" fillId="8" borderId="0" xfId="3" applyNumberFormat="1" applyFont="1" applyFill="1" applyProtection="1"/>
    <xf numFmtId="169" fontId="2" fillId="8" borderId="8" xfId="3" applyNumberFormat="1" applyFont="1" applyFill="1" applyBorder="1" applyProtection="1"/>
    <xf numFmtId="168" fontId="4" fillId="8" borderId="10" xfId="3" applyNumberFormat="1" applyFont="1" applyFill="1" applyBorder="1" applyProtection="1">
      <protection locked="0"/>
    </xf>
    <xf numFmtId="168" fontId="4" fillId="8" borderId="17" xfId="3" applyNumberFormat="1" applyFont="1" applyFill="1" applyBorder="1" applyProtection="1"/>
    <xf numFmtId="168" fontId="4" fillId="8" borderId="15" xfId="3" applyNumberFormat="1" applyFont="1" applyFill="1" applyBorder="1" applyProtection="1"/>
    <xf numFmtId="168" fontId="11" fillId="5" borderId="10" xfId="3" applyNumberFormat="1" applyFont="1" applyFill="1" applyBorder="1" applyAlignment="1" applyProtection="1">
      <alignment vertical="center"/>
    </xf>
    <xf numFmtId="44" fontId="2" fillId="5" borderId="22" xfId="3" applyNumberFormat="1" applyFont="1" applyFill="1" applyBorder="1" applyProtection="1"/>
    <xf numFmtId="169" fontId="2" fillId="5" borderId="10" xfId="3" applyNumberFormat="1" applyFont="1" applyFill="1" applyBorder="1" applyProtection="1"/>
    <xf numFmtId="169" fontId="2" fillId="5" borderId="13" xfId="3" applyNumberFormat="1" applyFont="1" applyFill="1" applyBorder="1" applyProtection="1"/>
    <xf numFmtId="168" fontId="2" fillId="5" borderId="0" xfId="3" applyNumberFormat="1" applyFont="1" applyFill="1" applyProtection="1"/>
    <xf numFmtId="169" fontId="2" fillId="5" borderId="15" xfId="3" applyNumberFormat="1" applyFont="1" applyFill="1" applyBorder="1" applyProtection="1"/>
    <xf numFmtId="168" fontId="2" fillId="5" borderId="13" xfId="3" applyNumberFormat="1" applyFont="1" applyFill="1" applyBorder="1" applyProtection="1"/>
    <xf numFmtId="168" fontId="2" fillId="0" borderId="0" xfId="3" applyNumberFormat="1" applyFont="1" applyProtection="1"/>
    <xf numFmtId="168" fontId="2" fillId="0" borderId="8" xfId="3" applyNumberFormat="1" applyFont="1" applyBorder="1" applyProtection="1"/>
    <xf numFmtId="168" fontId="2" fillId="0" borderId="10" xfId="3" applyNumberFormat="1" applyFont="1" applyBorder="1" applyProtection="1"/>
    <xf numFmtId="169" fontId="2" fillId="5" borderId="0" xfId="3" applyNumberFormat="1" applyFont="1" applyFill="1" applyProtection="1"/>
    <xf numFmtId="168" fontId="2" fillId="0" borderId="10" xfId="3" applyNumberFormat="1" applyFont="1" applyFill="1" applyBorder="1" applyProtection="1"/>
    <xf numFmtId="169" fontId="2" fillId="0" borderId="10" xfId="3" applyNumberFormat="1" applyFont="1" applyFill="1" applyBorder="1" applyProtection="1"/>
    <xf numFmtId="168" fontId="2" fillId="0" borderId="13" xfId="3" applyNumberFormat="1" applyFont="1" applyFill="1" applyBorder="1" applyProtection="1"/>
    <xf numFmtId="168" fontId="2" fillId="0" borderId="0" xfId="3" applyNumberFormat="1" applyFont="1" applyFill="1" applyProtection="1"/>
    <xf numFmtId="168" fontId="2" fillId="0" borderId="8" xfId="3" applyNumberFormat="1" applyFont="1" applyFill="1" applyBorder="1" applyProtection="1"/>
    <xf numFmtId="168" fontId="2" fillId="0" borderId="10" xfId="3" applyNumberFormat="1" applyFont="1" applyFill="1" applyBorder="1" applyProtection="1">
      <protection locked="0"/>
    </xf>
    <xf numFmtId="168" fontId="2" fillId="0" borderId="17" xfId="3" applyNumberFormat="1" applyFont="1" applyFill="1" applyBorder="1" applyProtection="1"/>
    <xf numFmtId="168" fontId="2" fillId="5" borderId="15" xfId="3" applyNumberFormat="1" applyFont="1" applyFill="1" applyBorder="1" applyProtection="1"/>
    <xf numFmtId="168" fontId="2" fillId="0" borderId="13" xfId="3" applyNumberFormat="1" applyFont="1" applyBorder="1" applyProtection="1"/>
    <xf numFmtId="169" fontId="2" fillId="6" borderId="8" xfId="3" applyNumberFormat="1" applyFont="1" applyFill="1" applyBorder="1" applyProtection="1"/>
    <xf numFmtId="169" fontId="2" fillId="6" borderId="10" xfId="3" applyNumberFormat="1" applyFont="1" applyFill="1" applyBorder="1" applyProtection="1"/>
    <xf numFmtId="169" fontId="2" fillId="0" borderId="10" xfId="3" applyNumberFormat="1" applyFont="1" applyBorder="1" applyProtection="1"/>
    <xf numFmtId="169" fontId="2" fillId="6" borderId="15" xfId="3" applyNumberFormat="1" applyFont="1" applyFill="1" applyBorder="1" applyProtection="1"/>
    <xf numFmtId="168" fontId="11" fillId="8" borderId="10" xfId="3" applyNumberFormat="1" applyFont="1" applyFill="1" applyBorder="1" applyAlignment="1" applyProtection="1">
      <alignment vertical="center"/>
    </xf>
    <xf numFmtId="44" fontId="2" fillId="8" borderId="22" xfId="3" applyNumberFormat="1" applyFont="1" applyFill="1" applyBorder="1" applyProtection="1"/>
    <xf numFmtId="169" fontId="2" fillId="8" borderId="10" xfId="3" applyNumberFormat="1" applyFont="1" applyFill="1" applyBorder="1" applyProtection="1"/>
    <xf numFmtId="169" fontId="2" fillId="8" borderId="13" xfId="3" applyNumberFormat="1" applyFont="1" applyFill="1" applyBorder="1" applyProtection="1"/>
    <xf numFmtId="168" fontId="2" fillId="8" borderId="0" xfId="3" applyNumberFormat="1" applyFont="1" applyFill="1" applyBorder="1" applyProtection="1"/>
    <xf numFmtId="168" fontId="2" fillId="8" borderId="0" xfId="3" applyNumberFormat="1" applyFont="1" applyFill="1" applyProtection="1"/>
    <xf numFmtId="169" fontId="2" fillId="8" borderId="15" xfId="3" applyNumberFormat="1" applyFont="1" applyFill="1" applyBorder="1" applyProtection="1"/>
    <xf numFmtId="168" fontId="2" fillId="8" borderId="13" xfId="3" applyNumberFormat="1" applyFont="1" applyFill="1" applyBorder="1" applyProtection="1"/>
    <xf numFmtId="168" fontId="2" fillId="8" borderId="10" xfId="3" applyNumberFormat="1" applyFont="1" applyFill="1" applyBorder="1" applyProtection="1"/>
    <xf numFmtId="169" fontId="2" fillId="8" borderId="0" xfId="3" applyNumberFormat="1" applyFont="1" applyFill="1" applyProtection="1"/>
    <xf numFmtId="168" fontId="2" fillId="8" borderId="10" xfId="3" applyNumberFormat="1" applyFont="1" applyFill="1" applyBorder="1" applyProtection="1">
      <protection locked="0"/>
    </xf>
    <xf numFmtId="168" fontId="2" fillId="8" borderId="17" xfId="3" applyNumberFormat="1" applyFont="1" applyFill="1" applyBorder="1" applyProtection="1"/>
    <xf numFmtId="168" fontId="2" fillId="8" borderId="15" xfId="3" applyNumberFormat="1" applyFont="1" applyFill="1" applyBorder="1" applyProtection="1"/>
    <xf numFmtId="44" fontId="2" fillId="5" borderId="0" xfId="3" applyNumberFormat="1" applyFont="1" applyFill="1" applyBorder="1" applyProtection="1"/>
    <xf numFmtId="168" fontId="2" fillId="5" borderId="10" xfId="3" applyNumberFormat="1" applyFont="1" applyFill="1" applyBorder="1" applyProtection="1"/>
    <xf numFmtId="169" fontId="4" fillId="0" borderId="0" xfId="0" applyNumberFormat="1" applyFont="1" applyAlignment="1">
      <alignment horizontal="center"/>
    </xf>
    <xf numFmtId="10" fontId="0" fillId="0" borderId="0" xfId="2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10" fontId="0" fillId="0" borderId="0" xfId="2" applyNumberFormat="1" applyFont="1" applyFill="1" applyBorder="1"/>
    <xf numFmtId="5" fontId="0" fillId="0" borderId="0" xfId="0" applyNumberFormat="1"/>
    <xf numFmtId="7" fontId="0" fillId="0" borderId="0" xfId="0" applyNumberFormat="1"/>
    <xf numFmtId="5" fontId="0" fillId="0" borderId="0" xfId="1" applyNumberFormat="1" applyFont="1" applyFill="1" applyBorder="1"/>
    <xf numFmtId="7" fontId="12" fillId="0" borderId="0" xfId="0" applyNumberFormat="1" applyFont="1"/>
    <xf numFmtId="0" fontId="10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5" fontId="2" fillId="7" borderId="19" xfId="0" applyNumberFormat="1" applyFont="1" applyFill="1" applyBorder="1" applyAlignment="1">
      <alignment horizontal="center"/>
    </xf>
    <xf numFmtId="5" fontId="2" fillId="7" borderId="20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">
    <cellStyle name="Comma" xfId="1" builtinId="3"/>
    <cellStyle name="Currency 3" xfId="3" xr:uid="{889C9C3F-010E-4338-9547-7B46859B7E61}"/>
    <cellStyle name="Normal" xfId="0" builtinId="0"/>
    <cellStyle name="Normal 2" xfId="5" xr:uid="{D288213D-1EDD-4F93-AD53-CECD2C01E821}"/>
    <cellStyle name="Percent" xfId="2" builtinId="5"/>
    <cellStyle name="Percent 4" xfId="4" xr:uid="{C87B9A0D-D386-4527-A56E-62DC07BAC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3C67-8D8E-4C34-B4EB-05DC623C9DC8}">
  <sheetPr>
    <pageSetUpPr fitToPage="1"/>
  </sheetPr>
  <dimension ref="B1:E23"/>
  <sheetViews>
    <sheetView showGridLines="0" topLeftCell="A4" zoomScale="85" zoomScaleNormal="85" workbookViewId="0">
      <selection activeCell="E6" sqref="E6"/>
    </sheetView>
    <sheetView workbookViewId="1"/>
  </sheetViews>
  <sheetFormatPr defaultRowHeight="14.5" x14ac:dyDescent="0.35"/>
  <cols>
    <col min="2" max="2" width="26.26953125" customWidth="1"/>
    <col min="3" max="3" width="14" style="14" customWidth="1"/>
    <col min="4" max="4" width="16" style="14" customWidth="1"/>
    <col min="5" max="5" width="14" style="14" customWidth="1"/>
  </cols>
  <sheetData>
    <row r="1" spans="2:5" x14ac:dyDescent="0.35">
      <c r="B1" s="1" t="s">
        <v>153</v>
      </c>
      <c r="C1" s="2"/>
      <c r="D1" s="2"/>
      <c r="E1" s="2"/>
    </row>
    <row r="3" spans="2:5" x14ac:dyDescent="0.35">
      <c r="B3" s="3" t="s">
        <v>152</v>
      </c>
      <c r="C3" s="4" t="s">
        <v>28</v>
      </c>
      <c r="D3" s="4" t="s">
        <v>29</v>
      </c>
      <c r="E3" s="4" t="s">
        <v>0</v>
      </c>
    </row>
    <row r="4" spans="2:5" x14ac:dyDescent="0.35">
      <c r="B4" s="6" t="s">
        <v>154</v>
      </c>
      <c r="C4" s="35">
        <f>C13</f>
        <v>1632513</v>
      </c>
      <c r="D4" s="35">
        <f>D13</f>
        <v>1403435.3333333335</v>
      </c>
      <c r="E4" s="35">
        <f>SUM(C4:D4)</f>
        <v>3035948.3333333335</v>
      </c>
    </row>
    <row r="5" spans="2:5" x14ac:dyDescent="0.35">
      <c r="B5" s="6" t="s">
        <v>30</v>
      </c>
      <c r="C5" s="32">
        <f>C18</f>
        <v>486136.11999999994</v>
      </c>
      <c r="D5" s="32">
        <f>D18</f>
        <v>31178.780000000086</v>
      </c>
      <c r="E5" s="32">
        <f>SUM(C5:D5)</f>
        <v>517314.9</v>
      </c>
    </row>
    <row r="6" spans="2:5" x14ac:dyDescent="0.35">
      <c r="B6" s="11" t="s">
        <v>31</v>
      </c>
      <c r="C6" s="12">
        <f>C5-C4</f>
        <v>-1146376.8800000001</v>
      </c>
      <c r="D6" s="12">
        <f>D5-D4</f>
        <v>-1372256.5533333335</v>
      </c>
      <c r="E6" s="12">
        <f>E5-E4</f>
        <v>-2518633.4333333336</v>
      </c>
    </row>
    <row r="7" spans="2:5" x14ac:dyDescent="0.35">
      <c r="B7" s="1"/>
      <c r="C7" s="13"/>
      <c r="D7" s="13"/>
      <c r="E7" s="13"/>
    </row>
    <row r="10" spans="2:5" x14ac:dyDescent="0.35">
      <c r="B10" s="3" t="s">
        <v>139</v>
      </c>
      <c r="C10" s="4" t="s">
        <v>28</v>
      </c>
      <c r="D10" s="4" t="s">
        <v>29</v>
      </c>
      <c r="E10" s="4" t="s">
        <v>0</v>
      </c>
    </row>
    <row r="11" spans="2:5" x14ac:dyDescent="0.35">
      <c r="B11" s="6" t="s">
        <v>25</v>
      </c>
      <c r="C11" s="35">
        <v>2553652</v>
      </c>
      <c r="D11" s="35">
        <v>2105153</v>
      </c>
      <c r="E11" s="35">
        <f>SUM(C11:D11)</f>
        <v>4658805</v>
      </c>
    </row>
    <row r="12" spans="2:5" x14ac:dyDescent="0.35">
      <c r="B12" s="6" t="s">
        <v>26</v>
      </c>
      <c r="C12" s="32">
        <v>-921139</v>
      </c>
      <c r="D12" s="32">
        <v>-701717.66666666663</v>
      </c>
      <c r="E12" s="32">
        <f>SUM(C12:D12)</f>
        <v>-1622856.6666666665</v>
      </c>
    </row>
    <row r="13" spans="2:5" x14ac:dyDescent="0.35">
      <c r="B13" s="11" t="s">
        <v>27</v>
      </c>
      <c r="C13" s="12">
        <f>+C12+C11</f>
        <v>1632513</v>
      </c>
      <c r="D13" s="12">
        <f t="shared" ref="D13:E13" si="0">+D12+D11</f>
        <v>1403435.3333333335</v>
      </c>
      <c r="E13" s="12">
        <f t="shared" si="0"/>
        <v>3035948.3333333335</v>
      </c>
    </row>
    <row r="15" spans="2:5" x14ac:dyDescent="0.35">
      <c r="B15" s="3" t="s">
        <v>30</v>
      </c>
      <c r="C15" s="4" t="s">
        <v>28</v>
      </c>
      <c r="D15" s="4" t="s">
        <v>29</v>
      </c>
      <c r="E15" s="4" t="s">
        <v>0</v>
      </c>
    </row>
    <row r="16" spans="2:5" x14ac:dyDescent="0.35">
      <c r="B16" s="6" t="s">
        <v>25</v>
      </c>
      <c r="C16" s="35">
        <v>763415.59</v>
      </c>
      <c r="D16" s="35">
        <v>522309.20000000007</v>
      </c>
      <c r="E16" s="35">
        <f>SUM(C16:D16)</f>
        <v>1285724.79</v>
      </c>
    </row>
    <row r="17" spans="2:5" x14ac:dyDescent="0.35">
      <c r="B17" s="6" t="s">
        <v>26</v>
      </c>
      <c r="C17" s="32">
        <v>-277279.47000000003</v>
      </c>
      <c r="D17" s="32">
        <v>-491130.42</v>
      </c>
      <c r="E17" s="32">
        <f>SUM(C17:D17)</f>
        <v>-768409.89</v>
      </c>
    </row>
    <row r="18" spans="2:5" x14ac:dyDescent="0.35">
      <c r="B18" s="11" t="s">
        <v>27</v>
      </c>
      <c r="C18" s="12">
        <f>+C17+C16</f>
        <v>486136.11999999994</v>
      </c>
      <c r="D18" s="12">
        <f t="shared" ref="D18:E18" si="1">+D17+D16</f>
        <v>31178.780000000086</v>
      </c>
      <c r="E18" s="12">
        <f t="shared" si="1"/>
        <v>517314.9</v>
      </c>
    </row>
    <row r="20" spans="2:5" x14ac:dyDescent="0.35">
      <c r="B20" s="3" t="s">
        <v>31</v>
      </c>
      <c r="C20" s="4" t="s">
        <v>28</v>
      </c>
      <c r="D20" s="4" t="s">
        <v>29</v>
      </c>
      <c r="E20" s="4" t="s">
        <v>0</v>
      </c>
    </row>
    <row r="21" spans="2:5" x14ac:dyDescent="0.35">
      <c r="B21" s="6" t="s">
        <v>25</v>
      </c>
      <c r="C21" s="35">
        <f>C16-C11</f>
        <v>-1790236.4100000001</v>
      </c>
      <c r="D21" s="35">
        <f t="shared" ref="D21:D22" si="2">D16-D11</f>
        <v>-1582843.7999999998</v>
      </c>
      <c r="E21" s="35">
        <f>SUM(C21:D21)</f>
        <v>-3373080.21</v>
      </c>
    </row>
    <row r="22" spans="2:5" x14ac:dyDescent="0.35">
      <c r="B22" s="6" t="s">
        <v>26</v>
      </c>
      <c r="C22" s="32">
        <f t="shared" ref="C22" si="3">C17-C12</f>
        <v>643859.53</v>
      </c>
      <c r="D22" s="32">
        <f t="shared" si="2"/>
        <v>210587.24666666664</v>
      </c>
      <c r="E22" s="32">
        <f>SUM(C22:D22)</f>
        <v>854446.77666666661</v>
      </c>
    </row>
    <row r="23" spans="2:5" x14ac:dyDescent="0.35">
      <c r="B23" s="11" t="s">
        <v>27</v>
      </c>
      <c r="C23" s="12">
        <f>+C22+C21</f>
        <v>-1146376.8800000001</v>
      </c>
      <c r="D23" s="12">
        <f t="shared" ref="D23:E23" si="4">+D22+D21</f>
        <v>-1372256.5533333332</v>
      </c>
      <c r="E23" s="12">
        <f t="shared" si="4"/>
        <v>-2518633.4333333336</v>
      </c>
    </row>
  </sheetData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0964-2797-4D6C-B97C-51FBB6CFCEB7}">
  <dimension ref="B1:E8"/>
  <sheetViews>
    <sheetView showGridLines="0" zoomScale="85" zoomScaleNormal="85" workbookViewId="0">
      <selection activeCell="E4" sqref="E4"/>
    </sheetView>
    <sheetView workbookViewId="1">
      <selection activeCell="E7" sqref="E7"/>
    </sheetView>
  </sheetViews>
  <sheetFormatPr defaultRowHeight="14.5" x14ac:dyDescent="0.35"/>
  <cols>
    <col min="2" max="2" width="40.1796875" bestFit="1" customWidth="1"/>
    <col min="3" max="5" width="13.453125" style="21" customWidth="1"/>
  </cols>
  <sheetData>
    <row r="1" spans="2:5" x14ac:dyDescent="0.35">
      <c r="B1" s="1" t="s">
        <v>146</v>
      </c>
      <c r="C1" s="16"/>
      <c r="D1" s="16"/>
      <c r="E1" s="16"/>
    </row>
    <row r="3" spans="2:5" ht="42" x14ac:dyDescent="0.35">
      <c r="B3" s="3" t="s">
        <v>6</v>
      </c>
      <c r="C3" s="4" t="s">
        <v>16</v>
      </c>
      <c r="D3" s="4" t="s">
        <v>17</v>
      </c>
      <c r="E3" s="4" t="s">
        <v>18</v>
      </c>
    </row>
    <row r="4" spans="2:5" x14ac:dyDescent="0.35">
      <c r="B4" s="6" t="s">
        <v>9</v>
      </c>
      <c r="C4" s="19" t="s">
        <v>10</v>
      </c>
      <c r="D4" s="22">
        <v>750</v>
      </c>
      <c r="E4" s="23">
        <f>+'Table 9 - ICM Riders'!J6</f>
        <v>0.1</v>
      </c>
    </row>
    <row r="5" spans="2:5" x14ac:dyDescent="0.35">
      <c r="B5" s="6" t="s">
        <v>11</v>
      </c>
      <c r="C5" s="20" t="s">
        <v>10</v>
      </c>
      <c r="D5" s="24">
        <v>1500</v>
      </c>
      <c r="E5" s="23">
        <f>+'Table 9 - ICM Riders'!J7+'Table 9 - ICM Riders'!K7*'Table 10 - ICM Bill Impact'!D5</f>
        <v>0.24</v>
      </c>
    </row>
    <row r="6" spans="2:5" x14ac:dyDescent="0.35">
      <c r="B6" s="6" t="s">
        <v>12</v>
      </c>
      <c r="C6" s="20" t="s">
        <v>13</v>
      </c>
      <c r="D6" s="24">
        <v>200</v>
      </c>
      <c r="E6" s="23">
        <f>+'Table 9 - ICM Riders'!J8+'Table 9 - ICM Riders'!K8*'Table 10 - ICM Bill Impact'!D6</f>
        <v>2.5599999999999996</v>
      </c>
    </row>
    <row r="7" spans="2:5" x14ac:dyDescent="0.35">
      <c r="B7" s="6" t="s">
        <v>14</v>
      </c>
      <c r="C7" s="20" t="s">
        <v>13</v>
      </c>
      <c r="D7" s="25">
        <v>0.22</v>
      </c>
      <c r="E7" s="23">
        <f>+'Table 9 - ICM Riders'!J9+'Table 9 - ICM Riders'!K9*'Table 10 - ICM Bill Impact'!D7</f>
        <v>3.1020000000000002E-3</v>
      </c>
    </row>
    <row r="8" spans="2:5" x14ac:dyDescent="0.35">
      <c r="B8" s="6" t="s">
        <v>15</v>
      </c>
      <c r="C8" s="20" t="s">
        <v>10</v>
      </c>
      <c r="D8" s="24">
        <v>2000</v>
      </c>
      <c r="E8" s="23">
        <f>+'Table 9 - ICM Riders'!J10+'Table 9 - ICM Riders'!K10*'Table 10 - ICM Bill Impact'!D8</f>
        <v>0.23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A956-D5C1-453E-824F-DA924E6CB273}">
  <sheetPr>
    <pageSetUpPr fitToPage="1"/>
  </sheetPr>
  <dimension ref="B1:G8"/>
  <sheetViews>
    <sheetView showGridLines="0" zoomScale="85" zoomScaleNormal="85" workbookViewId="0">
      <selection activeCell="B2" sqref="B2"/>
    </sheetView>
    <sheetView workbookViewId="1">
      <selection activeCell="G8" sqref="G8"/>
    </sheetView>
  </sheetViews>
  <sheetFormatPr defaultRowHeight="14.5" x14ac:dyDescent="0.35"/>
  <cols>
    <col min="2" max="2" width="45.81640625" customWidth="1"/>
    <col min="3" max="3" width="10" style="14" bestFit="1" customWidth="1"/>
    <col min="4" max="4" width="11.54296875" bestFit="1" customWidth="1"/>
    <col min="5" max="5" width="9.26953125" bestFit="1" customWidth="1"/>
    <col min="6" max="7" width="15.7265625" customWidth="1"/>
  </cols>
  <sheetData>
    <row r="1" spans="2:7" x14ac:dyDescent="0.35">
      <c r="B1" s="1" t="s">
        <v>148</v>
      </c>
      <c r="C1" s="2"/>
    </row>
    <row r="2" spans="2:7" ht="15" customHeight="1" x14ac:dyDescent="0.35">
      <c r="F2" s="193" t="s">
        <v>147</v>
      </c>
      <c r="G2" s="194"/>
    </row>
    <row r="3" spans="2:7" ht="40.15" customHeight="1" x14ac:dyDescent="0.35">
      <c r="B3" s="3" t="s">
        <v>6</v>
      </c>
      <c r="C3" s="4" t="s">
        <v>19</v>
      </c>
      <c r="D3" s="3" t="s">
        <v>10</v>
      </c>
      <c r="E3" s="3" t="s">
        <v>13</v>
      </c>
      <c r="F3" s="4" t="s">
        <v>20</v>
      </c>
      <c r="G3" s="4" t="s">
        <v>21</v>
      </c>
    </row>
    <row r="4" spans="2:7" x14ac:dyDescent="0.35">
      <c r="B4" s="6" t="s">
        <v>9</v>
      </c>
      <c r="C4" s="15" t="s">
        <v>22</v>
      </c>
      <c r="D4" s="26">
        <v>750</v>
      </c>
      <c r="E4" s="27"/>
      <c r="F4" s="28">
        <v>1.1900000000000013</v>
      </c>
      <c r="G4" s="29">
        <v>3.7717908082408914E-2</v>
      </c>
    </row>
    <row r="5" spans="2:7" x14ac:dyDescent="0.35">
      <c r="B5" s="6" t="s">
        <v>11</v>
      </c>
      <c r="C5" s="15" t="s">
        <v>22</v>
      </c>
      <c r="D5" s="30">
        <v>1500</v>
      </c>
      <c r="E5" s="27"/>
      <c r="F5" s="28">
        <v>2.1200000000000045</v>
      </c>
      <c r="G5" s="29">
        <v>3.7615330021291776E-2</v>
      </c>
    </row>
    <row r="6" spans="2:7" x14ac:dyDescent="0.35">
      <c r="B6" s="6" t="s">
        <v>12</v>
      </c>
      <c r="C6" s="15" t="s">
        <v>23</v>
      </c>
      <c r="D6" s="30">
        <v>36700</v>
      </c>
      <c r="E6" s="30">
        <v>200</v>
      </c>
      <c r="F6" s="28">
        <v>30.880000000000109</v>
      </c>
      <c r="G6" s="29">
        <v>3.7609002776830651E-2</v>
      </c>
    </row>
    <row r="7" spans="2:7" x14ac:dyDescent="0.35">
      <c r="B7" s="6" t="s">
        <v>15</v>
      </c>
      <c r="C7" s="15" t="s">
        <v>22</v>
      </c>
      <c r="D7" s="30">
        <v>2000</v>
      </c>
      <c r="E7" s="27"/>
      <c r="F7" s="28">
        <v>1.7900000000000134</v>
      </c>
      <c r="G7" s="29">
        <v>3.8207043756670514E-2</v>
      </c>
    </row>
    <row r="8" spans="2:7" x14ac:dyDescent="0.35">
      <c r="B8" s="6" t="s">
        <v>24</v>
      </c>
      <c r="C8" s="15" t="s">
        <v>23</v>
      </c>
      <c r="D8" s="30">
        <v>175</v>
      </c>
      <c r="E8" s="31">
        <v>0.22</v>
      </c>
      <c r="F8" s="28">
        <v>5.7377999999999707E-2</v>
      </c>
      <c r="G8" s="29">
        <v>3.5347953529805132E-2</v>
      </c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646E-6BF6-496D-9D36-542AD8A4AF73}">
  <dimension ref="B1:G8"/>
  <sheetViews>
    <sheetView showGridLines="0" zoomScale="85" zoomScaleNormal="85" workbookViewId="0">
      <selection activeCell="B2" sqref="B2"/>
    </sheetView>
    <sheetView workbookViewId="1">
      <selection activeCell="F9" sqref="F9"/>
    </sheetView>
  </sheetViews>
  <sheetFormatPr defaultRowHeight="14.5" x14ac:dyDescent="0.35"/>
  <cols>
    <col min="2" max="2" width="40.26953125" bestFit="1" customWidth="1"/>
    <col min="3" max="3" width="10" style="14" bestFit="1" customWidth="1"/>
    <col min="4" max="4" width="11.54296875" bestFit="1" customWidth="1"/>
    <col min="5" max="5" width="9.26953125" bestFit="1" customWidth="1"/>
    <col min="6" max="7" width="15.81640625" customWidth="1"/>
  </cols>
  <sheetData>
    <row r="1" spans="2:7" x14ac:dyDescent="0.35">
      <c r="B1" s="1" t="s">
        <v>149</v>
      </c>
      <c r="C1" s="2"/>
    </row>
    <row r="2" spans="2:7" ht="15" customHeight="1" x14ac:dyDescent="0.35">
      <c r="F2" s="193" t="s">
        <v>147</v>
      </c>
      <c r="G2" s="194"/>
    </row>
    <row r="3" spans="2:7" ht="40.15" customHeight="1" x14ac:dyDescent="0.35">
      <c r="B3" s="3" t="s">
        <v>6</v>
      </c>
      <c r="C3" s="4" t="s">
        <v>19</v>
      </c>
      <c r="D3" s="3" t="s">
        <v>10</v>
      </c>
      <c r="E3" s="3" t="s">
        <v>13</v>
      </c>
      <c r="F3" s="4" t="s">
        <v>20</v>
      </c>
      <c r="G3" s="4" t="s">
        <v>21</v>
      </c>
    </row>
    <row r="4" spans="2:7" ht="15" customHeight="1" x14ac:dyDescent="0.35">
      <c r="B4" s="6" t="s">
        <v>9</v>
      </c>
      <c r="C4" s="15" t="s">
        <v>22</v>
      </c>
      <c r="D4" s="26">
        <v>750</v>
      </c>
      <c r="E4" s="27"/>
      <c r="F4" s="28">
        <v>0.57172769999996831</v>
      </c>
      <c r="G4" s="29">
        <v>4.3113106492851036E-3</v>
      </c>
    </row>
    <row r="5" spans="2:7" ht="15" customHeight="1" x14ac:dyDescent="0.35">
      <c r="B5" s="6" t="s">
        <v>11</v>
      </c>
      <c r="C5" s="15" t="s">
        <v>22</v>
      </c>
      <c r="D5" s="30">
        <v>1500</v>
      </c>
      <c r="E5" s="27"/>
      <c r="F5" s="28">
        <v>0.57829112999996823</v>
      </c>
      <c r="G5" s="29">
        <v>2.2567747706497355E-3</v>
      </c>
    </row>
    <row r="6" spans="2:7" ht="15" customHeight="1" x14ac:dyDescent="0.35">
      <c r="B6" s="6" t="s">
        <v>12</v>
      </c>
      <c r="C6" s="15" t="s">
        <v>23</v>
      </c>
      <c r="D6" s="30">
        <v>36700</v>
      </c>
      <c r="E6" s="30">
        <v>200</v>
      </c>
      <c r="F6" s="28">
        <v>12.441299999999501</v>
      </c>
      <c r="G6" s="29">
        <v>1.5568768288579163E-3</v>
      </c>
    </row>
    <row r="7" spans="2:7" ht="15" customHeight="1" x14ac:dyDescent="0.35">
      <c r="B7" s="6" t="s">
        <v>15</v>
      </c>
      <c r="C7" s="15" t="s">
        <v>22</v>
      </c>
      <c r="D7" s="30">
        <v>2000</v>
      </c>
      <c r="E7" s="27"/>
      <c r="F7" s="28">
        <v>-0.46437515999997458</v>
      </c>
      <c r="G7" s="29">
        <v>-1.4838588563567887E-3</v>
      </c>
    </row>
    <row r="8" spans="2:7" ht="15" customHeight="1" x14ac:dyDescent="0.35">
      <c r="B8" s="6" t="s">
        <v>24</v>
      </c>
      <c r="C8" s="15" t="s">
        <v>23</v>
      </c>
      <c r="D8" s="30">
        <v>175</v>
      </c>
      <c r="E8" s="31">
        <v>0.22</v>
      </c>
      <c r="F8" s="28">
        <v>0.19639399999999796</v>
      </c>
      <c r="G8" s="29">
        <v>7.2048128481461823E-3</v>
      </c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CA02-D0EC-45E6-A45F-78F2AB433B79}">
  <dimension ref="B1:Q79"/>
  <sheetViews>
    <sheetView showGridLines="0" topLeftCell="A43" zoomScale="85" zoomScaleNormal="85" workbookViewId="0">
      <selection activeCell="F16" sqref="F16"/>
    </sheetView>
    <sheetView topLeftCell="A58" workbookViewId="1"/>
  </sheetViews>
  <sheetFormatPr defaultColWidth="9.1796875" defaultRowHeight="14" x14ac:dyDescent="0.3"/>
  <cols>
    <col min="1" max="1" width="9.1796875" style="46"/>
    <col min="2" max="2" width="47.26953125" style="46" customWidth="1"/>
    <col min="3" max="3" width="15.81640625" style="50" customWidth="1"/>
    <col min="4" max="4" width="5" style="50" customWidth="1"/>
    <col min="5" max="6" width="16.1796875" style="50" customWidth="1"/>
    <col min="7" max="7" width="16.1796875" style="2" customWidth="1"/>
    <col min="8" max="9" width="16.1796875" style="50" customWidth="1"/>
    <col min="10" max="10" width="16.1796875" style="2" customWidth="1"/>
    <col min="11" max="12" width="16.1796875" style="50" customWidth="1"/>
    <col min="13" max="13" width="16.1796875" style="2" customWidth="1"/>
    <col min="14" max="14" width="19" style="50" customWidth="1"/>
    <col min="15" max="15" width="13.453125" style="50" customWidth="1"/>
    <col min="16" max="16384" width="9.1796875" style="46"/>
  </cols>
  <sheetData>
    <row r="1" spans="2:16" x14ac:dyDescent="0.3">
      <c r="B1" s="1" t="s">
        <v>165</v>
      </c>
      <c r="C1" s="2"/>
      <c r="D1" s="2"/>
      <c r="E1" s="2"/>
      <c r="F1" s="2"/>
      <c r="H1" s="2"/>
      <c r="I1" s="2"/>
      <c r="K1" s="2"/>
      <c r="L1" s="2"/>
      <c r="N1" s="2"/>
      <c r="O1" s="2"/>
    </row>
    <row r="2" spans="2:16" ht="14.5" thickBot="1" x14ac:dyDescent="0.35"/>
    <row r="3" spans="2:16" ht="14.5" thickBot="1" x14ac:dyDescent="0.35">
      <c r="B3" s="91" t="s">
        <v>94</v>
      </c>
      <c r="C3" s="92"/>
      <c r="D3" s="41"/>
      <c r="E3" s="186" t="s">
        <v>164</v>
      </c>
      <c r="F3" s="186"/>
      <c r="G3" s="186"/>
      <c r="H3" s="186" t="s">
        <v>30</v>
      </c>
      <c r="I3" s="186"/>
      <c r="J3" s="186"/>
      <c r="K3" s="186" t="s">
        <v>31</v>
      </c>
      <c r="L3" s="186"/>
      <c r="M3" s="186"/>
      <c r="N3" s="52"/>
      <c r="O3" s="46"/>
    </row>
    <row r="4" spans="2:16" x14ac:dyDescent="0.3">
      <c r="B4" s="49"/>
      <c r="C4" s="36"/>
      <c r="D4" s="36"/>
      <c r="E4" s="175"/>
      <c r="F4" s="175"/>
      <c r="G4" s="175"/>
      <c r="H4" s="169"/>
      <c r="I4" s="169"/>
      <c r="J4" s="169"/>
      <c r="K4" s="175"/>
      <c r="L4" s="175"/>
      <c r="M4" s="175"/>
      <c r="N4" s="52"/>
      <c r="O4" s="46"/>
    </row>
    <row r="5" spans="2:16" ht="14.5" x14ac:dyDescent="0.3">
      <c r="B5" s="39"/>
      <c r="C5" s="38"/>
      <c r="D5" s="38"/>
      <c r="E5" s="93" t="s">
        <v>28</v>
      </c>
      <c r="F5" s="93" t="s">
        <v>29</v>
      </c>
      <c r="G5" s="93" t="s">
        <v>0</v>
      </c>
      <c r="H5" s="122" t="s">
        <v>28</v>
      </c>
      <c r="I5" s="122" t="s">
        <v>29</v>
      </c>
      <c r="J5" s="122" t="s">
        <v>0</v>
      </c>
      <c r="K5" s="93" t="s">
        <v>28</v>
      </c>
      <c r="L5" s="93" t="s">
        <v>29</v>
      </c>
      <c r="M5" s="93" t="s">
        <v>0</v>
      </c>
      <c r="N5" s="111" t="s">
        <v>173</v>
      </c>
      <c r="O5" s="112"/>
      <c r="P5" s="112"/>
    </row>
    <row r="6" spans="2:16" ht="14.5" x14ac:dyDescent="0.3">
      <c r="B6" s="39"/>
      <c r="C6" s="53"/>
      <c r="D6" s="53"/>
      <c r="E6" s="54"/>
      <c r="F6" s="54"/>
      <c r="G6" s="137"/>
      <c r="H6" s="123"/>
      <c r="I6" s="123"/>
      <c r="J6" s="161"/>
      <c r="K6" s="54"/>
      <c r="L6" s="54"/>
      <c r="M6" s="137"/>
      <c r="N6" s="111"/>
      <c r="O6" s="112"/>
      <c r="P6" s="112"/>
    </row>
    <row r="7" spans="2:16" x14ac:dyDescent="0.3">
      <c r="B7" s="39" t="s">
        <v>140</v>
      </c>
      <c r="C7" s="51"/>
      <c r="D7" s="41"/>
      <c r="E7" s="62">
        <f>'Table 1 - CVA Capex Variance'!C13</f>
        <v>1632513</v>
      </c>
      <c r="F7" s="62">
        <f>'Table 1 - CVA Capex Variance'!D13</f>
        <v>1403435.3333333335</v>
      </c>
      <c r="G7" s="138">
        <f>SUM(E7:F7)</f>
        <v>3035948.3333333335</v>
      </c>
      <c r="H7" s="124">
        <f>'Table 1 - CVA Capex Variance'!C18</f>
        <v>486136.11999999994</v>
      </c>
      <c r="I7" s="124">
        <f>'Table 1 - CVA Capex Variance'!D18</f>
        <v>31178.780000000086</v>
      </c>
      <c r="J7" s="162">
        <f>SUM(H7:I7)</f>
        <v>517314.9</v>
      </c>
      <c r="K7" s="62">
        <f>H7-E7</f>
        <v>-1146376.8800000001</v>
      </c>
      <c r="L7" s="62">
        <f>I7-F7</f>
        <v>-1372256.5533333335</v>
      </c>
      <c r="M7" s="174">
        <f>SUM(K7:L7)</f>
        <v>-2518633.4333333336</v>
      </c>
      <c r="N7" s="56" t="s">
        <v>32</v>
      </c>
      <c r="O7" s="46"/>
    </row>
    <row r="8" spans="2:16" x14ac:dyDescent="0.3">
      <c r="B8" s="39" t="s">
        <v>33</v>
      </c>
      <c r="C8" s="51"/>
      <c r="D8" s="41"/>
      <c r="E8" s="62">
        <f>E7/2/40.8338</f>
        <v>19989.726648021984</v>
      </c>
      <c r="F8" s="62">
        <f>F7/2/44.0022</f>
        <v>15947.331421307723</v>
      </c>
      <c r="G8" s="139">
        <f>SUM(E8:F8)</f>
        <v>35937.058069329709</v>
      </c>
      <c r="H8" s="124">
        <f>H7/2/40.8338</f>
        <v>5952.6191537402838</v>
      </c>
      <c r="I8" s="124">
        <f>I7/2/44.0022</f>
        <v>354.28660385162658</v>
      </c>
      <c r="J8" s="163">
        <f>SUM(H8:I8)</f>
        <v>6306.9057575919105</v>
      </c>
      <c r="K8" s="62">
        <f>K7/2/40.8338</f>
        <v>-14037.107494281701</v>
      </c>
      <c r="L8" s="62">
        <f>L7/2/44.0022</f>
        <v>-15593.044817456097</v>
      </c>
      <c r="M8" s="139">
        <f>SUM(K8:L8)</f>
        <v>-29630.152311737798</v>
      </c>
      <c r="N8" s="52" t="s">
        <v>34</v>
      </c>
      <c r="O8" s="46"/>
    </row>
    <row r="9" spans="2:16" ht="14.5" thickBot="1" x14ac:dyDescent="0.35">
      <c r="B9" s="40" t="s">
        <v>35</v>
      </c>
      <c r="C9" s="57"/>
      <c r="D9" s="45"/>
      <c r="E9" s="72">
        <f>E7*0.12</f>
        <v>195901.56</v>
      </c>
      <c r="F9" s="72">
        <f>F7*0.12</f>
        <v>168412.24000000002</v>
      </c>
      <c r="G9" s="140">
        <f>SUM(E9:F9)</f>
        <v>364313.80000000005</v>
      </c>
      <c r="H9" s="125">
        <f>H7*0.12</f>
        <v>58336.334399999992</v>
      </c>
      <c r="I9" s="125">
        <f>I7*0.12</f>
        <v>3741.4536000000103</v>
      </c>
      <c r="J9" s="164">
        <f>SUM(H9:I9)</f>
        <v>62077.788</v>
      </c>
      <c r="K9" s="72">
        <f>K7*0.12</f>
        <v>-137565.22560000001</v>
      </c>
      <c r="L9" s="72">
        <f>L7*0.12</f>
        <v>-164670.78640000001</v>
      </c>
      <c r="M9" s="140">
        <f>SUM(K9:L9)</f>
        <v>-302236.01199999999</v>
      </c>
      <c r="N9" s="52" t="s">
        <v>36</v>
      </c>
      <c r="O9" s="46"/>
    </row>
    <row r="10" spans="2:16" x14ac:dyDescent="0.3">
      <c r="C10" s="41"/>
      <c r="D10" s="41"/>
      <c r="E10" s="51"/>
      <c r="F10" s="51"/>
      <c r="G10" s="120"/>
      <c r="H10" s="126"/>
      <c r="I10" s="126"/>
      <c r="J10" s="165"/>
      <c r="K10" s="51"/>
      <c r="L10" s="51"/>
      <c r="M10" s="120"/>
      <c r="N10" s="52"/>
      <c r="O10" s="46"/>
    </row>
    <row r="11" spans="2:16" x14ac:dyDescent="0.3">
      <c r="B11" s="185" t="s">
        <v>95</v>
      </c>
      <c r="C11" s="185"/>
      <c r="D11" s="185"/>
      <c r="E11" s="185"/>
      <c r="F11" s="185"/>
      <c r="G11" s="185"/>
      <c r="H11" s="119"/>
      <c r="I11" s="119"/>
      <c r="J11" s="119"/>
      <c r="K11" s="119"/>
      <c r="L11" s="119"/>
      <c r="M11" s="119"/>
      <c r="N11" s="96"/>
      <c r="O11" s="46"/>
    </row>
    <row r="12" spans="2:16" ht="14.5" thickBot="1" x14ac:dyDescent="0.35">
      <c r="C12" s="41"/>
      <c r="D12" s="41"/>
      <c r="E12" s="59"/>
      <c r="F12" s="59"/>
      <c r="G12" s="141"/>
      <c r="H12" s="127"/>
      <c r="I12" s="127"/>
      <c r="J12" s="166"/>
      <c r="K12" s="59"/>
      <c r="L12" s="59"/>
      <c r="M12" s="141"/>
      <c r="N12" s="52"/>
      <c r="O12" s="46"/>
    </row>
    <row r="13" spans="2:16" ht="14.5" thickBot="1" x14ac:dyDescent="0.35">
      <c r="B13" s="94" t="s">
        <v>2</v>
      </c>
      <c r="C13" s="41"/>
      <c r="D13" s="41"/>
      <c r="E13" s="59"/>
      <c r="F13" s="59"/>
      <c r="G13" s="141"/>
      <c r="H13" s="127"/>
      <c r="I13" s="127"/>
      <c r="J13" s="166"/>
      <c r="K13" s="59"/>
      <c r="L13" s="59"/>
      <c r="M13" s="141"/>
      <c r="N13" s="52"/>
      <c r="O13" s="46"/>
    </row>
    <row r="14" spans="2:16" x14ac:dyDescent="0.3">
      <c r="B14" s="39" t="s">
        <v>92</v>
      </c>
      <c r="C14" s="42"/>
      <c r="D14" s="42"/>
      <c r="E14" s="60">
        <f t="shared" ref="E14:G15" si="0">E7</f>
        <v>1632513</v>
      </c>
      <c r="F14" s="60">
        <f t="shared" si="0"/>
        <v>1403435.3333333335</v>
      </c>
      <c r="G14" s="117">
        <f t="shared" si="0"/>
        <v>3035948.3333333335</v>
      </c>
      <c r="H14" s="128">
        <f t="shared" ref="H14:M14" si="1">H7</f>
        <v>486136.11999999994</v>
      </c>
      <c r="I14" s="128">
        <f t="shared" si="1"/>
        <v>31178.780000000086</v>
      </c>
      <c r="J14" s="133">
        <f t="shared" si="1"/>
        <v>517314.9</v>
      </c>
      <c r="K14" s="60">
        <f t="shared" si="1"/>
        <v>-1146376.8800000001</v>
      </c>
      <c r="L14" s="60">
        <f t="shared" si="1"/>
        <v>-1372256.5533333335</v>
      </c>
      <c r="M14" s="117">
        <f t="shared" si="1"/>
        <v>-2518633.4333333336</v>
      </c>
      <c r="N14" s="52" t="s">
        <v>32</v>
      </c>
      <c r="O14" s="46"/>
    </row>
    <row r="15" spans="2:16" x14ac:dyDescent="0.3">
      <c r="B15" s="39" t="s">
        <v>33</v>
      </c>
      <c r="C15" s="41"/>
      <c r="D15" s="61"/>
      <c r="E15" s="62">
        <f t="shared" si="0"/>
        <v>19989.726648021984</v>
      </c>
      <c r="F15" s="62">
        <f t="shared" si="0"/>
        <v>15947.331421307723</v>
      </c>
      <c r="G15" s="139">
        <f t="shared" si="0"/>
        <v>35937.058069329709</v>
      </c>
      <c r="H15" s="124">
        <f t="shared" ref="H15:M15" si="2">H8</f>
        <v>5952.6191537402838</v>
      </c>
      <c r="I15" s="124">
        <f t="shared" si="2"/>
        <v>354.28660385162658</v>
      </c>
      <c r="J15" s="163">
        <f t="shared" si="2"/>
        <v>6306.9057575919105</v>
      </c>
      <c r="K15" s="62">
        <f t="shared" si="2"/>
        <v>-14037.107494281701</v>
      </c>
      <c r="L15" s="62">
        <f t="shared" si="2"/>
        <v>-15593.044817456097</v>
      </c>
      <c r="M15" s="139">
        <f t="shared" si="2"/>
        <v>-29630.152311737798</v>
      </c>
      <c r="N15" s="52" t="s">
        <v>34</v>
      </c>
      <c r="O15" s="46"/>
    </row>
    <row r="16" spans="2:16" ht="15" thickBot="1" x14ac:dyDescent="0.4">
      <c r="B16" s="39" t="s">
        <v>96</v>
      </c>
      <c r="C16" s="41"/>
      <c r="D16" s="61"/>
      <c r="E16" s="63">
        <f t="shared" ref="E16:M16" si="3">(E14-E15)/2</f>
        <v>806261.63667598902</v>
      </c>
      <c r="F16" s="63">
        <f t="shared" si="3"/>
        <v>693744.00095601287</v>
      </c>
      <c r="G16" s="142">
        <f t="shared" si="3"/>
        <v>1500005.6376320019</v>
      </c>
      <c r="H16" s="129">
        <f t="shared" si="3"/>
        <v>240091.75042312982</v>
      </c>
      <c r="I16" s="129">
        <f t="shared" si="3"/>
        <v>15412.24669807423</v>
      </c>
      <c r="J16" s="167">
        <f t="shared" si="3"/>
        <v>255503.99712120407</v>
      </c>
      <c r="K16" s="63">
        <f t="shared" si="3"/>
        <v>-566169.88625285926</v>
      </c>
      <c r="L16" s="63">
        <f t="shared" si="3"/>
        <v>-678331.75425793871</v>
      </c>
      <c r="M16" s="142">
        <f t="shared" si="3"/>
        <v>-1244501.640510798</v>
      </c>
      <c r="N16" s="52" t="s">
        <v>37</v>
      </c>
      <c r="O16" s="34" t="s">
        <v>99</v>
      </c>
      <c r="P16" s="97">
        <f>M16-'Table 3 - RR for CVA'!G16</f>
        <v>0</v>
      </c>
    </row>
    <row r="17" spans="2:17" ht="29" x14ac:dyDescent="0.3">
      <c r="B17" s="39"/>
      <c r="C17" s="64" t="s">
        <v>38</v>
      </c>
      <c r="D17" s="61"/>
      <c r="E17" s="62"/>
      <c r="F17" s="62"/>
      <c r="G17" s="139"/>
      <c r="H17" s="124"/>
      <c r="I17" s="124"/>
      <c r="J17" s="163"/>
      <c r="K17" s="62"/>
      <c r="L17" s="62"/>
      <c r="M17" s="139"/>
      <c r="N17" s="52"/>
      <c r="O17" s="46"/>
    </row>
    <row r="18" spans="2:17" x14ac:dyDescent="0.3">
      <c r="B18" s="39" t="s">
        <v>39</v>
      </c>
      <c r="C18" s="43">
        <v>0.04</v>
      </c>
      <c r="D18" s="61" t="s">
        <v>40</v>
      </c>
      <c r="E18" s="62">
        <f>C18*E16</f>
        <v>32250.465467039561</v>
      </c>
      <c r="F18" s="62">
        <f>C18*F16</f>
        <v>27749.760038240514</v>
      </c>
      <c r="G18" s="139">
        <f>SUM(E18:F18)</f>
        <v>60000.225505280076</v>
      </c>
      <c r="H18" s="124">
        <f>C18*H16</f>
        <v>9603.6700169251926</v>
      </c>
      <c r="I18" s="124">
        <f>C18*I16</f>
        <v>616.48986792296921</v>
      </c>
      <c r="J18" s="163">
        <f>SUM(H18:I18)</f>
        <v>10220.159884848163</v>
      </c>
      <c r="K18" s="62">
        <f>C18*K16</f>
        <v>-22646.795450114372</v>
      </c>
      <c r="L18" s="62">
        <f>C18*L16</f>
        <v>-27133.270170317548</v>
      </c>
      <c r="M18" s="139">
        <f>SUM(K18:L18)</f>
        <v>-49780.065620431924</v>
      </c>
      <c r="N18" s="52" t="s">
        <v>41</v>
      </c>
      <c r="O18" s="46"/>
    </row>
    <row r="19" spans="2:17" x14ac:dyDescent="0.3">
      <c r="B19" s="39" t="s">
        <v>42</v>
      </c>
      <c r="C19" s="43">
        <v>0.56000000000000005</v>
      </c>
      <c r="D19" s="61" t="s">
        <v>43</v>
      </c>
      <c r="E19" s="62">
        <f>C19*E16</f>
        <v>451506.51653855387</v>
      </c>
      <c r="F19" s="62">
        <f>C19*F16</f>
        <v>388496.64053536725</v>
      </c>
      <c r="G19" s="139">
        <f>SUM(E19:F19)</f>
        <v>840003.15707392106</v>
      </c>
      <c r="H19" s="124">
        <f>C19*H16</f>
        <v>134451.38023695271</v>
      </c>
      <c r="I19" s="124">
        <f>C19*I16</f>
        <v>8630.8581509215692</v>
      </c>
      <c r="J19" s="163">
        <f>SUM(H19:I19)</f>
        <v>143082.23838787427</v>
      </c>
      <c r="K19" s="62">
        <f>C19*K16</f>
        <v>-317055.13630160119</v>
      </c>
      <c r="L19" s="62">
        <f>C19*L16</f>
        <v>-379865.78238444572</v>
      </c>
      <c r="M19" s="139">
        <f>SUM(K19:L19)</f>
        <v>-696920.91868604696</v>
      </c>
      <c r="N19" s="52" t="s">
        <v>44</v>
      </c>
      <c r="O19" s="46"/>
    </row>
    <row r="20" spans="2:17" ht="14.5" x14ac:dyDescent="0.35">
      <c r="B20" s="39"/>
      <c r="C20" s="65" t="s">
        <v>45</v>
      </c>
      <c r="D20" s="61"/>
      <c r="E20" s="62"/>
      <c r="F20" s="62"/>
      <c r="G20" s="139"/>
      <c r="H20" s="124"/>
      <c r="I20" s="124"/>
      <c r="J20" s="163"/>
      <c r="K20" s="62"/>
      <c r="L20" s="62"/>
      <c r="M20" s="139"/>
      <c r="N20" s="52"/>
      <c r="O20" s="46"/>
    </row>
    <row r="21" spans="2:17" x14ac:dyDescent="0.3">
      <c r="B21" s="39" t="s">
        <v>46</v>
      </c>
      <c r="C21" s="44">
        <v>1.7500000000000002E-2</v>
      </c>
      <c r="D21" s="61" t="s">
        <v>47</v>
      </c>
      <c r="E21" s="62">
        <f>C21*E18</f>
        <v>564.38314567319242</v>
      </c>
      <c r="F21" s="62">
        <f>C21*F18</f>
        <v>485.62080066920907</v>
      </c>
      <c r="G21" s="139">
        <f>SUM(E21:F21)</f>
        <v>1050.0039463424014</v>
      </c>
      <c r="H21" s="124">
        <f>C21*H18</f>
        <v>168.0642252961909</v>
      </c>
      <c r="I21" s="124">
        <f>C21*I18</f>
        <v>10.788572688651962</v>
      </c>
      <c r="J21" s="163">
        <f>SUM(H21:I21)</f>
        <v>178.85279798484285</v>
      </c>
      <c r="K21" s="62">
        <f>C21*K18</f>
        <v>-396.31892037700158</v>
      </c>
      <c r="L21" s="62">
        <f>C21*L18</f>
        <v>-474.83222798055715</v>
      </c>
      <c r="M21" s="139">
        <f>SUM(K21:L21)</f>
        <v>-871.15114835755867</v>
      </c>
      <c r="N21" s="52" t="s">
        <v>48</v>
      </c>
      <c r="O21" s="46"/>
    </row>
    <row r="22" spans="2:17" x14ac:dyDescent="0.3">
      <c r="B22" s="39" t="s">
        <v>49</v>
      </c>
      <c r="C22" s="44">
        <v>3.0700000000000002E-2</v>
      </c>
      <c r="D22" s="61" t="s">
        <v>50</v>
      </c>
      <c r="E22" s="62">
        <f>C22*E19</f>
        <v>13861.250057733605</v>
      </c>
      <c r="F22" s="62">
        <f>C22*F19</f>
        <v>11926.846864435774</v>
      </c>
      <c r="G22" s="139">
        <f>SUM(E22:F22)</f>
        <v>25788.096922169381</v>
      </c>
      <c r="H22" s="124">
        <f>C22*H19</f>
        <v>4127.6573732744482</v>
      </c>
      <c r="I22" s="124">
        <f>C22*I19</f>
        <v>264.96734523329218</v>
      </c>
      <c r="J22" s="163">
        <f>SUM(H22:I22)</f>
        <v>4392.62471850774</v>
      </c>
      <c r="K22" s="62">
        <f>C22*K19</f>
        <v>-9733.5926844591577</v>
      </c>
      <c r="L22" s="62">
        <f>C22*L19</f>
        <v>-11661.879519202485</v>
      </c>
      <c r="M22" s="139">
        <f>SUM(K22:L22)</f>
        <v>-21395.472203661644</v>
      </c>
      <c r="N22" s="52" t="s">
        <v>51</v>
      </c>
      <c r="O22" s="46"/>
    </row>
    <row r="23" spans="2:17" x14ac:dyDescent="0.3">
      <c r="B23" s="39"/>
      <c r="C23" s="41"/>
      <c r="D23" s="61"/>
      <c r="E23" s="62"/>
      <c r="F23" s="62"/>
      <c r="G23" s="139"/>
      <c r="H23" s="124"/>
      <c r="I23" s="124"/>
      <c r="J23" s="163"/>
      <c r="K23" s="62"/>
      <c r="L23" s="62"/>
      <c r="M23" s="139"/>
      <c r="N23" s="52"/>
      <c r="O23" s="46"/>
    </row>
    <row r="24" spans="2:17" ht="14.5" thickBot="1" x14ac:dyDescent="0.35">
      <c r="B24" s="39" t="s">
        <v>52</v>
      </c>
      <c r="C24" s="41"/>
      <c r="D24" s="61"/>
      <c r="E24" s="63">
        <f t="shared" ref="E24:M24" si="4">SUM(E21:E22)</f>
        <v>14425.633203406798</v>
      </c>
      <c r="F24" s="63">
        <f t="shared" si="4"/>
        <v>12412.467665104983</v>
      </c>
      <c r="G24" s="142">
        <f t="shared" si="4"/>
        <v>26838.100868511781</v>
      </c>
      <c r="H24" s="129">
        <f t="shared" si="4"/>
        <v>4295.7215985706389</v>
      </c>
      <c r="I24" s="129">
        <f t="shared" si="4"/>
        <v>275.75591792194416</v>
      </c>
      <c r="J24" s="167">
        <f t="shared" si="4"/>
        <v>4571.4775164925832</v>
      </c>
      <c r="K24" s="63">
        <f t="shared" si="4"/>
        <v>-10129.911604836159</v>
      </c>
      <c r="L24" s="63">
        <f t="shared" si="4"/>
        <v>-12136.711747183042</v>
      </c>
      <c r="M24" s="142">
        <f t="shared" si="4"/>
        <v>-22266.623352019204</v>
      </c>
      <c r="N24" s="52" t="s">
        <v>53</v>
      </c>
      <c r="O24" s="46"/>
    </row>
    <row r="25" spans="2:17" x14ac:dyDescent="0.3">
      <c r="B25" s="39"/>
      <c r="C25" s="41"/>
      <c r="D25" s="61"/>
      <c r="E25" s="62"/>
      <c r="F25" s="62"/>
      <c r="G25" s="139"/>
      <c r="H25" s="124"/>
      <c r="I25" s="124"/>
      <c r="J25" s="163"/>
      <c r="K25" s="62"/>
      <c r="L25" s="62"/>
      <c r="M25" s="139"/>
      <c r="N25" s="52"/>
      <c r="O25" s="46"/>
    </row>
    <row r="26" spans="2:17" ht="29" x14ac:dyDescent="0.3">
      <c r="B26" s="39"/>
      <c r="C26" s="66" t="str">
        <f>C17</f>
        <v>% of capital structure</v>
      </c>
      <c r="D26" s="61"/>
      <c r="E26" s="62"/>
      <c r="F26" s="62"/>
      <c r="G26" s="139"/>
      <c r="H26" s="124"/>
      <c r="I26" s="124"/>
      <c r="J26" s="163"/>
      <c r="K26" s="62"/>
      <c r="L26" s="62"/>
      <c r="M26" s="139"/>
      <c r="N26" s="52"/>
      <c r="O26" s="46"/>
    </row>
    <row r="27" spans="2:17" x14ac:dyDescent="0.3">
      <c r="B27" s="39" t="s">
        <v>54</v>
      </c>
      <c r="C27" s="44">
        <v>0.4</v>
      </c>
      <c r="D27" s="61" t="s">
        <v>55</v>
      </c>
      <c r="E27" s="62">
        <f>C27*E16</f>
        <v>322504.65467039566</v>
      </c>
      <c r="F27" s="62">
        <f>C27*F16</f>
        <v>277497.60038240516</v>
      </c>
      <c r="G27" s="139">
        <f>SUM(E27:F27)</f>
        <v>600002.25505280076</v>
      </c>
      <c r="H27" s="124">
        <f>C27*H16</f>
        <v>96036.700169251941</v>
      </c>
      <c r="I27" s="124">
        <f>C27*I16</f>
        <v>6164.8986792296928</v>
      </c>
      <c r="J27" s="163">
        <f>SUM(H27:I27)</f>
        <v>102201.59884848163</v>
      </c>
      <c r="K27" s="62">
        <f>C27*K16</f>
        <v>-226467.95450114371</v>
      </c>
      <c r="L27" s="62">
        <f>C27*L16</f>
        <v>-271332.70170317549</v>
      </c>
      <c r="M27" s="139">
        <f>SUM(K27:L27)</f>
        <v>-497800.65620431921</v>
      </c>
      <c r="N27" s="52" t="s">
        <v>56</v>
      </c>
      <c r="O27" s="46"/>
    </row>
    <row r="28" spans="2:17" ht="14.5" x14ac:dyDescent="0.3">
      <c r="B28" s="39"/>
      <c r="C28" s="67" t="str">
        <f>C20</f>
        <v>Rate (%)</v>
      </c>
      <c r="D28" s="61"/>
      <c r="E28" s="62"/>
      <c r="F28" s="62"/>
      <c r="G28" s="139"/>
      <c r="H28" s="124"/>
      <c r="I28" s="124"/>
      <c r="J28" s="163"/>
      <c r="K28" s="62"/>
      <c r="L28" s="62"/>
      <c r="M28" s="139"/>
      <c r="N28" s="52"/>
      <c r="O28" s="46"/>
    </row>
    <row r="29" spans="2:17" x14ac:dyDescent="0.3">
      <c r="B29" s="39" t="s">
        <v>57</v>
      </c>
      <c r="C29" s="44">
        <v>8.3400000000000002E-2</v>
      </c>
      <c r="D29" s="61" t="s">
        <v>58</v>
      </c>
      <c r="E29" s="62">
        <f>C29*E27</f>
        <v>26896.888199510999</v>
      </c>
      <c r="F29" s="62">
        <f>C29*F27</f>
        <v>23143.299871892592</v>
      </c>
      <c r="G29" s="139">
        <f>SUM(E29:F29)</f>
        <v>50040.188071403594</v>
      </c>
      <c r="H29" s="124">
        <f>C29*H27</f>
        <v>8009.4607941156119</v>
      </c>
      <c r="I29" s="124">
        <f>C29*I27</f>
        <v>514.1525498477564</v>
      </c>
      <c r="J29" s="163">
        <f>SUM(H29:I29)</f>
        <v>8523.6133439633686</v>
      </c>
      <c r="K29" s="62">
        <f>C29*K27</f>
        <v>-18887.427405395385</v>
      </c>
      <c r="L29" s="62">
        <f>C29*L27</f>
        <v>-22629.147322044835</v>
      </c>
      <c r="M29" s="139">
        <f>SUM(K29:L29)</f>
        <v>-41516.574727440224</v>
      </c>
      <c r="N29" s="52" t="s">
        <v>59</v>
      </c>
      <c r="O29" s="46"/>
    </row>
    <row r="30" spans="2:17" x14ac:dyDescent="0.3">
      <c r="B30" s="39"/>
      <c r="C30" s="41"/>
      <c r="D30" s="41"/>
      <c r="E30" s="62"/>
      <c r="F30" s="62"/>
      <c r="G30" s="139"/>
      <c r="H30" s="124"/>
      <c r="I30" s="124"/>
      <c r="J30" s="163"/>
      <c r="K30" s="62"/>
      <c r="L30" s="62"/>
      <c r="M30" s="139"/>
      <c r="N30" s="52"/>
      <c r="O30" s="46"/>
    </row>
    <row r="31" spans="2:17" ht="15" thickBot="1" x14ac:dyDescent="0.4">
      <c r="B31" s="39" t="s">
        <v>60</v>
      </c>
      <c r="C31" s="41"/>
      <c r="D31" s="41"/>
      <c r="E31" s="63">
        <f t="shared" ref="E31:M31" si="5">E24+E29</f>
        <v>41322.521402917795</v>
      </c>
      <c r="F31" s="63">
        <f t="shared" si="5"/>
        <v>35555.767536997577</v>
      </c>
      <c r="G31" s="142">
        <f t="shared" si="5"/>
        <v>76878.288939915379</v>
      </c>
      <c r="H31" s="129">
        <f t="shared" si="5"/>
        <v>12305.182392686251</v>
      </c>
      <c r="I31" s="129">
        <f t="shared" si="5"/>
        <v>789.90846776970056</v>
      </c>
      <c r="J31" s="167">
        <f t="shared" si="5"/>
        <v>13095.090860455952</v>
      </c>
      <c r="K31" s="63">
        <f t="shared" si="5"/>
        <v>-29017.339010231546</v>
      </c>
      <c r="L31" s="63">
        <f t="shared" si="5"/>
        <v>-34765.859069227881</v>
      </c>
      <c r="M31" s="142">
        <f t="shared" si="5"/>
        <v>-63783.198079459427</v>
      </c>
      <c r="N31" s="52" t="s">
        <v>61</v>
      </c>
      <c r="O31" s="34" t="s">
        <v>99</v>
      </c>
      <c r="P31" s="97">
        <f>M31-'Table 3 - RR for CVA'!G31</f>
        <v>0</v>
      </c>
      <c r="Q31" s="34"/>
    </row>
    <row r="32" spans="2:17" ht="14.5" thickBot="1" x14ac:dyDescent="0.35">
      <c r="B32" s="40"/>
      <c r="C32" s="45"/>
      <c r="D32" s="45"/>
      <c r="E32" s="58"/>
      <c r="F32" s="58"/>
      <c r="G32" s="143"/>
      <c r="H32" s="130"/>
      <c r="I32" s="130"/>
      <c r="J32" s="168"/>
      <c r="K32" s="58"/>
      <c r="L32" s="58"/>
      <c r="M32" s="143"/>
      <c r="N32" s="52"/>
      <c r="O32" s="46"/>
    </row>
    <row r="33" spans="2:16" x14ac:dyDescent="0.3">
      <c r="C33" s="41"/>
      <c r="D33" s="41"/>
      <c r="E33" s="59"/>
      <c r="F33" s="59"/>
      <c r="G33" s="141"/>
      <c r="H33" s="127"/>
      <c r="I33" s="127"/>
      <c r="J33" s="166"/>
      <c r="K33" s="59"/>
      <c r="L33" s="59"/>
      <c r="M33" s="141"/>
      <c r="N33" s="52"/>
      <c r="O33" s="46"/>
    </row>
    <row r="34" spans="2:16" ht="14.5" thickBot="1" x14ac:dyDescent="0.35">
      <c r="C34" s="46"/>
      <c r="D34" s="46"/>
      <c r="E34" s="68"/>
      <c r="F34" s="68"/>
      <c r="G34" s="144"/>
      <c r="H34" s="127"/>
      <c r="I34" s="127"/>
      <c r="J34" s="166"/>
      <c r="K34" s="68"/>
      <c r="L34" s="68"/>
      <c r="M34" s="144"/>
      <c r="N34" s="52"/>
      <c r="O34" s="46"/>
    </row>
    <row r="35" spans="2:16" ht="14.5" thickBot="1" x14ac:dyDescent="0.35">
      <c r="B35" s="94" t="s">
        <v>62</v>
      </c>
      <c r="C35" s="47"/>
      <c r="D35" s="47"/>
      <c r="E35" s="69"/>
      <c r="F35" s="69"/>
      <c r="G35" s="145"/>
      <c r="H35" s="131"/>
      <c r="I35" s="131"/>
      <c r="J35" s="121"/>
      <c r="K35" s="69"/>
      <c r="L35" s="69"/>
      <c r="M35" s="145"/>
      <c r="N35" s="52"/>
      <c r="O35" s="46"/>
    </row>
    <row r="36" spans="2:16" x14ac:dyDescent="0.3">
      <c r="B36" s="70"/>
      <c r="C36" s="46"/>
      <c r="D36" s="46"/>
      <c r="E36" s="71"/>
      <c r="F36" s="71"/>
      <c r="G36" s="146"/>
      <c r="H36" s="123"/>
      <c r="I36" s="123"/>
      <c r="J36" s="169"/>
      <c r="K36" s="71"/>
      <c r="L36" s="71"/>
      <c r="M36" s="146"/>
      <c r="N36" s="52"/>
      <c r="O36" s="46"/>
    </row>
    <row r="37" spans="2:16" x14ac:dyDescent="0.3">
      <c r="B37" s="39" t="s">
        <v>63</v>
      </c>
      <c r="C37" s="46"/>
      <c r="D37" s="52" t="s">
        <v>34</v>
      </c>
      <c r="E37" s="62">
        <f t="shared" ref="E37:M37" si="6">E15</f>
        <v>19989.726648021984</v>
      </c>
      <c r="F37" s="62">
        <f t="shared" si="6"/>
        <v>15947.331421307723</v>
      </c>
      <c r="G37" s="139">
        <f t="shared" si="6"/>
        <v>35937.058069329709</v>
      </c>
      <c r="H37" s="124">
        <f t="shared" si="6"/>
        <v>5952.6191537402838</v>
      </c>
      <c r="I37" s="124">
        <f t="shared" si="6"/>
        <v>354.28660385162658</v>
      </c>
      <c r="J37" s="163">
        <f t="shared" si="6"/>
        <v>6306.9057575919105</v>
      </c>
      <c r="K37" s="62">
        <f t="shared" si="6"/>
        <v>-14037.107494281701</v>
      </c>
      <c r="L37" s="62">
        <f t="shared" si="6"/>
        <v>-15593.044817456097</v>
      </c>
      <c r="M37" s="139">
        <f t="shared" si="6"/>
        <v>-29630.152311737798</v>
      </c>
      <c r="N37" s="52" t="s">
        <v>64</v>
      </c>
      <c r="O37" s="46"/>
    </row>
    <row r="38" spans="2:16" ht="14.5" thickBot="1" x14ac:dyDescent="0.35">
      <c r="B38" s="40"/>
      <c r="C38" s="48"/>
      <c r="D38" s="48"/>
      <c r="E38" s="72"/>
      <c r="F38" s="72"/>
      <c r="G38" s="140"/>
      <c r="H38" s="125"/>
      <c r="I38" s="125"/>
      <c r="J38" s="164"/>
      <c r="K38" s="72"/>
      <c r="L38" s="72"/>
      <c r="M38" s="140"/>
      <c r="N38" s="52"/>
      <c r="O38" s="46"/>
    </row>
    <row r="39" spans="2:16" ht="14.5" thickBot="1" x14ac:dyDescent="0.35">
      <c r="C39" s="46"/>
      <c r="D39" s="46"/>
      <c r="E39" s="73"/>
      <c r="F39" s="73"/>
      <c r="G39" s="147"/>
      <c r="H39" s="132"/>
      <c r="I39" s="132"/>
      <c r="J39" s="170"/>
      <c r="K39" s="73"/>
      <c r="L39" s="73"/>
      <c r="M39" s="147"/>
      <c r="N39" s="52"/>
      <c r="O39" s="46"/>
    </row>
    <row r="40" spans="2:16" ht="14.5" thickBot="1" x14ac:dyDescent="0.35">
      <c r="B40" s="95" t="s">
        <v>65</v>
      </c>
      <c r="C40" s="47"/>
      <c r="D40" s="47"/>
      <c r="E40" s="117" t="s">
        <v>28</v>
      </c>
      <c r="F40" s="117" t="s">
        <v>29</v>
      </c>
      <c r="G40" s="117" t="s">
        <v>0</v>
      </c>
      <c r="H40" s="133" t="s">
        <v>28</v>
      </c>
      <c r="I40" s="133" t="s">
        <v>29</v>
      </c>
      <c r="J40" s="133" t="s">
        <v>0</v>
      </c>
      <c r="K40" s="117" t="s">
        <v>28</v>
      </c>
      <c r="L40" s="117" t="s">
        <v>29</v>
      </c>
      <c r="M40" s="117" t="s">
        <v>0</v>
      </c>
      <c r="N40" s="52"/>
      <c r="O40" s="46"/>
    </row>
    <row r="41" spans="2:16" x14ac:dyDescent="0.3">
      <c r="B41" s="74"/>
      <c r="C41" s="46"/>
      <c r="D41" s="46"/>
      <c r="E41" s="62"/>
      <c r="F41" s="62"/>
      <c r="G41" s="139"/>
      <c r="H41" s="124"/>
      <c r="I41" s="124"/>
      <c r="J41" s="163"/>
      <c r="K41" s="62"/>
      <c r="L41" s="62"/>
      <c r="M41" s="139"/>
      <c r="N41" s="52"/>
      <c r="O41" s="46"/>
    </row>
    <row r="42" spans="2:16" x14ac:dyDescent="0.3">
      <c r="B42" s="39" t="s">
        <v>66</v>
      </c>
      <c r="C42" s="46"/>
      <c r="D42" s="52" t="s">
        <v>58</v>
      </c>
      <c r="E42" s="62">
        <f t="shared" ref="E42:M42" si="7">E29</f>
        <v>26896.888199510999</v>
      </c>
      <c r="F42" s="62">
        <f t="shared" si="7"/>
        <v>23143.299871892592</v>
      </c>
      <c r="G42" s="139">
        <f t="shared" si="7"/>
        <v>50040.188071403594</v>
      </c>
      <c r="H42" s="124">
        <f t="shared" si="7"/>
        <v>8009.4607941156119</v>
      </c>
      <c r="I42" s="124">
        <f t="shared" si="7"/>
        <v>514.1525498477564</v>
      </c>
      <c r="J42" s="163">
        <f t="shared" si="7"/>
        <v>8523.6133439633686</v>
      </c>
      <c r="K42" s="62">
        <f t="shared" si="7"/>
        <v>-18887.427405395385</v>
      </c>
      <c r="L42" s="62">
        <f t="shared" si="7"/>
        <v>-22629.147322044835</v>
      </c>
      <c r="M42" s="139">
        <f t="shared" si="7"/>
        <v>-41516.574727440224</v>
      </c>
      <c r="N42" s="52" t="s">
        <v>67</v>
      </c>
      <c r="O42" s="46"/>
    </row>
    <row r="43" spans="2:16" x14ac:dyDescent="0.3">
      <c r="B43" s="39"/>
      <c r="C43" s="46"/>
      <c r="D43" s="46"/>
      <c r="E43" s="62"/>
      <c r="F43" s="62"/>
      <c r="G43" s="139"/>
      <c r="H43" s="124"/>
      <c r="I43" s="124"/>
      <c r="J43" s="163"/>
      <c r="K43" s="62"/>
      <c r="L43" s="62"/>
      <c r="M43" s="139"/>
      <c r="N43" s="52"/>
      <c r="O43" s="46"/>
    </row>
    <row r="44" spans="2:16" x14ac:dyDescent="0.3">
      <c r="B44" s="39" t="s">
        <v>97</v>
      </c>
      <c r="C44" s="46"/>
      <c r="D44" s="52" t="s">
        <v>64</v>
      </c>
      <c r="E44" s="62">
        <f t="shared" ref="E44:M44" si="8">E37</f>
        <v>19989.726648021984</v>
      </c>
      <c r="F44" s="62">
        <f t="shared" si="8"/>
        <v>15947.331421307723</v>
      </c>
      <c r="G44" s="139">
        <f t="shared" si="8"/>
        <v>35937.058069329709</v>
      </c>
      <c r="H44" s="124">
        <f t="shared" si="8"/>
        <v>5952.6191537402838</v>
      </c>
      <c r="I44" s="124">
        <f t="shared" si="8"/>
        <v>354.28660385162658</v>
      </c>
      <c r="J44" s="163">
        <f t="shared" si="8"/>
        <v>6306.9057575919105</v>
      </c>
      <c r="K44" s="62">
        <f t="shared" si="8"/>
        <v>-14037.107494281701</v>
      </c>
      <c r="L44" s="62">
        <f t="shared" si="8"/>
        <v>-15593.044817456097</v>
      </c>
      <c r="M44" s="139">
        <f t="shared" si="8"/>
        <v>-29630.152311737798</v>
      </c>
      <c r="N44" s="52" t="s">
        <v>68</v>
      </c>
      <c r="O44" s="46"/>
    </row>
    <row r="45" spans="2:16" x14ac:dyDescent="0.3">
      <c r="B45" s="39"/>
      <c r="C45" s="46"/>
      <c r="D45" s="46"/>
      <c r="E45" s="62"/>
      <c r="F45" s="62"/>
      <c r="G45" s="139"/>
      <c r="H45" s="124"/>
      <c r="I45" s="124"/>
      <c r="J45" s="163"/>
      <c r="K45" s="62"/>
      <c r="L45" s="62"/>
      <c r="M45" s="139"/>
      <c r="N45" s="52"/>
      <c r="O45" s="46"/>
    </row>
    <row r="46" spans="2:16" x14ac:dyDescent="0.3">
      <c r="B46" s="39" t="s">
        <v>98</v>
      </c>
      <c r="C46" s="46"/>
      <c r="D46" s="52"/>
      <c r="E46" s="62">
        <f t="shared" ref="E46:M46" si="9">E9</f>
        <v>195901.56</v>
      </c>
      <c r="F46" s="62">
        <f t="shared" si="9"/>
        <v>168412.24000000002</v>
      </c>
      <c r="G46" s="139">
        <f t="shared" si="9"/>
        <v>364313.80000000005</v>
      </c>
      <c r="H46" s="124">
        <f t="shared" si="9"/>
        <v>58336.334399999992</v>
      </c>
      <c r="I46" s="124">
        <f t="shared" si="9"/>
        <v>3741.4536000000103</v>
      </c>
      <c r="J46" s="163">
        <f t="shared" si="9"/>
        <v>62077.788</v>
      </c>
      <c r="K46" s="62">
        <f t="shared" si="9"/>
        <v>-137565.22560000001</v>
      </c>
      <c r="L46" s="62">
        <f t="shared" si="9"/>
        <v>-164670.78640000001</v>
      </c>
      <c r="M46" s="139">
        <f t="shared" si="9"/>
        <v>-302236.01199999999</v>
      </c>
      <c r="N46" s="52" t="s">
        <v>36</v>
      </c>
      <c r="O46" s="46"/>
    </row>
    <row r="47" spans="2:16" x14ac:dyDescent="0.3">
      <c r="B47" s="39"/>
      <c r="C47" s="46"/>
      <c r="D47" s="52"/>
      <c r="E47" s="62"/>
      <c r="F47" s="62"/>
      <c r="G47" s="139"/>
      <c r="H47" s="124"/>
      <c r="I47" s="124"/>
      <c r="J47" s="163"/>
      <c r="K47" s="62"/>
      <c r="L47" s="62"/>
      <c r="M47" s="139"/>
      <c r="N47" s="52"/>
      <c r="O47" s="46"/>
    </row>
    <row r="48" spans="2:16" ht="15" thickBot="1" x14ac:dyDescent="0.4">
      <c r="B48" s="39" t="s">
        <v>69</v>
      </c>
      <c r="C48" s="46"/>
      <c r="D48" s="52"/>
      <c r="E48" s="63">
        <f t="shared" ref="E48:M48" si="10">E42+E44-E46</f>
        <v>-149014.945152467</v>
      </c>
      <c r="F48" s="63">
        <f t="shared" si="10"/>
        <v>-129321.60870679971</v>
      </c>
      <c r="G48" s="142">
        <f t="shared" si="10"/>
        <v>-278336.55385926674</v>
      </c>
      <c r="H48" s="129">
        <f t="shared" si="10"/>
        <v>-44374.254452144101</v>
      </c>
      <c r="I48" s="129">
        <f t="shared" si="10"/>
        <v>-2873.0144463006272</v>
      </c>
      <c r="J48" s="167">
        <f t="shared" si="10"/>
        <v>-47247.268898444723</v>
      </c>
      <c r="K48" s="63">
        <f t="shared" si="10"/>
        <v>104640.69070032291</v>
      </c>
      <c r="L48" s="63">
        <f t="shared" si="10"/>
        <v>126448.59426049909</v>
      </c>
      <c r="M48" s="142">
        <f t="shared" si="10"/>
        <v>231089.28496082197</v>
      </c>
      <c r="N48" s="52" t="s">
        <v>70</v>
      </c>
      <c r="O48" s="34" t="s">
        <v>99</v>
      </c>
      <c r="P48" s="97">
        <f>M48-'Table 3 - RR for CVA'!G48</f>
        <v>0</v>
      </c>
    </row>
    <row r="49" spans="2:16" x14ac:dyDescent="0.3">
      <c r="B49" s="39"/>
      <c r="C49" s="46"/>
      <c r="D49" s="52"/>
      <c r="E49" s="71"/>
      <c r="F49" s="71"/>
      <c r="G49" s="146"/>
      <c r="H49" s="123"/>
      <c r="I49" s="123"/>
      <c r="J49" s="169"/>
      <c r="K49" s="71"/>
      <c r="L49" s="71"/>
      <c r="M49" s="146"/>
      <c r="N49" s="52"/>
      <c r="O49" s="46"/>
    </row>
    <row r="50" spans="2:16" x14ac:dyDescent="0.3">
      <c r="B50" s="39" t="s">
        <v>71</v>
      </c>
      <c r="C50" s="79">
        <v>0.26500000000000001</v>
      </c>
      <c r="D50" s="52" t="s">
        <v>72</v>
      </c>
      <c r="E50" s="80"/>
      <c r="F50" s="80"/>
      <c r="G50" s="148"/>
      <c r="H50" s="123"/>
      <c r="I50" s="123"/>
      <c r="J50" s="169"/>
      <c r="K50" s="80"/>
      <c r="L50" s="80"/>
      <c r="M50" s="148"/>
      <c r="N50" s="52"/>
      <c r="O50" s="46"/>
    </row>
    <row r="51" spans="2:16" x14ac:dyDescent="0.3">
      <c r="B51" s="39"/>
      <c r="C51" s="46"/>
      <c r="D51" s="46"/>
      <c r="E51" s="80"/>
      <c r="F51" s="80"/>
      <c r="G51" s="148"/>
      <c r="H51" s="123"/>
      <c r="I51" s="123"/>
      <c r="J51" s="169"/>
      <c r="K51" s="80"/>
      <c r="L51" s="80"/>
      <c r="M51" s="148"/>
      <c r="N51" s="52"/>
      <c r="O51" s="46"/>
    </row>
    <row r="52" spans="2:16" x14ac:dyDescent="0.3">
      <c r="B52" s="39" t="s">
        <v>73</v>
      </c>
      <c r="C52" s="46"/>
      <c r="D52" s="46"/>
      <c r="E52" s="86">
        <f>C50*E48</f>
        <v>-39488.960465403754</v>
      </c>
      <c r="F52" s="86">
        <f>C50*F48</f>
        <v>-34270.226307301928</v>
      </c>
      <c r="G52" s="149">
        <f>SUM(E52:F52)</f>
        <v>-73759.186772705682</v>
      </c>
      <c r="H52" s="124">
        <f>C50*H48</f>
        <v>-11759.177429818188</v>
      </c>
      <c r="I52" s="124">
        <f>C50*I48</f>
        <v>-761.34882826966623</v>
      </c>
      <c r="J52" s="163">
        <f>SUM(H52:I52)</f>
        <v>-12520.526258087855</v>
      </c>
      <c r="K52" s="86">
        <f>C50*K48</f>
        <v>27729.783035585573</v>
      </c>
      <c r="L52" s="86">
        <f>C50*L48</f>
        <v>33508.877479032257</v>
      </c>
      <c r="M52" s="149">
        <f>SUM(K52:L52)</f>
        <v>61238.660514617834</v>
      </c>
      <c r="N52" s="52" t="s">
        <v>74</v>
      </c>
      <c r="O52" s="46"/>
    </row>
    <row r="53" spans="2:16" x14ac:dyDescent="0.3">
      <c r="B53" s="39"/>
      <c r="C53" s="46"/>
      <c r="D53" s="46"/>
      <c r="E53" s="86"/>
      <c r="F53" s="86"/>
      <c r="G53" s="149"/>
      <c r="H53" s="124"/>
      <c r="I53" s="124"/>
      <c r="J53" s="163"/>
      <c r="K53" s="86"/>
      <c r="L53" s="86"/>
      <c r="M53" s="149"/>
      <c r="N53" s="52"/>
      <c r="O53" s="46"/>
    </row>
    <row r="54" spans="2:16" ht="14.5" x14ac:dyDescent="0.35">
      <c r="B54" s="39" t="s">
        <v>75</v>
      </c>
      <c r="C54" s="46"/>
      <c r="D54" s="46"/>
      <c r="E54" s="86">
        <f>E52/(1-C50)</f>
        <v>-53726.476823678575</v>
      </c>
      <c r="F54" s="86">
        <f>F52/(1-C50)</f>
        <v>-46626.158241227116</v>
      </c>
      <c r="G54" s="149">
        <f>SUM(E54:F54)</f>
        <v>-100352.63506490568</v>
      </c>
      <c r="H54" s="124">
        <f>H52/(1-C50)</f>
        <v>-15998.880856895494</v>
      </c>
      <c r="I54" s="124">
        <f>I52/(1-C50)</f>
        <v>-1035.8487459451242</v>
      </c>
      <c r="J54" s="163">
        <f>SUM(H54:I54)</f>
        <v>-17034.729602840616</v>
      </c>
      <c r="K54" s="86">
        <f>K52/(1-C50)</f>
        <v>37727.59596678309</v>
      </c>
      <c r="L54" s="86">
        <f>L52/(1-C50)</f>
        <v>45590.309495281981</v>
      </c>
      <c r="M54" s="149">
        <f>SUM(K54:L54)</f>
        <v>83317.905462065071</v>
      </c>
      <c r="N54" s="52" t="s">
        <v>76</v>
      </c>
      <c r="O54" s="34" t="s">
        <v>99</v>
      </c>
      <c r="P54" s="97">
        <f>M54-'Table 3 - RR for CVA'!G54</f>
        <v>0</v>
      </c>
    </row>
    <row r="55" spans="2:16" ht="14.5" thickBot="1" x14ac:dyDescent="0.35">
      <c r="B55" s="40"/>
      <c r="C55" s="48"/>
      <c r="D55" s="48"/>
      <c r="E55" s="81"/>
      <c r="F55" s="81"/>
      <c r="G55" s="150"/>
      <c r="H55" s="130"/>
      <c r="I55" s="130"/>
      <c r="J55" s="168"/>
      <c r="K55" s="81"/>
      <c r="L55" s="81"/>
      <c r="M55" s="150"/>
      <c r="N55" s="52"/>
      <c r="O55" s="46"/>
    </row>
    <row r="56" spans="2:16" ht="14.5" thickBot="1" x14ac:dyDescent="0.35">
      <c r="C56" s="46"/>
      <c r="D56" s="46"/>
      <c r="E56" s="82"/>
      <c r="F56" s="82"/>
      <c r="G56" s="151"/>
      <c r="H56" s="127"/>
      <c r="I56" s="127"/>
      <c r="J56" s="166"/>
      <c r="K56" s="82"/>
      <c r="L56" s="82"/>
      <c r="M56" s="151"/>
      <c r="N56" s="52"/>
      <c r="O56" s="46"/>
    </row>
    <row r="57" spans="2:16" ht="14.5" thickBot="1" x14ac:dyDescent="0.35">
      <c r="B57" s="95" t="s">
        <v>77</v>
      </c>
      <c r="C57" s="46"/>
      <c r="D57" s="46"/>
      <c r="E57" s="82"/>
      <c r="F57" s="82"/>
      <c r="G57" s="151"/>
      <c r="H57" s="127"/>
      <c r="I57" s="127"/>
      <c r="J57" s="166"/>
      <c r="K57" s="82"/>
      <c r="L57" s="82"/>
      <c r="M57" s="151"/>
      <c r="N57" s="52"/>
      <c r="O57" s="46"/>
    </row>
    <row r="58" spans="2:16" x14ac:dyDescent="0.3">
      <c r="B58" s="39" t="s">
        <v>78</v>
      </c>
      <c r="C58" s="47"/>
      <c r="D58" s="47"/>
      <c r="E58" s="83"/>
      <c r="F58" s="83"/>
      <c r="G58" s="152"/>
      <c r="H58" s="131"/>
      <c r="I58" s="131"/>
      <c r="J58" s="121"/>
      <c r="K58" s="83"/>
      <c r="L58" s="83"/>
      <c r="M58" s="152"/>
      <c r="N58" s="52" t="s">
        <v>79</v>
      </c>
      <c r="O58" s="46"/>
    </row>
    <row r="59" spans="2:16" x14ac:dyDescent="0.3">
      <c r="B59" s="39"/>
      <c r="C59" s="46"/>
      <c r="D59" s="46"/>
      <c r="E59" s="80"/>
      <c r="F59" s="80"/>
      <c r="G59" s="148"/>
      <c r="H59" s="123"/>
      <c r="I59" s="123"/>
      <c r="J59" s="169"/>
      <c r="K59" s="80"/>
      <c r="L59" s="80"/>
      <c r="M59" s="148"/>
      <c r="N59" s="52"/>
      <c r="O59" s="46"/>
    </row>
    <row r="60" spans="2:16" x14ac:dyDescent="0.3">
      <c r="B60" s="39" t="s">
        <v>80</v>
      </c>
      <c r="C60" s="46"/>
      <c r="D60" s="46"/>
      <c r="E60" s="84"/>
      <c r="F60" s="84"/>
      <c r="G60" s="153"/>
      <c r="H60" s="134"/>
      <c r="I60" s="134"/>
      <c r="J60" s="171"/>
      <c r="K60" s="84"/>
      <c r="L60" s="84"/>
      <c r="M60" s="153"/>
      <c r="N60" s="52" t="s">
        <v>81</v>
      </c>
      <c r="O60" s="46"/>
    </row>
    <row r="61" spans="2:16" x14ac:dyDescent="0.3">
      <c r="B61" s="39"/>
      <c r="C61" s="46"/>
      <c r="D61" s="46"/>
      <c r="E61" s="80"/>
      <c r="F61" s="80"/>
      <c r="G61" s="148"/>
      <c r="H61" s="123"/>
      <c r="I61" s="123"/>
      <c r="J61" s="169"/>
      <c r="K61" s="80"/>
      <c r="L61" s="80"/>
      <c r="M61" s="148"/>
      <c r="N61" s="52"/>
      <c r="O61" s="46"/>
    </row>
    <row r="62" spans="2:16" x14ac:dyDescent="0.3">
      <c r="B62" s="39" t="s">
        <v>82</v>
      </c>
      <c r="C62" s="46"/>
      <c r="D62" s="46"/>
      <c r="E62" s="85"/>
      <c r="F62" s="85"/>
      <c r="G62" s="154"/>
      <c r="H62" s="135"/>
      <c r="I62" s="135"/>
      <c r="J62" s="172"/>
      <c r="K62" s="85"/>
      <c r="L62" s="85"/>
      <c r="M62" s="154"/>
      <c r="N62" s="52" t="s">
        <v>83</v>
      </c>
      <c r="O62" s="46"/>
    </row>
    <row r="63" spans="2:16" x14ac:dyDescent="0.3">
      <c r="B63" s="39"/>
      <c r="C63" s="46"/>
      <c r="D63" s="46"/>
      <c r="E63" s="80"/>
      <c r="F63" s="80"/>
      <c r="G63" s="148"/>
      <c r="H63" s="123"/>
      <c r="I63" s="123"/>
      <c r="J63" s="169"/>
      <c r="K63" s="80"/>
      <c r="L63" s="80"/>
      <c r="M63" s="148"/>
      <c r="N63" s="52"/>
      <c r="O63" s="46"/>
    </row>
    <row r="64" spans="2:16" x14ac:dyDescent="0.3">
      <c r="B64" s="39" t="s">
        <v>93</v>
      </c>
      <c r="C64" s="79"/>
      <c r="D64" s="52" t="s">
        <v>84</v>
      </c>
      <c r="E64" s="80"/>
      <c r="F64" s="80"/>
      <c r="G64" s="148"/>
      <c r="H64" s="123"/>
      <c r="I64" s="123"/>
      <c r="J64" s="169"/>
      <c r="K64" s="80"/>
      <c r="L64" s="80"/>
      <c r="M64" s="148"/>
      <c r="N64" s="52"/>
      <c r="O64" s="46"/>
    </row>
    <row r="65" spans="2:16" x14ac:dyDescent="0.3">
      <c r="B65" s="76"/>
      <c r="C65" s="46"/>
      <c r="D65" s="46"/>
      <c r="E65" s="80"/>
      <c r="F65" s="80"/>
      <c r="G65" s="148"/>
      <c r="H65" s="123"/>
      <c r="I65" s="123"/>
      <c r="J65" s="169"/>
      <c r="K65" s="80"/>
      <c r="L65" s="80"/>
      <c r="M65" s="148"/>
      <c r="N65" s="52"/>
      <c r="O65" s="46"/>
    </row>
    <row r="66" spans="2:16" ht="14.5" thickBot="1" x14ac:dyDescent="0.35">
      <c r="B66" s="39" t="s">
        <v>85</v>
      </c>
      <c r="C66" s="46"/>
      <c r="D66" s="46"/>
      <c r="E66" s="77"/>
      <c r="F66" s="77"/>
      <c r="G66" s="155"/>
      <c r="H66" s="136"/>
      <c r="I66" s="136"/>
      <c r="J66" s="173"/>
      <c r="K66" s="77"/>
      <c r="L66" s="77"/>
      <c r="M66" s="155"/>
      <c r="N66" s="52" t="s">
        <v>86</v>
      </c>
      <c r="O66" s="46"/>
    </row>
    <row r="67" spans="2:16" ht="14.5" thickBot="1" x14ac:dyDescent="0.35">
      <c r="B67" s="40"/>
      <c r="C67" s="48"/>
      <c r="D67" s="48"/>
      <c r="E67" s="75"/>
      <c r="F67" s="75"/>
      <c r="G67" s="156"/>
      <c r="H67" s="130"/>
      <c r="I67" s="130"/>
      <c r="J67" s="168"/>
      <c r="K67" s="75"/>
      <c r="L67" s="75"/>
      <c r="M67" s="156"/>
      <c r="N67" s="52"/>
      <c r="O67" s="46"/>
    </row>
    <row r="68" spans="2:16" ht="14.5" thickBot="1" x14ac:dyDescent="0.35">
      <c r="C68" s="46"/>
      <c r="D68" s="46"/>
      <c r="E68" s="68"/>
      <c r="F68" s="68"/>
      <c r="G68" s="144"/>
      <c r="H68" s="127"/>
      <c r="I68" s="127"/>
      <c r="J68" s="166"/>
      <c r="K68" s="68"/>
      <c r="L68" s="68"/>
      <c r="M68" s="144"/>
      <c r="N68" s="52"/>
      <c r="O68" s="46"/>
    </row>
    <row r="69" spans="2:16" ht="14.5" thickBot="1" x14ac:dyDescent="0.35">
      <c r="B69" s="95" t="s">
        <v>100</v>
      </c>
      <c r="C69" s="46"/>
      <c r="D69" s="46"/>
      <c r="E69" s="68"/>
      <c r="F69" s="68"/>
      <c r="G69" s="144"/>
      <c r="H69" s="127"/>
      <c r="I69" s="127"/>
      <c r="J69" s="166"/>
      <c r="K69" s="68"/>
      <c r="L69" s="68"/>
      <c r="M69" s="144"/>
      <c r="N69" s="52"/>
      <c r="O69" s="46"/>
    </row>
    <row r="70" spans="2:16" x14ac:dyDescent="0.3">
      <c r="B70" s="49" t="s">
        <v>60</v>
      </c>
      <c r="C70" s="47"/>
      <c r="D70" s="78" t="s">
        <v>87</v>
      </c>
      <c r="E70" s="87">
        <f>E31</f>
        <v>41322.521402917795</v>
      </c>
      <c r="F70" s="87">
        <f>F31</f>
        <v>35555.767536997577</v>
      </c>
      <c r="G70" s="157">
        <f>SUM(E70:F70)</f>
        <v>76878.288939915365</v>
      </c>
      <c r="H70" s="87">
        <f>H31</f>
        <v>12305.182392686251</v>
      </c>
      <c r="I70" s="87">
        <f>I31</f>
        <v>789.90846776970056</v>
      </c>
      <c r="J70" s="157">
        <f>SUM(H70:I70)</f>
        <v>13095.090860455952</v>
      </c>
      <c r="K70" s="87">
        <f>K31</f>
        <v>-29017.339010231546</v>
      </c>
      <c r="L70" s="87">
        <f>L31</f>
        <v>-34765.859069227881</v>
      </c>
      <c r="M70" s="157">
        <f>SUM(K70:L70)</f>
        <v>-63783.198079459427</v>
      </c>
      <c r="N70" s="52" t="s">
        <v>79</v>
      </c>
      <c r="O70" s="46"/>
    </row>
    <row r="71" spans="2:16" x14ac:dyDescent="0.3">
      <c r="B71" s="39" t="s">
        <v>88</v>
      </c>
      <c r="C71" s="46"/>
      <c r="D71" s="52" t="s">
        <v>64</v>
      </c>
      <c r="E71" s="88">
        <f>E37</f>
        <v>19989.726648021984</v>
      </c>
      <c r="F71" s="88">
        <f>F37</f>
        <v>15947.331421307723</v>
      </c>
      <c r="G71" s="158">
        <f>SUM(E71:F71)</f>
        <v>35937.058069329709</v>
      </c>
      <c r="H71" s="88">
        <f>H37</f>
        <v>5952.6191537402838</v>
      </c>
      <c r="I71" s="88">
        <f>I37</f>
        <v>354.28660385162658</v>
      </c>
      <c r="J71" s="158">
        <f>SUM(H71:I71)</f>
        <v>6306.9057575919105</v>
      </c>
      <c r="K71" s="88">
        <f>K37</f>
        <v>-14037.107494281701</v>
      </c>
      <c r="L71" s="88">
        <f>L37</f>
        <v>-15593.044817456097</v>
      </c>
      <c r="M71" s="158">
        <f>SUM(K71:L71)</f>
        <v>-29630.152311737798</v>
      </c>
      <c r="N71" s="52" t="s">
        <v>81</v>
      </c>
      <c r="O71" s="46"/>
    </row>
    <row r="72" spans="2:16" x14ac:dyDescent="0.3">
      <c r="B72" s="39" t="str">
        <f>B54</f>
        <v>Grossed-Up Taxes/PILs</v>
      </c>
      <c r="C72" s="46"/>
      <c r="D72" s="52" t="s">
        <v>89</v>
      </c>
      <c r="E72" s="88">
        <f>E54</f>
        <v>-53726.476823678575</v>
      </c>
      <c r="F72" s="88">
        <f>F54</f>
        <v>-46626.158241227116</v>
      </c>
      <c r="G72" s="158">
        <f>SUM(E72:F72)</f>
        <v>-100352.63506490568</v>
      </c>
      <c r="H72" s="88">
        <f>H54</f>
        <v>-15998.880856895494</v>
      </c>
      <c r="I72" s="88">
        <f>I54</f>
        <v>-1035.8487459451242</v>
      </c>
      <c r="J72" s="158">
        <f>SUM(H72:I72)</f>
        <v>-17034.729602840616</v>
      </c>
      <c r="K72" s="88">
        <f>K54</f>
        <v>37727.59596678309</v>
      </c>
      <c r="L72" s="88">
        <f>L54</f>
        <v>45590.309495281981</v>
      </c>
      <c r="M72" s="158">
        <f>SUM(K72:L72)</f>
        <v>83317.905462065071</v>
      </c>
      <c r="N72" s="52" t="s">
        <v>90</v>
      </c>
      <c r="O72" s="46"/>
    </row>
    <row r="73" spans="2:16" x14ac:dyDescent="0.3">
      <c r="B73" s="39"/>
      <c r="C73" s="46"/>
      <c r="D73" s="52"/>
      <c r="E73" s="89"/>
      <c r="F73" s="89"/>
      <c r="G73" s="159"/>
      <c r="H73" s="124"/>
      <c r="I73" s="124"/>
      <c r="J73" s="163"/>
      <c r="K73" s="89"/>
      <c r="L73" s="89"/>
      <c r="M73" s="159"/>
      <c r="N73" s="52"/>
      <c r="O73" s="46"/>
    </row>
    <row r="74" spans="2:16" x14ac:dyDescent="0.3">
      <c r="B74" s="39"/>
      <c r="C74" s="46"/>
      <c r="D74" s="46"/>
      <c r="E74" s="89"/>
      <c r="F74" s="89"/>
      <c r="G74" s="159"/>
      <c r="H74" s="124"/>
      <c r="I74" s="124"/>
      <c r="J74" s="163"/>
      <c r="K74" s="89"/>
      <c r="L74" s="89"/>
      <c r="M74" s="159"/>
      <c r="N74" s="52"/>
      <c r="O74" s="46"/>
    </row>
    <row r="75" spans="2:16" ht="15" thickBot="1" x14ac:dyDescent="0.4">
      <c r="B75" s="39" t="s">
        <v>100</v>
      </c>
      <c r="C75" s="46"/>
      <c r="D75" s="46"/>
      <c r="E75" s="90">
        <f>SUM(E70:E72)</f>
        <v>7585.7712272612043</v>
      </c>
      <c r="F75" s="90">
        <f>SUM(F70:F72)</f>
        <v>4876.9407170781851</v>
      </c>
      <c r="G75" s="160">
        <f>SUM(E75:F75)</f>
        <v>12462.711944339389</v>
      </c>
      <c r="H75" s="90">
        <f>SUM(H70:H72)</f>
        <v>2258.9206895310399</v>
      </c>
      <c r="I75" s="90">
        <f>SUM(I70:I72)</f>
        <v>108.34632567620292</v>
      </c>
      <c r="J75" s="160">
        <f>SUM(H75:I75)</f>
        <v>2367.2670152072428</v>
      </c>
      <c r="K75" s="90">
        <f>SUM(K70:K72)</f>
        <v>-5326.8505377301553</v>
      </c>
      <c r="L75" s="90">
        <f>SUM(L70:L72)</f>
        <v>-4768.5943914019954</v>
      </c>
      <c r="M75" s="160">
        <f>SUM(K75:L75)</f>
        <v>-10095.444929132151</v>
      </c>
      <c r="N75" s="52" t="s">
        <v>91</v>
      </c>
      <c r="O75" s="34" t="s">
        <v>99</v>
      </c>
      <c r="P75" s="97">
        <f>M75-'Table 3 - RR for CVA'!G75</f>
        <v>0</v>
      </c>
    </row>
    <row r="76" spans="2:16" ht="14.5" thickBot="1" x14ac:dyDescent="0.35">
      <c r="B76" s="40"/>
      <c r="C76" s="48"/>
      <c r="D76" s="48"/>
      <c r="E76" s="75"/>
      <c r="F76" s="75"/>
      <c r="G76" s="156"/>
      <c r="H76" s="130"/>
      <c r="I76" s="130"/>
      <c r="J76" s="168"/>
      <c r="K76" s="75"/>
      <c r="L76" s="75"/>
      <c r="M76" s="156"/>
      <c r="N76" s="52"/>
      <c r="O76" s="46"/>
    </row>
    <row r="79" spans="2:16" x14ac:dyDescent="0.3">
      <c r="H79" s="176"/>
    </row>
  </sheetData>
  <mergeCells count="4">
    <mergeCell ref="B11:G11"/>
    <mergeCell ref="E3:G3"/>
    <mergeCell ref="H3:J3"/>
    <mergeCell ref="K3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6AE6-5508-42A4-A407-CC5DE97F0285}">
  <dimension ref="B1:I76"/>
  <sheetViews>
    <sheetView showGridLines="0" zoomScale="85" zoomScaleNormal="85" workbookViewId="0">
      <selection activeCell="L20" sqref="L20"/>
    </sheetView>
    <sheetView topLeftCell="A58" workbookViewId="1"/>
  </sheetViews>
  <sheetFormatPr defaultColWidth="9.1796875" defaultRowHeight="14" x14ac:dyDescent="0.3"/>
  <cols>
    <col min="1" max="1" width="9.1796875" style="46"/>
    <col min="2" max="2" width="47.26953125" style="46" customWidth="1"/>
    <col min="3" max="3" width="15.81640625" style="50" customWidth="1"/>
    <col min="4" max="4" width="6.54296875" style="50" customWidth="1"/>
    <col min="5" max="7" width="17.1796875" style="50" customWidth="1"/>
    <col min="8" max="8" width="19.81640625" style="50" customWidth="1"/>
    <col min="9" max="16384" width="9.1796875" style="46"/>
  </cols>
  <sheetData>
    <row r="1" spans="2:8" x14ac:dyDescent="0.3">
      <c r="B1" s="1" t="s">
        <v>166</v>
      </c>
      <c r="C1" s="2"/>
      <c r="D1" s="2"/>
      <c r="E1" s="2"/>
      <c r="F1" s="2"/>
      <c r="G1" s="2"/>
      <c r="H1" s="2"/>
    </row>
    <row r="2" spans="2:8" ht="14.5" thickBot="1" x14ac:dyDescent="0.35"/>
    <row r="3" spans="2:8" ht="14.5" thickBot="1" x14ac:dyDescent="0.35">
      <c r="B3" s="91" t="s">
        <v>94</v>
      </c>
      <c r="C3" s="92"/>
      <c r="D3" s="41"/>
      <c r="E3" s="51"/>
      <c r="F3" s="51"/>
      <c r="G3" s="51"/>
      <c r="H3" s="52"/>
    </row>
    <row r="4" spans="2:8" x14ac:dyDescent="0.3">
      <c r="B4" s="49"/>
      <c r="C4" s="36"/>
      <c r="D4" s="36"/>
      <c r="E4" s="37"/>
      <c r="F4" s="37"/>
      <c r="G4" s="37"/>
      <c r="H4" s="52"/>
    </row>
    <row r="5" spans="2:8" ht="14.5" x14ac:dyDescent="0.3">
      <c r="B5" s="39"/>
      <c r="C5" s="38"/>
      <c r="D5" s="38"/>
      <c r="E5" s="93" t="s">
        <v>28</v>
      </c>
      <c r="F5" s="93" t="s">
        <v>29</v>
      </c>
      <c r="G5" s="93" t="s">
        <v>0</v>
      </c>
      <c r="H5" s="111" t="s">
        <v>173</v>
      </c>
    </row>
    <row r="6" spans="2:8" ht="14.5" x14ac:dyDescent="0.3">
      <c r="B6" s="39"/>
      <c r="C6" s="53"/>
      <c r="D6" s="53"/>
      <c r="E6" s="54"/>
      <c r="F6" s="54"/>
      <c r="G6" s="55"/>
      <c r="H6" s="111"/>
    </row>
    <row r="7" spans="2:8" x14ac:dyDescent="0.3">
      <c r="B7" s="39" t="s">
        <v>140</v>
      </c>
      <c r="C7" s="51"/>
      <c r="D7" s="41"/>
      <c r="E7" s="62">
        <f>'Table 1 - CVA Capex Variance'!C23</f>
        <v>-1146376.8800000001</v>
      </c>
      <c r="F7" s="62">
        <f>'Table 1 - CVA Capex Variance'!D23</f>
        <v>-1372256.5533333332</v>
      </c>
      <c r="G7" s="116">
        <f>SUM(E7:F7)</f>
        <v>-2518633.4333333336</v>
      </c>
      <c r="H7" s="56" t="s">
        <v>32</v>
      </c>
    </row>
    <row r="8" spans="2:8" x14ac:dyDescent="0.3">
      <c r="B8" s="39" t="s">
        <v>33</v>
      </c>
      <c r="C8" s="51"/>
      <c r="D8" s="41"/>
      <c r="E8" s="62">
        <f>E7/2/40.8338</f>
        <v>-14037.107494281701</v>
      </c>
      <c r="F8" s="62">
        <f>F7/2/44.0022</f>
        <v>-15593.044817456095</v>
      </c>
      <c r="G8" s="62">
        <f>SUM(E8:F8)</f>
        <v>-29630.152311737795</v>
      </c>
      <c r="H8" s="52" t="s">
        <v>34</v>
      </c>
    </row>
    <row r="9" spans="2:8" ht="14.5" thickBot="1" x14ac:dyDescent="0.35">
      <c r="B9" s="40" t="s">
        <v>35</v>
      </c>
      <c r="C9" s="57"/>
      <c r="D9" s="45"/>
      <c r="E9" s="72">
        <f>E7*0.12</f>
        <v>-137565.22560000001</v>
      </c>
      <c r="F9" s="72">
        <f>F7*0.12</f>
        <v>-164670.78639999998</v>
      </c>
      <c r="G9" s="72">
        <f>SUM(E9:F9)</f>
        <v>-302236.01199999999</v>
      </c>
      <c r="H9" s="52" t="s">
        <v>36</v>
      </c>
    </row>
    <row r="10" spans="2:8" x14ac:dyDescent="0.3">
      <c r="C10" s="41"/>
      <c r="D10" s="41"/>
      <c r="E10" s="51"/>
      <c r="F10" s="51"/>
      <c r="G10" s="51"/>
      <c r="H10" s="52"/>
    </row>
    <row r="11" spans="2:8" x14ac:dyDescent="0.3">
      <c r="B11" s="185" t="s">
        <v>95</v>
      </c>
      <c r="C11" s="185"/>
      <c r="D11" s="185"/>
      <c r="E11" s="185"/>
      <c r="F11" s="185"/>
      <c r="G11" s="185"/>
      <c r="H11" s="96"/>
    </row>
    <row r="12" spans="2:8" ht="14.5" thickBot="1" x14ac:dyDescent="0.35">
      <c r="C12" s="41"/>
      <c r="D12" s="41"/>
      <c r="E12" s="59"/>
      <c r="F12" s="59"/>
      <c r="G12" s="59"/>
      <c r="H12" s="52"/>
    </row>
    <row r="13" spans="2:8" ht="14.5" thickBot="1" x14ac:dyDescent="0.35">
      <c r="B13" s="94" t="s">
        <v>2</v>
      </c>
      <c r="C13" s="41"/>
      <c r="D13" s="41"/>
      <c r="E13" s="59"/>
      <c r="F13" s="59"/>
      <c r="G13" s="59"/>
      <c r="H13" s="52"/>
    </row>
    <row r="14" spans="2:8" x14ac:dyDescent="0.3">
      <c r="B14" s="39" t="s">
        <v>92</v>
      </c>
      <c r="C14" s="42"/>
      <c r="D14" s="42"/>
      <c r="E14" s="60">
        <f t="shared" ref="E14:G15" si="0">E7</f>
        <v>-1146376.8800000001</v>
      </c>
      <c r="F14" s="60">
        <f t="shared" si="0"/>
        <v>-1372256.5533333332</v>
      </c>
      <c r="G14" s="60">
        <f t="shared" si="0"/>
        <v>-2518633.4333333336</v>
      </c>
      <c r="H14" s="52" t="s">
        <v>32</v>
      </c>
    </row>
    <row r="15" spans="2:8" x14ac:dyDescent="0.3">
      <c r="B15" s="39" t="s">
        <v>33</v>
      </c>
      <c r="C15" s="41"/>
      <c r="D15" s="61"/>
      <c r="E15" s="62">
        <f t="shared" si="0"/>
        <v>-14037.107494281701</v>
      </c>
      <c r="F15" s="62">
        <f t="shared" si="0"/>
        <v>-15593.044817456095</v>
      </c>
      <c r="G15" s="62">
        <f t="shared" si="0"/>
        <v>-29630.152311737795</v>
      </c>
      <c r="H15" s="52" t="s">
        <v>34</v>
      </c>
    </row>
    <row r="16" spans="2:8" ht="14.5" thickBot="1" x14ac:dyDescent="0.35">
      <c r="B16" s="39" t="s">
        <v>96</v>
      </c>
      <c r="C16" s="41"/>
      <c r="D16" s="61"/>
      <c r="E16" s="63">
        <f>(E14-E15)/2</f>
        <v>-566169.88625285926</v>
      </c>
      <c r="F16" s="63">
        <f>(F14-F15)/2</f>
        <v>-678331.75425793859</v>
      </c>
      <c r="G16" s="63">
        <f>(G14-G15)/2</f>
        <v>-1244501.640510798</v>
      </c>
      <c r="H16" s="52" t="s">
        <v>37</v>
      </c>
    </row>
    <row r="17" spans="2:9" ht="29" x14ac:dyDescent="0.3">
      <c r="B17" s="39"/>
      <c r="C17" s="64" t="s">
        <v>38</v>
      </c>
      <c r="D17" s="61"/>
      <c r="E17" s="62"/>
      <c r="F17" s="62"/>
      <c r="G17" s="62"/>
      <c r="H17" s="52"/>
    </row>
    <row r="18" spans="2:9" x14ac:dyDescent="0.3">
      <c r="B18" s="39" t="s">
        <v>39</v>
      </c>
      <c r="C18" s="43">
        <v>0.04</v>
      </c>
      <c r="D18" s="61" t="s">
        <v>40</v>
      </c>
      <c r="E18" s="62">
        <f>C18*E16</f>
        <v>-22646.795450114372</v>
      </c>
      <c r="F18" s="62">
        <f>C18*F16</f>
        <v>-27133.270170317544</v>
      </c>
      <c r="G18" s="62">
        <f>SUM(E18:F18)</f>
        <v>-49780.065620431917</v>
      </c>
      <c r="H18" s="52" t="s">
        <v>41</v>
      </c>
    </row>
    <row r="19" spans="2:9" x14ac:dyDescent="0.3">
      <c r="B19" s="39" t="s">
        <v>42</v>
      </c>
      <c r="C19" s="43">
        <v>0.56000000000000005</v>
      </c>
      <c r="D19" s="61" t="s">
        <v>43</v>
      </c>
      <c r="E19" s="62">
        <f>C19*E16</f>
        <v>-317055.13630160119</v>
      </c>
      <c r="F19" s="62">
        <f>C19*F16</f>
        <v>-379865.78238444566</v>
      </c>
      <c r="G19" s="62">
        <f>SUM(E19:F19)</f>
        <v>-696920.91868604685</v>
      </c>
      <c r="H19" s="52" t="s">
        <v>44</v>
      </c>
    </row>
    <row r="20" spans="2:9" ht="14.5" x14ac:dyDescent="0.35">
      <c r="B20" s="39"/>
      <c r="C20" s="65" t="s">
        <v>45</v>
      </c>
      <c r="D20" s="61"/>
      <c r="E20" s="62"/>
      <c r="F20" s="62"/>
      <c r="G20" s="62"/>
      <c r="H20" s="52"/>
    </row>
    <row r="21" spans="2:9" x14ac:dyDescent="0.3">
      <c r="B21" s="39" t="s">
        <v>46</v>
      </c>
      <c r="C21" s="44">
        <v>1.7500000000000002E-2</v>
      </c>
      <c r="D21" s="61" t="s">
        <v>47</v>
      </c>
      <c r="E21" s="62">
        <f>C21*E18</f>
        <v>-396.31892037700158</v>
      </c>
      <c r="F21" s="62">
        <f>C21*F18</f>
        <v>-474.83222798055709</v>
      </c>
      <c r="G21" s="62">
        <f>SUM(E21:F21)</f>
        <v>-871.15114835755867</v>
      </c>
      <c r="H21" s="52" t="s">
        <v>48</v>
      </c>
    </row>
    <row r="22" spans="2:9" x14ac:dyDescent="0.3">
      <c r="B22" s="39" t="s">
        <v>49</v>
      </c>
      <c r="C22" s="44">
        <v>3.0700000000000002E-2</v>
      </c>
      <c r="D22" s="61" t="s">
        <v>50</v>
      </c>
      <c r="E22" s="62">
        <f>C22*E19</f>
        <v>-9733.5926844591577</v>
      </c>
      <c r="F22" s="62">
        <f>C22*F19</f>
        <v>-11661.879519202483</v>
      </c>
      <c r="G22" s="62">
        <f>SUM(E22:F22)</f>
        <v>-21395.47220366164</v>
      </c>
      <c r="H22" s="52" t="s">
        <v>51</v>
      </c>
    </row>
    <row r="23" spans="2:9" x14ac:dyDescent="0.3">
      <c r="B23" s="39"/>
      <c r="C23" s="41"/>
      <c r="D23" s="61"/>
      <c r="E23" s="62"/>
      <c r="F23" s="62"/>
      <c r="G23" s="62"/>
      <c r="H23" s="52"/>
    </row>
    <row r="24" spans="2:9" ht="14.5" thickBot="1" x14ac:dyDescent="0.35">
      <c r="B24" s="39" t="s">
        <v>52</v>
      </c>
      <c r="C24" s="41"/>
      <c r="D24" s="61"/>
      <c r="E24" s="63">
        <f>SUM(E21:E22)</f>
        <v>-10129.911604836159</v>
      </c>
      <c r="F24" s="63">
        <f>SUM(F21:F22)</f>
        <v>-12136.711747183041</v>
      </c>
      <c r="G24" s="63">
        <f>SUM(G21:G22)</f>
        <v>-22266.6233520192</v>
      </c>
      <c r="H24" s="52" t="s">
        <v>53</v>
      </c>
    </row>
    <row r="25" spans="2:9" x14ac:dyDescent="0.3">
      <c r="B25" s="39"/>
      <c r="C25" s="41"/>
      <c r="D25" s="61"/>
      <c r="E25" s="62"/>
      <c r="F25" s="62"/>
      <c r="G25" s="62"/>
      <c r="H25" s="52"/>
    </row>
    <row r="26" spans="2:9" ht="29" x14ac:dyDescent="0.3">
      <c r="B26" s="39"/>
      <c r="C26" s="66" t="str">
        <f>C17</f>
        <v>% of capital structure</v>
      </c>
      <c r="D26" s="61"/>
      <c r="E26" s="62"/>
      <c r="F26" s="62"/>
      <c r="G26" s="62"/>
      <c r="H26" s="52"/>
    </row>
    <row r="27" spans="2:9" x14ac:dyDescent="0.3">
      <c r="B27" s="39" t="s">
        <v>54</v>
      </c>
      <c r="C27" s="44">
        <v>0.4</v>
      </c>
      <c r="D27" s="61" t="s">
        <v>55</v>
      </c>
      <c r="E27" s="62">
        <f>C27*E16</f>
        <v>-226467.95450114371</v>
      </c>
      <c r="F27" s="62">
        <f>C27*F16</f>
        <v>-271332.70170317544</v>
      </c>
      <c r="G27" s="62">
        <f>SUM(E27:F27)</f>
        <v>-497800.65620431915</v>
      </c>
      <c r="H27" s="52" t="s">
        <v>56</v>
      </c>
    </row>
    <row r="28" spans="2:9" ht="14.5" x14ac:dyDescent="0.3">
      <c r="B28" s="39"/>
      <c r="C28" s="67" t="str">
        <f>C20</f>
        <v>Rate (%)</v>
      </c>
      <c r="D28" s="61"/>
      <c r="E28" s="62"/>
      <c r="F28" s="62"/>
      <c r="G28" s="62"/>
      <c r="H28" s="52"/>
    </row>
    <row r="29" spans="2:9" x14ac:dyDescent="0.3">
      <c r="B29" s="39" t="s">
        <v>57</v>
      </c>
      <c r="C29" s="44">
        <v>8.3400000000000002E-2</v>
      </c>
      <c r="D29" s="61" t="s">
        <v>58</v>
      </c>
      <c r="E29" s="62">
        <f>C29*E27</f>
        <v>-18887.427405395385</v>
      </c>
      <c r="F29" s="62">
        <f>C29*F27</f>
        <v>-22629.147322044832</v>
      </c>
      <c r="G29" s="62">
        <f>SUM(E29:F29)</f>
        <v>-41516.574727440217</v>
      </c>
      <c r="H29" s="52" t="s">
        <v>59</v>
      </c>
    </row>
    <row r="30" spans="2:9" x14ac:dyDescent="0.3">
      <c r="B30" s="39"/>
      <c r="C30" s="41"/>
      <c r="D30" s="41"/>
      <c r="E30" s="62"/>
      <c r="F30" s="62"/>
      <c r="G30" s="62"/>
      <c r="H30" s="52"/>
    </row>
    <row r="31" spans="2:9" ht="15" thickBot="1" x14ac:dyDescent="0.4">
      <c r="B31" s="39" t="s">
        <v>60</v>
      </c>
      <c r="C31" s="41"/>
      <c r="D31" s="41"/>
      <c r="E31" s="63">
        <f>E24+E29</f>
        <v>-29017.339010231546</v>
      </c>
      <c r="F31" s="63">
        <f>F24+F29</f>
        <v>-34765.859069227874</v>
      </c>
      <c r="G31" s="63">
        <f>G24+G29</f>
        <v>-63783.198079459413</v>
      </c>
      <c r="H31" s="52" t="s">
        <v>61</v>
      </c>
      <c r="I31" s="34"/>
    </row>
    <row r="32" spans="2:9" ht="14.5" thickBot="1" x14ac:dyDescent="0.35">
      <c r="B32" s="40"/>
      <c r="C32" s="45"/>
      <c r="D32" s="45"/>
      <c r="E32" s="58"/>
      <c r="F32" s="58"/>
      <c r="G32" s="58"/>
      <c r="H32" s="52"/>
    </row>
    <row r="33" spans="2:8" x14ac:dyDescent="0.3">
      <c r="C33" s="41"/>
      <c r="D33" s="41"/>
      <c r="E33" s="59"/>
      <c r="F33" s="59"/>
      <c r="G33" s="59"/>
      <c r="H33" s="52"/>
    </row>
    <row r="34" spans="2:8" ht="14.5" thickBot="1" x14ac:dyDescent="0.35">
      <c r="C34" s="46"/>
      <c r="D34" s="46"/>
      <c r="E34" s="68"/>
      <c r="F34" s="68"/>
      <c r="G34" s="68"/>
      <c r="H34" s="52"/>
    </row>
    <row r="35" spans="2:8" ht="14.5" thickBot="1" x14ac:dyDescent="0.35">
      <c r="B35" s="94" t="s">
        <v>62</v>
      </c>
      <c r="C35" s="47"/>
      <c r="D35" s="47"/>
      <c r="E35" s="69"/>
      <c r="F35" s="69"/>
      <c r="G35" s="69"/>
      <c r="H35" s="52"/>
    </row>
    <row r="36" spans="2:8" x14ac:dyDescent="0.3">
      <c r="B36" s="70"/>
      <c r="C36" s="46"/>
      <c r="D36" s="46"/>
      <c r="E36" s="71"/>
      <c r="F36" s="71"/>
      <c r="G36" s="71"/>
      <c r="H36" s="52"/>
    </row>
    <row r="37" spans="2:8" x14ac:dyDescent="0.3">
      <c r="B37" s="39" t="s">
        <v>63</v>
      </c>
      <c r="C37" s="46"/>
      <c r="D37" s="52" t="s">
        <v>34</v>
      </c>
      <c r="E37" s="62">
        <f>E15</f>
        <v>-14037.107494281701</v>
      </c>
      <c r="F37" s="62">
        <f>F15</f>
        <v>-15593.044817456095</v>
      </c>
      <c r="G37" s="62">
        <f>G15</f>
        <v>-29630.152311737795</v>
      </c>
      <c r="H37" s="52" t="s">
        <v>64</v>
      </c>
    </row>
    <row r="38" spans="2:8" ht="14.5" thickBot="1" x14ac:dyDescent="0.35">
      <c r="B38" s="40"/>
      <c r="C38" s="48"/>
      <c r="D38" s="48"/>
      <c r="E38" s="72"/>
      <c r="F38" s="72"/>
      <c r="G38" s="72"/>
      <c r="H38" s="52"/>
    </row>
    <row r="39" spans="2:8" ht="14.5" thickBot="1" x14ac:dyDescent="0.35">
      <c r="C39" s="46"/>
      <c r="D39" s="46"/>
      <c r="E39" s="73"/>
      <c r="F39" s="73"/>
      <c r="G39" s="73"/>
      <c r="H39" s="52"/>
    </row>
    <row r="40" spans="2:8" ht="14.5" thickBot="1" x14ac:dyDescent="0.35">
      <c r="B40" s="95" t="s">
        <v>65</v>
      </c>
      <c r="C40" s="47"/>
      <c r="D40" s="47"/>
      <c r="E40" s="117" t="s">
        <v>28</v>
      </c>
      <c r="F40" s="117" t="s">
        <v>29</v>
      </c>
      <c r="G40" s="117" t="s">
        <v>0</v>
      </c>
      <c r="H40" s="52"/>
    </row>
    <row r="41" spans="2:8" x14ac:dyDescent="0.3">
      <c r="B41" s="74"/>
      <c r="C41" s="46"/>
      <c r="D41" s="46"/>
      <c r="E41" s="62"/>
      <c r="F41" s="62"/>
      <c r="G41" s="62"/>
      <c r="H41" s="52"/>
    </row>
    <row r="42" spans="2:8" x14ac:dyDescent="0.3">
      <c r="B42" s="39" t="s">
        <v>66</v>
      </c>
      <c r="C42" s="46"/>
      <c r="D42" s="52" t="s">
        <v>58</v>
      </c>
      <c r="E42" s="62">
        <f>E29</f>
        <v>-18887.427405395385</v>
      </c>
      <c r="F42" s="62">
        <f>F29</f>
        <v>-22629.147322044832</v>
      </c>
      <c r="G42" s="62">
        <f>G29</f>
        <v>-41516.574727440217</v>
      </c>
      <c r="H42" s="52" t="s">
        <v>67</v>
      </c>
    </row>
    <row r="43" spans="2:8" x14ac:dyDescent="0.3">
      <c r="B43" s="39"/>
      <c r="C43" s="46"/>
      <c r="D43" s="46"/>
      <c r="E43" s="62"/>
      <c r="F43" s="62"/>
      <c r="G43" s="62"/>
      <c r="H43" s="52"/>
    </row>
    <row r="44" spans="2:8" x14ac:dyDescent="0.3">
      <c r="B44" s="39" t="s">
        <v>97</v>
      </c>
      <c r="C44" s="46"/>
      <c r="D44" s="52" t="s">
        <v>64</v>
      </c>
      <c r="E44" s="62">
        <f>E37</f>
        <v>-14037.107494281701</v>
      </c>
      <c r="F44" s="62">
        <f>F37</f>
        <v>-15593.044817456095</v>
      </c>
      <c r="G44" s="62">
        <f>G37</f>
        <v>-29630.152311737795</v>
      </c>
      <c r="H44" s="52" t="s">
        <v>68</v>
      </c>
    </row>
    <row r="45" spans="2:8" x14ac:dyDescent="0.3">
      <c r="B45" s="39"/>
      <c r="C45" s="46"/>
      <c r="D45" s="46"/>
      <c r="E45" s="62"/>
      <c r="F45" s="62"/>
      <c r="G45" s="62"/>
      <c r="H45" s="52"/>
    </row>
    <row r="46" spans="2:8" x14ac:dyDescent="0.3">
      <c r="B46" s="39" t="s">
        <v>98</v>
      </c>
      <c r="C46" s="46"/>
      <c r="D46" s="52"/>
      <c r="E46" s="62">
        <f>E9</f>
        <v>-137565.22560000001</v>
      </c>
      <c r="F46" s="62">
        <f>F9</f>
        <v>-164670.78639999998</v>
      </c>
      <c r="G46" s="62">
        <f>G9</f>
        <v>-302236.01199999999</v>
      </c>
      <c r="H46" s="52" t="s">
        <v>36</v>
      </c>
    </row>
    <row r="47" spans="2:8" x14ac:dyDescent="0.3">
      <c r="B47" s="39"/>
      <c r="C47" s="46"/>
      <c r="D47" s="52"/>
      <c r="E47" s="62"/>
      <c r="F47" s="62"/>
      <c r="G47" s="62"/>
      <c r="H47" s="52"/>
    </row>
    <row r="48" spans="2:8" ht="14.5" thickBot="1" x14ac:dyDescent="0.35">
      <c r="B48" s="39" t="s">
        <v>69</v>
      </c>
      <c r="C48" s="46"/>
      <c r="D48" s="52"/>
      <c r="E48" s="63">
        <f>E42+E44-E46</f>
        <v>104640.69070032291</v>
      </c>
      <c r="F48" s="63">
        <f>F42+F44-F46</f>
        <v>126448.59426049906</v>
      </c>
      <c r="G48" s="63">
        <f>G42+G44-G46</f>
        <v>231089.28496082197</v>
      </c>
      <c r="H48" s="52" t="s">
        <v>70</v>
      </c>
    </row>
    <row r="49" spans="2:8" x14ac:dyDescent="0.3">
      <c r="B49" s="39"/>
      <c r="C49" s="46"/>
      <c r="D49" s="52"/>
      <c r="E49" s="71"/>
      <c r="F49" s="71"/>
      <c r="G49" s="71"/>
      <c r="H49" s="52"/>
    </row>
    <row r="50" spans="2:8" x14ac:dyDescent="0.3">
      <c r="B50" s="39" t="s">
        <v>71</v>
      </c>
      <c r="C50" s="79">
        <v>0.26500000000000001</v>
      </c>
      <c r="D50" s="52" t="s">
        <v>72</v>
      </c>
      <c r="E50" s="80"/>
      <c r="F50" s="80"/>
      <c r="G50" s="80"/>
      <c r="H50" s="52"/>
    </row>
    <row r="51" spans="2:8" x14ac:dyDescent="0.3">
      <c r="B51" s="39"/>
      <c r="C51" s="46"/>
      <c r="D51" s="46"/>
      <c r="E51" s="80"/>
      <c r="F51" s="80"/>
      <c r="G51" s="80"/>
      <c r="H51" s="52"/>
    </row>
    <row r="52" spans="2:8" x14ac:dyDescent="0.3">
      <c r="B52" s="39" t="s">
        <v>73</v>
      </c>
      <c r="C52" s="46"/>
      <c r="D52" s="46"/>
      <c r="E52" s="86">
        <f>C50*E48</f>
        <v>27729.783035585573</v>
      </c>
      <c r="F52" s="86">
        <f>C50*F48</f>
        <v>33508.87747903225</v>
      </c>
      <c r="G52" s="86">
        <f>SUM(E52:F52)</f>
        <v>61238.660514617819</v>
      </c>
      <c r="H52" s="52" t="s">
        <v>74</v>
      </c>
    </row>
    <row r="53" spans="2:8" x14ac:dyDescent="0.3">
      <c r="B53" s="39"/>
      <c r="C53" s="46"/>
      <c r="D53" s="46"/>
      <c r="E53" s="86"/>
      <c r="F53" s="86"/>
      <c r="G53" s="86"/>
      <c r="H53" s="52"/>
    </row>
    <row r="54" spans="2:8" x14ac:dyDescent="0.3">
      <c r="B54" s="39" t="s">
        <v>75</v>
      </c>
      <c r="C54" s="46"/>
      <c r="D54" s="46"/>
      <c r="E54" s="86">
        <f>E52/(1-C50)</f>
        <v>37727.59596678309</v>
      </c>
      <c r="F54" s="86">
        <f>F52/(1-C50)</f>
        <v>45590.309495281974</v>
      </c>
      <c r="G54" s="86">
        <f>SUM(E54:F54)</f>
        <v>83317.905462065071</v>
      </c>
      <c r="H54" s="52" t="s">
        <v>76</v>
      </c>
    </row>
    <row r="55" spans="2:8" ht="14.5" thickBot="1" x14ac:dyDescent="0.35">
      <c r="B55" s="40"/>
      <c r="C55" s="48"/>
      <c r="D55" s="48"/>
      <c r="E55" s="81"/>
      <c r="F55" s="81"/>
      <c r="G55" s="81"/>
      <c r="H55" s="52"/>
    </row>
    <row r="56" spans="2:8" ht="14.5" thickBot="1" x14ac:dyDescent="0.35">
      <c r="C56" s="46"/>
      <c r="D56" s="46"/>
      <c r="E56" s="82"/>
      <c r="F56" s="82"/>
      <c r="G56" s="82"/>
      <c r="H56" s="52"/>
    </row>
    <row r="57" spans="2:8" ht="14.5" thickBot="1" x14ac:dyDescent="0.35">
      <c r="B57" s="95" t="s">
        <v>77</v>
      </c>
      <c r="C57" s="46"/>
      <c r="D57" s="46"/>
      <c r="E57" s="82"/>
      <c r="F57" s="82"/>
      <c r="G57" s="82"/>
      <c r="H57" s="52"/>
    </row>
    <row r="58" spans="2:8" x14ac:dyDescent="0.3">
      <c r="B58" s="39" t="s">
        <v>78</v>
      </c>
      <c r="C58" s="47"/>
      <c r="D58" s="47"/>
      <c r="E58" s="83"/>
      <c r="F58" s="83"/>
      <c r="G58" s="83"/>
      <c r="H58" s="52" t="s">
        <v>79</v>
      </c>
    </row>
    <row r="59" spans="2:8" x14ac:dyDescent="0.3">
      <c r="B59" s="39"/>
      <c r="C59" s="46"/>
      <c r="D59" s="46"/>
      <c r="E59" s="80"/>
      <c r="F59" s="80"/>
      <c r="G59" s="80"/>
      <c r="H59" s="52"/>
    </row>
    <row r="60" spans="2:8" x14ac:dyDescent="0.3">
      <c r="B60" s="39" t="s">
        <v>80</v>
      </c>
      <c r="C60" s="46"/>
      <c r="D60" s="46"/>
      <c r="E60" s="84"/>
      <c r="F60" s="84"/>
      <c r="G60" s="84"/>
      <c r="H60" s="52" t="s">
        <v>81</v>
      </c>
    </row>
    <row r="61" spans="2:8" x14ac:dyDescent="0.3">
      <c r="B61" s="39"/>
      <c r="C61" s="46"/>
      <c r="D61" s="46"/>
      <c r="E61" s="80"/>
      <c r="F61" s="80"/>
      <c r="G61" s="80"/>
      <c r="H61" s="52"/>
    </row>
    <row r="62" spans="2:8" x14ac:dyDescent="0.3">
      <c r="B62" s="39" t="s">
        <v>82</v>
      </c>
      <c r="C62" s="46"/>
      <c r="D62" s="46"/>
      <c r="E62" s="85"/>
      <c r="F62" s="85"/>
      <c r="G62" s="85"/>
      <c r="H62" s="52" t="s">
        <v>83</v>
      </c>
    </row>
    <row r="63" spans="2:8" x14ac:dyDescent="0.3">
      <c r="B63" s="39"/>
      <c r="C63" s="46"/>
      <c r="D63" s="46"/>
      <c r="E63" s="80"/>
      <c r="F63" s="80"/>
      <c r="G63" s="80"/>
      <c r="H63" s="52"/>
    </row>
    <row r="64" spans="2:8" x14ac:dyDescent="0.3">
      <c r="B64" s="39" t="s">
        <v>93</v>
      </c>
      <c r="C64" s="79"/>
      <c r="D64" s="52" t="s">
        <v>84</v>
      </c>
      <c r="E64" s="80"/>
      <c r="F64" s="80"/>
      <c r="G64" s="80"/>
      <c r="H64" s="52"/>
    </row>
    <row r="65" spans="2:8" x14ac:dyDescent="0.3">
      <c r="B65" s="76"/>
      <c r="C65" s="46"/>
      <c r="D65" s="46"/>
      <c r="E65" s="80"/>
      <c r="F65" s="80"/>
      <c r="G65" s="80"/>
      <c r="H65" s="52"/>
    </row>
    <row r="66" spans="2:8" ht="14.5" thickBot="1" x14ac:dyDescent="0.35">
      <c r="B66" s="39" t="s">
        <v>85</v>
      </c>
      <c r="C66" s="46"/>
      <c r="D66" s="46"/>
      <c r="E66" s="77"/>
      <c r="F66" s="77"/>
      <c r="G66" s="77"/>
      <c r="H66" s="52" t="s">
        <v>86</v>
      </c>
    </row>
    <row r="67" spans="2:8" ht="14.5" thickBot="1" x14ac:dyDescent="0.35">
      <c r="B67" s="40"/>
      <c r="C67" s="48"/>
      <c r="D67" s="48"/>
      <c r="E67" s="75"/>
      <c r="F67" s="75"/>
      <c r="G67" s="75"/>
      <c r="H67" s="52"/>
    </row>
    <row r="68" spans="2:8" ht="14.5" thickBot="1" x14ac:dyDescent="0.35">
      <c r="C68" s="46"/>
      <c r="D68" s="46"/>
      <c r="E68" s="68"/>
      <c r="F68" s="68"/>
      <c r="G68" s="68"/>
      <c r="H68" s="52"/>
    </row>
    <row r="69" spans="2:8" ht="14.5" thickBot="1" x14ac:dyDescent="0.35">
      <c r="B69" s="95" t="s">
        <v>100</v>
      </c>
      <c r="C69" s="46"/>
      <c r="D69" s="46"/>
      <c r="E69" s="68"/>
      <c r="F69" s="68"/>
      <c r="G69" s="68"/>
      <c r="H69" s="52"/>
    </row>
    <row r="70" spans="2:8" x14ac:dyDescent="0.3">
      <c r="B70" s="49" t="s">
        <v>60</v>
      </c>
      <c r="C70" s="47"/>
      <c r="D70" s="78" t="s">
        <v>87</v>
      </c>
      <c r="E70" s="87">
        <f>E31</f>
        <v>-29017.339010231546</v>
      </c>
      <c r="F70" s="87">
        <f>F31</f>
        <v>-34765.859069227874</v>
      </c>
      <c r="G70" s="87">
        <f>SUM(E70:F70)</f>
        <v>-63783.19807945942</v>
      </c>
      <c r="H70" s="52" t="s">
        <v>79</v>
      </c>
    </row>
    <row r="71" spans="2:8" x14ac:dyDescent="0.3">
      <c r="B71" s="39" t="s">
        <v>88</v>
      </c>
      <c r="C71" s="46"/>
      <c r="D71" s="52" t="s">
        <v>64</v>
      </c>
      <c r="E71" s="88">
        <f>E37</f>
        <v>-14037.107494281701</v>
      </c>
      <c r="F71" s="88">
        <f>F37</f>
        <v>-15593.044817456095</v>
      </c>
      <c r="G71" s="88">
        <f>SUM(E71:F71)</f>
        <v>-29630.152311737795</v>
      </c>
      <c r="H71" s="52" t="s">
        <v>81</v>
      </c>
    </row>
    <row r="72" spans="2:8" x14ac:dyDescent="0.3">
      <c r="B72" s="39" t="str">
        <f>B54</f>
        <v>Grossed-Up Taxes/PILs</v>
      </c>
      <c r="C72" s="46"/>
      <c r="D72" s="52" t="s">
        <v>89</v>
      </c>
      <c r="E72" s="88">
        <f>E54</f>
        <v>37727.59596678309</v>
      </c>
      <c r="F72" s="88">
        <f>F54</f>
        <v>45590.309495281974</v>
      </c>
      <c r="G72" s="88">
        <f>SUM(E72:F72)</f>
        <v>83317.905462065071</v>
      </c>
      <c r="H72" s="52" t="s">
        <v>90</v>
      </c>
    </row>
    <row r="73" spans="2:8" x14ac:dyDescent="0.3">
      <c r="B73" s="39"/>
      <c r="C73" s="46"/>
      <c r="D73" s="52"/>
      <c r="E73" s="89"/>
      <c r="F73" s="89"/>
      <c r="G73" s="89"/>
      <c r="H73" s="52"/>
    </row>
    <row r="74" spans="2:8" x14ac:dyDescent="0.3">
      <c r="B74" s="39"/>
      <c r="C74" s="46"/>
      <c r="D74" s="46"/>
      <c r="E74" s="89"/>
      <c r="F74" s="89"/>
      <c r="G74" s="89"/>
      <c r="H74" s="52"/>
    </row>
    <row r="75" spans="2:8" ht="14.5" thickBot="1" x14ac:dyDescent="0.35">
      <c r="B75" s="39" t="s">
        <v>100</v>
      </c>
      <c r="C75" s="46"/>
      <c r="D75" s="46"/>
      <c r="E75" s="90">
        <f>SUM(E70:E72)</f>
        <v>-5326.8505377301553</v>
      </c>
      <c r="F75" s="90">
        <f>SUM(F70:F72)</f>
        <v>-4768.5943914019954</v>
      </c>
      <c r="G75" s="90">
        <f>SUM(E75:F75)</f>
        <v>-10095.444929132151</v>
      </c>
      <c r="H75" s="52" t="s">
        <v>91</v>
      </c>
    </row>
    <row r="76" spans="2:8" ht="14.5" thickBot="1" x14ac:dyDescent="0.35">
      <c r="B76" s="40"/>
      <c r="C76" s="48"/>
      <c r="D76" s="48"/>
      <c r="E76" s="75"/>
      <c r="F76" s="75"/>
      <c r="G76" s="75"/>
      <c r="H76" s="52"/>
    </row>
  </sheetData>
  <mergeCells count="1">
    <mergeCell ref="B11:G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7FF2-B667-402C-8BD9-F2F5257A9953}">
  <dimension ref="B1:H7"/>
  <sheetViews>
    <sheetView showGridLines="0" zoomScale="85" zoomScaleNormal="85" workbookViewId="0">
      <selection activeCell="D4" sqref="D4"/>
    </sheetView>
    <sheetView workbookViewId="1">
      <selection activeCell="E6" sqref="E6"/>
    </sheetView>
  </sheetViews>
  <sheetFormatPr defaultRowHeight="14.5" x14ac:dyDescent="0.35"/>
  <cols>
    <col min="2" max="2" width="13" customWidth="1"/>
    <col min="3" max="3" width="15.81640625" style="14" customWidth="1"/>
    <col min="4" max="4" width="15" style="14" customWidth="1"/>
    <col min="5" max="7" width="13.453125" style="14" customWidth="1"/>
    <col min="8" max="8" width="13.453125" style="14" hidden="1" customWidth="1"/>
  </cols>
  <sheetData>
    <row r="1" spans="2:8" x14ac:dyDescent="0.35">
      <c r="B1" s="1" t="s">
        <v>167</v>
      </c>
      <c r="C1" s="2"/>
      <c r="D1" s="2"/>
      <c r="E1" s="2"/>
      <c r="F1" s="2"/>
      <c r="G1" s="2"/>
      <c r="H1" s="2"/>
    </row>
    <row r="3" spans="2:8" ht="42" x14ac:dyDescent="0.35">
      <c r="B3" s="3" t="s">
        <v>5</v>
      </c>
      <c r="C3" s="4" t="s">
        <v>155</v>
      </c>
      <c r="D3" s="4" t="s">
        <v>101</v>
      </c>
      <c r="E3" s="4" t="s">
        <v>104</v>
      </c>
      <c r="F3" s="4" t="s">
        <v>105</v>
      </c>
      <c r="G3" s="4" t="s">
        <v>102</v>
      </c>
      <c r="H3" s="4" t="s">
        <v>103</v>
      </c>
    </row>
    <row r="4" spans="2:8" x14ac:dyDescent="0.35">
      <c r="B4" s="15">
        <v>2021</v>
      </c>
      <c r="C4" s="7">
        <f>-'Table 1 - CVA Capex Variance'!E13</f>
        <v>-3035948.3333333335</v>
      </c>
      <c r="D4" s="7">
        <f>-'Table 2 - RR of Actuals 2021'!G75</f>
        <v>-12462.711944339389</v>
      </c>
      <c r="E4" s="98"/>
      <c r="F4" s="7"/>
      <c r="G4" s="7">
        <f>D4+F4</f>
        <v>-12462.711944339389</v>
      </c>
      <c r="H4" s="7">
        <v>-10119.103187057466</v>
      </c>
    </row>
    <row r="5" spans="2:8" x14ac:dyDescent="0.35">
      <c r="B5" s="15">
        <v>2022</v>
      </c>
      <c r="C5" s="7"/>
      <c r="D5" s="7">
        <f>D4</f>
        <v>-12462.711944339389</v>
      </c>
      <c r="E5" s="99">
        <f>0.033-0.0015</f>
        <v>3.15E-2</v>
      </c>
      <c r="F5" s="7">
        <f>G4*E5</f>
        <v>-392.57542624669077</v>
      </c>
      <c r="G5" s="7">
        <f>G4+F5</f>
        <v>-12855.28737058608</v>
      </c>
      <c r="H5" s="7">
        <v>-20556.95812450724</v>
      </c>
    </row>
    <row r="6" spans="2:8" x14ac:dyDescent="0.35">
      <c r="B6" s="15">
        <v>2023</v>
      </c>
      <c r="C6" s="7"/>
      <c r="D6" s="7">
        <f t="shared" ref="D6" si="0">D5</f>
        <v>-12462.711944339389</v>
      </c>
      <c r="E6" s="99">
        <f>0.037-0.0015</f>
        <v>3.5499999999999997E-2</v>
      </c>
      <c r="F6" s="7">
        <f>G5*E6</f>
        <v>-456.36270165580578</v>
      </c>
      <c r="G6" s="7">
        <f t="shared" ref="G6" si="1">G5+F6</f>
        <v>-13311.650072241886</v>
      </c>
      <c r="H6" s="7">
        <v>-31365.356912236486</v>
      </c>
    </row>
    <row r="7" spans="2:8" x14ac:dyDescent="0.35">
      <c r="B7" s="114" t="s">
        <v>0</v>
      </c>
      <c r="C7" s="27"/>
      <c r="D7" s="27"/>
      <c r="E7" s="27"/>
      <c r="F7" s="27"/>
      <c r="G7" s="115">
        <f>SUM(G4:G6)</f>
        <v>-38629.649387167359</v>
      </c>
      <c r="H7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328A-25B4-46D6-9B5C-68A11EAA99BB}">
  <dimension ref="B1:O30"/>
  <sheetViews>
    <sheetView showGridLines="0" tabSelected="1" zoomScale="85" zoomScaleNormal="85" workbookViewId="0">
      <selection activeCell="B2" sqref="B2"/>
    </sheetView>
    <sheetView zoomScale="85" zoomScaleNormal="85" workbookViewId="1">
      <selection activeCell="F16" sqref="F16"/>
    </sheetView>
  </sheetViews>
  <sheetFormatPr defaultRowHeight="14.5" x14ac:dyDescent="0.35"/>
  <cols>
    <col min="2" max="2" width="48.54296875" customWidth="1"/>
    <col min="3" max="3" width="15.1796875" customWidth="1"/>
    <col min="4" max="15" width="15.54296875" customWidth="1"/>
  </cols>
  <sheetData>
    <row r="1" spans="2:15" x14ac:dyDescent="0.35">
      <c r="B1" s="1" t="s">
        <v>168</v>
      </c>
    </row>
    <row r="3" spans="2:15" ht="56" x14ac:dyDescent="0.35">
      <c r="B3" s="100" t="s">
        <v>157</v>
      </c>
      <c r="C3" s="100" t="s">
        <v>106</v>
      </c>
      <c r="D3" s="4" t="s">
        <v>108</v>
      </c>
      <c r="E3" s="4" t="s">
        <v>110</v>
      </c>
      <c r="F3" s="4" t="s">
        <v>111</v>
      </c>
      <c r="G3" s="4" t="s">
        <v>112</v>
      </c>
      <c r="H3" s="4" t="s">
        <v>109</v>
      </c>
      <c r="I3" s="4" t="s">
        <v>113</v>
      </c>
      <c r="J3" s="4" t="s">
        <v>114</v>
      </c>
      <c r="K3" s="4" t="s">
        <v>115</v>
      </c>
      <c r="L3" s="4" t="s">
        <v>116</v>
      </c>
    </row>
    <row r="4" spans="2:15" ht="42.5" x14ac:dyDescent="0.35">
      <c r="B4" s="101" t="s">
        <v>107</v>
      </c>
      <c r="C4" s="102">
        <v>1508</v>
      </c>
      <c r="D4" s="103">
        <v>0</v>
      </c>
      <c r="E4" s="103">
        <f>'Table 4 - CVA Entries'!G4</f>
        <v>-12462.711944339389</v>
      </c>
      <c r="F4" s="103">
        <f>D4+E4</f>
        <v>-12462.711944339389</v>
      </c>
      <c r="G4" s="103">
        <f>F4</f>
        <v>-12462.711944339389</v>
      </c>
      <c r="H4" s="103">
        <f>'Table 4 - CVA Entries'!G5</f>
        <v>-12855.28737058608</v>
      </c>
      <c r="I4" s="103">
        <f>G4+H4</f>
        <v>-25317.99931492547</v>
      </c>
      <c r="J4" s="103">
        <f>I4</f>
        <v>-25317.99931492547</v>
      </c>
      <c r="K4" s="103">
        <f>'Table 4 - CVA Entries'!G6</f>
        <v>-13311.650072241886</v>
      </c>
      <c r="L4" s="103">
        <f>J4+K4</f>
        <v>-38629.649387167359</v>
      </c>
    </row>
    <row r="7" spans="2:15" ht="56" x14ac:dyDescent="0.35">
      <c r="B7" s="100" t="s">
        <v>156</v>
      </c>
      <c r="C7" s="100" t="s">
        <v>106</v>
      </c>
      <c r="D7" s="4" t="s">
        <v>117</v>
      </c>
      <c r="E7" s="4" t="s">
        <v>118</v>
      </c>
      <c r="F7" s="4" t="s">
        <v>119</v>
      </c>
      <c r="G7" s="4" t="s">
        <v>120</v>
      </c>
      <c r="H7" s="4" t="s">
        <v>121</v>
      </c>
      <c r="I7" s="4" t="s">
        <v>122</v>
      </c>
      <c r="J7" s="4" t="s">
        <v>123</v>
      </c>
      <c r="K7" s="4" t="s">
        <v>124</v>
      </c>
      <c r="L7" s="4" t="s">
        <v>125</v>
      </c>
      <c r="M7" s="4" t="s">
        <v>126</v>
      </c>
      <c r="N7" s="4" t="s">
        <v>127</v>
      </c>
      <c r="O7" s="4" t="s">
        <v>128</v>
      </c>
    </row>
    <row r="8" spans="2:15" ht="42.5" x14ac:dyDescent="0.35">
      <c r="B8" s="101" t="s">
        <v>107</v>
      </c>
      <c r="C8" s="102">
        <v>1508</v>
      </c>
      <c r="D8" s="103">
        <v>0</v>
      </c>
      <c r="E8" s="103">
        <v>0</v>
      </c>
      <c r="F8" s="103">
        <f>D8+E8</f>
        <v>0</v>
      </c>
      <c r="G8" s="103">
        <f>F8</f>
        <v>0</v>
      </c>
      <c r="H8" s="118">
        <v>-238.6609337340993</v>
      </c>
      <c r="I8" s="118">
        <v>-238.6609337340993</v>
      </c>
      <c r="J8" s="118">
        <v>-238.6609337340993</v>
      </c>
      <c r="K8" s="118">
        <v>-1277.29306543799</v>
      </c>
      <c r="L8" s="118">
        <v>-1515.9539991720892</v>
      </c>
      <c r="M8" s="118">
        <v>-1515.9539991720892</v>
      </c>
      <c r="N8" s="118">
        <v>-1808.8333325541116</v>
      </c>
      <c r="O8" s="118">
        <v>-3324.787331726201</v>
      </c>
    </row>
    <row r="12" spans="2:15" x14ac:dyDescent="0.35">
      <c r="B12" s="178"/>
    </row>
    <row r="13" spans="2:15" x14ac:dyDescent="0.35">
      <c r="B13" s="178"/>
      <c r="C13" s="179"/>
      <c r="D13" s="179"/>
      <c r="E13" s="178"/>
    </row>
    <row r="14" spans="2:15" x14ac:dyDescent="0.35">
      <c r="C14" s="180"/>
      <c r="D14" s="181"/>
      <c r="E14" s="182"/>
    </row>
    <row r="15" spans="2:15" x14ac:dyDescent="0.35">
      <c r="C15" s="180"/>
      <c r="E15" s="182"/>
    </row>
    <row r="16" spans="2:15" x14ac:dyDescent="0.35">
      <c r="C16" s="180"/>
      <c r="E16" s="182"/>
      <c r="F16" s="177"/>
    </row>
    <row r="17" spans="3:5" x14ac:dyDescent="0.35">
      <c r="C17" s="180"/>
      <c r="E17" s="182"/>
    </row>
    <row r="18" spans="3:5" x14ac:dyDescent="0.35">
      <c r="C18" s="180"/>
      <c r="D18" s="183"/>
      <c r="E18" s="182"/>
    </row>
    <row r="19" spans="3:5" x14ac:dyDescent="0.35">
      <c r="C19" s="180"/>
      <c r="E19" s="182"/>
    </row>
    <row r="20" spans="3:5" x14ac:dyDescent="0.35">
      <c r="C20" s="180"/>
      <c r="E20" s="182"/>
    </row>
    <row r="21" spans="3:5" x14ac:dyDescent="0.35">
      <c r="C21" s="180"/>
      <c r="E21" s="182"/>
    </row>
    <row r="22" spans="3:5" x14ac:dyDescent="0.35">
      <c r="C22" s="180"/>
      <c r="D22" s="181"/>
      <c r="E22" s="182"/>
    </row>
    <row r="23" spans="3:5" x14ac:dyDescent="0.35">
      <c r="C23" s="180"/>
      <c r="E23" s="182"/>
    </row>
    <row r="24" spans="3:5" x14ac:dyDescent="0.35">
      <c r="C24" s="180"/>
      <c r="E24" s="182"/>
    </row>
    <row r="25" spans="3:5" x14ac:dyDescent="0.35">
      <c r="C25" s="180"/>
      <c r="E25" s="182"/>
    </row>
    <row r="26" spans="3:5" x14ac:dyDescent="0.35">
      <c r="C26" s="180"/>
      <c r="D26" s="181"/>
      <c r="E26" s="182"/>
    </row>
    <row r="27" spans="3:5" x14ac:dyDescent="0.35">
      <c r="C27" s="180"/>
      <c r="E27" s="182"/>
    </row>
    <row r="28" spans="3:5" x14ac:dyDescent="0.35">
      <c r="C28" s="180"/>
      <c r="E28" s="182"/>
    </row>
    <row r="29" spans="3:5" x14ac:dyDescent="0.35">
      <c r="C29" s="180"/>
      <c r="E29" s="182"/>
    </row>
    <row r="30" spans="3:5" x14ac:dyDescent="0.35">
      <c r="D30" s="178"/>
      <c r="E30" s="18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C4F2-2004-4D54-8B05-75E51195AD64}">
  <dimension ref="B1:C9"/>
  <sheetViews>
    <sheetView showGridLines="0" zoomScale="85" zoomScaleNormal="85" workbookViewId="0">
      <selection activeCell="C12" sqref="C12"/>
    </sheetView>
    <sheetView workbookViewId="1">
      <selection activeCell="C9" sqref="C9"/>
    </sheetView>
  </sheetViews>
  <sheetFormatPr defaultRowHeight="14.5" x14ac:dyDescent="0.35"/>
  <cols>
    <col min="2" max="2" width="50.81640625" bestFit="1" customWidth="1"/>
    <col min="3" max="3" width="13.7265625" style="14" customWidth="1"/>
  </cols>
  <sheetData>
    <row r="1" spans="2:3" x14ac:dyDescent="0.35">
      <c r="B1" s="1" t="s">
        <v>169</v>
      </c>
      <c r="C1" s="2"/>
    </row>
    <row r="3" spans="2:3" x14ac:dyDescent="0.35">
      <c r="B3" s="3" t="s">
        <v>129</v>
      </c>
      <c r="C3" s="4">
        <v>2025</v>
      </c>
    </row>
    <row r="4" spans="2:3" x14ac:dyDescent="0.35">
      <c r="B4" s="6" t="s">
        <v>130</v>
      </c>
      <c r="C4" s="104">
        <v>16891992.619726501</v>
      </c>
    </row>
    <row r="5" spans="2:3" x14ac:dyDescent="0.35">
      <c r="B5" s="6" t="s">
        <v>131</v>
      </c>
      <c r="C5" s="104">
        <v>11771200.240332117</v>
      </c>
    </row>
    <row r="6" spans="2:3" x14ac:dyDescent="0.35">
      <c r="B6" s="11" t="s">
        <v>132</v>
      </c>
      <c r="C6" s="105">
        <f>+C4-C5</f>
        <v>5120792.3793943841</v>
      </c>
    </row>
    <row r="7" spans="2:3" x14ac:dyDescent="0.35">
      <c r="B7" s="6" t="s">
        <v>133</v>
      </c>
      <c r="C7" s="104">
        <v>-197757</v>
      </c>
    </row>
    <row r="8" spans="2:3" x14ac:dyDescent="0.35">
      <c r="B8" s="6" t="s">
        <v>134</v>
      </c>
      <c r="C8" s="104">
        <v>-160692</v>
      </c>
    </row>
    <row r="9" spans="2:3" x14ac:dyDescent="0.35">
      <c r="B9" s="11" t="s">
        <v>135</v>
      </c>
      <c r="C9" s="105">
        <f>C6+C7+C8</f>
        <v>4762343.3793943841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7ED-EBD6-4CC6-A124-34EEFABE1BE1}">
  <dimension ref="B1:G11"/>
  <sheetViews>
    <sheetView showGridLines="0" zoomScale="85" zoomScaleNormal="85" workbookViewId="0">
      <selection activeCell="B1" sqref="B1"/>
    </sheetView>
    <sheetView workbookViewId="1">
      <selection activeCell="C9" sqref="C9"/>
    </sheetView>
  </sheetViews>
  <sheetFormatPr defaultRowHeight="14.5" x14ac:dyDescent="0.35"/>
  <cols>
    <col min="2" max="2" width="30.453125" customWidth="1"/>
    <col min="3" max="3" width="15.81640625" style="14" customWidth="1"/>
    <col min="4" max="7" width="13.453125" style="14" customWidth="1"/>
  </cols>
  <sheetData>
    <row r="1" spans="2:7" x14ac:dyDescent="0.35">
      <c r="B1" s="1" t="s">
        <v>170</v>
      </c>
      <c r="C1" s="2"/>
      <c r="D1" s="2"/>
      <c r="E1" s="2"/>
      <c r="F1" s="2"/>
      <c r="G1" s="2"/>
    </row>
    <row r="3" spans="2:7" x14ac:dyDescent="0.35">
      <c r="B3" s="3" t="s">
        <v>129</v>
      </c>
      <c r="C3" s="4" t="s">
        <v>0</v>
      </c>
      <c r="D3" s="5"/>
      <c r="E3" s="5"/>
      <c r="F3" s="5"/>
      <c r="G3" s="5"/>
    </row>
    <row r="4" spans="2:7" x14ac:dyDescent="0.35">
      <c r="B4" s="6" t="s">
        <v>1</v>
      </c>
      <c r="C4" s="7">
        <f>'Table 6 - Approved ICM Capital'!C9</f>
        <v>4762343.3793943841</v>
      </c>
      <c r="D4" s="8"/>
      <c r="E4" s="8"/>
      <c r="F4" s="8"/>
      <c r="G4" s="8"/>
    </row>
    <row r="5" spans="2:7" x14ac:dyDescent="0.35">
      <c r="B5" s="6"/>
      <c r="C5" s="9"/>
      <c r="D5" s="8"/>
      <c r="E5" s="8"/>
      <c r="F5" s="8"/>
      <c r="G5" s="8"/>
    </row>
    <row r="6" spans="2:7" x14ac:dyDescent="0.35">
      <c r="B6" s="6" t="s">
        <v>2</v>
      </c>
      <c r="C6" s="9">
        <v>120955.16484680321</v>
      </c>
      <c r="D6" s="8"/>
      <c r="E6" s="8"/>
      <c r="F6" s="8"/>
      <c r="G6" s="8"/>
    </row>
    <row r="7" spans="2:7" x14ac:dyDescent="0.35">
      <c r="B7" s="6" t="s">
        <v>3</v>
      </c>
      <c r="C7" s="9">
        <v>44095.772031429486</v>
      </c>
      <c r="D7" s="8"/>
      <c r="E7" s="8"/>
      <c r="F7" s="8"/>
      <c r="G7" s="8"/>
    </row>
    <row r="8" spans="2:7" x14ac:dyDescent="0.35">
      <c r="B8" s="6" t="s">
        <v>4</v>
      </c>
      <c r="C8" s="9">
        <v>-24407.975726783578</v>
      </c>
      <c r="D8" s="10"/>
      <c r="E8" s="10"/>
      <c r="F8" s="10"/>
      <c r="G8" s="10"/>
    </row>
    <row r="9" spans="2:7" x14ac:dyDescent="0.35">
      <c r="B9" s="11" t="s">
        <v>136</v>
      </c>
      <c r="C9" s="12">
        <f>SUM(C6:C8)</f>
        <v>140642.96115144913</v>
      </c>
      <c r="D9" s="13"/>
      <c r="E9" s="13"/>
      <c r="F9" s="13"/>
      <c r="G9" s="13"/>
    </row>
    <row r="11" spans="2:7" x14ac:dyDescent="0.35">
      <c r="B11" s="46" t="s">
        <v>141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6666-697C-4E93-9A23-14D7A8E8F72A}">
  <dimension ref="B1:G7"/>
  <sheetViews>
    <sheetView showGridLines="0" zoomScale="85" zoomScaleNormal="85" workbookViewId="0">
      <selection activeCell="C6" sqref="C6"/>
    </sheetView>
    <sheetView workbookViewId="1">
      <selection activeCell="C6" sqref="C6"/>
    </sheetView>
  </sheetViews>
  <sheetFormatPr defaultRowHeight="14.5" x14ac:dyDescent="0.35"/>
  <cols>
    <col min="2" max="2" width="59.7265625" customWidth="1"/>
    <col min="3" max="3" width="15.81640625" style="14" customWidth="1"/>
    <col min="4" max="7" width="13.453125" style="14" customWidth="1"/>
  </cols>
  <sheetData>
    <row r="1" spans="2:7" x14ac:dyDescent="0.35">
      <c r="B1" s="1" t="s">
        <v>171</v>
      </c>
      <c r="C1" s="2"/>
      <c r="D1" s="2"/>
      <c r="E1" s="2"/>
      <c r="F1" s="2"/>
      <c r="G1" s="2"/>
    </row>
    <row r="3" spans="2:7" x14ac:dyDescent="0.35">
      <c r="B3" s="3" t="s">
        <v>129</v>
      </c>
      <c r="C3" s="4" t="s">
        <v>0</v>
      </c>
      <c r="D3" s="5"/>
      <c r="E3" s="5"/>
      <c r="F3" s="5"/>
      <c r="G3" s="5"/>
    </row>
    <row r="4" spans="2:7" x14ac:dyDescent="0.35">
      <c r="B4" s="6" t="s">
        <v>162</v>
      </c>
      <c r="C4" s="7">
        <f>'Table 7 - Revised ICM RR'!C9</f>
        <v>140642.96115144913</v>
      </c>
      <c r="D4" s="8"/>
      <c r="E4" s="8"/>
      <c r="F4" s="8"/>
      <c r="G4" s="8"/>
    </row>
    <row r="5" spans="2:7" x14ac:dyDescent="0.35">
      <c r="B5" s="6" t="s">
        <v>137</v>
      </c>
      <c r="C5" s="7">
        <f>'Table 5 - CVA Continuity'!L4</f>
        <v>-38629.649387167359</v>
      </c>
      <c r="D5" s="8"/>
      <c r="E5" s="8"/>
      <c r="F5" s="8"/>
      <c r="G5" s="8"/>
    </row>
    <row r="6" spans="2:7" x14ac:dyDescent="0.35">
      <c r="B6" s="6" t="s">
        <v>138</v>
      </c>
      <c r="C6" s="9">
        <f>'Table 5 - CVA Continuity'!O8</f>
        <v>-3324.787331726201</v>
      </c>
      <c r="D6" s="8"/>
      <c r="E6" s="8"/>
      <c r="F6" s="8"/>
      <c r="G6" s="8"/>
    </row>
    <row r="7" spans="2:7" x14ac:dyDescent="0.35">
      <c r="B7" s="11" t="s">
        <v>163</v>
      </c>
      <c r="C7" s="12">
        <f>C4+C5+C6</f>
        <v>98688.524432555569</v>
      </c>
      <c r="D7" s="13"/>
      <c r="E7" s="13"/>
      <c r="F7" s="13"/>
      <c r="G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DC51-8C4F-4320-8623-2BF03770A933}">
  <dimension ref="B1:N15"/>
  <sheetViews>
    <sheetView showGridLines="0" zoomScale="85" zoomScaleNormal="85" workbookViewId="0">
      <selection activeCell="K10" sqref="K10"/>
    </sheetView>
    <sheetView tabSelected="1" zoomScale="85" zoomScaleNormal="85" workbookViewId="1">
      <selection activeCell="B12" sqref="B12:D12"/>
    </sheetView>
  </sheetViews>
  <sheetFormatPr defaultRowHeight="14.5" x14ac:dyDescent="0.35"/>
  <cols>
    <col min="2" max="2" width="40.1796875" bestFit="1" customWidth="1"/>
    <col min="3" max="3" width="7.26953125" style="14" customWidth="1"/>
    <col min="4" max="5" width="12" customWidth="1"/>
    <col min="6" max="6" width="16" customWidth="1"/>
    <col min="7" max="7" width="16.26953125" customWidth="1"/>
    <col min="8" max="8" width="14.1796875" customWidth="1"/>
    <col min="9" max="9" width="15.1796875" customWidth="1"/>
    <col min="10" max="11" width="14.26953125" style="14" customWidth="1"/>
    <col min="13" max="13" width="14.1796875" bestFit="1" customWidth="1"/>
  </cols>
  <sheetData>
    <row r="1" spans="2:14" x14ac:dyDescent="0.35">
      <c r="B1" s="1" t="s">
        <v>172</v>
      </c>
      <c r="C1" s="2"/>
      <c r="D1" s="1"/>
      <c r="E1" s="1"/>
      <c r="F1" s="1"/>
      <c r="G1" s="1"/>
      <c r="H1" s="1"/>
      <c r="I1" s="1"/>
      <c r="J1" s="2"/>
      <c r="K1" s="2"/>
    </row>
    <row r="2" spans="2:14" x14ac:dyDescent="0.35">
      <c r="B2" s="1"/>
      <c r="C2" s="2"/>
      <c r="D2" s="1"/>
      <c r="E2" s="1"/>
      <c r="F2" s="1"/>
      <c r="G2" s="1"/>
      <c r="H2" s="1"/>
      <c r="I2" s="1"/>
      <c r="J2" s="2"/>
      <c r="K2" s="2"/>
    </row>
    <row r="3" spans="2:14" ht="29.25" customHeight="1" x14ac:dyDescent="0.35">
      <c r="B3" s="191" t="s">
        <v>6</v>
      </c>
      <c r="C3" s="192" t="s">
        <v>16</v>
      </c>
      <c r="D3" s="192" t="s">
        <v>158</v>
      </c>
      <c r="E3" s="192" t="s">
        <v>159</v>
      </c>
      <c r="F3" s="192" t="s">
        <v>142</v>
      </c>
      <c r="G3" s="192" t="s">
        <v>143</v>
      </c>
      <c r="H3" s="192" t="s">
        <v>145</v>
      </c>
      <c r="I3" s="192" t="s">
        <v>144</v>
      </c>
      <c r="J3" s="189" t="s">
        <v>151</v>
      </c>
      <c r="K3" s="190"/>
    </row>
    <row r="4" spans="2:14" ht="45" customHeight="1" x14ac:dyDescent="0.35">
      <c r="B4" s="191"/>
      <c r="C4" s="192"/>
      <c r="D4" s="192"/>
      <c r="E4" s="192"/>
      <c r="F4" s="192"/>
      <c r="G4" s="192"/>
      <c r="H4" s="192"/>
      <c r="I4" s="192"/>
      <c r="J4" s="4" t="s">
        <v>7</v>
      </c>
      <c r="K4" s="4" t="s">
        <v>8</v>
      </c>
    </row>
    <row r="5" spans="2:14" x14ac:dyDescent="0.35">
      <c r="B5" s="191"/>
      <c r="C5" s="192"/>
      <c r="D5" s="4" t="s">
        <v>150</v>
      </c>
      <c r="E5" s="4" t="s">
        <v>32</v>
      </c>
      <c r="F5" s="4" t="s">
        <v>174</v>
      </c>
      <c r="G5" s="4" t="s">
        <v>175</v>
      </c>
      <c r="H5" s="4" t="s">
        <v>40</v>
      </c>
      <c r="I5" s="4" t="s">
        <v>43</v>
      </c>
      <c r="J5" s="4" t="s">
        <v>160</v>
      </c>
      <c r="K5" s="4" t="s">
        <v>161</v>
      </c>
    </row>
    <row r="6" spans="2:14" x14ac:dyDescent="0.35">
      <c r="B6" s="6" t="s">
        <v>9</v>
      </c>
      <c r="C6" s="15" t="s">
        <v>10</v>
      </c>
      <c r="D6" s="113">
        <v>0.62187999135466798</v>
      </c>
      <c r="E6" s="113">
        <v>0</v>
      </c>
      <c r="F6" s="7">
        <f>D6*'Table 8 - RR Offset'!$C$7</f>
        <v>61372.4187209226</v>
      </c>
      <c r="G6" s="7">
        <f>E6*'Table 8 - RR Offset'!$C$7</f>
        <v>0</v>
      </c>
      <c r="H6" s="106">
        <v>62297</v>
      </c>
      <c r="I6" s="106">
        <v>520495249</v>
      </c>
      <c r="J6" s="17">
        <f>ROUND(F6/H6/10,2)</f>
        <v>0.1</v>
      </c>
      <c r="K6" s="18">
        <f>ROUND(G6/I6*12/10,4)</f>
        <v>0</v>
      </c>
      <c r="M6" s="110"/>
      <c r="N6" s="109"/>
    </row>
    <row r="7" spans="2:14" x14ac:dyDescent="0.35">
      <c r="B7" s="6" t="s">
        <v>11</v>
      </c>
      <c r="C7" s="15" t="s">
        <v>10</v>
      </c>
      <c r="D7" s="113">
        <v>5.2875287253071293E-2</v>
      </c>
      <c r="E7" s="113">
        <v>8.3584568096370951E-2</v>
      </c>
      <c r="F7" s="7">
        <f>D7*'Table 8 - RR Offset'!$C$7</f>
        <v>5218.1840779531203</v>
      </c>
      <c r="G7" s="7">
        <f>E7*'Table 8 - RR Offset'!$C$7</f>
        <v>8248.8376907633101</v>
      </c>
      <c r="H7" s="106">
        <v>5903</v>
      </c>
      <c r="I7" s="106">
        <v>169521839</v>
      </c>
      <c r="J7" s="17">
        <f t="shared" ref="J7:J10" si="0">ROUND(F7/H7/10,2)</f>
        <v>0.09</v>
      </c>
      <c r="K7" s="18">
        <f t="shared" ref="K7:K10" si="1">ROUND(G7/I7*12/10,4)</f>
        <v>1E-4</v>
      </c>
      <c r="M7" s="110"/>
      <c r="N7" s="109"/>
    </row>
    <row r="8" spans="2:14" x14ac:dyDescent="0.35">
      <c r="B8" s="6" t="s">
        <v>12</v>
      </c>
      <c r="C8" s="15" t="s">
        <v>13</v>
      </c>
      <c r="D8" s="113">
        <v>2.3361537690392169E-2</v>
      </c>
      <c r="E8" s="113">
        <v>0.20959212866066931</v>
      </c>
      <c r="F8" s="7">
        <f>D8*'Table 8 - RR Offset'!$C$7</f>
        <v>2305.5156831403351</v>
      </c>
      <c r="G8" s="7">
        <f>E8*'Table 8 - RR Offset'!$C$7</f>
        <v>20684.337910199793</v>
      </c>
      <c r="H8" s="106">
        <v>971</v>
      </c>
      <c r="I8" s="106">
        <v>2133863</v>
      </c>
      <c r="J8" s="17">
        <f t="shared" si="0"/>
        <v>0.24</v>
      </c>
      <c r="K8" s="18">
        <f t="shared" si="1"/>
        <v>1.1599999999999999E-2</v>
      </c>
      <c r="M8" s="110"/>
      <c r="N8" s="109"/>
    </row>
    <row r="9" spans="2:14" x14ac:dyDescent="0.35">
      <c r="B9" s="6" t="s">
        <v>14</v>
      </c>
      <c r="C9" s="15" t="s">
        <v>13</v>
      </c>
      <c r="D9" s="113">
        <v>3.4383062668191865E-3</v>
      </c>
      <c r="E9" s="113">
        <v>1.8431933746997993E-3</v>
      </c>
      <c r="F9" s="7">
        <f>D9*'Table 8 - RR Offset'!$C$7</f>
        <v>339.32137201959421</v>
      </c>
      <c r="G9" s="7">
        <f>E9*'Table 8 - RR Offset'!$C$7</f>
        <v>181.90203439298568</v>
      </c>
      <c r="H9" s="106">
        <v>17249</v>
      </c>
      <c r="I9" s="106">
        <v>15484</v>
      </c>
      <c r="J9" s="17">
        <f t="shared" si="0"/>
        <v>0</v>
      </c>
      <c r="K9" s="18">
        <f t="shared" si="1"/>
        <v>1.41E-2</v>
      </c>
      <c r="M9" s="110"/>
      <c r="N9" s="109"/>
    </row>
    <row r="10" spans="2:14" x14ac:dyDescent="0.35">
      <c r="B10" s="6" t="s">
        <v>15</v>
      </c>
      <c r="C10" s="15" t="s">
        <v>10</v>
      </c>
      <c r="D10" s="113">
        <v>1.9044907209930775E-3</v>
      </c>
      <c r="E10" s="113">
        <v>1.5204965823162251E-3</v>
      </c>
      <c r="F10" s="7">
        <f>D10*'Table 8 - RR Offset'!$C$7</f>
        <v>187.95137905030072</v>
      </c>
      <c r="G10" s="7">
        <f>E10*'Table 8 - RR Offset'!$C$7</f>
        <v>150.05556411353203</v>
      </c>
      <c r="H10" s="106">
        <v>576</v>
      </c>
      <c r="I10" s="106">
        <v>3168511</v>
      </c>
      <c r="J10" s="17">
        <f t="shared" si="0"/>
        <v>0.03</v>
      </c>
      <c r="K10" s="18">
        <f t="shared" si="1"/>
        <v>1E-4</v>
      </c>
      <c r="M10" s="110"/>
      <c r="N10" s="109"/>
    </row>
    <row r="11" spans="2:14" x14ac:dyDescent="0.35">
      <c r="F11" s="187">
        <f>SUM(F6:G10)</f>
        <v>98688.524432555554</v>
      </c>
      <c r="G11" s="188"/>
    </row>
    <row r="13" spans="2:14" x14ac:dyDescent="0.35">
      <c r="F13" s="33" t="s">
        <v>99</v>
      </c>
      <c r="G13" s="107">
        <f>F11-'Table 8 - RR Offset'!C7</f>
        <v>0</v>
      </c>
    </row>
    <row r="15" spans="2:14" x14ac:dyDescent="0.35">
      <c r="F15" s="108"/>
    </row>
  </sheetData>
  <mergeCells count="10">
    <mergeCell ref="F11:G11"/>
    <mergeCell ref="J3:K3"/>
    <mergeCell ref="B3:B5"/>
    <mergeCell ref="C3:C5"/>
    <mergeCell ref="D3:D4"/>
    <mergeCell ref="E3:E4"/>
    <mergeCell ref="F3:F4"/>
    <mergeCell ref="G3:G4"/>
    <mergeCell ref="I3:I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1 - CVA Capex Variance</vt:lpstr>
      <vt:lpstr>Table 2 - RR of Actuals 2021</vt:lpstr>
      <vt:lpstr>Table 3 - RR for CVA</vt:lpstr>
      <vt:lpstr>Table 4 - CVA Entries</vt:lpstr>
      <vt:lpstr>Table 5 - CVA Continuity</vt:lpstr>
      <vt:lpstr>Table 6 - Approved ICM Capital</vt:lpstr>
      <vt:lpstr>Table 7 - Revised ICM RR</vt:lpstr>
      <vt:lpstr>Table 8 - RR Offset</vt:lpstr>
      <vt:lpstr>Table 9 - ICM Riders</vt:lpstr>
      <vt:lpstr>Table 10 - ICM Bill Impact</vt:lpstr>
      <vt:lpstr>Table 11 - Dx Rate Impact</vt:lpstr>
      <vt:lpstr>Table 12 - Total Bill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Pappas</dc:creator>
  <cp:lastModifiedBy>Yaroslav Paliy</cp:lastModifiedBy>
  <dcterms:created xsi:type="dcterms:W3CDTF">2024-12-19T16:18:24Z</dcterms:created>
  <dcterms:modified xsi:type="dcterms:W3CDTF">2025-02-10T21:48:42Z</dcterms:modified>
</cp:coreProperties>
</file>